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omments2.xml" ContentType="application/vnd.openxmlformats-officedocument.spreadsheetml.comments+xml"/>
  <Override PartName="/xl/threadedComments/threadedComment2.xml" ContentType="application/vnd.ms-excel.threadedcomments+xml"/>
  <Override PartName="/xl/drawings/drawing4.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drawings/drawing5.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drawings/drawing6.xml" ContentType="application/vnd.openxmlformats-officedocument.drawing+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628"/>
  <workbookPr codeName="ThisWorkbook" defaultThemeVersion="166925"/>
  <mc:AlternateContent xmlns:mc="http://schemas.openxmlformats.org/markup-compatibility/2006">
    <mc:Choice Requires="x15">
      <x15ac:absPath xmlns:x15ac="http://schemas.microsoft.com/office/spreadsheetml/2010/11/ac" url="D:\Crystallise Limited\Small Projects - IFoA\COVID\ITU_Capacity\"/>
    </mc:Choice>
  </mc:AlternateContent>
  <xr:revisionPtr revIDLastSave="0" documentId="13_ncr:1_{B3172A36-03C1-4AB3-9532-E14E827A26E6}" xr6:coauthVersionLast="46" xr6:coauthVersionMax="46" xr10:uidLastSave="{00000000-0000-0000-0000-000000000000}"/>
  <bookViews>
    <workbookView xWindow="-28920" yWindow="-120" windowWidth="29040" windowHeight="15840" tabRatio="833" xr2:uid="{8CCC9DE5-694F-40EF-A968-12B61E65D277}"/>
  </bookViews>
  <sheets>
    <sheet name="Description" sheetId="23" r:id="rId1"/>
    <sheet name="Assumptions and limitations" sheetId="22" r:id="rId2"/>
    <sheet name="Principle parameters" sheetId="11" r:id="rId3"/>
    <sheet name="Estimating Admissions by Age" sheetId="17" r:id="rId4"/>
    <sheet name="Scenarios" sheetId="20" r:id="rId5"/>
    <sheet name="Sensitivity Analysis" sheetId="21" r:id="rId6"/>
    <sheet name="New patients in hospital" sheetId="6" r:id="rId7"/>
    <sheet name="Hospital beds occupied non-ICU" sheetId="2" state="hidden" r:id="rId8"/>
    <sheet name="ICU beds occupied" sheetId="3" state="hidden" r:id="rId9"/>
    <sheet name="Splitting Admissions CCU Ward" sheetId="14" r:id="rId10"/>
    <sheet name="Ward Demand" sheetId="9" r:id="rId11"/>
    <sheet name="CCU Demand" sheetId="8" r:id="rId12"/>
    <sheet name="Excess Mortality Model" sheetId="12" r:id="rId13"/>
    <sheet name="Ward Mortality - Treated" sheetId="15" r:id="rId14"/>
    <sheet name="CCU Mortality - Treated" sheetId="13" r:id="rId15"/>
    <sheet name="Mortality Rates" sheetId="4" r:id="rId16"/>
    <sheet name="Deaths - In capacity" sheetId="7" r:id="rId17"/>
    <sheet name="Deaths - outside capacity" sheetId="10" r:id="rId18"/>
  </sheets>
  <definedNames>
    <definedName name="adm_AgeDist">'Estimating Admissions by Age'!$E$38:$E$54</definedName>
    <definedName name="adm_AgeDist2">'Estimating Admissions by Age'!$H$49:$H$55</definedName>
    <definedName name="adm_AgeDist3">'Estimating Admissions by Age'!$I$49:$I$55</definedName>
    <definedName name="CC_Beds_Daily">'Principle parameters'!$D$18</definedName>
    <definedName name="deathsInsideCapacity">'Deaths - outside capacity'!$P$14</definedName>
    <definedName name="deathsOutsideCapacity">'Deaths - outside capacity'!$P$15</definedName>
    <definedName name="Scenario">'Sensitivity Analysis'!$O$4</definedName>
    <definedName name="Sens_CC_Cap">'Sensitivity Analysis'!$N$9</definedName>
    <definedName name="Sens_CCU_HR_CCU">'Sensitivity Analysis'!$N$12</definedName>
    <definedName name="Sens_CCU_HR_Ward">'Sensitivity Analysis'!$N$13</definedName>
    <definedName name="Sens_Ward_Cap">'Sensitivity Analysis'!$N$10</definedName>
    <definedName name="Sens_Ward_HR">'Sensitivity Analysis'!$N$11</definedName>
    <definedName name="Ward_Beds_Daily">'Principle parameters'!$D$19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27" i="21" l="1"/>
  <c r="K27" i="21"/>
  <c r="C5" i="6" a="1"/>
  <c r="C5" i="6" s="1"/>
  <c r="F26" i="20"/>
  <c r="F27" i="20" s="1"/>
  <c r="F28" i="20" s="1"/>
  <c r="F29" i="20" s="1"/>
  <c r="F30" i="20" s="1"/>
  <c r="F31" i="20" s="1"/>
  <c r="F32" i="20" s="1"/>
  <c r="F33" i="20" s="1"/>
  <c r="F34" i="20" s="1"/>
  <c r="F35" i="20" s="1"/>
  <c r="F36" i="20" s="1"/>
  <c r="F25" i="20"/>
  <c r="S10" i="12"/>
  <c r="R19" i="21"/>
  <c r="C15" i="6" l="1"/>
  <c r="C14" i="6"/>
  <c r="C13" i="6"/>
  <c r="C17" i="6"/>
  <c r="C28" i="6"/>
  <c r="C16" i="6"/>
  <c r="C27" i="6"/>
  <c r="C26" i="6"/>
  <c r="C25" i="6"/>
  <c r="C24" i="6"/>
  <c r="C12" i="6"/>
  <c r="C11" i="6"/>
  <c r="C10" i="6"/>
  <c r="C9" i="6"/>
  <c r="C8" i="6"/>
  <c r="C29" i="6"/>
  <c r="C23" i="6"/>
  <c r="C21" i="6"/>
  <c r="C20" i="6"/>
  <c r="C31" i="6"/>
  <c r="C19" i="6"/>
  <c r="C7" i="6"/>
  <c r="C35" i="6"/>
  <c r="C34" i="6"/>
  <c r="C22" i="6"/>
  <c r="C33" i="6"/>
  <c r="C32" i="6"/>
  <c r="C30" i="6"/>
  <c r="C18" i="6"/>
  <c r="C6" i="6"/>
  <c r="I20" i="20"/>
  <c r="H19" i="20"/>
  <c r="R16" i="21" l="1"/>
  <c r="R18" i="21" s="1"/>
  <c r="E23" i="15"/>
  <c r="E24" i="15"/>
  <c r="E25" i="15"/>
  <c r="E26" i="15"/>
  <c r="E22" i="15"/>
  <c r="R20" i="21" l="1"/>
  <c r="D13" i="11"/>
  <c r="T11" i="21"/>
  <c r="J5" i="21"/>
  <c r="K5" i="21" s="1"/>
  <c r="J6" i="21"/>
  <c r="K6" i="21" s="1"/>
  <c r="J7" i="21"/>
  <c r="K7" i="21" s="1"/>
  <c r="J8" i="21"/>
  <c r="K8" i="21" s="1"/>
  <c r="J9" i="21"/>
  <c r="K9" i="21" s="1"/>
  <c r="J10" i="21"/>
  <c r="K10" i="21" s="1"/>
  <c r="J11" i="21"/>
  <c r="K11" i="21" s="1"/>
  <c r="J12" i="21"/>
  <c r="K12" i="21" s="1"/>
  <c r="J13" i="21"/>
  <c r="K13" i="21" s="1"/>
  <c r="J14" i="21"/>
  <c r="K14" i="21" s="1"/>
  <c r="J15" i="21"/>
  <c r="K15" i="21" s="1"/>
  <c r="J16" i="21"/>
  <c r="K16" i="21" s="1"/>
  <c r="J17" i="21"/>
  <c r="K17" i="21" s="1"/>
  <c r="J18" i="21"/>
  <c r="K18" i="21" s="1"/>
  <c r="J19" i="21"/>
  <c r="K19" i="21" s="1"/>
  <c r="J20" i="21"/>
  <c r="K20" i="21" s="1"/>
  <c r="J21" i="21"/>
  <c r="K21" i="21" s="1"/>
  <c r="J22" i="21"/>
  <c r="K22" i="21" s="1"/>
  <c r="J23" i="21"/>
  <c r="K23" i="21" s="1"/>
  <c r="J24" i="21"/>
  <c r="K24" i="21" s="1"/>
  <c r="J25" i="21"/>
  <c r="K25" i="21" s="1"/>
  <c r="J26" i="21"/>
  <c r="K26" i="21" s="1"/>
  <c r="J4" i="21"/>
  <c r="K4" i="21" s="1"/>
  <c r="E11" i="10" l="1"/>
  <c r="E12" i="10"/>
  <c r="E13" i="10"/>
  <c r="E14" i="10"/>
  <c r="E15" i="10"/>
  <c r="E16" i="10"/>
  <c r="E17" i="10"/>
  <c r="E18" i="10"/>
  <c r="E19" i="10"/>
  <c r="E20" i="10"/>
  <c r="E10" i="10"/>
  <c r="H11" i="10"/>
  <c r="H12" i="10"/>
  <c r="H13" i="10"/>
  <c r="H14" i="10"/>
  <c r="H15" i="10"/>
  <c r="H16" i="10"/>
  <c r="H17" i="10"/>
  <c r="H18" i="10"/>
  <c r="H19" i="10"/>
  <c r="H20" i="10"/>
  <c r="H10" i="10"/>
  <c r="K11" i="10"/>
  <c r="K12" i="10"/>
  <c r="K13" i="10"/>
  <c r="K14" i="10"/>
  <c r="K15" i="10"/>
  <c r="K16" i="10"/>
  <c r="K17" i="10"/>
  <c r="K18" i="10"/>
  <c r="K19" i="10"/>
  <c r="K20" i="10"/>
  <c r="K10" i="10"/>
  <c r="L13" i="10"/>
  <c r="L14" i="10"/>
  <c r="L15" i="10"/>
  <c r="L16" i="10"/>
  <c r="L17" i="10"/>
  <c r="L18" i="10"/>
  <c r="L19" i="10"/>
  <c r="L20" i="10"/>
  <c r="L11" i="10"/>
  <c r="L12" i="10"/>
  <c r="L10" i="10"/>
  <c r="E8" i="7"/>
  <c r="E9" i="7"/>
  <c r="E10" i="7"/>
  <c r="E11" i="7"/>
  <c r="E12" i="7"/>
  <c r="E14" i="7"/>
  <c r="E15" i="7"/>
  <c r="E16" i="7"/>
  <c r="E6" i="7"/>
  <c r="D7" i="7"/>
  <c r="E7" i="7" s="1"/>
  <c r="D8" i="7"/>
  <c r="D9" i="7"/>
  <c r="D10" i="7"/>
  <c r="D11" i="7"/>
  <c r="D12" i="7"/>
  <c r="D13" i="7"/>
  <c r="E13" i="7" s="1"/>
  <c r="D14" i="7"/>
  <c r="D15" i="7"/>
  <c r="D16" i="7"/>
  <c r="D6" i="7"/>
  <c r="M12" i="20" a="1"/>
  <c r="M12" i="20" s="1"/>
  <c r="G17" i="20" l="1"/>
  <c r="I21" i="20" s="1"/>
  <c r="H17" i="20"/>
  <c r="I17" i="20"/>
  <c r="H18" i="20"/>
  <c r="I18" i="20"/>
  <c r="I19" i="20"/>
  <c r="I31" i="11"/>
  <c r="I30" i="11"/>
  <c r="I28" i="11"/>
  <c r="H28" i="11" s="1"/>
  <c r="C19" i="11"/>
  <c r="C18" i="11"/>
  <c r="D19" i="11" l="1"/>
  <c r="B19" i="13" l="1"/>
  <c r="P9" i="15"/>
  <c r="P10" i="15"/>
  <c r="P11" i="15"/>
  <c r="P12" i="15"/>
  <c r="P13" i="15"/>
  <c r="P14" i="15"/>
  <c r="P15" i="15"/>
  <c r="P16" i="15"/>
  <c r="P17" i="15"/>
  <c r="P18" i="15"/>
  <c r="P19" i="15"/>
  <c r="P20" i="15"/>
  <c r="P21" i="15"/>
  <c r="P22" i="15"/>
  <c r="P23" i="15"/>
  <c r="P24" i="15"/>
  <c r="P25" i="15"/>
  <c r="D10" i="11" l="1"/>
  <c r="C34" i="14" l="1"/>
  <c r="N90" i="17" l="1"/>
  <c r="N23" i="17"/>
  <c r="N5" i="17"/>
  <c r="N6" i="17"/>
  <c r="N7" i="17"/>
  <c r="N8" i="17"/>
  <c r="N9" i="17"/>
  <c r="N10" i="17"/>
  <c r="N11" i="17"/>
  <c r="N12" i="17"/>
  <c r="N13" i="17"/>
  <c r="N14" i="17"/>
  <c r="N15" i="17"/>
  <c r="N16" i="17"/>
  <c r="N17" i="17"/>
  <c r="N18" i="17"/>
  <c r="N19" i="17"/>
  <c r="N20" i="17"/>
  <c r="N21" i="17"/>
  <c r="N22" i="17"/>
  <c r="N24" i="17"/>
  <c r="N25" i="17"/>
  <c r="N26" i="17"/>
  <c r="N27" i="17"/>
  <c r="N28" i="17"/>
  <c r="N29" i="17"/>
  <c r="N30" i="17"/>
  <c r="N31" i="17"/>
  <c r="N32" i="17"/>
  <c r="N33" i="17"/>
  <c r="N34" i="17"/>
  <c r="N35" i="17"/>
  <c r="N36" i="17"/>
  <c r="N37" i="17"/>
  <c r="N38" i="17"/>
  <c r="N39" i="17"/>
  <c r="N40" i="17"/>
  <c r="N41" i="17"/>
  <c r="N42" i="17"/>
  <c r="N43" i="17"/>
  <c r="N44" i="17"/>
  <c r="N45" i="17"/>
  <c r="N46" i="17"/>
  <c r="N47" i="17"/>
  <c r="N48" i="17"/>
  <c r="N49" i="17"/>
  <c r="N50" i="17"/>
  <c r="N51" i="17"/>
  <c r="N52" i="17"/>
  <c r="N53" i="17"/>
  <c r="N54" i="17"/>
  <c r="N55" i="17"/>
  <c r="N56" i="17"/>
  <c r="N57" i="17"/>
  <c r="N58" i="17"/>
  <c r="N59" i="17"/>
  <c r="N60" i="17"/>
  <c r="N61" i="17"/>
  <c r="N62" i="17"/>
  <c r="N63" i="17"/>
  <c r="N64" i="17"/>
  <c r="N65" i="17"/>
  <c r="N66" i="17"/>
  <c r="N67" i="17"/>
  <c r="N68" i="17"/>
  <c r="N69" i="17"/>
  <c r="N70" i="17"/>
  <c r="N71" i="17"/>
  <c r="N72" i="17"/>
  <c r="N73" i="17"/>
  <c r="N74" i="17"/>
  <c r="N75" i="17"/>
  <c r="N76" i="17"/>
  <c r="N77" i="17"/>
  <c r="N78" i="17"/>
  <c r="N79" i="17"/>
  <c r="N80" i="17"/>
  <c r="N81" i="17"/>
  <c r="N82" i="17"/>
  <c r="N83" i="17"/>
  <c r="N84" i="17"/>
  <c r="N85" i="17"/>
  <c r="N86" i="17"/>
  <c r="N87" i="17"/>
  <c r="N88" i="17"/>
  <c r="N89" i="17"/>
  <c r="P18" i="17" l="1"/>
  <c r="P30" i="17"/>
  <c r="P17" i="17"/>
  <c r="P5" i="17"/>
  <c r="P66" i="17"/>
  <c r="P79" i="17"/>
  <c r="P89" i="17"/>
  <c r="P16" i="17"/>
  <c r="P28" i="17"/>
  <c r="P38" i="17"/>
  <c r="P65" i="17"/>
  <c r="P37" i="17"/>
  <c r="P6" i="17"/>
  <c r="P53" i="17"/>
  <c r="P64" i="17"/>
  <c r="P63" i="17"/>
  <c r="P62" i="17"/>
  <c r="P36" i="17"/>
  <c r="P11" i="17"/>
  <c r="P67" i="17"/>
  <c r="P78" i="17"/>
  <c r="P23" i="17"/>
  <c r="P40" i="17"/>
  <c r="P87" i="17"/>
  <c r="P27" i="17"/>
  <c r="P50" i="17"/>
  <c r="P85" i="17"/>
  <c r="P25" i="17"/>
  <c r="P84" i="17"/>
  <c r="P60" i="17"/>
  <c r="P24" i="17"/>
  <c r="P83" i="17"/>
  <c r="P71" i="17"/>
  <c r="P59" i="17"/>
  <c r="P47" i="17"/>
  <c r="P35" i="17"/>
  <c r="P22" i="17"/>
  <c r="P10" i="17"/>
  <c r="P31" i="17"/>
  <c r="P41" i="17"/>
  <c r="P52" i="17"/>
  <c r="P75" i="17"/>
  <c r="P14" i="17"/>
  <c r="P73" i="17"/>
  <c r="P46" i="17"/>
  <c r="P34" i="17"/>
  <c r="P21" i="17"/>
  <c r="P9" i="17"/>
  <c r="P55" i="17"/>
  <c r="P42" i="17"/>
  <c r="P77" i="17"/>
  <c r="P88" i="17"/>
  <c r="P90" i="17"/>
  <c r="Q90" i="17" s="1"/>
  <c r="R90" i="17" s="1"/>
  <c r="F18" i="17" s="1"/>
  <c r="P39" i="17"/>
  <c r="P86" i="17"/>
  <c r="P26" i="17"/>
  <c r="P61" i="17"/>
  <c r="P12" i="17"/>
  <c r="P72" i="17"/>
  <c r="P48" i="17"/>
  <c r="P82" i="17"/>
  <c r="P58" i="17"/>
  <c r="P81" i="17"/>
  <c r="P69" i="17"/>
  <c r="P57" i="17"/>
  <c r="P45" i="17"/>
  <c r="P33" i="17"/>
  <c r="P20" i="17"/>
  <c r="P8" i="17"/>
  <c r="P43" i="17"/>
  <c r="P54" i="17"/>
  <c r="P29" i="17"/>
  <c r="P76" i="17"/>
  <c r="P15" i="17"/>
  <c r="Q15" i="17" s="1"/>
  <c r="P51" i="17"/>
  <c r="P74" i="17"/>
  <c r="P13" i="17"/>
  <c r="P49" i="17"/>
  <c r="P70" i="17"/>
  <c r="P80" i="17"/>
  <c r="P68" i="17"/>
  <c r="P56" i="17"/>
  <c r="P44" i="17"/>
  <c r="P32" i="17"/>
  <c r="P19" i="17"/>
  <c r="P7" i="17"/>
  <c r="I18" i="17"/>
  <c r="I17" i="17"/>
  <c r="H17" i="17"/>
  <c r="I16" i="17"/>
  <c r="H16" i="17"/>
  <c r="Q19" i="17" l="1"/>
  <c r="R19" i="17" s="1"/>
  <c r="Q22" i="17"/>
  <c r="R22" i="17" s="1"/>
  <c r="Q48" i="17"/>
  <c r="R48" i="17" s="1"/>
  <c r="R15" i="17"/>
  <c r="Q21" i="17"/>
  <c r="Q20" i="17"/>
  <c r="R20" i="17" s="1"/>
  <c r="Q11" i="17"/>
  <c r="Q87" i="17"/>
  <c r="R87" i="17" s="1"/>
  <c r="Q14" i="17"/>
  <c r="R14" i="17" s="1"/>
  <c r="Q9" i="17"/>
  <c r="R9" i="17" s="1"/>
  <c r="Q16" i="17"/>
  <c r="Q18" i="17"/>
  <c r="R18" i="17" s="1"/>
  <c r="Q12" i="17"/>
  <c r="R12" i="17" s="1"/>
  <c r="Q13" i="17"/>
  <c r="R13" i="17" s="1"/>
  <c r="Q17" i="17"/>
  <c r="Q28" i="17"/>
  <c r="R28" i="17" s="1"/>
  <c r="Q7" i="17"/>
  <c r="R7" i="17" s="1"/>
  <c r="Q32" i="17"/>
  <c r="R32" i="17" s="1"/>
  <c r="Q86" i="17"/>
  <c r="R86" i="17" s="1"/>
  <c r="Q88" i="17"/>
  <c r="R88" i="17" s="1"/>
  <c r="Q43" i="17"/>
  <c r="R43" i="17" s="1"/>
  <c r="Q54" i="17"/>
  <c r="R54" i="17" s="1"/>
  <c r="Q59" i="17"/>
  <c r="R59" i="17" s="1"/>
  <c r="Q71" i="17"/>
  <c r="R71" i="17" s="1"/>
  <c r="Q74" i="17"/>
  <c r="R74" i="17" s="1"/>
  <c r="Q35" i="17"/>
  <c r="R35" i="17" s="1"/>
  <c r="Q47" i="17"/>
  <c r="R47" i="17" s="1"/>
  <c r="Q45" i="17"/>
  <c r="R45" i="17" s="1"/>
  <c r="Q36" i="17"/>
  <c r="R36" i="17" s="1"/>
  <c r="Q79" i="17"/>
  <c r="R79" i="17" s="1"/>
  <c r="Q49" i="17"/>
  <c r="R49" i="17" s="1"/>
  <c r="Q62" i="17"/>
  <c r="R62" i="17" s="1"/>
  <c r="Q37" i="17"/>
  <c r="R37" i="17" s="1"/>
  <c r="Q38" i="17"/>
  <c r="R38" i="17" s="1"/>
  <c r="Q26" i="17"/>
  <c r="R26" i="17" s="1"/>
  <c r="R17" i="17"/>
  <c r="Q6" i="17"/>
  <c r="R6" i="17" s="1"/>
  <c r="Q39" i="17"/>
  <c r="R39" i="17" s="1"/>
  <c r="Q82" i="17"/>
  <c r="R82" i="17" s="1"/>
  <c r="Q57" i="17"/>
  <c r="R57" i="17" s="1"/>
  <c r="Q55" i="17"/>
  <c r="R55" i="17" s="1"/>
  <c r="Q51" i="17"/>
  <c r="R51" i="17" s="1"/>
  <c r="Q31" i="17"/>
  <c r="R31" i="17" s="1"/>
  <c r="Q70" i="17"/>
  <c r="R70" i="17" s="1"/>
  <c r="R11" i="17"/>
  <c r="Q75" i="17"/>
  <c r="R75" i="17" s="1"/>
  <c r="Q25" i="17"/>
  <c r="R25" i="17" s="1"/>
  <c r="Q58" i="17"/>
  <c r="R58" i="17" s="1"/>
  <c r="Q60" i="17"/>
  <c r="R60" i="17" s="1"/>
  <c r="R21" i="17"/>
  <c r="Q34" i="17"/>
  <c r="R34" i="17" s="1"/>
  <c r="Q77" i="17"/>
  <c r="R77" i="17" s="1"/>
  <c r="Q53" i="17"/>
  <c r="R53" i="17" s="1"/>
  <c r="Q44" i="17"/>
  <c r="R44" i="17" s="1"/>
  <c r="Q85" i="17"/>
  <c r="R85" i="17" s="1"/>
  <c r="Q84" i="17"/>
  <c r="R84" i="17" s="1"/>
  <c r="Q63" i="17"/>
  <c r="R63" i="17" s="1"/>
  <c r="Q66" i="17"/>
  <c r="R66" i="17" s="1"/>
  <c r="Q41" i="17"/>
  <c r="R41" i="17" s="1"/>
  <c r="Q64" i="17"/>
  <c r="R64" i="17" s="1"/>
  <c r="Q61" i="17"/>
  <c r="R61" i="17" s="1"/>
  <c r="Q5" i="17"/>
  <c r="Q76" i="17"/>
  <c r="R76" i="17" s="1"/>
  <c r="Q78" i="17"/>
  <c r="R78" i="17" s="1"/>
  <c r="Q65" i="17"/>
  <c r="R65" i="17" s="1"/>
  <c r="Q8" i="17"/>
  <c r="R8" i="17" s="1"/>
  <c r="Q72" i="17"/>
  <c r="R72" i="17" s="1"/>
  <c r="Q52" i="17"/>
  <c r="R52" i="17" s="1"/>
  <c r="Q81" i="17"/>
  <c r="R81" i="17" s="1"/>
  <c r="Q10" i="17"/>
  <c r="R10" i="17" s="1"/>
  <c r="Q89" i="17"/>
  <c r="R89" i="17" s="1"/>
  <c r="Q56" i="17"/>
  <c r="R56" i="17" s="1"/>
  <c r="Q68" i="17"/>
  <c r="R68" i="17" s="1"/>
  <c r="Q73" i="17"/>
  <c r="R73" i="17" s="1"/>
  <c r="Q33" i="17"/>
  <c r="R33" i="17" s="1"/>
  <c r="Q80" i="17"/>
  <c r="R80" i="17" s="1"/>
  <c r="R16" i="17"/>
  <c r="Q83" i="17"/>
  <c r="R83" i="17" s="1"/>
  <c r="Q40" i="17"/>
  <c r="R40" i="17" s="1"/>
  <c r="Q69" i="17"/>
  <c r="R69" i="17" s="1"/>
  <c r="Q23" i="17"/>
  <c r="R23" i="17" s="1"/>
  <c r="Q30" i="17"/>
  <c r="R30" i="17" s="1"/>
  <c r="Q29" i="17"/>
  <c r="R29" i="17" s="1"/>
  <c r="Q42" i="17"/>
  <c r="R42" i="17" s="1"/>
  <c r="Q46" i="17"/>
  <c r="R46" i="17" s="1"/>
  <c r="Q27" i="17"/>
  <c r="R27" i="17" s="1"/>
  <c r="Q24" i="17"/>
  <c r="R24" i="17" s="1"/>
  <c r="Q50" i="17"/>
  <c r="R50" i="17" s="1"/>
  <c r="Q67" i="17"/>
  <c r="R67" i="17" s="1"/>
  <c r="D19" i="17"/>
  <c r="D20" i="17" s="1"/>
  <c r="H53" i="17" l="1"/>
  <c r="F17" i="17"/>
  <c r="H52" i="17"/>
  <c r="H51" i="17"/>
  <c r="F16" i="17"/>
  <c r="H50" i="17"/>
  <c r="H49" i="17"/>
  <c r="H55" i="17"/>
  <c r="H54" i="17"/>
  <c r="F15" i="17"/>
  <c r="T5" i="17"/>
  <c r="R5" i="17"/>
  <c r="H20" i="20"/>
  <c r="I22" i="20" s="1"/>
  <c r="H21" i="20"/>
  <c r="I23" i="20" s="1"/>
  <c r="H22" i="20"/>
  <c r="I24" i="20" s="1"/>
  <c r="H23" i="20"/>
  <c r="I25" i="20" s="1"/>
  <c r="H24" i="20"/>
  <c r="I26" i="20" s="1"/>
  <c r="H25" i="20"/>
  <c r="I27" i="20" s="1"/>
  <c r="H26" i="20"/>
  <c r="I28" i="20" s="1"/>
  <c r="H27" i="20"/>
  <c r="I29" i="20" s="1"/>
  <c r="H28" i="20"/>
  <c r="I30" i="20" s="1"/>
  <c r="H29" i="20"/>
  <c r="I31" i="20" s="1"/>
  <c r="H30" i="20"/>
  <c r="I32" i="20" s="1"/>
  <c r="H31" i="20"/>
  <c r="I33" i="20" s="1"/>
  <c r="H32" i="20"/>
  <c r="I34" i="20" s="1"/>
  <c r="H33" i="20"/>
  <c r="I35" i="20" s="1"/>
  <c r="H34" i="20"/>
  <c r="I36" i="20" s="1"/>
  <c r="H35" i="20"/>
  <c r="H36" i="20"/>
  <c r="I54" i="17" l="1"/>
  <c r="I55" i="17"/>
  <c r="I50" i="17"/>
  <c r="D23" i="17"/>
  <c r="F14" i="17"/>
  <c r="I49" i="17"/>
  <c r="I51" i="17"/>
  <c r="I52" i="17"/>
  <c r="I53" i="17"/>
  <c r="G7" i="20"/>
  <c r="H7" i="20"/>
  <c r="I7" i="20"/>
  <c r="G8" i="20"/>
  <c r="H8" i="20"/>
  <c r="I8" i="20"/>
  <c r="G9" i="20"/>
  <c r="H9" i="20"/>
  <c r="I9" i="20"/>
  <c r="G10" i="20"/>
  <c r="H10" i="20"/>
  <c r="I10" i="20"/>
  <c r="G11" i="20"/>
  <c r="H11" i="20"/>
  <c r="I11" i="20"/>
  <c r="G12" i="20"/>
  <c r="H12" i="20"/>
  <c r="I12" i="20"/>
  <c r="G13" i="20"/>
  <c r="H13" i="20"/>
  <c r="I13" i="20"/>
  <c r="G14" i="20"/>
  <c r="H14" i="20"/>
  <c r="I14" i="20"/>
  <c r="G15" i="20"/>
  <c r="H15" i="20"/>
  <c r="I15" i="20"/>
  <c r="H16" i="20"/>
  <c r="I16" i="20"/>
  <c r="G16" i="20"/>
  <c r="C39" i="9"/>
  <c r="D12" i="11"/>
  <c r="C39" i="14" l="1" a="1"/>
  <c r="C43" i="14" s="1"/>
  <c r="D18" i="11"/>
  <c r="C40" i="8" s="1"/>
  <c r="D18" i="20"/>
  <c r="E18" i="20"/>
  <c r="C40" i="14" l="1"/>
  <c r="C41" i="14"/>
  <c r="C42" i="14"/>
  <c r="C44" i="14"/>
  <c r="C45" i="14"/>
  <c r="C39" i="14"/>
  <c r="E19" i="20"/>
  <c r="D19" i="20"/>
  <c r="C18" i="20"/>
  <c r="C19" i="20" s="1"/>
  <c r="C20" i="20" s="1"/>
  <c r="C21" i="20" s="1"/>
  <c r="C22" i="20" s="1"/>
  <c r="C23" i="20" s="1"/>
  <c r="C24" i="20" s="1"/>
  <c r="C25" i="20" s="1"/>
  <c r="C26" i="20" s="1"/>
  <c r="C27" i="20" s="1"/>
  <c r="C28" i="20" s="1"/>
  <c r="C29" i="20" s="1"/>
  <c r="C30" i="20" s="1"/>
  <c r="C31" i="20" s="1"/>
  <c r="C32" i="20" s="1"/>
  <c r="C33" i="20" s="1"/>
  <c r="C34" i="20" s="1"/>
  <c r="C35" i="20" s="1"/>
  <c r="C36" i="20" s="1"/>
  <c r="E20" i="20" l="1"/>
  <c r="D20" i="20"/>
  <c r="D21" i="20" s="1"/>
  <c r="D22" i="20" s="1"/>
  <c r="D23" i="20" s="1"/>
  <c r="D24" i="20" s="1"/>
  <c r="D25" i="20" s="1"/>
  <c r="D26" i="20" s="1"/>
  <c r="D27" i="20" s="1"/>
  <c r="D28" i="20" s="1"/>
  <c r="D29" i="20" s="1"/>
  <c r="D30" i="20" s="1"/>
  <c r="D31" i="20" s="1"/>
  <c r="D32" i="20" s="1"/>
  <c r="D33" i="20" s="1"/>
  <c r="D34" i="20" s="1"/>
  <c r="D35" i="20" s="1"/>
  <c r="D36" i="20" s="1"/>
  <c r="E21" i="20" l="1"/>
  <c r="E22" i="20" s="1"/>
  <c r="E23" i="20" s="1"/>
  <c r="E24" i="20" s="1"/>
  <c r="E25" i="20" s="1"/>
  <c r="E26" i="20" s="1"/>
  <c r="E27" i="20" s="1"/>
  <c r="E28" i="20" s="1"/>
  <c r="E29" i="20" s="1"/>
  <c r="E30" i="20" s="1"/>
  <c r="E31" i="20" s="1"/>
  <c r="E32" i="20" s="1"/>
  <c r="E33" i="20" s="1"/>
  <c r="E34" i="20" s="1"/>
  <c r="E35" i="20" s="1"/>
  <c r="E36" i="20" s="1"/>
  <c r="C29" i="13"/>
  <c r="T6" i="17" l="1"/>
  <c r="R11" i="10" l="1"/>
  <c r="R12" i="10"/>
  <c r="R13" i="10"/>
  <c r="R14" i="10"/>
  <c r="R15" i="10"/>
  <c r="R16" i="10"/>
  <c r="R17" i="10"/>
  <c r="R18" i="10"/>
  <c r="R19" i="10"/>
  <c r="R20" i="10"/>
  <c r="R21" i="10"/>
  <c r="R22" i="10"/>
  <c r="R23" i="10"/>
  <c r="R24" i="10"/>
  <c r="R25" i="10"/>
  <c r="R26" i="10"/>
  <c r="R27" i="10"/>
  <c r="R28" i="10"/>
  <c r="R29" i="10"/>
  <c r="R30" i="10"/>
  <c r="R31" i="10"/>
  <c r="R32" i="10"/>
  <c r="R33" i="10"/>
  <c r="R34" i="10"/>
  <c r="R35" i="10"/>
  <c r="R36" i="10"/>
  <c r="R37" i="10"/>
  <c r="R38" i="10"/>
  <c r="R39" i="10"/>
  <c r="R40" i="10"/>
  <c r="R10" i="10"/>
  <c r="J20" i="13"/>
  <c r="J21" i="13"/>
  <c r="J22" i="13"/>
  <c r="J23" i="13"/>
  <c r="J24" i="13"/>
  <c r="J19" i="13"/>
  <c r="C10" i="14" l="1"/>
  <c r="G23" i="14" s="1"/>
  <c r="D15" i="14" l="1"/>
  <c r="E23" i="17"/>
  <c r="S69" i="17"/>
  <c r="S62" i="17"/>
  <c r="S72" i="17"/>
  <c r="S25" i="17"/>
  <c r="S44" i="17"/>
  <c r="E52" i="17"/>
  <c r="E45" i="17"/>
  <c r="S48" i="17"/>
  <c r="H42" i="17"/>
  <c r="S47" i="17"/>
  <c r="S32" i="17"/>
  <c r="S33" i="17"/>
  <c r="S82" i="17"/>
  <c r="S38" i="17"/>
  <c r="S52" i="17"/>
  <c r="S90" i="17"/>
  <c r="E54" i="17" s="1"/>
  <c r="E38" i="17"/>
  <c r="S18" i="17"/>
  <c r="S9" i="17"/>
  <c r="S12" i="17"/>
  <c r="E41" i="17"/>
  <c r="S42" i="17"/>
  <c r="S61" i="17"/>
  <c r="E51" i="17"/>
  <c r="H39" i="17"/>
  <c r="H38" i="17"/>
  <c r="C19" i="13"/>
  <c r="D47" i="14"/>
  <c r="S40" i="17" l="1"/>
  <c r="S24" i="17"/>
  <c r="S11" i="17"/>
  <c r="S87" i="17"/>
  <c r="S15" i="17"/>
  <c r="E43" i="17"/>
  <c r="S74" i="17"/>
  <c r="S29" i="17"/>
  <c r="S89" i="17"/>
  <c r="S30" i="17"/>
  <c r="S78" i="17"/>
  <c r="S76" i="17"/>
  <c r="S8" i="17"/>
  <c r="S46" i="17"/>
  <c r="S7" i="17"/>
  <c r="S5" i="17"/>
  <c r="S41" i="17"/>
  <c r="S68" i="17"/>
  <c r="E47" i="17"/>
  <c r="S66" i="17"/>
  <c r="E50" i="17"/>
  <c r="S34" i="17"/>
  <c r="E44" i="17"/>
  <c r="S73" i="17"/>
  <c r="S26" i="17"/>
  <c r="S83" i="17"/>
  <c r="S49" i="17"/>
  <c r="S36" i="17"/>
  <c r="S22" i="17"/>
  <c r="S77" i="17"/>
  <c r="E40" i="17"/>
  <c r="S10" i="17"/>
  <c r="S58" i="17"/>
  <c r="S65" i="17"/>
  <c r="S6" i="17"/>
  <c r="S55" i="17"/>
  <c r="S27" i="17"/>
  <c r="S20" i="17"/>
  <c r="S17" i="17"/>
  <c r="S50" i="17"/>
  <c r="S64" i="17"/>
  <c r="S53" i="17"/>
  <c r="S45" i="17"/>
  <c r="S16" i="17"/>
  <c r="S23" i="17"/>
  <c r="S37" i="17"/>
  <c r="S56" i="17"/>
  <c r="E49" i="17"/>
  <c r="S51" i="17"/>
  <c r="S35" i="17"/>
  <c r="S28" i="17"/>
  <c r="S79" i="17"/>
  <c r="S85" i="17"/>
  <c r="E53" i="17"/>
  <c r="S57" i="17"/>
  <c r="S80" i="17"/>
  <c r="S67" i="17"/>
  <c r="E48" i="17"/>
  <c r="S54" i="17"/>
  <c r="S14" i="17"/>
  <c r="S59" i="17"/>
  <c r="S84" i="17"/>
  <c r="E46" i="17"/>
  <c r="E39" i="17"/>
  <c r="S19" i="17"/>
  <c r="S39" i="17"/>
  <c r="S43" i="17"/>
  <c r="S60" i="17"/>
  <c r="S88" i="17"/>
  <c r="S71" i="17"/>
  <c r="S63" i="17"/>
  <c r="S70" i="17"/>
  <c r="S13" i="17"/>
  <c r="S21" i="17"/>
  <c r="S86" i="17"/>
  <c r="S81" i="17"/>
  <c r="S31" i="17"/>
  <c r="S75" i="17"/>
  <c r="E42" i="17"/>
  <c r="D38" i="6" l="1" a="1"/>
  <c r="P38" i="6" s="1"/>
  <c r="F8" i="4"/>
  <c r="F10" i="4"/>
  <c r="F15" i="4"/>
  <c r="F16" i="4"/>
  <c r="F18" i="4"/>
  <c r="F20" i="4"/>
  <c r="F23" i="4"/>
  <c r="C30" i="13"/>
  <c r="C31" i="13"/>
  <c r="C32" i="13"/>
  <c r="C11" i="4" s="1"/>
  <c r="C33" i="13"/>
  <c r="C12" i="4" s="1"/>
  <c r="C34" i="13"/>
  <c r="C13" i="4" s="1"/>
  <c r="C35" i="13"/>
  <c r="C36" i="13"/>
  <c r="C15" i="4" s="1"/>
  <c r="C37" i="13"/>
  <c r="C16" i="4" s="1"/>
  <c r="C38" i="13"/>
  <c r="C17" i="4" s="1"/>
  <c r="C39" i="13"/>
  <c r="C18" i="4" s="1"/>
  <c r="C40" i="13"/>
  <c r="C19" i="4" s="1"/>
  <c r="C41" i="13"/>
  <c r="C20" i="4" s="1"/>
  <c r="C42" i="13"/>
  <c r="C21" i="4" s="1"/>
  <c r="C43" i="13"/>
  <c r="C22" i="4" s="1"/>
  <c r="C44" i="13"/>
  <c r="C23" i="4" s="1"/>
  <c r="C8" i="4"/>
  <c r="F22" i="4"/>
  <c r="F21" i="4"/>
  <c r="F9" i="4"/>
  <c r="F11" i="4"/>
  <c r="F12" i="4"/>
  <c r="F13" i="4"/>
  <c r="F14" i="4"/>
  <c r="F17" i="4"/>
  <c r="F19" i="4"/>
  <c r="C9" i="4"/>
  <c r="C10" i="4"/>
  <c r="C14" i="4"/>
  <c r="C24" i="4"/>
  <c r="L19" i="13"/>
  <c r="F11" i="15"/>
  <c r="C20" i="13"/>
  <c r="F12" i="15" s="1"/>
  <c r="C21" i="13"/>
  <c r="C22" i="13"/>
  <c r="F13" i="15" s="1"/>
  <c r="C23" i="13"/>
  <c r="C24" i="13"/>
  <c r="F14" i="15" s="1"/>
  <c r="D63" i="14"/>
  <c r="D64" i="14"/>
  <c r="D65" i="14"/>
  <c r="D16" i="14"/>
  <c r="D17" i="14"/>
  <c r="D18" i="14"/>
  <c r="D19" i="14"/>
  <c r="D20" i="14"/>
  <c r="D21" i="14"/>
  <c r="F15" i="14"/>
  <c r="F16" i="14"/>
  <c r="F17" i="14"/>
  <c r="F18" i="14"/>
  <c r="F19" i="14"/>
  <c r="F20" i="14"/>
  <c r="F21" i="14"/>
  <c r="G20" i="14" l="1"/>
  <c r="G21" i="14"/>
  <c r="F22" i="14"/>
  <c r="G15" i="14"/>
  <c r="G17" i="14"/>
  <c r="G19" i="14"/>
  <c r="G16" i="14"/>
  <c r="D22" i="14"/>
  <c r="G18" i="14"/>
  <c r="M38" i="6"/>
  <c r="I38" i="6"/>
  <c r="G38" i="6"/>
  <c r="K38" i="6"/>
  <c r="D40" i="14" s="1"/>
  <c r="C53" i="14" s="1"/>
  <c r="Q38" i="6"/>
  <c r="O38" i="6"/>
  <c r="T38" i="6"/>
  <c r="D26" i="15" s="1"/>
  <c r="R38" i="6"/>
  <c r="D44" i="14" s="1"/>
  <c r="C57" i="14" s="1"/>
  <c r="N38" i="6"/>
  <c r="D42" i="14" s="1"/>
  <c r="L38" i="6"/>
  <c r="H38" i="6"/>
  <c r="H34" i="6" s="1"/>
  <c r="F38" i="6"/>
  <c r="F10" i="6" s="1"/>
  <c r="D38" i="6"/>
  <c r="D34" i="6" s="1"/>
  <c r="J38" i="6"/>
  <c r="E38" i="6"/>
  <c r="E5" i="6" s="1"/>
  <c r="S38" i="6"/>
  <c r="D43" i="14"/>
  <c r="B20" i="13"/>
  <c r="L20" i="13" s="1"/>
  <c r="B21" i="13"/>
  <c r="L21" i="13" s="1"/>
  <c r="B22" i="13"/>
  <c r="L22" i="13" s="1"/>
  <c r="B23" i="13"/>
  <c r="L23" i="13" s="1"/>
  <c r="B24" i="13"/>
  <c r="L24" i="13" s="1"/>
  <c r="C55" i="14" l="1"/>
  <c r="C73" i="14" s="1"/>
  <c r="D73" i="14" s="1"/>
  <c r="C56" i="14"/>
  <c r="C76" i="14" s="1"/>
  <c r="D76" i="14" s="1"/>
  <c r="G22" i="14"/>
  <c r="D41" i="14"/>
  <c r="D22" i="15"/>
  <c r="D24" i="15"/>
  <c r="D23" i="15"/>
  <c r="D25" i="15"/>
  <c r="T34" i="6"/>
  <c r="D45" i="14"/>
  <c r="D39" i="14"/>
  <c r="C52" i="14" s="1"/>
  <c r="C77" i="14"/>
  <c r="D77" i="14" s="1"/>
  <c r="C70" i="14"/>
  <c r="D70" i="14" s="1"/>
  <c r="F24" i="4"/>
  <c r="E16" i="12"/>
  <c r="F16" i="12" s="1"/>
  <c r="F17" i="12"/>
  <c r="V17" i="12" s="1"/>
  <c r="F18" i="12"/>
  <c r="I22" i="12" s="1"/>
  <c r="H19" i="12"/>
  <c r="K20" i="12"/>
  <c r="K23" i="12"/>
  <c r="N26" i="12"/>
  <c r="T27" i="12"/>
  <c r="L39" i="12"/>
  <c r="M39" i="12"/>
  <c r="N39" i="12"/>
  <c r="O39" i="12"/>
  <c r="Q31" i="12" s="1"/>
  <c r="Q32" i="12" l="1"/>
  <c r="C58" i="14"/>
  <c r="C79" i="14" s="1"/>
  <c r="D79" i="14" s="1"/>
  <c r="C54" i="14"/>
  <c r="C72" i="14" s="1"/>
  <c r="D72" i="14" s="1"/>
  <c r="C46" i="14"/>
  <c r="D46" i="14"/>
  <c r="C59" i="14" s="1"/>
  <c r="C74" i="14"/>
  <c r="D74" i="14" s="1"/>
  <c r="C75" i="14"/>
  <c r="D75" i="14" s="1"/>
  <c r="C78" i="14"/>
  <c r="D78" i="14" s="1"/>
  <c r="C71" i="14"/>
  <c r="D71" i="14" s="1"/>
  <c r="C69" i="14"/>
  <c r="D69" i="14" s="1"/>
  <c r="X17" i="12"/>
  <c r="C67" i="14"/>
  <c r="D67" i="14" s="1"/>
  <c r="C68" i="14"/>
  <c r="D68" i="14" s="1"/>
  <c r="C66" i="14"/>
  <c r="D66" i="14" s="1"/>
  <c r="Q30" i="12"/>
  <c r="L23" i="12"/>
  <c r="O24" i="12" s="1"/>
  <c r="V24" i="12" s="1"/>
  <c r="L25" i="12"/>
  <c r="O29" i="12" s="1"/>
  <c r="R31" i="12" s="1"/>
  <c r="O26" i="12"/>
  <c r="R26" i="12" s="1"/>
  <c r="I19" i="12"/>
  <c r="L21" i="12" s="1"/>
  <c r="V16" i="12"/>
  <c r="X16" i="12"/>
  <c r="W16" i="12"/>
  <c r="W17" i="12"/>
  <c r="Q33" i="12" l="1" a="1"/>
  <c r="Q33" i="12" s="1"/>
  <c r="L20" i="12"/>
  <c r="X20" i="12" s="1"/>
  <c r="R30" i="12"/>
  <c r="V30" i="12" s="1"/>
  <c r="X31" i="12"/>
  <c r="V31" i="12"/>
  <c r="W31" i="12"/>
  <c r="W24" i="12"/>
  <c r="R27" i="12"/>
  <c r="W27" i="12" s="1"/>
  <c r="X24" i="12"/>
  <c r="R28" i="12"/>
  <c r="X28" i="12" s="1"/>
  <c r="O23" i="12"/>
  <c r="W23" i="12" s="1"/>
  <c r="R29" i="12"/>
  <c r="R32" i="12"/>
  <c r="V21" i="12"/>
  <c r="X21" i="12"/>
  <c r="W21" i="12"/>
  <c r="V26" i="12"/>
  <c r="W26" i="12"/>
  <c r="X26" i="12"/>
  <c r="W20" i="12" l="1"/>
  <c r="V20" i="12"/>
  <c r="X30" i="12"/>
  <c r="W30" i="12"/>
  <c r="V23" i="12"/>
  <c r="V28" i="12"/>
  <c r="W28" i="12"/>
  <c r="W43" i="12" s="1"/>
  <c r="X27" i="12"/>
  <c r="X43" i="12" s="1"/>
  <c r="V27" i="12"/>
  <c r="V29" i="12"/>
  <c r="W29" i="12"/>
  <c r="X29" i="12"/>
  <c r="X23" i="12"/>
  <c r="V32" i="12"/>
  <c r="X32" i="12"/>
  <c r="W32" i="12"/>
  <c r="V43" i="12" l="1"/>
  <c r="V44" i="12" s="1"/>
  <c r="W35" i="12"/>
  <c r="W39" i="12"/>
  <c r="X39" i="12"/>
  <c r="V39" i="12"/>
  <c r="V40" i="12" s="1"/>
  <c r="V35" i="12"/>
  <c r="V36" i="12" s="1"/>
  <c r="X35" i="12"/>
  <c r="D6" i="6"/>
  <c r="D8" i="9" s="1"/>
  <c r="T35" i="6"/>
  <c r="T37" i="9" s="1"/>
  <c r="S35" i="6"/>
  <c r="S38" i="8" s="1"/>
  <c r="R35" i="6"/>
  <c r="R37" i="9" s="1"/>
  <c r="Q35" i="6"/>
  <c r="Q38" i="8" s="1"/>
  <c r="P35" i="6"/>
  <c r="P37" i="9" s="1"/>
  <c r="O35" i="6"/>
  <c r="O37" i="9" s="1"/>
  <c r="N35" i="6"/>
  <c r="N37" i="9" s="1"/>
  <c r="M35" i="6"/>
  <c r="M37" i="9" s="1"/>
  <c r="L35" i="6"/>
  <c r="L37" i="9" s="1"/>
  <c r="K35" i="6"/>
  <c r="K37" i="9" s="1"/>
  <c r="J35" i="6"/>
  <c r="J37" i="9" s="1"/>
  <c r="I35" i="6"/>
  <c r="I37" i="9" s="1"/>
  <c r="H35" i="6"/>
  <c r="H38" i="8" s="1"/>
  <c r="G35" i="6"/>
  <c r="G37" i="9" s="1"/>
  <c r="F35" i="6"/>
  <c r="F37" i="9" s="1"/>
  <c r="E35" i="6"/>
  <c r="E37" i="9" s="1"/>
  <c r="D35" i="6"/>
  <c r="D37" i="9" s="1"/>
  <c r="T36" i="9"/>
  <c r="S34" i="6"/>
  <c r="S36" i="9" s="1"/>
  <c r="R34" i="6"/>
  <c r="R37" i="8" s="1"/>
  <c r="Q34" i="6"/>
  <c r="Q37" i="8" s="1"/>
  <c r="P34" i="6"/>
  <c r="P36" i="9" s="1"/>
  <c r="O34" i="6"/>
  <c r="O36" i="9" s="1"/>
  <c r="N34" i="6"/>
  <c r="N36" i="9" s="1"/>
  <c r="M34" i="6"/>
  <c r="M36" i="9" s="1"/>
  <c r="L34" i="6"/>
  <c r="L36" i="9" s="1"/>
  <c r="K34" i="6"/>
  <c r="K36" i="9" s="1"/>
  <c r="J34" i="6"/>
  <c r="J36" i="9" s="1"/>
  <c r="I34" i="6"/>
  <c r="I36" i="9" s="1"/>
  <c r="H36" i="9"/>
  <c r="G34" i="6"/>
  <c r="G36" i="9" s="1"/>
  <c r="F34" i="6"/>
  <c r="F36" i="9" s="1"/>
  <c r="E34" i="6"/>
  <c r="E36" i="9" s="1"/>
  <c r="D36" i="9"/>
  <c r="T33" i="6"/>
  <c r="T35" i="9" s="1"/>
  <c r="S33" i="6"/>
  <c r="S35" i="9" s="1"/>
  <c r="R33" i="6"/>
  <c r="R35" i="9" s="1"/>
  <c r="Q33" i="6"/>
  <c r="Q35" i="9" s="1"/>
  <c r="P33" i="6"/>
  <c r="P35" i="9" s="1"/>
  <c r="O33" i="6"/>
  <c r="O35" i="9" s="1"/>
  <c r="N33" i="6"/>
  <c r="N35" i="9" s="1"/>
  <c r="M33" i="6"/>
  <c r="M36" i="8" s="1"/>
  <c r="L33" i="6"/>
  <c r="L35" i="9" s="1"/>
  <c r="K33" i="6"/>
  <c r="K36" i="8" s="1"/>
  <c r="J33" i="6"/>
  <c r="J36" i="8" s="1"/>
  <c r="I33" i="6"/>
  <c r="I35" i="9" s="1"/>
  <c r="H33" i="6"/>
  <c r="H35" i="9" s="1"/>
  <c r="G33" i="6"/>
  <c r="G35" i="9" s="1"/>
  <c r="F33" i="6"/>
  <c r="F35" i="9" s="1"/>
  <c r="E33" i="6"/>
  <c r="E35" i="9" s="1"/>
  <c r="D33" i="6"/>
  <c r="D35" i="9" s="1"/>
  <c r="T32" i="6"/>
  <c r="T34" i="9" s="1"/>
  <c r="S32" i="6"/>
  <c r="S34" i="9" s="1"/>
  <c r="R32" i="6"/>
  <c r="R34" i="9" s="1"/>
  <c r="Q32" i="6"/>
  <c r="Q34" i="9" s="1"/>
  <c r="P32" i="6"/>
  <c r="P34" i="9" s="1"/>
  <c r="O32" i="6"/>
  <c r="O34" i="9" s="1"/>
  <c r="N32" i="6"/>
  <c r="N35" i="8" s="1"/>
  <c r="M32" i="6"/>
  <c r="M34" i="9" s="1"/>
  <c r="L32" i="6"/>
  <c r="L34" i="9" s="1"/>
  <c r="K32" i="6"/>
  <c r="K34" i="9" s="1"/>
  <c r="J32" i="6"/>
  <c r="J34" i="9" s="1"/>
  <c r="I32" i="6"/>
  <c r="I34" i="9" s="1"/>
  <c r="H32" i="6"/>
  <c r="H34" i="9" s="1"/>
  <c r="G32" i="6"/>
  <c r="G34" i="9" s="1"/>
  <c r="F32" i="6"/>
  <c r="F35" i="8" s="1"/>
  <c r="E32" i="6"/>
  <c r="E34" i="9" s="1"/>
  <c r="D32" i="6"/>
  <c r="D35" i="8" s="1"/>
  <c r="T31" i="6"/>
  <c r="T33" i="9" s="1"/>
  <c r="S31" i="6"/>
  <c r="S33" i="9" s="1"/>
  <c r="R31" i="6"/>
  <c r="R33" i="9" s="1"/>
  <c r="Q31" i="6"/>
  <c r="Q33" i="9" s="1"/>
  <c r="P31" i="6"/>
  <c r="P33" i="9" s="1"/>
  <c r="O31" i="6"/>
  <c r="O33" i="9" s="1"/>
  <c r="N31" i="6"/>
  <c r="N33" i="9" s="1"/>
  <c r="M31" i="6"/>
  <c r="M33" i="9" s="1"/>
  <c r="L31" i="6"/>
  <c r="L33" i="9" s="1"/>
  <c r="K31" i="6"/>
  <c r="K33" i="9" s="1"/>
  <c r="J31" i="6"/>
  <c r="J33" i="9" s="1"/>
  <c r="I31" i="6"/>
  <c r="I33" i="9" s="1"/>
  <c r="H31" i="6"/>
  <c r="H33" i="9" s="1"/>
  <c r="G31" i="6"/>
  <c r="G34" i="8" s="1"/>
  <c r="F31" i="6"/>
  <c r="F33" i="9" s="1"/>
  <c r="E31" i="6"/>
  <c r="E33" i="9" s="1"/>
  <c r="D31" i="6"/>
  <c r="D34" i="8" s="1"/>
  <c r="T30" i="6"/>
  <c r="T32" i="9" s="1"/>
  <c r="S30" i="6"/>
  <c r="S32" i="9" s="1"/>
  <c r="R30" i="6"/>
  <c r="R32" i="9" s="1"/>
  <c r="Q30" i="6"/>
  <c r="Q32" i="9" s="1"/>
  <c r="P30" i="6"/>
  <c r="P33" i="8" s="1"/>
  <c r="O30" i="6"/>
  <c r="O32" i="9" s="1"/>
  <c r="N30" i="6"/>
  <c r="N32" i="9" s="1"/>
  <c r="M30" i="6"/>
  <c r="M32" i="9" s="1"/>
  <c r="L30" i="6"/>
  <c r="L32" i="9" s="1"/>
  <c r="K30" i="6"/>
  <c r="K32" i="9" s="1"/>
  <c r="J30" i="6"/>
  <c r="J32" i="9" s="1"/>
  <c r="I30" i="6"/>
  <c r="I32" i="9" s="1"/>
  <c r="H30" i="6"/>
  <c r="H32" i="9" s="1"/>
  <c r="G30" i="6"/>
  <c r="G32" i="9" s="1"/>
  <c r="F30" i="6"/>
  <c r="F33" i="8" s="1"/>
  <c r="E30" i="6"/>
  <c r="E32" i="9" s="1"/>
  <c r="D30" i="6"/>
  <c r="D32" i="9" s="1"/>
  <c r="T29" i="6"/>
  <c r="T31" i="9" s="1"/>
  <c r="S29" i="6"/>
  <c r="S31" i="9" s="1"/>
  <c r="R29" i="6"/>
  <c r="R31" i="9" s="1"/>
  <c r="Q29" i="6"/>
  <c r="Q32" i="8" s="1"/>
  <c r="P29" i="6"/>
  <c r="P31" i="9" s="1"/>
  <c r="O29" i="6"/>
  <c r="O32" i="8" s="1"/>
  <c r="N29" i="6"/>
  <c r="N32" i="8" s="1"/>
  <c r="M29" i="6"/>
  <c r="M31" i="9" s="1"/>
  <c r="L29" i="6"/>
  <c r="L31" i="9" s="1"/>
  <c r="K29" i="6"/>
  <c r="K31" i="9" s="1"/>
  <c r="J29" i="6"/>
  <c r="J31" i="9" s="1"/>
  <c r="I29" i="6"/>
  <c r="I31" i="9" s="1"/>
  <c r="H29" i="6"/>
  <c r="H31" i="9" s="1"/>
  <c r="G29" i="6"/>
  <c r="G31" i="9" s="1"/>
  <c r="F29" i="6"/>
  <c r="F32" i="8" s="1"/>
  <c r="E29" i="6"/>
  <c r="E31" i="9" s="1"/>
  <c r="D29" i="6"/>
  <c r="D31" i="9" s="1"/>
  <c r="T28" i="6"/>
  <c r="T30" i="9" s="1"/>
  <c r="S28" i="6"/>
  <c r="S30" i="9" s="1"/>
  <c r="R28" i="6"/>
  <c r="R30" i="9" s="1"/>
  <c r="Q28" i="6"/>
  <c r="Q30" i="9" s="1"/>
  <c r="P28" i="6"/>
  <c r="P31" i="8" s="1"/>
  <c r="O28" i="6"/>
  <c r="O31" i="8" s="1"/>
  <c r="N28" i="6"/>
  <c r="N30" i="9" s="1"/>
  <c r="M28" i="6"/>
  <c r="M30" i="9" s="1"/>
  <c r="L28" i="6"/>
  <c r="L30" i="9" s="1"/>
  <c r="K28" i="6"/>
  <c r="K30" i="9" s="1"/>
  <c r="J28" i="6"/>
  <c r="J31" i="8" s="1"/>
  <c r="I28" i="6"/>
  <c r="I30" i="9" s="1"/>
  <c r="H28" i="6"/>
  <c r="H31" i="8" s="1"/>
  <c r="G28" i="6"/>
  <c r="G30" i="9" s="1"/>
  <c r="F28" i="6"/>
  <c r="F30" i="9" s="1"/>
  <c r="E28" i="6"/>
  <c r="E30" i="9" s="1"/>
  <c r="D28" i="6"/>
  <c r="D30" i="9" s="1"/>
  <c r="T27" i="6"/>
  <c r="T29" i="9" s="1"/>
  <c r="S27" i="6"/>
  <c r="S29" i="9" s="1"/>
  <c r="R27" i="6"/>
  <c r="R29" i="9" s="1"/>
  <c r="Q27" i="6"/>
  <c r="Q29" i="9" s="1"/>
  <c r="P27" i="6"/>
  <c r="P30" i="8" s="1"/>
  <c r="O27" i="6"/>
  <c r="O29" i="9" s="1"/>
  <c r="N27" i="6"/>
  <c r="N29" i="9" s="1"/>
  <c r="M27" i="6"/>
  <c r="M29" i="9" s="1"/>
  <c r="L27" i="6"/>
  <c r="L29" i="9" s="1"/>
  <c r="K27" i="6"/>
  <c r="K29" i="9" s="1"/>
  <c r="J27" i="6"/>
  <c r="J29" i="9" s="1"/>
  <c r="I27" i="6"/>
  <c r="I30" i="8" s="1"/>
  <c r="H27" i="6"/>
  <c r="H30" i="8" s="1"/>
  <c r="G27" i="6"/>
  <c r="G29" i="9" s="1"/>
  <c r="F27" i="6"/>
  <c r="F29" i="9" s="1"/>
  <c r="E27" i="6"/>
  <c r="E29" i="9" s="1"/>
  <c r="D27" i="6"/>
  <c r="D29" i="9" s="1"/>
  <c r="T26" i="6"/>
  <c r="T28" i="9" s="1"/>
  <c r="S26" i="6"/>
  <c r="S28" i="9" s="1"/>
  <c r="R26" i="6"/>
  <c r="R28" i="9" s="1"/>
  <c r="Q26" i="6"/>
  <c r="Q28" i="9" s="1"/>
  <c r="P26" i="6"/>
  <c r="P28" i="9" s="1"/>
  <c r="O26" i="6"/>
  <c r="O28" i="9" s="1"/>
  <c r="N26" i="6"/>
  <c r="N28" i="9" s="1"/>
  <c r="M26" i="6"/>
  <c r="M28" i="9" s="1"/>
  <c r="L26" i="6"/>
  <c r="L28" i="9" s="1"/>
  <c r="K26" i="6"/>
  <c r="K28" i="9" s="1"/>
  <c r="J26" i="6"/>
  <c r="J28" i="9" s="1"/>
  <c r="I26" i="6"/>
  <c r="I29" i="8" s="1"/>
  <c r="H26" i="6"/>
  <c r="H28" i="9" s="1"/>
  <c r="G26" i="6"/>
  <c r="G28" i="9" s="1"/>
  <c r="F26" i="6"/>
  <c r="F28" i="9" s="1"/>
  <c r="E26" i="6"/>
  <c r="E28" i="9" s="1"/>
  <c r="D26" i="6"/>
  <c r="D29" i="8" s="1"/>
  <c r="T25" i="6"/>
  <c r="T27" i="9" s="1"/>
  <c r="S25" i="6"/>
  <c r="S28" i="8" s="1"/>
  <c r="R25" i="6"/>
  <c r="R28" i="8" s="1"/>
  <c r="Q25" i="6"/>
  <c r="Q27" i="9" s="1"/>
  <c r="P25" i="6"/>
  <c r="P27" i="9" s="1"/>
  <c r="O25" i="6"/>
  <c r="O27" i="9" s="1"/>
  <c r="N25" i="6"/>
  <c r="N27" i="9" s="1"/>
  <c r="M25" i="6"/>
  <c r="M27" i="9" s="1"/>
  <c r="L25" i="6"/>
  <c r="L27" i="9" s="1"/>
  <c r="K25" i="6"/>
  <c r="K27" i="9" s="1"/>
  <c r="J25" i="6"/>
  <c r="J27" i="9" s="1"/>
  <c r="I25" i="6"/>
  <c r="I27" i="9" s="1"/>
  <c r="H25" i="6"/>
  <c r="H27" i="9" s="1"/>
  <c r="G25" i="6"/>
  <c r="G27" i="9" s="1"/>
  <c r="F25" i="6"/>
  <c r="F27" i="9" s="1"/>
  <c r="E25" i="6"/>
  <c r="E27" i="9" s="1"/>
  <c r="D25" i="6"/>
  <c r="D27" i="9" s="1"/>
  <c r="T24" i="6"/>
  <c r="T26" i="9" s="1"/>
  <c r="S24" i="6"/>
  <c r="S26" i="9" s="1"/>
  <c r="R24" i="6"/>
  <c r="R26" i="9" s="1"/>
  <c r="Q24" i="6"/>
  <c r="Q26" i="9" s="1"/>
  <c r="P24" i="6"/>
  <c r="P26" i="9" s="1"/>
  <c r="O24" i="6"/>
  <c r="O26" i="9" s="1"/>
  <c r="N24" i="6"/>
  <c r="N27" i="8" s="1"/>
  <c r="M24" i="6"/>
  <c r="M26" i="9" s="1"/>
  <c r="L24" i="6"/>
  <c r="L27" i="8" s="1"/>
  <c r="K24" i="6"/>
  <c r="K26" i="9" s="1"/>
  <c r="J24" i="6"/>
  <c r="J26" i="9" s="1"/>
  <c r="I24" i="6"/>
  <c r="I26" i="9" s="1"/>
  <c r="H24" i="6"/>
  <c r="H26" i="9" s="1"/>
  <c r="G24" i="6"/>
  <c r="G26" i="9" s="1"/>
  <c r="F24" i="6"/>
  <c r="F27" i="8" s="1"/>
  <c r="E24" i="6"/>
  <c r="E26" i="9" s="1"/>
  <c r="D24" i="6"/>
  <c r="D27" i="8" s="1"/>
  <c r="T23" i="6"/>
  <c r="T25" i="9" s="1"/>
  <c r="S23" i="6"/>
  <c r="S25" i="9" s="1"/>
  <c r="R23" i="6"/>
  <c r="R25" i="9" s="1"/>
  <c r="Q23" i="6"/>
  <c r="Q25" i="9" s="1"/>
  <c r="P23" i="6"/>
  <c r="P25" i="9" s="1"/>
  <c r="O23" i="6"/>
  <c r="O26" i="8" s="1"/>
  <c r="N23" i="6"/>
  <c r="N25" i="9" s="1"/>
  <c r="M23" i="6"/>
  <c r="M25" i="9" s="1"/>
  <c r="L23" i="6"/>
  <c r="L25" i="9" s="1"/>
  <c r="K23" i="6"/>
  <c r="K25" i="9" s="1"/>
  <c r="J23" i="6"/>
  <c r="J25" i="9" s="1"/>
  <c r="I23" i="6"/>
  <c r="I25" i="9" s="1"/>
  <c r="H23" i="6"/>
  <c r="H25" i="9" s="1"/>
  <c r="G23" i="6"/>
  <c r="G26" i="8" s="1"/>
  <c r="F23" i="6"/>
  <c r="F25" i="9" s="1"/>
  <c r="E23" i="6"/>
  <c r="E25" i="9" s="1"/>
  <c r="D23" i="6"/>
  <c r="D26" i="8" s="1"/>
  <c r="T22" i="6"/>
  <c r="T24" i="9" s="1"/>
  <c r="S22" i="6"/>
  <c r="S24" i="9" s="1"/>
  <c r="R22" i="6"/>
  <c r="R24" i="9" s="1"/>
  <c r="Q22" i="6"/>
  <c r="Q24" i="9" s="1"/>
  <c r="P22" i="6"/>
  <c r="P24" i="9" s="1"/>
  <c r="O22" i="6"/>
  <c r="O24" i="9" s="1"/>
  <c r="N22" i="6"/>
  <c r="N25" i="8" s="1"/>
  <c r="M22" i="6"/>
  <c r="M24" i="9" s="1"/>
  <c r="L22" i="6"/>
  <c r="L24" i="9" s="1"/>
  <c r="K22" i="6"/>
  <c r="K24" i="9" s="1"/>
  <c r="J22" i="6"/>
  <c r="J24" i="9" s="1"/>
  <c r="I22" i="6"/>
  <c r="I24" i="9" s="1"/>
  <c r="H22" i="6"/>
  <c r="H25" i="8" s="1"/>
  <c r="G22" i="6"/>
  <c r="G24" i="9" s="1"/>
  <c r="F22" i="6"/>
  <c r="F25" i="8" s="1"/>
  <c r="E22" i="6"/>
  <c r="E24" i="9" s="1"/>
  <c r="D22" i="6"/>
  <c r="D24" i="9" s="1"/>
  <c r="T21" i="6"/>
  <c r="T23" i="9" s="1"/>
  <c r="S21" i="6"/>
  <c r="S23" i="9" s="1"/>
  <c r="R21" i="6"/>
  <c r="R23" i="9" s="1"/>
  <c r="Q21" i="6"/>
  <c r="Q23" i="9" s="1"/>
  <c r="P21" i="6"/>
  <c r="P23" i="9" s="1"/>
  <c r="O21" i="6"/>
  <c r="O23" i="9" s="1"/>
  <c r="N21" i="6"/>
  <c r="N24" i="8" s="1"/>
  <c r="M21" i="6"/>
  <c r="M23" i="9" s="1"/>
  <c r="L21" i="6"/>
  <c r="L23" i="9" s="1"/>
  <c r="K21" i="6"/>
  <c r="K23" i="9" s="1"/>
  <c r="J21" i="6"/>
  <c r="J23" i="9" s="1"/>
  <c r="I21" i="6"/>
  <c r="I23" i="9" s="1"/>
  <c r="H21" i="6"/>
  <c r="H23" i="9" s="1"/>
  <c r="G21" i="6"/>
  <c r="G24" i="8" s="1"/>
  <c r="F21" i="6"/>
  <c r="F24" i="8" s="1"/>
  <c r="E21" i="6"/>
  <c r="E23" i="9" s="1"/>
  <c r="D21" i="6"/>
  <c r="D23" i="9" s="1"/>
  <c r="T20" i="6"/>
  <c r="T22" i="9" s="1"/>
  <c r="S20" i="6"/>
  <c r="S22" i="9" s="1"/>
  <c r="R20" i="6"/>
  <c r="R23" i="8" s="1"/>
  <c r="Q20" i="6"/>
  <c r="Q22" i="9" s="1"/>
  <c r="P20" i="6"/>
  <c r="P23" i="8" s="1"/>
  <c r="O20" i="6"/>
  <c r="O22" i="9" s="1"/>
  <c r="N20" i="6"/>
  <c r="N22" i="9" s="1"/>
  <c r="M20" i="6"/>
  <c r="M22" i="9" s="1"/>
  <c r="L20" i="6"/>
  <c r="L22" i="9" s="1"/>
  <c r="K20" i="6"/>
  <c r="K22" i="9" s="1"/>
  <c r="J20" i="6"/>
  <c r="J22" i="9" s="1"/>
  <c r="I20" i="6"/>
  <c r="I22" i="9" s="1"/>
  <c r="H20" i="6"/>
  <c r="H22" i="9" s="1"/>
  <c r="G20" i="6"/>
  <c r="G23" i="8" s="1"/>
  <c r="F20" i="6"/>
  <c r="F22" i="9" s="1"/>
  <c r="E20" i="6"/>
  <c r="E22" i="9" s="1"/>
  <c r="D20" i="6"/>
  <c r="D22" i="9" s="1"/>
  <c r="T19" i="6"/>
  <c r="T21" i="9" s="1"/>
  <c r="S19" i="6"/>
  <c r="S21" i="9" s="1"/>
  <c r="R19" i="6"/>
  <c r="R21" i="9" s="1"/>
  <c r="Q19" i="6"/>
  <c r="Q22" i="8" s="1"/>
  <c r="P19" i="6"/>
  <c r="P22" i="8" s="1"/>
  <c r="O19" i="6"/>
  <c r="O21" i="9" s="1"/>
  <c r="N19" i="6"/>
  <c r="N21" i="9" s="1"/>
  <c r="M19" i="6"/>
  <c r="M21" i="9" s="1"/>
  <c r="L19" i="6"/>
  <c r="L21" i="9" s="1"/>
  <c r="K19" i="6"/>
  <c r="K22" i="8" s="1"/>
  <c r="J19" i="6"/>
  <c r="J21" i="9" s="1"/>
  <c r="I19" i="6"/>
  <c r="I21" i="9" s="1"/>
  <c r="H19" i="6"/>
  <c r="H21" i="9" s="1"/>
  <c r="G19" i="6"/>
  <c r="G21" i="9" s="1"/>
  <c r="F19" i="6"/>
  <c r="F21" i="9" s="1"/>
  <c r="E19" i="6"/>
  <c r="E21" i="9" s="1"/>
  <c r="D19" i="6"/>
  <c r="D21" i="9" s="1"/>
  <c r="T18" i="6"/>
  <c r="T20" i="9" s="1"/>
  <c r="S18" i="6"/>
  <c r="S20" i="9" s="1"/>
  <c r="R18" i="6"/>
  <c r="R20" i="9" s="1"/>
  <c r="Q18" i="6"/>
  <c r="Q21" i="8" s="1"/>
  <c r="P18" i="6"/>
  <c r="P20" i="9" s="1"/>
  <c r="O18" i="6"/>
  <c r="O20" i="9" s="1"/>
  <c r="N18" i="6"/>
  <c r="N20" i="9" s="1"/>
  <c r="M18" i="6"/>
  <c r="M20" i="9" s="1"/>
  <c r="L18" i="6"/>
  <c r="L20" i="9" s="1"/>
  <c r="K18" i="6"/>
  <c r="K20" i="9" s="1"/>
  <c r="J18" i="6"/>
  <c r="J21" i="8" s="1"/>
  <c r="I18" i="6"/>
  <c r="I21" i="8" s="1"/>
  <c r="H18" i="6"/>
  <c r="H20" i="9" s="1"/>
  <c r="G18" i="6"/>
  <c r="G20" i="9" s="1"/>
  <c r="F18" i="6"/>
  <c r="F20" i="9" s="1"/>
  <c r="E18" i="6"/>
  <c r="E20" i="9" s="1"/>
  <c r="D18" i="6"/>
  <c r="D20" i="9" s="1"/>
  <c r="T17" i="6"/>
  <c r="T19" i="9" s="1"/>
  <c r="S17" i="6"/>
  <c r="S19" i="9" s="1"/>
  <c r="R17" i="6"/>
  <c r="R19" i="9" s="1"/>
  <c r="Q17" i="6"/>
  <c r="Q19" i="9" s="1"/>
  <c r="P17" i="6"/>
  <c r="P19" i="9" s="1"/>
  <c r="O17" i="6"/>
  <c r="O19" i="9" s="1"/>
  <c r="N17" i="6"/>
  <c r="N19" i="9" s="1"/>
  <c r="M17" i="6"/>
  <c r="M20" i="8" s="1"/>
  <c r="L17" i="6"/>
  <c r="L19" i="9" s="1"/>
  <c r="K17" i="6"/>
  <c r="K19" i="9" s="1"/>
  <c r="J17" i="6"/>
  <c r="J20" i="8" s="1"/>
  <c r="I17" i="6"/>
  <c r="I19" i="9" s="1"/>
  <c r="H17" i="6"/>
  <c r="H19" i="9" s="1"/>
  <c r="G17" i="6"/>
  <c r="G19" i="9" s="1"/>
  <c r="F17" i="6"/>
  <c r="F19" i="9" s="1"/>
  <c r="E17" i="6"/>
  <c r="E20" i="8" s="1"/>
  <c r="D17" i="6"/>
  <c r="D19" i="9" s="1"/>
  <c r="T16" i="6"/>
  <c r="T19" i="8" s="1"/>
  <c r="S16" i="6"/>
  <c r="S18" i="9" s="1"/>
  <c r="R16" i="6"/>
  <c r="R18" i="9" s="1"/>
  <c r="Q16" i="6"/>
  <c r="Q18" i="9" s="1"/>
  <c r="P16" i="6"/>
  <c r="P18" i="9" s="1"/>
  <c r="O16" i="6"/>
  <c r="O18" i="9" s="1"/>
  <c r="N16" i="6"/>
  <c r="N19" i="8" s="1"/>
  <c r="M16" i="6"/>
  <c r="M18" i="9" s="1"/>
  <c r="L16" i="6"/>
  <c r="L19" i="8" s="1"/>
  <c r="K16" i="6"/>
  <c r="K19" i="8" s="1"/>
  <c r="J16" i="6"/>
  <c r="I16" i="6"/>
  <c r="I18" i="9" s="1"/>
  <c r="H16" i="6"/>
  <c r="H18" i="9" s="1"/>
  <c r="G16" i="6"/>
  <c r="F16" i="6"/>
  <c r="F18" i="9" s="1"/>
  <c r="E16" i="6"/>
  <c r="D16" i="6"/>
  <c r="D19" i="8" s="1"/>
  <c r="T15" i="6"/>
  <c r="T18" i="8" s="1"/>
  <c r="S15" i="6"/>
  <c r="R15" i="6"/>
  <c r="Q15" i="6"/>
  <c r="Q17" i="9" s="1"/>
  <c r="P15" i="6"/>
  <c r="P17" i="9" s="1"/>
  <c r="O15" i="6"/>
  <c r="O18" i="8" s="1"/>
  <c r="N15" i="6"/>
  <c r="N17" i="9" s="1"/>
  <c r="M15" i="6"/>
  <c r="M18" i="8" s="1"/>
  <c r="L15" i="6"/>
  <c r="L18" i="8" s="1"/>
  <c r="K15" i="6"/>
  <c r="J15" i="6"/>
  <c r="I15" i="6"/>
  <c r="I17" i="9" s="1"/>
  <c r="H15" i="6"/>
  <c r="H17" i="9" s="1"/>
  <c r="G15" i="6"/>
  <c r="G18" i="8" s="1"/>
  <c r="F15" i="6"/>
  <c r="F17" i="9" s="1"/>
  <c r="E15" i="6"/>
  <c r="E18" i="8" s="1"/>
  <c r="D15" i="6"/>
  <c r="D18" i="8" s="1"/>
  <c r="T14" i="6"/>
  <c r="S14" i="6"/>
  <c r="R14" i="6"/>
  <c r="Q14" i="6"/>
  <c r="Q16" i="9" s="1"/>
  <c r="P14" i="6"/>
  <c r="P17" i="8" s="1"/>
  <c r="O14" i="6"/>
  <c r="N14" i="6"/>
  <c r="N17" i="8" s="1"/>
  <c r="M14" i="6"/>
  <c r="M17" i="8" s="1"/>
  <c r="L14" i="6"/>
  <c r="K14" i="6"/>
  <c r="J14" i="6"/>
  <c r="I14" i="6"/>
  <c r="I16" i="9" s="1"/>
  <c r="H14" i="6"/>
  <c r="H16" i="9" s="1"/>
  <c r="G14" i="6"/>
  <c r="F14" i="6"/>
  <c r="F17" i="8" s="1"/>
  <c r="E14" i="6"/>
  <c r="E17" i="8" s="1"/>
  <c r="D14" i="6"/>
  <c r="D16" i="9" s="1"/>
  <c r="T13" i="6"/>
  <c r="S13" i="6"/>
  <c r="R13" i="6"/>
  <c r="Q13" i="6"/>
  <c r="Q15" i="9" s="1"/>
  <c r="P13" i="6"/>
  <c r="P15" i="9" s="1"/>
  <c r="O13" i="6"/>
  <c r="O16" i="8" s="1"/>
  <c r="N13" i="6"/>
  <c r="N15" i="9" s="1"/>
  <c r="M13" i="6"/>
  <c r="L13" i="6"/>
  <c r="K13" i="6"/>
  <c r="J13" i="6"/>
  <c r="I13" i="6"/>
  <c r="I16" i="8" s="1"/>
  <c r="H13" i="6"/>
  <c r="H15" i="9" s="1"/>
  <c r="G13" i="6"/>
  <c r="G16" i="8" s="1"/>
  <c r="F13" i="6"/>
  <c r="F15" i="9" s="1"/>
  <c r="E13" i="6"/>
  <c r="D13" i="6"/>
  <c r="D15" i="9" s="1"/>
  <c r="T12" i="6"/>
  <c r="S12" i="6"/>
  <c r="R12" i="6"/>
  <c r="R15" i="8" s="1"/>
  <c r="Q12" i="6"/>
  <c r="Q14" i="9" s="1"/>
  <c r="P12" i="6"/>
  <c r="P15" i="8" s="1"/>
  <c r="O12" i="6"/>
  <c r="O15" i="8" s="1"/>
  <c r="N12" i="6"/>
  <c r="N14" i="9" s="1"/>
  <c r="M12" i="6"/>
  <c r="L12" i="6"/>
  <c r="K12" i="6"/>
  <c r="J12" i="6"/>
  <c r="J15" i="8" s="1"/>
  <c r="I12" i="6"/>
  <c r="I14" i="9" s="1"/>
  <c r="H12" i="6"/>
  <c r="H14" i="9" s="1"/>
  <c r="G12" i="6"/>
  <c r="G15" i="8" s="1"/>
  <c r="F12" i="6"/>
  <c r="F14" i="9" s="1"/>
  <c r="E12" i="6"/>
  <c r="D12" i="6"/>
  <c r="D14" i="9" s="1"/>
  <c r="T11" i="6"/>
  <c r="S11" i="6"/>
  <c r="S14" i="8" s="1"/>
  <c r="R11" i="6"/>
  <c r="Q11" i="6"/>
  <c r="Q13" i="9" s="1"/>
  <c r="P11" i="6"/>
  <c r="P13" i="9" s="1"/>
  <c r="O11" i="6"/>
  <c r="N11" i="6"/>
  <c r="N13" i="9" s="1"/>
  <c r="M11" i="6"/>
  <c r="L11" i="6"/>
  <c r="K11" i="6"/>
  <c r="K14" i="8" s="1"/>
  <c r="J11" i="6"/>
  <c r="I11" i="6"/>
  <c r="I14" i="8" s="1"/>
  <c r="H11" i="6"/>
  <c r="H13" i="9" s="1"/>
  <c r="G11" i="6"/>
  <c r="F11" i="6"/>
  <c r="F13" i="9" s="1"/>
  <c r="E11" i="6"/>
  <c r="D11" i="6"/>
  <c r="D13" i="9" s="1"/>
  <c r="T10" i="6"/>
  <c r="T13" i="8" s="1"/>
  <c r="S10" i="6"/>
  <c r="R10" i="6"/>
  <c r="R13" i="8" s="1"/>
  <c r="Q10" i="6"/>
  <c r="Q13" i="8" s="1"/>
  <c r="P10" i="6"/>
  <c r="P12" i="9" s="1"/>
  <c r="O10" i="6"/>
  <c r="N10" i="6"/>
  <c r="N12" i="9" s="1"/>
  <c r="M10" i="6"/>
  <c r="L10" i="6"/>
  <c r="L13" i="8" s="1"/>
  <c r="K10" i="6"/>
  <c r="J10" i="6"/>
  <c r="J13" i="8" s="1"/>
  <c r="I10" i="6"/>
  <c r="I12" i="9" s="1"/>
  <c r="H10" i="6"/>
  <c r="H12" i="9" s="1"/>
  <c r="G10" i="6"/>
  <c r="F12" i="9"/>
  <c r="E10" i="6"/>
  <c r="D10" i="6"/>
  <c r="D12" i="9" s="1"/>
  <c r="T9" i="6"/>
  <c r="S9" i="6"/>
  <c r="S12" i="8" s="1"/>
  <c r="R9" i="6"/>
  <c r="R12" i="8" s="1"/>
  <c r="Q9" i="6"/>
  <c r="Q11" i="9" s="1"/>
  <c r="P9" i="6"/>
  <c r="P11" i="9" s="1"/>
  <c r="O9" i="6"/>
  <c r="N9" i="6"/>
  <c r="N11" i="9" s="1"/>
  <c r="M9" i="6"/>
  <c r="M12" i="8" s="1"/>
  <c r="L9" i="6"/>
  <c r="K9" i="6"/>
  <c r="K12" i="8" s="1"/>
  <c r="J9" i="6"/>
  <c r="J12" i="8" s="1"/>
  <c r="I9" i="6"/>
  <c r="I11" i="9" s="1"/>
  <c r="H9" i="6"/>
  <c r="H11" i="9" s="1"/>
  <c r="G9" i="6"/>
  <c r="F9" i="6"/>
  <c r="F11" i="9" s="1"/>
  <c r="E9" i="6"/>
  <c r="E12" i="8" s="1"/>
  <c r="D9" i="6"/>
  <c r="D11" i="9" s="1"/>
  <c r="T8" i="6"/>
  <c r="T11" i="8" s="1"/>
  <c r="S8" i="6"/>
  <c r="S11" i="8" s="1"/>
  <c r="R8" i="6"/>
  <c r="Q8" i="6"/>
  <c r="Q10" i="9" s="1"/>
  <c r="P8" i="6"/>
  <c r="P10" i="9" s="1"/>
  <c r="O8" i="6"/>
  <c r="N8" i="6"/>
  <c r="N10" i="9" s="1"/>
  <c r="M8" i="6"/>
  <c r="L8" i="6"/>
  <c r="L11" i="8" s="1"/>
  <c r="K8" i="6"/>
  <c r="K11" i="8" s="1"/>
  <c r="J8" i="6"/>
  <c r="I8" i="6"/>
  <c r="I10" i="9" s="1"/>
  <c r="H8" i="6"/>
  <c r="H10" i="9" s="1"/>
  <c r="G8" i="6"/>
  <c r="F8" i="6"/>
  <c r="F11" i="8" s="1"/>
  <c r="E8" i="6"/>
  <c r="D8" i="6"/>
  <c r="D10" i="9" s="1"/>
  <c r="T7" i="6"/>
  <c r="T10" i="8" s="1"/>
  <c r="S7" i="6"/>
  <c r="R7" i="6"/>
  <c r="Q7" i="6"/>
  <c r="Q9" i="9" s="1"/>
  <c r="P7" i="6"/>
  <c r="P9" i="9" s="1"/>
  <c r="O7" i="6"/>
  <c r="O10" i="8" s="1"/>
  <c r="N7" i="6"/>
  <c r="N9" i="9" s="1"/>
  <c r="M7" i="6"/>
  <c r="M10" i="8" s="1"/>
  <c r="L7" i="6"/>
  <c r="L10" i="8" s="1"/>
  <c r="K7" i="6"/>
  <c r="J7" i="6"/>
  <c r="I7" i="6"/>
  <c r="I9" i="9" s="1"/>
  <c r="H7" i="6"/>
  <c r="H9" i="9" s="1"/>
  <c r="G7" i="6"/>
  <c r="G10" i="8" s="1"/>
  <c r="F7" i="6"/>
  <c r="F9" i="9" s="1"/>
  <c r="E7" i="6"/>
  <c r="E10" i="8" s="1"/>
  <c r="D7" i="6"/>
  <c r="D10" i="8" s="1"/>
  <c r="T6" i="6"/>
  <c r="S6" i="6"/>
  <c r="R6" i="6"/>
  <c r="Q6" i="6"/>
  <c r="Q8" i="9" s="1"/>
  <c r="P6" i="6"/>
  <c r="P8" i="9" s="1"/>
  <c r="O6" i="6"/>
  <c r="N6" i="6"/>
  <c r="N8" i="9" s="1"/>
  <c r="M6" i="6"/>
  <c r="M9" i="8" s="1"/>
  <c r="L6" i="6"/>
  <c r="K6" i="6"/>
  <c r="J6" i="6"/>
  <c r="I6" i="6"/>
  <c r="I8" i="9" s="1"/>
  <c r="H6" i="6"/>
  <c r="H9" i="8" s="1"/>
  <c r="G6" i="6"/>
  <c r="F6" i="6"/>
  <c r="F9" i="8" s="1"/>
  <c r="E6" i="6"/>
  <c r="E9" i="8" s="1"/>
  <c r="T5" i="6"/>
  <c r="T7" i="9" s="1"/>
  <c r="S5" i="6"/>
  <c r="S8" i="8" s="1"/>
  <c r="R5" i="6"/>
  <c r="R8" i="8" s="1"/>
  <c r="Q5" i="6"/>
  <c r="Q8" i="8" s="1"/>
  <c r="P5" i="6"/>
  <c r="P7" i="9" s="1"/>
  <c r="O5" i="6"/>
  <c r="O7" i="9" s="1"/>
  <c r="N5" i="6"/>
  <c r="N7" i="9" s="1"/>
  <c r="M5" i="6"/>
  <c r="M8" i="8" s="1"/>
  <c r="L5" i="6"/>
  <c r="L7" i="9" s="1"/>
  <c r="K5" i="6"/>
  <c r="K8" i="8" s="1"/>
  <c r="J5" i="6"/>
  <c r="J8" i="8" s="1"/>
  <c r="I5" i="6"/>
  <c r="I8" i="8" s="1"/>
  <c r="H5" i="6"/>
  <c r="H7" i="9" s="1"/>
  <c r="G5" i="6"/>
  <c r="G7" i="9" s="1"/>
  <c r="F5" i="6"/>
  <c r="F7" i="9" s="1"/>
  <c r="E8" i="8"/>
  <c r="D5" i="6"/>
  <c r="D8" i="8" s="1"/>
  <c r="X44" i="12" l="1"/>
  <c r="W44" i="12"/>
  <c r="W36" i="12"/>
  <c r="X36" i="12"/>
  <c r="X40" i="12"/>
  <c r="W40" i="12"/>
  <c r="H30" i="11" s="1"/>
  <c r="K7" i="9"/>
  <c r="M32" i="8"/>
  <c r="P36" i="8"/>
  <c r="E35" i="8"/>
  <c r="J35" i="9"/>
  <c r="E32" i="8"/>
  <c r="D9" i="8"/>
  <c r="E31" i="8"/>
  <c r="M38" i="8"/>
  <c r="E26" i="8"/>
  <c r="M37" i="8"/>
  <c r="E22" i="8"/>
  <c r="E37" i="8"/>
  <c r="H10" i="8"/>
  <c r="I20" i="9"/>
  <c r="E38" i="8"/>
  <c r="M34" i="8"/>
  <c r="M30" i="8"/>
  <c r="M25" i="8"/>
  <c r="M21" i="8"/>
  <c r="P22" i="9"/>
  <c r="Q37" i="9"/>
  <c r="P37" i="8"/>
  <c r="E34" i="8"/>
  <c r="E30" i="8"/>
  <c r="E25" i="8"/>
  <c r="E21" i="8"/>
  <c r="D9" i="9"/>
  <c r="D36" i="8"/>
  <c r="M33" i="8"/>
  <c r="M29" i="8"/>
  <c r="M24" i="8"/>
  <c r="M19" i="8"/>
  <c r="K11" i="9"/>
  <c r="L26" i="9"/>
  <c r="D33" i="8"/>
  <c r="H37" i="8"/>
  <c r="E33" i="8"/>
  <c r="E29" i="8"/>
  <c r="E24" i="8"/>
  <c r="H18" i="8"/>
  <c r="Q12" i="9"/>
  <c r="R27" i="9"/>
  <c r="D25" i="8"/>
  <c r="M27" i="8"/>
  <c r="M23" i="8"/>
  <c r="N15" i="8"/>
  <c r="G15" i="9"/>
  <c r="H30" i="9"/>
  <c r="D17" i="8"/>
  <c r="E27" i="8"/>
  <c r="E23" i="8"/>
  <c r="H14" i="8"/>
  <c r="M16" i="9"/>
  <c r="N31" i="9"/>
  <c r="M35" i="8"/>
  <c r="M31" i="8"/>
  <c r="M26" i="8"/>
  <c r="M22" i="8"/>
  <c r="Q12" i="8"/>
  <c r="T18" i="9"/>
  <c r="D34" i="9"/>
  <c r="S7" i="9"/>
  <c r="F10" i="9"/>
  <c r="S13" i="9"/>
  <c r="O17" i="9"/>
  <c r="P32" i="9"/>
  <c r="G11" i="8"/>
  <c r="G10" i="9"/>
  <c r="O11" i="8"/>
  <c r="O10" i="9"/>
  <c r="E12" i="9"/>
  <c r="E13" i="8"/>
  <c r="M12" i="9"/>
  <c r="M13" i="8"/>
  <c r="L14" i="8"/>
  <c r="L13" i="9"/>
  <c r="T14" i="8"/>
  <c r="T13" i="9"/>
  <c r="K15" i="8"/>
  <c r="K14" i="9"/>
  <c r="S15" i="8"/>
  <c r="S14" i="9"/>
  <c r="J16" i="8"/>
  <c r="J15" i="9"/>
  <c r="R16" i="8"/>
  <c r="R15" i="9"/>
  <c r="G19" i="8"/>
  <c r="G18" i="9"/>
  <c r="D32" i="8"/>
  <c r="D24" i="8"/>
  <c r="D16" i="8"/>
  <c r="T38" i="8"/>
  <c r="L38" i="8"/>
  <c r="T37" i="8"/>
  <c r="L37" i="8"/>
  <c r="T36" i="8"/>
  <c r="L36" i="8"/>
  <c r="T35" i="8"/>
  <c r="L35" i="8"/>
  <c r="T34" i="8"/>
  <c r="L34" i="8"/>
  <c r="T33" i="8"/>
  <c r="L33" i="8"/>
  <c r="T32" i="8"/>
  <c r="L32" i="8"/>
  <c r="T31" i="8"/>
  <c r="L31" i="8"/>
  <c r="T30" i="8"/>
  <c r="L30" i="8"/>
  <c r="T29" i="8"/>
  <c r="L29" i="8"/>
  <c r="T28" i="8"/>
  <c r="L28" i="8"/>
  <c r="T27" i="8"/>
  <c r="T26" i="8"/>
  <c r="L26" i="8"/>
  <c r="T25" i="8"/>
  <c r="L25" i="8"/>
  <c r="T24" i="8"/>
  <c r="L24" i="8"/>
  <c r="T23" i="8"/>
  <c r="L23" i="8"/>
  <c r="T22" i="8"/>
  <c r="L22" i="8"/>
  <c r="T21" i="8"/>
  <c r="L21" i="8"/>
  <c r="T20" i="8"/>
  <c r="L20" i="8"/>
  <c r="I19" i="8"/>
  <c r="F18" i="8"/>
  <c r="P16" i="8"/>
  <c r="I15" i="8"/>
  <c r="F14" i="8"/>
  <c r="P12" i="8"/>
  <c r="I11" i="8"/>
  <c r="F10" i="8"/>
  <c r="E9" i="9"/>
  <c r="K10" i="9"/>
  <c r="M11" i="9"/>
  <c r="R12" i="9"/>
  <c r="G14" i="9"/>
  <c r="I15" i="9"/>
  <c r="N16" i="9"/>
  <c r="T17" i="9"/>
  <c r="E19" i="9"/>
  <c r="J20" i="9"/>
  <c r="P21" i="9"/>
  <c r="R22" i="9"/>
  <c r="F24" i="9"/>
  <c r="N26" i="9"/>
  <c r="S27" i="9"/>
  <c r="H29" i="9"/>
  <c r="J30" i="9"/>
  <c r="O31" i="9"/>
  <c r="D33" i="9"/>
  <c r="F34" i="9"/>
  <c r="K35" i="9"/>
  <c r="Q36" i="9"/>
  <c r="S37" i="9"/>
  <c r="K21" i="9"/>
  <c r="R9" i="8"/>
  <c r="R8" i="9"/>
  <c r="E13" i="9"/>
  <c r="E14" i="8"/>
  <c r="D31" i="8"/>
  <c r="D23" i="8"/>
  <c r="D15" i="8"/>
  <c r="K38" i="8"/>
  <c r="S37" i="8"/>
  <c r="K37" i="8"/>
  <c r="S36" i="8"/>
  <c r="S35" i="8"/>
  <c r="K35" i="8"/>
  <c r="S34" i="8"/>
  <c r="K34" i="8"/>
  <c r="S33" i="8"/>
  <c r="K33" i="8"/>
  <c r="S32" i="8"/>
  <c r="K32" i="8"/>
  <c r="S31" i="8"/>
  <c r="K31" i="8"/>
  <c r="S30" i="8"/>
  <c r="K30" i="8"/>
  <c r="S29" i="8"/>
  <c r="K29" i="8"/>
  <c r="K28" i="8"/>
  <c r="S27" i="8"/>
  <c r="K27" i="8"/>
  <c r="S26" i="8"/>
  <c r="K26" i="8"/>
  <c r="S25" i="8"/>
  <c r="K25" i="8"/>
  <c r="S24" i="8"/>
  <c r="K24" i="8"/>
  <c r="S23" i="8"/>
  <c r="K23" i="8"/>
  <c r="S22" i="8"/>
  <c r="S21" i="8"/>
  <c r="K21" i="8"/>
  <c r="S20" i="8"/>
  <c r="K20" i="8"/>
  <c r="S19" i="8"/>
  <c r="H19" i="8"/>
  <c r="Q17" i="8"/>
  <c r="N16" i="8"/>
  <c r="H15" i="8"/>
  <c r="N12" i="8"/>
  <c r="H11" i="8"/>
  <c r="Q9" i="8"/>
  <c r="E8" i="9"/>
  <c r="G9" i="9"/>
  <c r="L10" i="9"/>
  <c r="R11" i="9"/>
  <c r="T12" i="9"/>
  <c r="P16" i="9"/>
  <c r="D18" i="9"/>
  <c r="J19" i="9"/>
  <c r="Q21" i="9"/>
  <c r="F23" i="9"/>
  <c r="H24" i="9"/>
  <c r="D28" i="9"/>
  <c r="I29" i="9"/>
  <c r="O30" i="9"/>
  <c r="Q31" i="9"/>
  <c r="M35" i="9"/>
  <c r="R36" i="9"/>
  <c r="E36" i="8"/>
  <c r="M28" i="8"/>
  <c r="N11" i="8"/>
  <c r="G12" i="8"/>
  <c r="G11" i="9"/>
  <c r="K16" i="8"/>
  <c r="K15" i="9"/>
  <c r="R17" i="8"/>
  <c r="R16" i="9"/>
  <c r="K8" i="9"/>
  <c r="K9" i="8"/>
  <c r="M14" i="9"/>
  <c r="M15" i="8"/>
  <c r="L15" i="9"/>
  <c r="L16" i="8"/>
  <c r="S16" i="9"/>
  <c r="S17" i="8"/>
  <c r="R18" i="8"/>
  <c r="R17" i="9"/>
  <c r="D38" i="8"/>
  <c r="D30" i="8"/>
  <c r="D22" i="8"/>
  <c r="D14" i="8"/>
  <c r="R38" i="8"/>
  <c r="J38" i="8"/>
  <c r="J37" i="8"/>
  <c r="R36" i="8"/>
  <c r="R35" i="8"/>
  <c r="J35" i="8"/>
  <c r="R34" i="8"/>
  <c r="J34" i="8"/>
  <c r="R33" i="8"/>
  <c r="J33" i="8"/>
  <c r="R32" i="8"/>
  <c r="J32" i="8"/>
  <c r="R31" i="8"/>
  <c r="R30" i="8"/>
  <c r="J30" i="8"/>
  <c r="R29" i="8"/>
  <c r="J29" i="8"/>
  <c r="J28" i="8"/>
  <c r="R27" i="8"/>
  <c r="J27" i="8"/>
  <c r="R26" i="8"/>
  <c r="J26" i="8"/>
  <c r="R25" i="8"/>
  <c r="J25" i="8"/>
  <c r="R24" i="8"/>
  <c r="J24" i="8"/>
  <c r="J23" i="8"/>
  <c r="R22" i="8"/>
  <c r="J22" i="8"/>
  <c r="R21" i="8"/>
  <c r="R20" i="8"/>
  <c r="R19" i="8"/>
  <c r="F19" i="8"/>
  <c r="F15" i="8"/>
  <c r="P13" i="8"/>
  <c r="I12" i="8"/>
  <c r="P9" i="8"/>
  <c r="F8" i="9"/>
  <c r="L9" i="9"/>
  <c r="S11" i="9"/>
  <c r="J14" i="9"/>
  <c r="O15" i="9"/>
  <c r="D17" i="9"/>
  <c r="Q20" i="9"/>
  <c r="G23" i="9"/>
  <c r="O25" i="9"/>
  <c r="I28" i="9"/>
  <c r="P30" i="9"/>
  <c r="G33" i="9"/>
  <c r="E28" i="8"/>
  <c r="Q16" i="8"/>
  <c r="J9" i="8"/>
  <c r="J8" i="9"/>
  <c r="S8" i="9"/>
  <c r="S9" i="8"/>
  <c r="J10" i="8"/>
  <c r="J9" i="9"/>
  <c r="R10" i="8"/>
  <c r="R9" i="9"/>
  <c r="G13" i="8"/>
  <c r="G12" i="9"/>
  <c r="O13" i="8"/>
  <c r="O12" i="9"/>
  <c r="E14" i="9"/>
  <c r="E15" i="8"/>
  <c r="K16" i="9"/>
  <c r="K17" i="8"/>
  <c r="L8" i="9"/>
  <c r="L9" i="8"/>
  <c r="K9" i="9"/>
  <c r="K10" i="8"/>
  <c r="J10" i="9"/>
  <c r="J11" i="8"/>
  <c r="G14" i="8"/>
  <c r="G13" i="9"/>
  <c r="M15" i="9"/>
  <c r="M16" i="8"/>
  <c r="L16" i="9"/>
  <c r="L17" i="8"/>
  <c r="T16" i="9"/>
  <c r="T17" i="8"/>
  <c r="K17" i="9"/>
  <c r="K18" i="8"/>
  <c r="S17" i="9"/>
  <c r="S18" i="8"/>
  <c r="J18" i="9"/>
  <c r="J19" i="8"/>
  <c r="D37" i="8"/>
  <c r="D21" i="8"/>
  <c r="D13" i="8"/>
  <c r="I38" i="8"/>
  <c r="I37" i="8"/>
  <c r="Q36" i="8"/>
  <c r="I36" i="8"/>
  <c r="Q35" i="8"/>
  <c r="I35" i="8"/>
  <c r="Q34" i="8"/>
  <c r="I34" i="8"/>
  <c r="Q33" i="8"/>
  <c r="I33" i="8"/>
  <c r="I32" i="8"/>
  <c r="Q31" i="8"/>
  <c r="I31" i="8"/>
  <c r="Q30" i="8"/>
  <c r="Q29" i="8"/>
  <c r="Q28" i="8"/>
  <c r="I28" i="8"/>
  <c r="Q27" i="8"/>
  <c r="I27" i="8"/>
  <c r="Q26" i="8"/>
  <c r="I26" i="8"/>
  <c r="Q25" i="8"/>
  <c r="I25" i="8"/>
  <c r="Q24" i="8"/>
  <c r="I24" i="8"/>
  <c r="Q23" i="8"/>
  <c r="I23" i="8"/>
  <c r="I22" i="8"/>
  <c r="Q20" i="8"/>
  <c r="I20" i="8"/>
  <c r="Q19" i="8"/>
  <c r="Q18" i="8"/>
  <c r="H16" i="8"/>
  <c r="Q14" i="8"/>
  <c r="N13" i="8"/>
  <c r="H12" i="8"/>
  <c r="Q10" i="8"/>
  <c r="N9" i="8"/>
  <c r="H8" i="9"/>
  <c r="M9" i="9"/>
  <c r="S10" i="9"/>
  <c r="I13" i="9"/>
  <c r="O14" i="9"/>
  <c r="E17" i="9"/>
  <c r="K18" i="9"/>
  <c r="M19" i="9"/>
  <c r="G22" i="9"/>
  <c r="N24" i="9"/>
  <c r="P29" i="9"/>
  <c r="F32" i="9"/>
  <c r="N34" i="9"/>
  <c r="H37" i="9"/>
  <c r="L14" i="9"/>
  <c r="L15" i="8"/>
  <c r="J17" i="8"/>
  <c r="J16" i="9"/>
  <c r="T15" i="9"/>
  <c r="T16" i="8"/>
  <c r="O14" i="8"/>
  <c r="O13" i="9"/>
  <c r="D28" i="8"/>
  <c r="D20" i="8"/>
  <c r="D12" i="8"/>
  <c r="P38" i="8"/>
  <c r="H36" i="8"/>
  <c r="P35" i="8"/>
  <c r="H35" i="8"/>
  <c r="P34" i="8"/>
  <c r="H34" i="8"/>
  <c r="H33" i="8"/>
  <c r="P32" i="8"/>
  <c r="H32" i="8"/>
  <c r="P29" i="8"/>
  <c r="H29" i="8"/>
  <c r="P28" i="8"/>
  <c r="H28" i="8"/>
  <c r="P27" i="8"/>
  <c r="H27" i="8"/>
  <c r="P26" i="8"/>
  <c r="H26" i="8"/>
  <c r="P25" i="8"/>
  <c r="P24" i="8"/>
  <c r="H24" i="8"/>
  <c r="H23" i="8"/>
  <c r="H22" i="8"/>
  <c r="P21" i="8"/>
  <c r="H21" i="8"/>
  <c r="P20" i="8"/>
  <c r="H20" i="8"/>
  <c r="P19" i="8"/>
  <c r="P18" i="8"/>
  <c r="I17" i="8"/>
  <c r="F16" i="8"/>
  <c r="P14" i="8"/>
  <c r="I13" i="8"/>
  <c r="F12" i="8"/>
  <c r="P10" i="8"/>
  <c r="I9" i="8"/>
  <c r="M8" i="9"/>
  <c r="O9" i="9"/>
  <c r="T10" i="9"/>
  <c r="K13" i="9"/>
  <c r="P14" i="9"/>
  <c r="E16" i="9"/>
  <c r="G17" i="9"/>
  <c r="L18" i="9"/>
  <c r="N23" i="9"/>
  <c r="D26" i="9"/>
  <c r="F31" i="9"/>
  <c r="G25" i="9"/>
  <c r="O12" i="8"/>
  <c r="O11" i="9"/>
  <c r="M13" i="9"/>
  <c r="M14" i="8"/>
  <c r="T14" i="9"/>
  <c r="T15" i="8"/>
  <c r="S16" i="8"/>
  <c r="S15" i="9"/>
  <c r="J18" i="8"/>
  <c r="J17" i="9"/>
  <c r="T8" i="9"/>
  <c r="T9" i="8"/>
  <c r="S9" i="9"/>
  <c r="S10" i="8"/>
  <c r="R10" i="9"/>
  <c r="R11" i="8"/>
  <c r="E15" i="9"/>
  <c r="E16" i="8"/>
  <c r="D11" i="8"/>
  <c r="O38" i="8"/>
  <c r="G38" i="8"/>
  <c r="O37" i="8"/>
  <c r="G37" i="8"/>
  <c r="O36" i="8"/>
  <c r="G36" i="8"/>
  <c r="O35" i="8"/>
  <c r="G35" i="8"/>
  <c r="O34" i="8"/>
  <c r="O33" i="8"/>
  <c r="G33" i="8"/>
  <c r="G32" i="8"/>
  <c r="G31" i="8"/>
  <c r="O30" i="8"/>
  <c r="G30" i="8"/>
  <c r="O29" i="8"/>
  <c r="G29" i="8"/>
  <c r="O28" i="8"/>
  <c r="G28" i="8"/>
  <c r="O27" i="8"/>
  <c r="G27" i="8"/>
  <c r="O25" i="8"/>
  <c r="G25" i="8"/>
  <c r="O24" i="8"/>
  <c r="O23" i="8"/>
  <c r="O22" i="8"/>
  <c r="G22" i="8"/>
  <c r="O21" i="8"/>
  <c r="G21" i="8"/>
  <c r="O20" i="8"/>
  <c r="G20" i="8"/>
  <c r="O19" i="8"/>
  <c r="N18" i="8"/>
  <c r="H17" i="8"/>
  <c r="Q15" i="8"/>
  <c r="N14" i="8"/>
  <c r="H13" i="8"/>
  <c r="Q11" i="8"/>
  <c r="N10" i="8"/>
  <c r="T9" i="9"/>
  <c r="E11" i="9"/>
  <c r="J12" i="9"/>
  <c r="R14" i="9"/>
  <c r="F16" i="9"/>
  <c r="L17" i="9"/>
  <c r="N18" i="9"/>
  <c r="D25" i="9"/>
  <c r="F26" i="9"/>
  <c r="G8" i="9"/>
  <c r="G9" i="8"/>
  <c r="O8" i="9"/>
  <c r="O9" i="8"/>
  <c r="E10" i="9"/>
  <c r="E11" i="8"/>
  <c r="M10" i="9"/>
  <c r="M11" i="8"/>
  <c r="L11" i="9"/>
  <c r="L12" i="8"/>
  <c r="T11" i="9"/>
  <c r="T12" i="8"/>
  <c r="K12" i="9"/>
  <c r="K13" i="8"/>
  <c r="S12" i="9"/>
  <c r="S13" i="8"/>
  <c r="J13" i="9"/>
  <c r="J14" i="8"/>
  <c r="R13" i="9"/>
  <c r="R14" i="8"/>
  <c r="G16" i="9"/>
  <c r="G17" i="8"/>
  <c r="O16" i="9"/>
  <c r="O17" i="8"/>
  <c r="E18" i="9"/>
  <c r="E19" i="8"/>
  <c r="N38" i="8"/>
  <c r="F38" i="8"/>
  <c r="N37" i="8"/>
  <c r="F37" i="8"/>
  <c r="N36" i="8"/>
  <c r="F36" i="8"/>
  <c r="N34" i="8"/>
  <c r="F34" i="8"/>
  <c r="N33" i="8"/>
  <c r="N31" i="8"/>
  <c r="F31" i="8"/>
  <c r="N30" i="8"/>
  <c r="F30" i="8"/>
  <c r="N29" i="8"/>
  <c r="F29" i="8"/>
  <c r="N28" i="8"/>
  <c r="F28" i="8"/>
  <c r="N26" i="8"/>
  <c r="F26" i="8"/>
  <c r="N23" i="8"/>
  <c r="F23" i="8"/>
  <c r="N22" i="8"/>
  <c r="F22" i="8"/>
  <c r="N21" i="8"/>
  <c r="F21" i="8"/>
  <c r="N20" i="8"/>
  <c r="F20" i="8"/>
  <c r="I18" i="8"/>
  <c r="F13" i="8"/>
  <c r="P11" i="8"/>
  <c r="I10" i="8"/>
  <c r="J11" i="9"/>
  <c r="L12" i="9"/>
  <c r="M17" i="9"/>
  <c r="H8" i="8"/>
  <c r="O8" i="8"/>
  <c r="G8" i="8"/>
  <c r="I7" i="9"/>
  <c r="Q7" i="9"/>
  <c r="P8" i="8"/>
  <c r="N8" i="8"/>
  <c r="F8" i="8"/>
  <c r="J7" i="9"/>
  <c r="R7" i="9"/>
  <c r="T8" i="8"/>
  <c r="L8" i="8"/>
  <c r="D7" i="9"/>
  <c r="E7" i="9"/>
  <c r="M7" i="9"/>
  <c r="H31" i="11" l="1"/>
  <c r="D20" i="11" s="1"/>
  <c r="I18" i="4" s="1"/>
  <c r="E17" i="4" s="1"/>
  <c r="C19" i="9"/>
  <c r="C54" i="9" s="1"/>
  <c r="D54" i="9" s="1"/>
  <c r="C21" i="8"/>
  <c r="D21" i="11"/>
  <c r="I19" i="4" s="1"/>
  <c r="D22" i="11"/>
  <c r="I20" i="4" s="1"/>
  <c r="C37" i="9"/>
  <c r="V108" i="8" s="1"/>
  <c r="C28" i="9"/>
  <c r="V99" i="8" s="1"/>
  <c r="C23" i="9"/>
  <c r="C58" i="9" s="1"/>
  <c r="Q58" i="9" s="1"/>
  <c r="C33" i="9"/>
  <c r="V104" i="8" s="1"/>
  <c r="C29" i="9"/>
  <c r="V100" i="8" s="1"/>
  <c r="C24" i="9"/>
  <c r="C59" i="9" s="1"/>
  <c r="P59" i="9" s="1"/>
  <c r="C22" i="9"/>
  <c r="V93" i="8" s="1"/>
  <c r="C18" i="8"/>
  <c r="C21" i="9"/>
  <c r="C56" i="9" s="1"/>
  <c r="O56" i="9" s="1"/>
  <c r="C13" i="8"/>
  <c r="C11" i="8"/>
  <c r="C36" i="8"/>
  <c r="C31" i="9"/>
  <c r="C66" i="9" s="1"/>
  <c r="O66" i="9" s="1"/>
  <c r="C27" i="9"/>
  <c r="C62" i="9" s="1"/>
  <c r="P62" i="9" s="1"/>
  <c r="C30" i="9"/>
  <c r="C65" i="9" s="1"/>
  <c r="N65" i="9" s="1"/>
  <c r="C12" i="9"/>
  <c r="C47" i="9" s="1"/>
  <c r="C82" i="9" s="1"/>
  <c r="S82" i="9" s="1"/>
  <c r="C28" i="8"/>
  <c r="C14" i="9"/>
  <c r="C49" i="9" s="1"/>
  <c r="C33" i="8"/>
  <c r="C26" i="9"/>
  <c r="V97" i="8" s="1"/>
  <c r="C9" i="9"/>
  <c r="C44" i="9" s="1"/>
  <c r="G44" i="9" s="1"/>
  <c r="C34" i="8"/>
  <c r="C20" i="9"/>
  <c r="V91" i="8" s="1"/>
  <c r="C12" i="8"/>
  <c r="D25" i="7" a="1"/>
  <c r="D25" i="7" s="1"/>
  <c r="C35" i="9"/>
  <c r="C70" i="9" s="1"/>
  <c r="C105" i="9" s="1"/>
  <c r="N105" i="9" s="1"/>
  <c r="C10" i="8"/>
  <c r="C32" i="9"/>
  <c r="C67" i="9" s="1"/>
  <c r="G67" i="9" s="1"/>
  <c r="C30" i="8"/>
  <c r="D34" i="7" a="1"/>
  <c r="D34" i="7" s="1"/>
  <c r="C10" i="9"/>
  <c r="C45" i="9" s="1"/>
  <c r="O45" i="9" s="1"/>
  <c r="C29" i="8"/>
  <c r="C26" i="8"/>
  <c r="C31" i="8"/>
  <c r="C16" i="9"/>
  <c r="C51" i="9" s="1"/>
  <c r="P51" i="9" s="1"/>
  <c r="C27" i="8"/>
  <c r="C25" i="9"/>
  <c r="C60" i="9" s="1"/>
  <c r="H60" i="9" s="1"/>
  <c r="C13" i="9"/>
  <c r="V84" i="8" s="1"/>
  <c r="C20" i="8"/>
  <c r="C37" i="8"/>
  <c r="C17" i="9"/>
  <c r="C52" i="9" s="1"/>
  <c r="E52" i="9" s="1"/>
  <c r="C18" i="9"/>
  <c r="C53" i="9" s="1"/>
  <c r="F53" i="9" s="1"/>
  <c r="C22" i="8"/>
  <c r="C11" i="9"/>
  <c r="C19" i="8"/>
  <c r="C14" i="8"/>
  <c r="C9" i="8"/>
  <c r="C17" i="8"/>
  <c r="C24" i="8"/>
  <c r="C35" i="8"/>
  <c r="C34" i="9"/>
  <c r="C69" i="9" s="1"/>
  <c r="N69" i="9" s="1"/>
  <c r="C32" i="8"/>
  <c r="C16" i="8"/>
  <c r="C8" i="9"/>
  <c r="V79" i="8" s="1"/>
  <c r="C38" i="8"/>
  <c r="C15" i="8"/>
  <c r="C23" i="8"/>
  <c r="C36" i="9"/>
  <c r="C71" i="9" s="1"/>
  <c r="C106" i="9" s="1"/>
  <c r="J106" i="9" s="1"/>
  <c r="C15" i="9"/>
  <c r="C50" i="9" s="1"/>
  <c r="G50" i="9" s="1"/>
  <c r="C25" i="8"/>
  <c r="C7" i="9"/>
  <c r="V78" i="8" s="1"/>
  <c r="C8" i="8"/>
  <c r="D19" i="7" a="1"/>
  <c r="D19" i="7" s="1"/>
  <c r="D35" i="7" a="1"/>
  <c r="D35" i="7" s="1"/>
  <c r="E26" i="7" a="1"/>
  <c r="E26" i="7" s="1"/>
  <c r="D29" i="7" a="1"/>
  <c r="D29" i="7" s="1"/>
  <c r="E19" i="7" a="1"/>
  <c r="E19" i="7" s="1"/>
  <c r="E21" i="7" a="1"/>
  <c r="E21" i="7" s="1"/>
  <c r="D18" i="7" a="1"/>
  <c r="D18" i="7" s="1"/>
  <c r="D28" i="7" a="1"/>
  <c r="D28" i="7" s="1"/>
  <c r="D24" i="7" a="1"/>
  <c r="D24" i="7" s="1"/>
  <c r="D31" i="7" a="1"/>
  <c r="D31" i="7" s="1"/>
  <c r="D20" i="7" a="1"/>
  <c r="D20" i="7" s="1"/>
  <c r="D36" i="7" a="1"/>
  <c r="D36" i="7" s="1"/>
  <c r="D32" i="7" a="1"/>
  <c r="D32" i="7" s="1"/>
  <c r="E33" i="7" a="1"/>
  <c r="E33" i="7" s="1"/>
  <c r="E31" i="7" a="1"/>
  <c r="E31" i="7" s="1"/>
  <c r="D17" i="7" a="1"/>
  <c r="D17" i="7" s="1"/>
  <c r="E28" i="7" a="1"/>
  <c r="E28" i="7" s="1"/>
  <c r="E29" i="7" a="1"/>
  <c r="E29" i="7" s="1"/>
  <c r="D30" i="7" a="1"/>
  <c r="D30" i="7" s="1"/>
  <c r="D22" i="7" a="1"/>
  <c r="D22" i="7" s="1"/>
  <c r="E25" i="7" a="1"/>
  <c r="E25" i="7" s="1"/>
  <c r="E23" i="7" a="1"/>
  <c r="E23" i="7" s="1"/>
  <c r="E20" i="7" a="1"/>
  <c r="E20" i="7" s="1"/>
  <c r="D27" i="7" a="1"/>
  <c r="D27" i="7" s="1"/>
  <c r="E34" i="7" a="1"/>
  <c r="E34" i="7" s="1"/>
  <c r="E17" i="7" a="1"/>
  <c r="E17" i="7" s="1"/>
  <c r="E36" i="7" a="1"/>
  <c r="E36" i="7" s="1"/>
  <c r="D26" i="7" a="1"/>
  <c r="D26" i="7" s="1"/>
  <c r="E18" i="7" a="1"/>
  <c r="E18" i="7" s="1"/>
  <c r="E32" i="7" a="1"/>
  <c r="E32" i="7" s="1"/>
  <c r="E30" i="7" a="1"/>
  <c r="E30" i="7" s="1"/>
  <c r="E35" i="7" a="1"/>
  <c r="E35" i="7" s="1"/>
  <c r="D21" i="7" a="1"/>
  <c r="D21" i="7" s="1"/>
  <c r="E24" i="7" a="1"/>
  <c r="E24" i="7" s="1"/>
  <c r="E22" i="7" a="1"/>
  <c r="E22" i="7" s="1"/>
  <c r="E27" i="7" a="1"/>
  <c r="E27" i="7" s="1"/>
  <c r="D33" i="7" a="1"/>
  <c r="D33" i="7" s="1"/>
  <c r="D23" i="7" a="1"/>
  <c r="D23" i="7" s="1"/>
  <c r="T32" i="3"/>
  <c r="S32" i="3"/>
  <c r="R32" i="3"/>
  <c r="Q32" i="3"/>
  <c r="P32" i="3"/>
  <c r="O32" i="3"/>
  <c r="N32" i="3"/>
  <c r="M32" i="3"/>
  <c r="L32" i="3"/>
  <c r="K32" i="3"/>
  <c r="J32" i="3"/>
  <c r="I32" i="3"/>
  <c r="H32" i="3"/>
  <c r="G32" i="3"/>
  <c r="F32" i="3"/>
  <c r="E32" i="3"/>
  <c r="D32" i="3"/>
  <c r="T31" i="3"/>
  <c r="S31" i="3"/>
  <c r="R31" i="3"/>
  <c r="Q31" i="3"/>
  <c r="P31" i="3"/>
  <c r="O31" i="3"/>
  <c r="N31" i="3"/>
  <c r="M31" i="3"/>
  <c r="L31" i="3"/>
  <c r="K31" i="3"/>
  <c r="J31" i="3"/>
  <c r="I31" i="3"/>
  <c r="H31" i="3"/>
  <c r="G31" i="3"/>
  <c r="F31" i="3"/>
  <c r="E31" i="3"/>
  <c r="D31" i="3"/>
  <c r="T30" i="3"/>
  <c r="S30" i="3"/>
  <c r="R30" i="3"/>
  <c r="Q30" i="3"/>
  <c r="P30" i="3"/>
  <c r="O30" i="3"/>
  <c r="N30" i="3"/>
  <c r="M30" i="3"/>
  <c r="L30" i="3"/>
  <c r="K30" i="3"/>
  <c r="J30" i="3"/>
  <c r="I30" i="3"/>
  <c r="H30" i="3"/>
  <c r="G30" i="3"/>
  <c r="F30" i="3"/>
  <c r="E30" i="3"/>
  <c r="D30" i="3"/>
  <c r="T29" i="3"/>
  <c r="S29" i="3"/>
  <c r="R29" i="3"/>
  <c r="Q29" i="3"/>
  <c r="P29" i="3"/>
  <c r="O29" i="3"/>
  <c r="N29" i="3"/>
  <c r="M29" i="3"/>
  <c r="L29" i="3"/>
  <c r="K29" i="3"/>
  <c r="J29" i="3"/>
  <c r="I29" i="3"/>
  <c r="H29" i="3"/>
  <c r="G29" i="3"/>
  <c r="F29" i="3"/>
  <c r="E29" i="3"/>
  <c r="D29" i="3"/>
  <c r="T28" i="3"/>
  <c r="S28" i="3"/>
  <c r="R28" i="3"/>
  <c r="Q28" i="3"/>
  <c r="P28" i="3"/>
  <c r="O28" i="3"/>
  <c r="N28" i="3"/>
  <c r="M28" i="3"/>
  <c r="L28" i="3"/>
  <c r="K28" i="3"/>
  <c r="J28" i="3"/>
  <c r="I28" i="3"/>
  <c r="H28" i="3"/>
  <c r="G28" i="3"/>
  <c r="F28" i="3"/>
  <c r="E28" i="3"/>
  <c r="D28" i="3"/>
  <c r="T27" i="3"/>
  <c r="S27" i="3"/>
  <c r="R27" i="3"/>
  <c r="Q27" i="3"/>
  <c r="P27" i="3"/>
  <c r="O27" i="3"/>
  <c r="N27" i="3"/>
  <c r="M27" i="3"/>
  <c r="L27" i="3"/>
  <c r="K27" i="3"/>
  <c r="J27" i="3"/>
  <c r="I27" i="3"/>
  <c r="H27" i="3"/>
  <c r="G27" i="3"/>
  <c r="F27" i="3"/>
  <c r="E27" i="3"/>
  <c r="D27" i="3"/>
  <c r="T26" i="3"/>
  <c r="S26" i="3"/>
  <c r="R26" i="3"/>
  <c r="Q26" i="3"/>
  <c r="P26" i="3"/>
  <c r="O26" i="3"/>
  <c r="N26" i="3"/>
  <c r="M26" i="3"/>
  <c r="L26" i="3"/>
  <c r="K26" i="3"/>
  <c r="J26" i="3"/>
  <c r="I26" i="3"/>
  <c r="H26" i="3"/>
  <c r="G26" i="3"/>
  <c r="F26" i="3"/>
  <c r="E26" i="3"/>
  <c r="D26" i="3"/>
  <c r="T25" i="3"/>
  <c r="S25" i="3"/>
  <c r="R25" i="3"/>
  <c r="Q25" i="3"/>
  <c r="P25" i="3"/>
  <c r="O25" i="3"/>
  <c r="N25" i="3"/>
  <c r="M25" i="3"/>
  <c r="L25" i="3"/>
  <c r="K25" i="3"/>
  <c r="J25" i="3"/>
  <c r="I25" i="3"/>
  <c r="H25" i="3"/>
  <c r="G25" i="3"/>
  <c r="F25" i="3"/>
  <c r="E25" i="3"/>
  <c r="D25" i="3"/>
  <c r="T24" i="3"/>
  <c r="S24" i="3"/>
  <c r="R24" i="3"/>
  <c r="Q24" i="3"/>
  <c r="P24" i="3"/>
  <c r="O24" i="3"/>
  <c r="N24" i="3"/>
  <c r="M24" i="3"/>
  <c r="L24" i="3"/>
  <c r="K24" i="3"/>
  <c r="J24" i="3"/>
  <c r="I24" i="3"/>
  <c r="H24" i="3"/>
  <c r="G24" i="3"/>
  <c r="F24" i="3"/>
  <c r="E24" i="3"/>
  <c r="D24" i="3"/>
  <c r="T23" i="3"/>
  <c r="S23" i="3"/>
  <c r="R23" i="3"/>
  <c r="Q23" i="3"/>
  <c r="P23" i="3"/>
  <c r="O23" i="3"/>
  <c r="N23" i="3"/>
  <c r="M23" i="3"/>
  <c r="L23" i="3"/>
  <c r="K23" i="3"/>
  <c r="J23" i="3"/>
  <c r="I23" i="3"/>
  <c r="H23" i="3"/>
  <c r="G23" i="3"/>
  <c r="F23" i="3"/>
  <c r="E23" i="3"/>
  <c r="D23" i="3"/>
  <c r="T22" i="3"/>
  <c r="S22" i="3"/>
  <c r="R22" i="3"/>
  <c r="Q22" i="3"/>
  <c r="P22" i="3"/>
  <c r="O22" i="3"/>
  <c r="N22" i="3"/>
  <c r="M22" i="3"/>
  <c r="L22" i="3"/>
  <c r="K22" i="3"/>
  <c r="J22" i="3"/>
  <c r="I22" i="3"/>
  <c r="H22" i="3"/>
  <c r="G22" i="3"/>
  <c r="F22" i="3"/>
  <c r="E22" i="3"/>
  <c r="D22" i="3"/>
  <c r="T21" i="3"/>
  <c r="S21" i="3"/>
  <c r="R21" i="3"/>
  <c r="Q21" i="3"/>
  <c r="P21" i="3"/>
  <c r="O21" i="3"/>
  <c r="N21" i="3"/>
  <c r="M21" i="3"/>
  <c r="L21" i="3"/>
  <c r="K21" i="3"/>
  <c r="J21" i="3"/>
  <c r="I21" i="3"/>
  <c r="H21" i="3"/>
  <c r="G21" i="3"/>
  <c r="F21" i="3"/>
  <c r="E21" i="3"/>
  <c r="D21" i="3"/>
  <c r="T20" i="3"/>
  <c r="S20" i="3"/>
  <c r="R20" i="3"/>
  <c r="Q20" i="3"/>
  <c r="P20" i="3"/>
  <c r="O20" i="3"/>
  <c r="N20" i="3"/>
  <c r="M20" i="3"/>
  <c r="L20" i="3"/>
  <c r="K20" i="3"/>
  <c r="J20" i="3"/>
  <c r="I20" i="3"/>
  <c r="H20" i="3"/>
  <c r="G20" i="3"/>
  <c r="F20" i="3"/>
  <c r="E20" i="3"/>
  <c r="D20" i="3"/>
  <c r="T19" i="3"/>
  <c r="S19" i="3"/>
  <c r="R19" i="3"/>
  <c r="Q19" i="3"/>
  <c r="P19" i="3"/>
  <c r="O19" i="3"/>
  <c r="N19" i="3"/>
  <c r="M19" i="3"/>
  <c r="L19" i="3"/>
  <c r="K19" i="3"/>
  <c r="J19" i="3"/>
  <c r="I19" i="3"/>
  <c r="H19" i="3"/>
  <c r="G19" i="3"/>
  <c r="F19" i="3"/>
  <c r="E19" i="3"/>
  <c r="D19" i="3"/>
  <c r="T18" i="3"/>
  <c r="S18" i="3"/>
  <c r="R18" i="3"/>
  <c r="Q18" i="3"/>
  <c r="P18" i="3"/>
  <c r="O18" i="3"/>
  <c r="N18" i="3"/>
  <c r="M18" i="3"/>
  <c r="L18" i="3"/>
  <c r="K18" i="3"/>
  <c r="J18" i="3"/>
  <c r="I18" i="3"/>
  <c r="H18" i="3"/>
  <c r="G18" i="3"/>
  <c r="F18" i="3"/>
  <c r="E18" i="3"/>
  <c r="D18" i="3"/>
  <c r="T17" i="3"/>
  <c r="S17" i="3"/>
  <c r="R17" i="3"/>
  <c r="Q17" i="3"/>
  <c r="P17" i="3"/>
  <c r="O17" i="3"/>
  <c r="N17" i="3"/>
  <c r="M17" i="3"/>
  <c r="L17" i="3"/>
  <c r="K17" i="3"/>
  <c r="J17" i="3"/>
  <c r="I17" i="3"/>
  <c r="H17" i="3"/>
  <c r="G17" i="3"/>
  <c r="F17" i="3"/>
  <c r="E17" i="3"/>
  <c r="D17" i="3"/>
  <c r="T16" i="3"/>
  <c r="S16" i="3"/>
  <c r="R16" i="3"/>
  <c r="Q16" i="3"/>
  <c r="P16" i="3"/>
  <c r="O16" i="3"/>
  <c r="N16" i="3"/>
  <c r="M16" i="3"/>
  <c r="L16" i="3"/>
  <c r="K16" i="3"/>
  <c r="J16" i="3"/>
  <c r="I16" i="3"/>
  <c r="H16" i="3"/>
  <c r="G16" i="3"/>
  <c r="F16" i="3"/>
  <c r="E16" i="3"/>
  <c r="D16" i="3"/>
  <c r="T15" i="3"/>
  <c r="S15" i="3"/>
  <c r="R15" i="3"/>
  <c r="Q15" i="3"/>
  <c r="P15" i="3"/>
  <c r="O15" i="3"/>
  <c r="N15" i="3"/>
  <c r="M15" i="3"/>
  <c r="L15" i="3"/>
  <c r="K15" i="3"/>
  <c r="J15" i="3"/>
  <c r="I15" i="3"/>
  <c r="H15" i="3"/>
  <c r="G15" i="3"/>
  <c r="F15" i="3"/>
  <c r="E15" i="3"/>
  <c r="D15" i="3"/>
  <c r="T14" i="3"/>
  <c r="S14" i="3"/>
  <c r="R14" i="3"/>
  <c r="Q14" i="3"/>
  <c r="P14" i="3"/>
  <c r="O14" i="3"/>
  <c r="N14" i="3"/>
  <c r="M14" i="3"/>
  <c r="L14" i="3"/>
  <c r="K14" i="3"/>
  <c r="J14" i="3"/>
  <c r="I14" i="3"/>
  <c r="H14" i="3"/>
  <c r="G14" i="3"/>
  <c r="F14" i="3"/>
  <c r="E14" i="3"/>
  <c r="D14" i="3"/>
  <c r="T13" i="3"/>
  <c r="S13" i="3"/>
  <c r="R13" i="3"/>
  <c r="Q13" i="3"/>
  <c r="P13" i="3"/>
  <c r="O13" i="3"/>
  <c r="N13" i="3"/>
  <c r="M13" i="3"/>
  <c r="L13" i="3"/>
  <c r="K13" i="3"/>
  <c r="J13" i="3"/>
  <c r="I13" i="3"/>
  <c r="H13" i="3"/>
  <c r="G13" i="3"/>
  <c r="F13" i="3"/>
  <c r="E13" i="3"/>
  <c r="D13" i="3"/>
  <c r="T12" i="3"/>
  <c r="S12" i="3"/>
  <c r="R12" i="3"/>
  <c r="Q12" i="3"/>
  <c r="P12" i="3"/>
  <c r="O12" i="3"/>
  <c r="N12" i="3"/>
  <c r="M12" i="3"/>
  <c r="L12" i="3"/>
  <c r="K12" i="3"/>
  <c r="J12" i="3"/>
  <c r="I12" i="3"/>
  <c r="H12" i="3"/>
  <c r="G12" i="3"/>
  <c r="F12" i="3"/>
  <c r="E12" i="3"/>
  <c r="D12" i="3"/>
  <c r="T11" i="3"/>
  <c r="S11" i="3"/>
  <c r="R11" i="3"/>
  <c r="Q11" i="3"/>
  <c r="P11" i="3"/>
  <c r="O11" i="3"/>
  <c r="N11" i="3"/>
  <c r="M11" i="3"/>
  <c r="L11" i="3"/>
  <c r="K11" i="3"/>
  <c r="J11" i="3"/>
  <c r="I11" i="3"/>
  <c r="H11" i="3"/>
  <c r="G11" i="3"/>
  <c r="F11" i="3"/>
  <c r="E11" i="3"/>
  <c r="D11" i="3"/>
  <c r="T10" i="3"/>
  <c r="S10" i="3"/>
  <c r="R10" i="3"/>
  <c r="Q10" i="3"/>
  <c r="P10" i="3"/>
  <c r="O10" i="3"/>
  <c r="N10" i="3"/>
  <c r="M10" i="3"/>
  <c r="L10" i="3"/>
  <c r="K10" i="3"/>
  <c r="J10" i="3"/>
  <c r="I10" i="3"/>
  <c r="H10" i="3"/>
  <c r="G10" i="3"/>
  <c r="F10" i="3"/>
  <c r="E10" i="3"/>
  <c r="D10" i="3"/>
  <c r="T9" i="3"/>
  <c r="S9" i="3"/>
  <c r="R9" i="3"/>
  <c r="Q9" i="3"/>
  <c r="P9" i="3"/>
  <c r="O9" i="3"/>
  <c r="N9" i="3"/>
  <c r="M9" i="3"/>
  <c r="L9" i="3"/>
  <c r="K9" i="3"/>
  <c r="J9" i="3"/>
  <c r="I9" i="3"/>
  <c r="H9" i="3"/>
  <c r="G9" i="3"/>
  <c r="F9" i="3"/>
  <c r="E9" i="3"/>
  <c r="D9" i="3"/>
  <c r="T8" i="3"/>
  <c r="S8" i="3"/>
  <c r="R8" i="3"/>
  <c r="Q8" i="3"/>
  <c r="P8" i="3"/>
  <c r="O8" i="3"/>
  <c r="N8" i="3"/>
  <c r="M8" i="3"/>
  <c r="L8" i="3"/>
  <c r="K8" i="3"/>
  <c r="J8" i="3"/>
  <c r="I8" i="3"/>
  <c r="H8" i="3"/>
  <c r="G8" i="3"/>
  <c r="F8" i="3"/>
  <c r="E8" i="3"/>
  <c r="D8" i="3"/>
  <c r="T7" i="3"/>
  <c r="S7" i="3"/>
  <c r="R7" i="3"/>
  <c r="Q7" i="3"/>
  <c r="P7" i="3"/>
  <c r="O7" i="3"/>
  <c r="N7" i="3"/>
  <c r="M7" i="3"/>
  <c r="L7" i="3"/>
  <c r="K7" i="3"/>
  <c r="J7" i="3"/>
  <c r="I7" i="3"/>
  <c r="H7" i="3"/>
  <c r="G7" i="3"/>
  <c r="F7" i="3"/>
  <c r="E7" i="3"/>
  <c r="D7" i="3"/>
  <c r="T6" i="3"/>
  <c r="S6" i="3"/>
  <c r="R6" i="3"/>
  <c r="Q6" i="3"/>
  <c r="P6" i="3"/>
  <c r="O6" i="3"/>
  <c r="N6" i="3"/>
  <c r="M6" i="3"/>
  <c r="L6" i="3"/>
  <c r="K6" i="3"/>
  <c r="J6" i="3"/>
  <c r="I6" i="3"/>
  <c r="H6" i="3"/>
  <c r="G6" i="3"/>
  <c r="F6" i="3"/>
  <c r="E6" i="3"/>
  <c r="D6" i="3"/>
  <c r="T5" i="3"/>
  <c r="S5" i="3"/>
  <c r="R5" i="3"/>
  <c r="Q5" i="3"/>
  <c r="P5" i="3"/>
  <c r="O5" i="3"/>
  <c r="N5" i="3"/>
  <c r="M5" i="3"/>
  <c r="L5" i="3"/>
  <c r="K5" i="3"/>
  <c r="J5" i="3"/>
  <c r="I5" i="3"/>
  <c r="H5" i="3"/>
  <c r="G5" i="3"/>
  <c r="F5" i="3"/>
  <c r="E5" i="3"/>
  <c r="D5" i="3"/>
  <c r="T4" i="3"/>
  <c r="S4" i="3"/>
  <c r="R4" i="3"/>
  <c r="Q4" i="3"/>
  <c r="P4" i="3"/>
  <c r="O4" i="3"/>
  <c r="N4" i="3"/>
  <c r="M4" i="3"/>
  <c r="L4" i="3"/>
  <c r="K4" i="3"/>
  <c r="J4" i="3"/>
  <c r="I4" i="3"/>
  <c r="H4" i="3"/>
  <c r="G4" i="3"/>
  <c r="F4" i="3"/>
  <c r="E4" i="3"/>
  <c r="D4" i="3"/>
  <c r="T3" i="3"/>
  <c r="S3" i="3"/>
  <c r="R3" i="3"/>
  <c r="Q3" i="3"/>
  <c r="P3" i="3"/>
  <c r="O3" i="3"/>
  <c r="N3" i="3"/>
  <c r="M3" i="3"/>
  <c r="L3" i="3"/>
  <c r="K3" i="3"/>
  <c r="J3" i="3"/>
  <c r="I3" i="3"/>
  <c r="H3" i="3"/>
  <c r="G3" i="3"/>
  <c r="F3" i="3"/>
  <c r="E3" i="3"/>
  <c r="D3" i="3"/>
  <c r="T2" i="3"/>
  <c r="S2" i="3"/>
  <c r="R2" i="3"/>
  <c r="Q2" i="3"/>
  <c r="P2" i="3"/>
  <c r="O2" i="3"/>
  <c r="N2" i="3"/>
  <c r="M2" i="3"/>
  <c r="L2" i="3"/>
  <c r="K2" i="3"/>
  <c r="J2" i="3"/>
  <c r="I2" i="3"/>
  <c r="H2" i="3"/>
  <c r="G2" i="3"/>
  <c r="F2" i="3"/>
  <c r="E2" i="3"/>
  <c r="D2" i="3"/>
  <c r="T32" i="2"/>
  <c r="S32" i="2"/>
  <c r="R32" i="2"/>
  <c r="Q32" i="2"/>
  <c r="P32" i="2"/>
  <c r="O32" i="2"/>
  <c r="N32" i="2"/>
  <c r="M32" i="2"/>
  <c r="L32" i="2"/>
  <c r="K32" i="2"/>
  <c r="J32" i="2"/>
  <c r="I32" i="2"/>
  <c r="H32" i="2"/>
  <c r="G32" i="2"/>
  <c r="F32" i="2"/>
  <c r="E32" i="2"/>
  <c r="D32" i="2"/>
  <c r="T31" i="2"/>
  <c r="S31" i="2"/>
  <c r="R31" i="2"/>
  <c r="Q31" i="2"/>
  <c r="P31" i="2"/>
  <c r="O31" i="2"/>
  <c r="N31" i="2"/>
  <c r="M31" i="2"/>
  <c r="L31" i="2"/>
  <c r="K31" i="2"/>
  <c r="J31" i="2"/>
  <c r="I31" i="2"/>
  <c r="H31" i="2"/>
  <c r="G31" i="2"/>
  <c r="F31" i="2"/>
  <c r="E31" i="2"/>
  <c r="D31" i="2"/>
  <c r="T30" i="2"/>
  <c r="S30" i="2"/>
  <c r="R30" i="2"/>
  <c r="Q30" i="2"/>
  <c r="P30" i="2"/>
  <c r="O30" i="2"/>
  <c r="N30" i="2"/>
  <c r="M30" i="2"/>
  <c r="L30" i="2"/>
  <c r="K30" i="2"/>
  <c r="J30" i="2"/>
  <c r="I30" i="2"/>
  <c r="H30" i="2"/>
  <c r="G30" i="2"/>
  <c r="F30" i="2"/>
  <c r="E30" i="2"/>
  <c r="D30" i="2"/>
  <c r="T29" i="2"/>
  <c r="S29" i="2"/>
  <c r="R29" i="2"/>
  <c r="Q29" i="2"/>
  <c r="P29" i="2"/>
  <c r="O29" i="2"/>
  <c r="N29" i="2"/>
  <c r="M29" i="2"/>
  <c r="L29" i="2"/>
  <c r="K29" i="2"/>
  <c r="J29" i="2"/>
  <c r="I29" i="2"/>
  <c r="H29" i="2"/>
  <c r="G29" i="2"/>
  <c r="F29" i="2"/>
  <c r="E29" i="2"/>
  <c r="D29" i="2"/>
  <c r="T28" i="2"/>
  <c r="S28" i="2"/>
  <c r="R28" i="2"/>
  <c r="Q28" i="2"/>
  <c r="P28" i="2"/>
  <c r="O28" i="2"/>
  <c r="N28" i="2"/>
  <c r="M28" i="2"/>
  <c r="L28" i="2"/>
  <c r="K28" i="2"/>
  <c r="J28" i="2"/>
  <c r="I28" i="2"/>
  <c r="H28" i="2"/>
  <c r="G28" i="2"/>
  <c r="F28" i="2"/>
  <c r="E28" i="2"/>
  <c r="D28" i="2"/>
  <c r="T27" i="2"/>
  <c r="S27" i="2"/>
  <c r="R27" i="2"/>
  <c r="Q27" i="2"/>
  <c r="P27" i="2"/>
  <c r="O27" i="2"/>
  <c r="N27" i="2"/>
  <c r="M27" i="2"/>
  <c r="L27" i="2"/>
  <c r="K27" i="2"/>
  <c r="J27" i="2"/>
  <c r="I27" i="2"/>
  <c r="H27" i="2"/>
  <c r="G27" i="2"/>
  <c r="F27" i="2"/>
  <c r="E27" i="2"/>
  <c r="D27" i="2"/>
  <c r="T26" i="2"/>
  <c r="S26" i="2"/>
  <c r="R26" i="2"/>
  <c r="Q26" i="2"/>
  <c r="P26" i="2"/>
  <c r="O26" i="2"/>
  <c r="N26" i="2"/>
  <c r="M26" i="2"/>
  <c r="L26" i="2"/>
  <c r="K26" i="2"/>
  <c r="J26" i="2"/>
  <c r="I26" i="2"/>
  <c r="H26" i="2"/>
  <c r="G26" i="2"/>
  <c r="F26" i="2"/>
  <c r="E26" i="2"/>
  <c r="D26" i="2"/>
  <c r="T25" i="2"/>
  <c r="S25" i="2"/>
  <c r="R25" i="2"/>
  <c r="Q25" i="2"/>
  <c r="P25" i="2"/>
  <c r="O25" i="2"/>
  <c r="N25" i="2"/>
  <c r="M25" i="2"/>
  <c r="L25" i="2"/>
  <c r="K25" i="2"/>
  <c r="J25" i="2"/>
  <c r="I25" i="2"/>
  <c r="H25" i="2"/>
  <c r="G25" i="2"/>
  <c r="F25" i="2"/>
  <c r="E25" i="2"/>
  <c r="D25" i="2"/>
  <c r="T24" i="2"/>
  <c r="S24" i="2"/>
  <c r="R24" i="2"/>
  <c r="Q24" i="2"/>
  <c r="P24" i="2"/>
  <c r="O24" i="2"/>
  <c r="N24" i="2"/>
  <c r="M24" i="2"/>
  <c r="L24" i="2"/>
  <c r="K24" i="2"/>
  <c r="J24" i="2"/>
  <c r="I24" i="2"/>
  <c r="H24" i="2"/>
  <c r="G24" i="2"/>
  <c r="F24" i="2"/>
  <c r="E24" i="2"/>
  <c r="D24" i="2"/>
  <c r="T23" i="2"/>
  <c r="S23" i="2"/>
  <c r="R23" i="2"/>
  <c r="Q23" i="2"/>
  <c r="P23" i="2"/>
  <c r="O23" i="2"/>
  <c r="N23" i="2"/>
  <c r="M23" i="2"/>
  <c r="L23" i="2"/>
  <c r="K23" i="2"/>
  <c r="J23" i="2"/>
  <c r="I23" i="2"/>
  <c r="H23" i="2"/>
  <c r="G23" i="2"/>
  <c r="F23" i="2"/>
  <c r="E23" i="2"/>
  <c r="D23" i="2"/>
  <c r="T22" i="2"/>
  <c r="S22" i="2"/>
  <c r="R22" i="2"/>
  <c r="Q22" i="2"/>
  <c r="P22" i="2"/>
  <c r="O22" i="2"/>
  <c r="N22" i="2"/>
  <c r="M22" i="2"/>
  <c r="L22" i="2"/>
  <c r="K22" i="2"/>
  <c r="J22" i="2"/>
  <c r="I22" i="2"/>
  <c r="H22" i="2"/>
  <c r="G22" i="2"/>
  <c r="F22" i="2"/>
  <c r="E22" i="2"/>
  <c r="D22" i="2"/>
  <c r="T21" i="2"/>
  <c r="S21" i="2"/>
  <c r="R21" i="2"/>
  <c r="Q21" i="2"/>
  <c r="P21" i="2"/>
  <c r="O21" i="2"/>
  <c r="N21" i="2"/>
  <c r="M21" i="2"/>
  <c r="L21" i="2"/>
  <c r="K21" i="2"/>
  <c r="J21" i="2"/>
  <c r="I21" i="2"/>
  <c r="H21" i="2"/>
  <c r="G21" i="2"/>
  <c r="F21" i="2"/>
  <c r="E21" i="2"/>
  <c r="D21" i="2"/>
  <c r="T20" i="2"/>
  <c r="S20" i="2"/>
  <c r="R20" i="2"/>
  <c r="Q20" i="2"/>
  <c r="P20" i="2"/>
  <c r="O20" i="2"/>
  <c r="N20" i="2"/>
  <c r="M20" i="2"/>
  <c r="L20" i="2"/>
  <c r="K20" i="2"/>
  <c r="J20" i="2"/>
  <c r="I20" i="2"/>
  <c r="H20" i="2"/>
  <c r="G20" i="2"/>
  <c r="F20" i="2"/>
  <c r="E20" i="2"/>
  <c r="D20" i="2"/>
  <c r="T19" i="2"/>
  <c r="S19" i="2"/>
  <c r="R19" i="2"/>
  <c r="Q19" i="2"/>
  <c r="P19" i="2"/>
  <c r="O19" i="2"/>
  <c r="N19" i="2"/>
  <c r="M19" i="2"/>
  <c r="L19" i="2"/>
  <c r="K19" i="2"/>
  <c r="J19" i="2"/>
  <c r="I19" i="2"/>
  <c r="H19" i="2"/>
  <c r="G19" i="2"/>
  <c r="F19" i="2"/>
  <c r="E19" i="2"/>
  <c r="D19" i="2"/>
  <c r="T18" i="2"/>
  <c r="S18" i="2"/>
  <c r="R18" i="2"/>
  <c r="Q18" i="2"/>
  <c r="P18" i="2"/>
  <c r="O18" i="2"/>
  <c r="N18" i="2"/>
  <c r="M18" i="2"/>
  <c r="L18" i="2"/>
  <c r="K18" i="2"/>
  <c r="J18" i="2"/>
  <c r="I18" i="2"/>
  <c r="H18" i="2"/>
  <c r="G18" i="2"/>
  <c r="F18" i="2"/>
  <c r="E18" i="2"/>
  <c r="D18" i="2"/>
  <c r="T17" i="2"/>
  <c r="S17" i="2"/>
  <c r="R17" i="2"/>
  <c r="Q17" i="2"/>
  <c r="P17" i="2"/>
  <c r="O17" i="2"/>
  <c r="N17" i="2"/>
  <c r="M17" i="2"/>
  <c r="L17" i="2"/>
  <c r="K17" i="2"/>
  <c r="J17" i="2"/>
  <c r="I17" i="2"/>
  <c r="H17" i="2"/>
  <c r="G17" i="2"/>
  <c r="F17" i="2"/>
  <c r="E17" i="2"/>
  <c r="D17" i="2"/>
  <c r="T16" i="2"/>
  <c r="S16" i="2"/>
  <c r="R16" i="2"/>
  <c r="Q16" i="2"/>
  <c r="P16" i="2"/>
  <c r="O16" i="2"/>
  <c r="N16" i="2"/>
  <c r="M16" i="2"/>
  <c r="L16" i="2"/>
  <c r="K16" i="2"/>
  <c r="J16" i="2"/>
  <c r="I16" i="2"/>
  <c r="H16" i="2"/>
  <c r="G16" i="2"/>
  <c r="F16" i="2"/>
  <c r="E16" i="2"/>
  <c r="D16" i="2"/>
  <c r="T15" i="2"/>
  <c r="S15" i="2"/>
  <c r="R15" i="2"/>
  <c r="Q15" i="2"/>
  <c r="P15" i="2"/>
  <c r="O15" i="2"/>
  <c r="N15" i="2"/>
  <c r="M15" i="2"/>
  <c r="L15" i="2"/>
  <c r="K15" i="2"/>
  <c r="J15" i="2"/>
  <c r="I15" i="2"/>
  <c r="H15" i="2"/>
  <c r="G15" i="2"/>
  <c r="F15" i="2"/>
  <c r="E15" i="2"/>
  <c r="D15" i="2"/>
  <c r="T14" i="2"/>
  <c r="S14" i="2"/>
  <c r="R14" i="2"/>
  <c r="Q14" i="2"/>
  <c r="P14" i="2"/>
  <c r="O14" i="2"/>
  <c r="N14" i="2"/>
  <c r="M14" i="2"/>
  <c r="L14" i="2"/>
  <c r="K14" i="2"/>
  <c r="J14" i="2"/>
  <c r="I14" i="2"/>
  <c r="H14" i="2"/>
  <c r="G14" i="2"/>
  <c r="F14" i="2"/>
  <c r="E14" i="2"/>
  <c r="D14" i="2"/>
  <c r="T13" i="2"/>
  <c r="S13" i="2"/>
  <c r="R13" i="2"/>
  <c r="Q13" i="2"/>
  <c r="P13" i="2"/>
  <c r="O13" i="2"/>
  <c r="N13" i="2"/>
  <c r="M13" i="2"/>
  <c r="L13" i="2"/>
  <c r="K13" i="2"/>
  <c r="J13" i="2"/>
  <c r="I13" i="2"/>
  <c r="H13" i="2"/>
  <c r="G13" i="2"/>
  <c r="F13" i="2"/>
  <c r="E13" i="2"/>
  <c r="D13" i="2"/>
  <c r="T12" i="2"/>
  <c r="S12" i="2"/>
  <c r="R12" i="2"/>
  <c r="Q12" i="2"/>
  <c r="P12" i="2"/>
  <c r="O12" i="2"/>
  <c r="N12" i="2"/>
  <c r="M12" i="2"/>
  <c r="L12" i="2"/>
  <c r="K12" i="2"/>
  <c r="J12" i="2"/>
  <c r="I12" i="2"/>
  <c r="H12" i="2"/>
  <c r="G12" i="2"/>
  <c r="F12" i="2"/>
  <c r="E12" i="2"/>
  <c r="D12" i="2"/>
  <c r="T11" i="2"/>
  <c r="S11" i="2"/>
  <c r="R11" i="2"/>
  <c r="Q11" i="2"/>
  <c r="P11" i="2"/>
  <c r="O11" i="2"/>
  <c r="N11" i="2"/>
  <c r="M11" i="2"/>
  <c r="L11" i="2"/>
  <c r="K11" i="2"/>
  <c r="J11" i="2"/>
  <c r="I11" i="2"/>
  <c r="H11" i="2"/>
  <c r="G11" i="2"/>
  <c r="F11" i="2"/>
  <c r="E11" i="2"/>
  <c r="D11" i="2"/>
  <c r="T10" i="2"/>
  <c r="S10" i="2"/>
  <c r="R10" i="2"/>
  <c r="Q10" i="2"/>
  <c r="P10" i="2"/>
  <c r="O10" i="2"/>
  <c r="N10" i="2"/>
  <c r="M10" i="2"/>
  <c r="L10" i="2"/>
  <c r="K10" i="2"/>
  <c r="J10" i="2"/>
  <c r="I10" i="2"/>
  <c r="H10" i="2"/>
  <c r="G10" i="2"/>
  <c r="F10" i="2"/>
  <c r="E10" i="2"/>
  <c r="D10" i="2"/>
  <c r="T9" i="2"/>
  <c r="S9" i="2"/>
  <c r="R9" i="2"/>
  <c r="Q9" i="2"/>
  <c r="P9" i="2"/>
  <c r="O9" i="2"/>
  <c r="N9" i="2"/>
  <c r="M9" i="2"/>
  <c r="L9" i="2"/>
  <c r="K9" i="2"/>
  <c r="J9" i="2"/>
  <c r="I9" i="2"/>
  <c r="H9" i="2"/>
  <c r="G9" i="2"/>
  <c r="F9" i="2"/>
  <c r="E9" i="2"/>
  <c r="D9" i="2"/>
  <c r="T8" i="2"/>
  <c r="S8" i="2"/>
  <c r="R8" i="2"/>
  <c r="Q8" i="2"/>
  <c r="P8" i="2"/>
  <c r="O8" i="2"/>
  <c r="N8" i="2"/>
  <c r="M8" i="2"/>
  <c r="L8" i="2"/>
  <c r="K8" i="2"/>
  <c r="J8" i="2"/>
  <c r="I8" i="2"/>
  <c r="H8" i="2"/>
  <c r="G8" i="2"/>
  <c r="F8" i="2"/>
  <c r="E8" i="2"/>
  <c r="D8" i="2"/>
  <c r="T7" i="2"/>
  <c r="S7" i="2"/>
  <c r="R7" i="2"/>
  <c r="Q7" i="2"/>
  <c r="P7" i="2"/>
  <c r="O7" i="2"/>
  <c r="N7" i="2"/>
  <c r="M7" i="2"/>
  <c r="L7" i="2"/>
  <c r="K7" i="2"/>
  <c r="J7" i="2"/>
  <c r="I7" i="2"/>
  <c r="H7" i="2"/>
  <c r="G7" i="2"/>
  <c r="F7" i="2"/>
  <c r="E7" i="2"/>
  <c r="D7" i="2"/>
  <c r="T6" i="2"/>
  <c r="S6" i="2"/>
  <c r="R6" i="2"/>
  <c r="Q6" i="2"/>
  <c r="P6" i="2"/>
  <c r="O6" i="2"/>
  <c r="N6" i="2"/>
  <c r="M6" i="2"/>
  <c r="L6" i="2"/>
  <c r="K6" i="2"/>
  <c r="J6" i="2"/>
  <c r="I6" i="2"/>
  <c r="H6" i="2"/>
  <c r="G6" i="2"/>
  <c r="F6" i="2"/>
  <c r="E6" i="2"/>
  <c r="D6" i="2"/>
  <c r="T5" i="2"/>
  <c r="S5" i="2"/>
  <c r="R5" i="2"/>
  <c r="Q5" i="2"/>
  <c r="P5" i="2"/>
  <c r="O5" i="2"/>
  <c r="N5" i="2"/>
  <c r="M5" i="2"/>
  <c r="L5" i="2"/>
  <c r="K5" i="2"/>
  <c r="J5" i="2"/>
  <c r="I5" i="2"/>
  <c r="H5" i="2"/>
  <c r="G5" i="2"/>
  <c r="F5" i="2"/>
  <c r="E5" i="2"/>
  <c r="D5" i="2"/>
  <c r="T4" i="2"/>
  <c r="S4" i="2"/>
  <c r="R4" i="2"/>
  <c r="Q4" i="2"/>
  <c r="P4" i="2"/>
  <c r="O4" i="2"/>
  <c r="N4" i="2"/>
  <c r="M4" i="2"/>
  <c r="L4" i="2"/>
  <c r="K4" i="2"/>
  <c r="J4" i="2"/>
  <c r="I4" i="2"/>
  <c r="H4" i="2"/>
  <c r="G4" i="2"/>
  <c r="F4" i="2"/>
  <c r="E4" i="2"/>
  <c r="D4" i="2"/>
  <c r="T3" i="2"/>
  <c r="S3" i="2"/>
  <c r="R3" i="2"/>
  <c r="Q3" i="2"/>
  <c r="P3" i="2"/>
  <c r="O3" i="2"/>
  <c r="N3" i="2"/>
  <c r="M3" i="2"/>
  <c r="L3" i="2"/>
  <c r="K3" i="2"/>
  <c r="J3" i="2"/>
  <c r="I3" i="2"/>
  <c r="H3" i="2"/>
  <c r="G3" i="2"/>
  <c r="F3" i="2"/>
  <c r="E3" i="2"/>
  <c r="D3" i="2"/>
  <c r="T2" i="2"/>
  <c r="S2" i="2"/>
  <c r="R2" i="2"/>
  <c r="Q2" i="2"/>
  <c r="P2" i="2"/>
  <c r="O2" i="2"/>
  <c r="N2" i="2"/>
  <c r="M2" i="2"/>
  <c r="L2" i="2"/>
  <c r="K2" i="2"/>
  <c r="J2" i="2"/>
  <c r="I2" i="2"/>
  <c r="H2" i="2"/>
  <c r="G2" i="2"/>
  <c r="F2" i="2"/>
  <c r="E2" i="2"/>
  <c r="D2" i="2"/>
  <c r="I54" i="9" l="1"/>
  <c r="J54" i="9"/>
  <c r="N54" i="9"/>
  <c r="O54" i="9"/>
  <c r="C89" i="9"/>
  <c r="N89" i="9" s="1"/>
  <c r="E54" i="9"/>
  <c r="S54" i="9"/>
  <c r="T54" i="9"/>
  <c r="G54" i="9"/>
  <c r="K54" i="9"/>
  <c r="M54" i="9"/>
  <c r="F54" i="9"/>
  <c r="V90" i="8"/>
  <c r="R54" i="9"/>
  <c r="Q54" i="9"/>
  <c r="L54" i="9"/>
  <c r="P54" i="9"/>
  <c r="H54" i="9"/>
  <c r="G24" i="4"/>
  <c r="G16" i="4"/>
  <c r="G10" i="4"/>
  <c r="G15" i="4"/>
  <c r="G22" i="4"/>
  <c r="G20" i="4"/>
  <c r="G18" i="4"/>
  <c r="G9" i="4"/>
  <c r="G13" i="4"/>
  <c r="G21" i="4"/>
  <c r="G17" i="4"/>
  <c r="G11" i="4"/>
  <c r="G19" i="4"/>
  <c r="G23" i="4"/>
  <c r="G8" i="4"/>
  <c r="G12" i="4"/>
  <c r="G14" i="4"/>
  <c r="D16" i="4"/>
  <c r="D12" i="4"/>
  <c r="D21" i="4"/>
  <c r="D14" i="4"/>
  <c r="D8" i="4"/>
  <c r="D22" i="4"/>
  <c r="D9" i="4"/>
  <c r="D17" i="4"/>
  <c r="D15" i="4"/>
  <c r="D11" i="4"/>
  <c r="D19" i="4"/>
  <c r="D24" i="4"/>
  <c r="D10" i="4"/>
  <c r="D20" i="4"/>
  <c r="D18" i="4"/>
  <c r="D23" i="4"/>
  <c r="D13" i="4"/>
  <c r="N56" i="9"/>
  <c r="C93" i="9"/>
  <c r="H93" i="9" s="1"/>
  <c r="C68" i="9"/>
  <c r="D68" i="9" s="1"/>
  <c r="C79" i="9"/>
  <c r="I79" i="9" s="1"/>
  <c r="F56" i="9"/>
  <c r="E56" i="9"/>
  <c r="E58" i="9"/>
  <c r="M58" i="9"/>
  <c r="G58" i="9"/>
  <c r="I58" i="9"/>
  <c r="O58" i="9"/>
  <c r="H58" i="9"/>
  <c r="M56" i="9"/>
  <c r="K56" i="9"/>
  <c r="J56" i="9"/>
  <c r="F36" i="7"/>
  <c r="L40" i="10" s="1"/>
  <c r="J62" i="9"/>
  <c r="L60" i="9"/>
  <c r="I56" i="9"/>
  <c r="L56" i="9"/>
  <c r="E62" i="9"/>
  <c r="D60" i="9"/>
  <c r="T56" i="9"/>
  <c r="P56" i="9"/>
  <c r="C63" i="9"/>
  <c r="C98" i="9" s="1"/>
  <c r="P98" i="9" s="1"/>
  <c r="K62" i="9"/>
  <c r="D56" i="9"/>
  <c r="G56" i="9"/>
  <c r="H56" i="9"/>
  <c r="C72" i="9"/>
  <c r="Q72" i="9" s="1"/>
  <c r="H62" i="9"/>
  <c r="R56" i="9"/>
  <c r="Q56" i="9"/>
  <c r="C91" i="9"/>
  <c r="I91" i="9" s="1"/>
  <c r="C97" i="9"/>
  <c r="D97" i="9" s="1"/>
  <c r="S56" i="9"/>
  <c r="I44" i="9"/>
  <c r="S58" i="9"/>
  <c r="P58" i="9"/>
  <c r="N47" i="9"/>
  <c r="D58" i="9"/>
  <c r="N58" i="9"/>
  <c r="J58" i="9"/>
  <c r="R58" i="9"/>
  <c r="F58" i="9"/>
  <c r="H82" i="9"/>
  <c r="L58" i="9"/>
  <c r="K58" i="9"/>
  <c r="D82" i="9"/>
  <c r="T58" i="9"/>
  <c r="Q66" i="9"/>
  <c r="Q59" i="9"/>
  <c r="E8" i="4"/>
  <c r="E22" i="4"/>
  <c r="E15" i="4"/>
  <c r="E9" i="4"/>
  <c r="E13" i="4"/>
  <c r="E19" i="4"/>
  <c r="E24" i="4"/>
  <c r="E21" i="4"/>
  <c r="E10" i="4"/>
  <c r="E18" i="4"/>
  <c r="E11" i="4"/>
  <c r="E12" i="4"/>
  <c r="E20" i="4"/>
  <c r="E14" i="4"/>
  <c r="E16" i="4"/>
  <c r="E23" i="4"/>
  <c r="O59" i="9"/>
  <c r="T59" i="9"/>
  <c r="F59" i="9"/>
  <c r="N59" i="9"/>
  <c r="S59" i="9"/>
  <c r="C94" i="9"/>
  <c r="T94" i="9" s="1"/>
  <c r="E59" i="9"/>
  <c r="J59" i="9"/>
  <c r="E66" i="9"/>
  <c r="K66" i="9"/>
  <c r="I66" i="9"/>
  <c r="Q67" i="9"/>
  <c r="M66" i="9"/>
  <c r="P66" i="9"/>
  <c r="P67" i="9"/>
  <c r="D66" i="9"/>
  <c r="T66" i="9"/>
  <c r="H66" i="9"/>
  <c r="G66" i="9"/>
  <c r="N66" i="9"/>
  <c r="S66" i="9"/>
  <c r="T44" i="9"/>
  <c r="V94" i="8"/>
  <c r="G59" i="9"/>
  <c r="K59" i="9"/>
  <c r="H59" i="9"/>
  <c r="M59" i="9"/>
  <c r="O65" i="9"/>
  <c r="L59" i="9"/>
  <c r="R59" i="9"/>
  <c r="I59" i="9"/>
  <c r="L66" i="9"/>
  <c r="R66" i="9"/>
  <c r="F66" i="9"/>
  <c r="D59" i="9"/>
  <c r="J66" i="9"/>
  <c r="C101" i="9"/>
  <c r="F101" i="9" s="1"/>
  <c r="M65" i="9"/>
  <c r="L65" i="9"/>
  <c r="E65" i="9"/>
  <c r="F65" i="9"/>
  <c r="R65" i="9"/>
  <c r="D65" i="9"/>
  <c r="C100" i="9"/>
  <c r="E100" i="9" s="1"/>
  <c r="K65" i="9"/>
  <c r="Q65" i="9"/>
  <c r="J65" i="9"/>
  <c r="I65" i="9"/>
  <c r="T65" i="9"/>
  <c r="P65" i="9"/>
  <c r="G65" i="9"/>
  <c r="H65" i="9"/>
  <c r="S65" i="9"/>
  <c r="V101" i="8"/>
  <c r="M47" i="9"/>
  <c r="N45" i="9"/>
  <c r="V96" i="8"/>
  <c r="C64" i="9"/>
  <c r="P64" i="9" s="1"/>
  <c r="D45" i="9"/>
  <c r="T82" i="9"/>
  <c r="H45" i="9"/>
  <c r="G82" i="9"/>
  <c r="K47" i="9"/>
  <c r="J45" i="9"/>
  <c r="T47" i="9"/>
  <c r="M45" i="9"/>
  <c r="K45" i="9"/>
  <c r="G45" i="9"/>
  <c r="I82" i="9"/>
  <c r="J82" i="9"/>
  <c r="R47" i="9"/>
  <c r="P47" i="9"/>
  <c r="F45" i="9"/>
  <c r="S45" i="9"/>
  <c r="C80" i="9"/>
  <c r="N80" i="9" s="1"/>
  <c r="Q82" i="9"/>
  <c r="P82" i="9"/>
  <c r="D47" i="9"/>
  <c r="F47" i="9"/>
  <c r="Q45" i="9"/>
  <c r="R45" i="9"/>
  <c r="M82" i="9"/>
  <c r="N82" i="9"/>
  <c r="E47" i="9"/>
  <c r="O47" i="9"/>
  <c r="P45" i="9"/>
  <c r="I45" i="9"/>
  <c r="R82" i="9"/>
  <c r="L82" i="9"/>
  <c r="F82" i="9"/>
  <c r="L47" i="9"/>
  <c r="S47" i="9"/>
  <c r="G47" i="9"/>
  <c r="F17" i="7"/>
  <c r="L45" i="9"/>
  <c r="E45" i="9"/>
  <c r="O82" i="9"/>
  <c r="K82" i="9"/>
  <c r="J47" i="9"/>
  <c r="Q47" i="9"/>
  <c r="T45" i="9"/>
  <c r="E82" i="9"/>
  <c r="I47" i="9"/>
  <c r="H47" i="9"/>
  <c r="F52" i="9"/>
  <c r="H51" i="9"/>
  <c r="V102" i="8"/>
  <c r="O69" i="9"/>
  <c r="C85" i="9"/>
  <c r="Q85" i="9" s="1"/>
  <c r="S69" i="9"/>
  <c r="V83" i="8"/>
  <c r="F69" i="9"/>
  <c r="R67" i="9"/>
  <c r="V95" i="8"/>
  <c r="K51" i="9"/>
  <c r="S50" i="9"/>
  <c r="V92" i="8"/>
  <c r="C57" i="9"/>
  <c r="I57" i="9" s="1"/>
  <c r="J67" i="9"/>
  <c r="J50" i="9"/>
  <c r="S105" i="9"/>
  <c r="F105" i="9"/>
  <c r="T49" i="9"/>
  <c r="D49" i="9"/>
  <c r="K71" i="9"/>
  <c r="K53" i="9"/>
  <c r="H71" i="9"/>
  <c r="M53" i="9"/>
  <c r="T106" i="9"/>
  <c r="E49" i="9"/>
  <c r="C42" i="9"/>
  <c r="C77" i="9" s="1"/>
  <c r="R70" i="9"/>
  <c r="K49" i="9"/>
  <c r="C46" i="9"/>
  <c r="C81" i="9" s="1"/>
  <c r="N70" i="9"/>
  <c r="D105" i="9"/>
  <c r="F19" i="7"/>
  <c r="L23" i="10" s="1"/>
  <c r="J70" i="9"/>
  <c r="O70" i="9"/>
  <c r="F70" i="9"/>
  <c r="T53" i="9"/>
  <c r="J71" i="9"/>
  <c r="F71" i="9"/>
  <c r="S106" i="9"/>
  <c r="E105" i="9"/>
  <c r="J105" i="9"/>
  <c r="S49" i="9"/>
  <c r="R49" i="9"/>
  <c r="V89" i="8"/>
  <c r="M70" i="9"/>
  <c r="K70" i="9"/>
  <c r="I53" i="9"/>
  <c r="M71" i="9"/>
  <c r="P106" i="9"/>
  <c r="P105" i="9"/>
  <c r="R105" i="9"/>
  <c r="H49" i="9"/>
  <c r="I49" i="9"/>
  <c r="L70" i="9"/>
  <c r="Q70" i="9"/>
  <c r="Q53" i="9"/>
  <c r="L71" i="9"/>
  <c r="R106" i="9"/>
  <c r="G106" i="9"/>
  <c r="L105" i="9"/>
  <c r="I105" i="9"/>
  <c r="Q49" i="9"/>
  <c r="O49" i="9"/>
  <c r="V106" i="8"/>
  <c r="T70" i="9"/>
  <c r="I70" i="9"/>
  <c r="P53" i="9"/>
  <c r="T71" i="9"/>
  <c r="Q106" i="9"/>
  <c r="N106" i="9"/>
  <c r="G105" i="9"/>
  <c r="Q105" i="9"/>
  <c r="F49" i="9"/>
  <c r="P49" i="9"/>
  <c r="G49" i="9"/>
  <c r="V85" i="8"/>
  <c r="G70" i="9"/>
  <c r="D70" i="9"/>
  <c r="L53" i="9"/>
  <c r="H53" i="9"/>
  <c r="G71" i="9"/>
  <c r="E106" i="9"/>
  <c r="F106" i="9"/>
  <c r="O105" i="9"/>
  <c r="H105" i="9"/>
  <c r="N49" i="9"/>
  <c r="M49" i="9"/>
  <c r="C84" i="9"/>
  <c r="D84" i="9" s="1"/>
  <c r="S70" i="9"/>
  <c r="P70" i="9"/>
  <c r="J53" i="9"/>
  <c r="O53" i="9"/>
  <c r="S71" i="9"/>
  <c r="D71" i="9"/>
  <c r="M106" i="9"/>
  <c r="T105" i="9"/>
  <c r="M105" i="9"/>
  <c r="J49" i="9"/>
  <c r="L49" i="9"/>
  <c r="E70" i="9"/>
  <c r="H70" i="9"/>
  <c r="R53" i="9"/>
  <c r="G53" i="9"/>
  <c r="E71" i="9"/>
  <c r="Q71" i="9"/>
  <c r="L106" i="9"/>
  <c r="K105" i="9"/>
  <c r="R69" i="9"/>
  <c r="E69" i="9"/>
  <c r="C104" i="9"/>
  <c r="E104" i="9" s="1"/>
  <c r="I51" i="9"/>
  <c r="O51" i="9"/>
  <c r="D50" i="9"/>
  <c r="N50" i="9"/>
  <c r="L69" i="9"/>
  <c r="M69" i="9"/>
  <c r="D51" i="9"/>
  <c r="F51" i="9"/>
  <c r="I50" i="9"/>
  <c r="E50" i="9"/>
  <c r="V105" i="8"/>
  <c r="K69" i="9"/>
  <c r="Q69" i="9"/>
  <c r="T51" i="9"/>
  <c r="M51" i="9"/>
  <c r="H50" i="9"/>
  <c r="M50" i="9"/>
  <c r="J69" i="9"/>
  <c r="I69" i="9"/>
  <c r="E51" i="9"/>
  <c r="N51" i="9"/>
  <c r="G51" i="9"/>
  <c r="F50" i="9"/>
  <c r="T50" i="9"/>
  <c r="V87" i="8"/>
  <c r="T69" i="9"/>
  <c r="P69" i="9"/>
  <c r="S51" i="9"/>
  <c r="L51" i="9"/>
  <c r="C86" i="9"/>
  <c r="S86" i="9" s="1"/>
  <c r="R50" i="9"/>
  <c r="K50" i="9"/>
  <c r="G69" i="9"/>
  <c r="H69" i="9"/>
  <c r="R51" i="9"/>
  <c r="J51" i="9"/>
  <c r="Q50" i="9"/>
  <c r="O50" i="9"/>
  <c r="D69" i="9"/>
  <c r="Q51" i="9"/>
  <c r="L50" i="9"/>
  <c r="P50" i="9"/>
  <c r="R62" i="9"/>
  <c r="N62" i="9"/>
  <c r="K60" i="9"/>
  <c r="N60" i="9"/>
  <c r="N44" i="9"/>
  <c r="Q44" i="9"/>
  <c r="L62" i="9"/>
  <c r="O62" i="9"/>
  <c r="F62" i="9"/>
  <c r="T60" i="9"/>
  <c r="J60" i="9"/>
  <c r="F60" i="9"/>
  <c r="K44" i="9"/>
  <c r="H44" i="9"/>
  <c r="V98" i="8"/>
  <c r="G60" i="9"/>
  <c r="C95" i="9"/>
  <c r="R95" i="9" s="1"/>
  <c r="E44" i="9"/>
  <c r="P44" i="9"/>
  <c r="M62" i="9"/>
  <c r="Q62" i="9"/>
  <c r="E60" i="9"/>
  <c r="Q60" i="9"/>
  <c r="D44" i="9"/>
  <c r="F44" i="9"/>
  <c r="R60" i="9"/>
  <c r="T62" i="9"/>
  <c r="I62" i="9"/>
  <c r="S60" i="9"/>
  <c r="I60" i="9"/>
  <c r="S44" i="9"/>
  <c r="L44" i="9"/>
  <c r="V80" i="8"/>
  <c r="G62" i="9"/>
  <c r="D62" i="9"/>
  <c r="O60" i="9"/>
  <c r="P60" i="9"/>
  <c r="J44" i="9"/>
  <c r="O44" i="9"/>
  <c r="S62" i="9"/>
  <c r="M60" i="9"/>
  <c r="M44" i="9"/>
  <c r="R44" i="9"/>
  <c r="I52" i="9"/>
  <c r="P52" i="9"/>
  <c r="T52" i="9"/>
  <c r="H52" i="9"/>
  <c r="F24" i="7"/>
  <c r="L28" i="10" s="1"/>
  <c r="R52" i="9"/>
  <c r="O52" i="9"/>
  <c r="G52" i="9"/>
  <c r="F30" i="7"/>
  <c r="L34" i="10" s="1"/>
  <c r="Q52" i="9"/>
  <c r="N52" i="9"/>
  <c r="C87" i="9"/>
  <c r="D87" i="9" s="1"/>
  <c r="K52" i="9"/>
  <c r="S52" i="9"/>
  <c r="E67" i="9"/>
  <c r="I67" i="9"/>
  <c r="O67" i="9"/>
  <c r="H67" i="9"/>
  <c r="M67" i="9"/>
  <c r="N67" i="9"/>
  <c r="V103" i="8"/>
  <c r="C55" i="9"/>
  <c r="T55" i="9" s="1"/>
  <c r="C43" i="9"/>
  <c r="M43" i="9" s="1"/>
  <c r="D67" i="9"/>
  <c r="L67" i="9"/>
  <c r="F67" i="9"/>
  <c r="C48" i="9"/>
  <c r="G48" i="9" s="1"/>
  <c r="V81" i="8"/>
  <c r="K67" i="9"/>
  <c r="T67" i="9"/>
  <c r="C102" i="9"/>
  <c r="J102" i="9" s="1"/>
  <c r="V86" i="8"/>
  <c r="C61" i="9"/>
  <c r="S67" i="9"/>
  <c r="F29" i="7"/>
  <c r="L33" i="10" s="1"/>
  <c r="J52" i="9"/>
  <c r="M52" i="9"/>
  <c r="N53" i="9"/>
  <c r="S53" i="9"/>
  <c r="E53" i="9"/>
  <c r="R71" i="9"/>
  <c r="I71" i="9"/>
  <c r="O106" i="9"/>
  <c r="K106" i="9"/>
  <c r="F32" i="7"/>
  <c r="L36" i="10" s="1"/>
  <c r="F23" i="7"/>
  <c r="L27" i="10" s="1"/>
  <c r="L52" i="9"/>
  <c r="D52" i="9"/>
  <c r="D53" i="9"/>
  <c r="C88" i="9"/>
  <c r="K88" i="9" s="1"/>
  <c r="O71" i="9"/>
  <c r="P71" i="9"/>
  <c r="I106" i="9"/>
  <c r="D106" i="9"/>
  <c r="V107" i="8"/>
  <c r="V82" i="8"/>
  <c r="F28" i="7"/>
  <c r="L32" i="10" s="1"/>
  <c r="N71" i="9"/>
  <c r="H106" i="9"/>
  <c r="F27" i="7"/>
  <c r="L31" i="10" s="1"/>
  <c r="F35" i="7"/>
  <c r="L39" i="10" s="1"/>
  <c r="F26" i="7"/>
  <c r="L30" i="10" s="1"/>
  <c r="V88" i="8"/>
  <c r="F18" i="7"/>
  <c r="L22" i="10" s="1"/>
  <c r="F22" i="7"/>
  <c r="L26" i="10" s="1"/>
  <c r="F31" i="7"/>
  <c r="L35" i="10" s="1"/>
  <c r="F33" i="7"/>
  <c r="L37" i="10" s="1"/>
  <c r="F20" i="7"/>
  <c r="L24" i="10" s="1"/>
  <c r="F21" i="7"/>
  <c r="L25" i="10" s="1"/>
  <c r="F25" i="7"/>
  <c r="L29" i="10" s="1"/>
  <c r="F34" i="7"/>
  <c r="L38" i="10" s="1"/>
  <c r="D38" i="7"/>
  <c r="E38" i="7"/>
  <c r="L21" i="10" l="1"/>
  <c r="L42" i="10" s="1"/>
  <c r="F38" i="7"/>
  <c r="M4" i="21" s="1"/>
  <c r="O89" i="9"/>
  <c r="E89" i="9"/>
  <c r="R89" i="9"/>
  <c r="G89" i="9"/>
  <c r="K89" i="9"/>
  <c r="T89" i="9"/>
  <c r="S89" i="9"/>
  <c r="D89" i="9"/>
  <c r="J89" i="9"/>
  <c r="I89" i="9"/>
  <c r="H89" i="9"/>
  <c r="F89" i="9"/>
  <c r="Q89" i="9"/>
  <c r="M89" i="9"/>
  <c r="P89" i="9"/>
  <c r="L89" i="9"/>
  <c r="H22" i="10" a="1"/>
  <c r="H22" i="10" s="1"/>
  <c r="T68" i="9"/>
  <c r="Q68" i="9"/>
  <c r="C103" i="9"/>
  <c r="F103" i="9" s="1"/>
  <c r="P68" i="9"/>
  <c r="E68" i="9"/>
  <c r="F68" i="9"/>
  <c r="O68" i="9"/>
  <c r="D79" i="9"/>
  <c r="K68" i="9"/>
  <c r="N93" i="9"/>
  <c r="E79" i="9"/>
  <c r="E93" i="9"/>
  <c r="S93" i="9"/>
  <c r="D93" i="9"/>
  <c r="T93" i="9"/>
  <c r="M68" i="9"/>
  <c r="L68" i="9"/>
  <c r="G68" i="9"/>
  <c r="I68" i="9"/>
  <c r="S68" i="9"/>
  <c r="H68" i="9"/>
  <c r="I93" i="9"/>
  <c r="K93" i="9"/>
  <c r="M93" i="9"/>
  <c r="J93" i="9"/>
  <c r="O93" i="9"/>
  <c r="F93" i="9"/>
  <c r="G93" i="9"/>
  <c r="R93" i="9"/>
  <c r="Q93" i="9"/>
  <c r="P93" i="9"/>
  <c r="L93" i="9"/>
  <c r="Q79" i="9"/>
  <c r="P79" i="9"/>
  <c r="J79" i="9"/>
  <c r="H79" i="9"/>
  <c r="S79" i="9"/>
  <c r="T79" i="9"/>
  <c r="J68" i="9"/>
  <c r="N63" i="9"/>
  <c r="N68" i="9"/>
  <c r="R68" i="9"/>
  <c r="G79" i="9"/>
  <c r="N79" i="9"/>
  <c r="K79" i="9"/>
  <c r="O79" i="9"/>
  <c r="F79" i="9"/>
  <c r="M79" i="9"/>
  <c r="L79" i="9"/>
  <c r="R79" i="9"/>
  <c r="Q91" i="9"/>
  <c r="J98" i="9"/>
  <c r="G91" i="9"/>
  <c r="F91" i="9"/>
  <c r="N91" i="9"/>
  <c r="P91" i="9"/>
  <c r="H91" i="9"/>
  <c r="M91" i="9"/>
  <c r="E97" i="9"/>
  <c r="J91" i="9"/>
  <c r="T91" i="9"/>
  <c r="L91" i="9"/>
  <c r="M63" i="9"/>
  <c r="K91" i="9"/>
  <c r="E91" i="9"/>
  <c r="S91" i="9"/>
  <c r="R91" i="9"/>
  <c r="O91" i="9"/>
  <c r="D91" i="9"/>
  <c r="R63" i="9"/>
  <c r="J63" i="9"/>
  <c r="E98" i="9"/>
  <c r="T98" i="9"/>
  <c r="F98" i="9"/>
  <c r="O63" i="9"/>
  <c r="H63" i="9"/>
  <c r="G63" i="9"/>
  <c r="Q98" i="9"/>
  <c r="Q63" i="9"/>
  <c r="I63" i="9"/>
  <c r="I98" i="9"/>
  <c r="E63" i="9"/>
  <c r="M98" i="9"/>
  <c r="L63" i="9"/>
  <c r="K98" i="9"/>
  <c r="R98" i="9"/>
  <c r="P63" i="9"/>
  <c r="F63" i="9"/>
  <c r="K63" i="9"/>
  <c r="L98" i="9"/>
  <c r="T63" i="9"/>
  <c r="N98" i="9"/>
  <c r="G98" i="9"/>
  <c r="S98" i="9"/>
  <c r="D63" i="9"/>
  <c r="H98" i="9"/>
  <c r="D98" i="9"/>
  <c r="O98" i="9"/>
  <c r="S63" i="9"/>
  <c r="K94" i="9"/>
  <c r="Q97" i="9"/>
  <c r="I46" i="9"/>
  <c r="S46" i="9"/>
  <c r="H94" i="9"/>
  <c r="T97" i="9"/>
  <c r="H97" i="9"/>
  <c r="M97" i="9"/>
  <c r="K97" i="9"/>
  <c r="P94" i="9"/>
  <c r="S97" i="9"/>
  <c r="N97" i="9"/>
  <c r="O94" i="9"/>
  <c r="J94" i="9"/>
  <c r="D94" i="9"/>
  <c r="R94" i="9"/>
  <c r="G94" i="9"/>
  <c r="L97" i="9"/>
  <c r="J97" i="9"/>
  <c r="F97" i="9"/>
  <c r="S94" i="9"/>
  <c r="H24" i="10" a="1"/>
  <c r="H24" i="10" s="1"/>
  <c r="N94" i="9"/>
  <c r="O97" i="9"/>
  <c r="L94" i="9"/>
  <c r="P97" i="9"/>
  <c r="I97" i="9"/>
  <c r="E94" i="9"/>
  <c r="M94" i="9"/>
  <c r="R97" i="9"/>
  <c r="Q94" i="9"/>
  <c r="F94" i="9"/>
  <c r="I94" i="9"/>
  <c r="G97" i="9"/>
  <c r="H26" i="10" a="1"/>
  <c r="H26" i="10" s="1"/>
  <c r="I72" i="9"/>
  <c r="G72" i="9"/>
  <c r="E72" i="9"/>
  <c r="N72" i="9"/>
  <c r="T100" i="9"/>
  <c r="T72" i="9"/>
  <c r="N100" i="9"/>
  <c r="L72" i="9"/>
  <c r="S72" i="9"/>
  <c r="C107" i="9"/>
  <c r="E107" i="9" s="1"/>
  <c r="F72" i="9"/>
  <c r="O72" i="9"/>
  <c r="M72" i="9"/>
  <c r="H72" i="9"/>
  <c r="R72" i="9"/>
  <c r="P72" i="9"/>
  <c r="R100" i="9"/>
  <c r="J72" i="9"/>
  <c r="K72" i="9"/>
  <c r="Q100" i="9"/>
  <c r="D72" i="9"/>
  <c r="G46" i="9"/>
  <c r="E46" i="9"/>
  <c r="R46" i="9"/>
  <c r="I100" i="9"/>
  <c r="K100" i="9"/>
  <c r="J100" i="9"/>
  <c r="P100" i="9"/>
  <c r="H100" i="9"/>
  <c r="S100" i="9"/>
  <c r="M100" i="9"/>
  <c r="G100" i="9"/>
  <c r="F100" i="9"/>
  <c r="L100" i="9"/>
  <c r="O100" i="9"/>
  <c r="D100" i="9"/>
  <c r="G101" i="9"/>
  <c r="J101" i="9"/>
  <c r="D101" i="9"/>
  <c r="R101" i="9"/>
  <c r="L101" i="9"/>
  <c r="Q101" i="9"/>
  <c r="E101" i="9"/>
  <c r="H101" i="9"/>
  <c r="O101" i="9"/>
  <c r="T101" i="9"/>
  <c r="M101" i="9"/>
  <c r="K101" i="9"/>
  <c r="N101" i="9"/>
  <c r="H34" i="10" a="1"/>
  <c r="H34" i="10" s="1"/>
  <c r="I101" i="9"/>
  <c r="P101" i="9"/>
  <c r="S101" i="9"/>
  <c r="H27" i="10" a="1"/>
  <c r="H27" i="10" s="1"/>
  <c r="J84" i="9"/>
  <c r="Q57" i="9"/>
  <c r="H33" i="10" a="1"/>
  <c r="H33" i="10" s="1"/>
  <c r="J86" i="9"/>
  <c r="C99" i="9"/>
  <c r="K99" i="9" s="1"/>
  <c r="H57" i="9"/>
  <c r="G84" i="9"/>
  <c r="J95" i="9"/>
  <c r="N57" i="9"/>
  <c r="I95" i="9"/>
  <c r="K57" i="9"/>
  <c r="T64" i="9"/>
  <c r="O64" i="9"/>
  <c r="S64" i="9"/>
  <c r="O95" i="9"/>
  <c r="Q64" i="9"/>
  <c r="D95" i="9"/>
  <c r="L64" i="9"/>
  <c r="H64" i="9"/>
  <c r="F95" i="9"/>
  <c r="I64" i="9"/>
  <c r="N64" i="9"/>
  <c r="H95" i="9"/>
  <c r="G64" i="9"/>
  <c r="Q95" i="9"/>
  <c r="F64" i="9"/>
  <c r="K64" i="9"/>
  <c r="P95" i="9"/>
  <c r="E64" i="9"/>
  <c r="S80" i="9"/>
  <c r="E88" i="9"/>
  <c r="G80" i="9"/>
  <c r="P85" i="9"/>
  <c r="M80" i="9"/>
  <c r="D80" i="9"/>
  <c r="F80" i="9"/>
  <c r="H85" i="9"/>
  <c r="L80" i="9"/>
  <c r="P80" i="9"/>
  <c r="M64" i="9"/>
  <c r="J64" i="9"/>
  <c r="D64" i="9"/>
  <c r="O80" i="9"/>
  <c r="R80" i="9"/>
  <c r="J80" i="9"/>
  <c r="E80" i="9"/>
  <c r="I80" i="9"/>
  <c r="T80" i="9"/>
  <c r="Q80" i="9"/>
  <c r="K80" i="9"/>
  <c r="R64" i="9"/>
  <c r="H80" i="9"/>
  <c r="I84" i="9"/>
  <c r="E84" i="9"/>
  <c r="T84" i="9"/>
  <c r="S84" i="9"/>
  <c r="N55" i="9"/>
  <c r="O84" i="9"/>
  <c r="M84" i="9"/>
  <c r="G95" i="9"/>
  <c r="N95" i="9"/>
  <c r="L46" i="9"/>
  <c r="H46" i="9"/>
  <c r="T57" i="9"/>
  <c r="T95" i="9"/>
  <c r="E95" i="9"/>
  <c r="S57" i="9"/>
  <c r="F57" i="9"/>
  <c r="P46" i="9"/>
  <c r="N46" i="9"/>
  <c r="S95" i="9"/>
  <c r="M95" i="9"/>
  <c r="J57" i="9"/>
  <c r="R57" i="9"/>
  <c r="E57" i="9"/>
  <c r="M46" i="9"/>
  <c r="J46" i="9"/>
  <c r="G57" i="9"/>
  <c r="D57" i="9"/>
  <c r="F46" i="9"/>
  <c r="L95" i="9"/>
  <c r="C92" i="9"/>
  <c r="M92" i="9" s="1"/>
  <c r="K95" i="9"/>
  <c r="M57" i="9"/>
  <c r="O57" i="9"/>
  <c r="I15" i="10" a="1"/>
  <c r="I15" i="10" s="1"/>
  <c r="T85" i="9"/>
  <c r="M85" i="9"/>
  <c r="N85" i="9"/>
  <c r="F85" i="9"/>
  <c r="N104" i="9"/>
  <c r="L85" i="9"/>
  <c r="G85" i="9"/>
  <c r="J85" i="9"/>
  <c r="Q104" i="9"/>
  <c r="D85" i="9"/>
  <c r="R85" i="9"/>
  <c r="S85" i="9"/>
  <c r="O85" i="9"/>
  <c r="I85" i="9"/>
  <c r="K85" i="9"/>
  <c r="E85" i="9"/>
  <c r="S42" i="9"/>
  <c r="S88" i="9"/>
  <c r="R88" i="9"/>
  <c r="H88" i="9"/>
  <c r="I88" i="9"/>
  <c r="O88" i="9"/>
  <c r="T88" i="9"/>
  <c r="N88" i="9"/>
  <c r="N42" i="9"/>
  <c r="R102" i="9"/>
  <c r="L42" i="9"/>
  <c r="E42" i="9"/>
  <c r="D102" i="9"/>
  <c r="J42" i="9"/>
  <c r="K87" i="9"/>
  <c r="E87" i="9"/>
  <c r="G42" i="9"/>
  <c r="H42" i="9"/>
  <c r="I42" i="9"/>
  <c r="T42" i="9"/>
  <c r="M42" i="9"/>
  <c r="O42" i="9"/>
  <c r="F77" i="9"/>
  <c r="J77" i="9"/>
  <c r="T77" i="9"/>
  <c r="R42" i="9"/>
  <c r="K42" i="9"/>
  <c r="F42" i="9"/>
  <c r="P57" i="9"/>
  <c r="L57" i="9"/>
  <c r="D81" i="9"/>
  <c r="N81" i="9"/>
  <c r="K81" i="9"/>
  <c r="M81" i="9"/>
  <c r="T81" i="9"/>
  <c r="H81" i="9"/>
  <c r="G81" i="9"/>
  <c r="Q81" i="9"/>
  <c r="O81" i="9"/>
  <c r="I81" i="9"/>
  <c r="P81" i="9"/>
  <c r="E81" i="9"/>
  <c r="F81" i="9"/>
  <c r="R81" i="9"/>
  <c r="J81" i="9"/>
  <c r="L81" i="9"/>
  <c r="S81" i="9"/>
  <c r="M88" i="9"/>
  <c r="P88" i="9"/>
  <c r="F88" i="9"/>
  <c r="Q84" i="9"/>
  <c r="K84" i="9"/>
  <c r="D42" i="9"/>
  <c r="Q42" i="9"/>
  <c r="P42" i="9"/>
  <c r="L88" i="9"/>
  <c r="G88" i="9"/>
  <c r="H84" i="9"/>
  <c r="N84" i="9"/>
  <c r="J88" i="9"/>
  <c r="D88" i="9"/>
  <c r="I86" i="9"/>
  <c r="L84" i="9"/>
  <c r="P84" i="9"/>
  <c r="F84" i="9"/>
  <c r="H38" i="10" a="1"/>
  <c r="H38" i="10" s="1"/>
  <c r="T46" i="9"/>
  <c r="D46" i="9"/>
  <c r="O46" i="9"/>
  <c r="K46" i="9"/>
  <c r="Q46" i="9"/>
  <c r="Q88" i="9"/>
  <c r="R84" i="9"/>
  <c r="R104" i="9"/>
  <c r="T104" i="9"/>
  <c r="S104" i="9"/>
  <c r="I104" i="9"/>
  <c r="K104" i="9"/>
  <c r="H21" i="10" a="1"/>
  <c r="H21" i="10" s="1"/>
  <c r="I38" i="10" a="1"/>
  <c r="I38" i="10" s="1"/>
  <c r="F104" i="9"/>
  <c r="D104" i="9"/>
  <c r="P104" i="9"/>
  <c r="P48" i="9"/>
  <c r="P43" i="9"/>
  <c r="J104" i="9"/>
  <c r="G104" i="9"/>
  <c r="R48" i="9"/>
  <c r="H104" i="9"/>
  <c r="M104" i="9"/>
  <c r="O104" i="9"/>
  <c r="L104" i="9"/>
  <c r="P77" i="9"/>
  <c r="L77" i="9"/>
  <c r="E77" i="9"/>
  <c r="O77" i="9"/>
  <c r="K77" i="9"/>
  <c r="D77" i="9"/>
  <c r="I77" i="9"/>
  <c r="S77" i="9"/>
  <c r="H77" i="9"/>
  <c r="R77" i="9"/>
  <c r="G77" i="9"/>
  <c r="Q77" i="9"/>
  <c r="N77" i="9"/>
  <c r="H30" i="10" a="1"/>
  <c r="H30" i="10" s="1"/>
  <c r="H28" i="10" a="1"/>
  <c r="H28" i="10" s="1"/>
  <c r="H37" i="10" a="1"/>
  <c r="H37" i="10" s="1"/>
  <c r="M77" i="9"/>
  <c r="H86" i="9"/>
  <c r="P86" i="9"/>
  <c r="K43" i="9"/>
  <c r="H39" i="10" a="1"/>
  <c r="H39" i="10" s="1"/>
  <c r="D86" i="9"/>
  <c r="G86" i="9"/>
  <c r="M86" i="9"/>
  <c r="N86" i="9"/>
  <c r="R86" i="9"/>
  <c r="L86" i="9"/>
  <c r="F86" i="9"/>
  <c r="Q86" i="9"/>
  <c r="T86" i="9"/>
  <c r="O86" i="9"/>
  <c r="K86" i="9"/>
  <c r="T43" i="9"/>
  <c r="E86" i="9"/>
  <c r="E43" i="9"/>
  <c r="I39" i="10" a="1"/>
  <c r="I39" i="10" s="1"/>
  <c r="G87" i="9"/>
  <c r="N87" i="9"/>
  <c r="C78" i="9"/>
  <c r="E78" i="9" s="1"/>
  <c r="G55" i="9"/>
  <c r="K55" i="9"/>
  <c r="S87" i="9"/>
  <c r="T87" i="9"/>
  <c r="O87" i="9"/>
  <c r="F87" i="9"/>
  <c r="L43" i="9"/>
  <c r="G43" i="9"/>
  <c r="S55" i="9"/>
  <c r="H35" i="10" a="1"/>
  <c r="H35" i="10" s="1"/>
  <c r="H87" i="9"/>
  <c r="D43" i="9"/>
  <c r="J43" i="9"/>
  <c r="H43" i="9"/>
  <c r="M87" i="9"/>
  <c r="Q87" i="9"/>
  <c r="R87" i="9"/>
  <c r="F43" i="9"/>
  <c r="S43" i="9"/>
  <c r="L87" i="9"/>
  <c r="J87" i="9"/>
  <c r="I87" i="9"/>
  <c r="N43" i="9"/>
  <c r="R43" i="9"/>
  <c r="Q43" i="9"/>
  <c r="P87" i="9"/>
  <c r="I43" i="9"/>
  <c r="J48" i="9"/>
  <c r="Q48" i="9"/>
  <c r="L48" i="9"/>
  <c r="D48" i="9"/>
  <c r="I48" i="9"/>
  <c r="S48" i="9"/>
  <c r="E48" i="9"/>
  <c r="C83" i="9"/>
  <c r="O83" i="9" s="1"/>
  <c r="M102" i="9"/>
  <c r="G102" i="9"/>
  <c r="L102" i="9"/>
  <c r="N102" i="9"/>
  <c r="T48" i="9"/>
  <c r="N48" i="9"/>
  <c r="M48" i="9"/>
  <c r="O43" i="9"/>
  <c r="I102" i="9"/>
  <c r="T102" i="9"/>
  <c r="F102" i="9"/>
  <c r="M61" i="9"/>
  <c r="L61" i="9"/>
  <c r="E61" i="9"/>
  <c r="O61" i="9"/>
  <c r="F61" i="9"/>
  <c r="S61" i="9"/>
  <c r="R61" i="9"/>
  <c r="P61" i="9"/>
  <c r="Q61" i="9"/>
  <c r="N61" i="9"/>
  <c r="G61" i="9"/>
  <c r="H61" i="9"/>
  <c r="T61" i="9"/>
  <c r="J61" i="9"/>
  <c r="D61" i="9"/>
  <c r="I61" i="9"/>
  <c r="K61" i="9"/>
  <c r="P102" i="9"/>
  <c r="H102" i="9"/>
  <c r="K102" i="9"/>
  <c r="O48" i="9"/>
  <c r="K48" i="9"/>
  <c r="P55" i="9"/>
  <c r="M55" i="9"/>
  <c r="R55" i="9"/>
  <c r="J55" i="9"/>
  <c r="H55" i="9"/>
  <c r="O55" i="9"/>
  <c r="I55" i="9"/>
  <c r="E55" i="9"/>
  <c r="L55" i="9"/>
  <c r="D55" i="9"/>
  <c r="Q55" i="9"/>
  <c r="F55" i="9"/>
  <c r="C90" i="9"/>
  <c r="Q102" i="9"/>
  <c r="O102" i="9"/>
  <c r="S102" i="9"/>
  <c r="E102" i="9"/>
  <c r="F48" i="9"/>
  <c r="H48" i="9"/>
  <c r="C96" i="9"/>
  <c r="I22" i="10" l="1" a="1"/>
  <c r="I22" i="10" s="1"/>
  <c r="T22" i="10" s="1"/>
  <c r="P14" i="10"/>
  <c r="T103" i="9"/>
  <c r="P103" i="9"/>
  <c r="G103" i="9"/>
  <c r="O103" i="9"/>
  <c r="E103" i="9"/>
  <c r="M103" i="9"/>
  <c r="L103" i="9"/>
  <c r="I103" i="9"/>
  <c r="K103" i="9"/>
  <c r="R103" i="9"/>
  <c r="D103" i="9"/>
  <c r="S103" i="9"/>
  <c r="Q103" i="9"/>
  <c r="J103" i="9"/>
  <c r="N103" i="9"/>
  <c r="H103" i="9"/>
  <c r="H36" i="10" a="1"/>
  <c r="H36" i="10" s="1"/>
  <c r="I26" i="10" a="1"/>
  <c r="I26" i="10" s="1"/>
  <c r="T26" i="10" s="1"/>
  <c r="E99" i="9"/>
  <c r="I99" i="9"/>
  <c r="J99" i="9"/>
  <c r="T99" i="9"/>
  <c r="O99" i="9"/>
  <c r="L99" i="9"/>
  <c r="D99" i="9"/>
  <c r="Q99" i="9"/>
  <c r="I12" i="10" a="1"/>
  <c r="I12" i="10" s="1"/>
  <c r="T12" i="10" s="1"/>
  <c r="T39" i="10"/>
  <c r="T15" i="10"/>
  <c r="T38" i="10"/>
  <c r="P99" i="9"/>
  <c r="N99" i="9"/>
  <c r="G99" i="9"/>
  <c r="H99" i="9"/>
  <c r="R99" i="9"/>
  <c r="M99" i="9"/>
  <c r="I24" i="10" a="1"/>
  <c r="I24" i="10" s="1"/>
  <c r="T24" i="10" s="1"/>
  <c r="F99" i="9"/>
  <c r="S99" i="9"/>
  <c r="I31" i="10" a="1"/>
  <c r="I31" i="10" s="1"/>
  <c r="H31" i="10" a="1"/>
  <c r="H31" i="10" s="1"/>
  <c r="J107" i="9"/>
  <c r="P107" i="9"/>
  <c r="K107" i="9"/>
  <c r="F107" i="9"/>
  <c r="T107" i="9"/>
  <c r="N107" i="9"/>
  <c r="I30" i="10" a="1"/>
  <c r="I30" i="10" s="1"/>
  <c r="T30" i="10" s="1"/>
  <c r="L107" i="9"/>
  <c r="M107" i="9"/>
  <c r="R107" i="9"/>
  <c r="I27" i="10" a="1"/>
  <c r="I27" i="10" s="1"/>
  <c r="T27" i="10" s="1"/>
  <c r="I107" i="9"/>
  <c r="S107" i="9"/>
  <c r="G107" i="9"/>
  <c r="Q107" i="9"/>
  <c r="D107" i="9"/>
  <c r="H107" i="9"/>
  <c r="O107" i="9"/>
  <c r="H40" i="10" a="1"/>
  <c r="H40" i="10" s="1"/>
  <c r="I33" i="10" a="1"/>
  <c r="I33" i="10" s="1"/>
  <c r="T33" i="10" s="1"/>
  <c r="O92" i="9"/>
  <c r="J92" i="9"/>
  <c r="I34" i="10" a="1"/>
  <c r="I34" i="10" s="1"/>
  <c r="T34" i="10" s="1"/>
  <c r="L78" i="9"/>
  <c r="H92" i="9"/>
  <c r="F92" i="9"/>
  <c r="H32" i="10" a="1"/>
  <c r="H32" i="10" s="1"/>
  <c r="S92" i="9"/>
  <c r="D92" i="9"/>
  <c r="I13" i="10" a="1"/>
  <c r="I13" i="10" s="1"/>
  <c r="T13" i="10" s="1"/>
  <c r="D78" i="9"/>
  <c r="N92" i="9"/>
  <c r="K92" i="9"/>
  <c r="R78" i="9"/>
  <c r="P78" i="9"/>
  <c r="Q92" i="9"/>
  <c r="T92" i="9"/>
  <c r="R92" i="9"/>
  <c r="I92" i="9"/>
  <c r="T78" i="9"/>
  <c r="E92" i="9"/>
  <c r="L92" i="9"/>
  <c r="I28" i="10" a="1"/>
  <c r="I28" i="10" s="1"/>
  <c r="T28" i="10" s="1"/>
  <c r="Q78" i="9"/>
  <c r="G92" i="9"/>
  <c r="P92" i="9"/>
  <c r="H25" i="10" a="1"/>
  <c r="H25" i="10" s="1"/>
  <c r="T83" i="9"/>
  <c r="I18" i="10" a="1"/>
  <c r="I18" i="10" s="1"/>
  <c r="T18" i="10" s="1"/>
  <c r="O78" i="9"/>
  <c r="F78" i="9"/>
  <c r="I78" i="9"/>
  <c r="I21" i="10" a="1"/>
  <c r="I21" i="10" s="1"/>
  <c r="T21" i="10" s="1"/>
  <c r="I14" i="10" a="1"/>
  <c r="I14" i="10" s="1"/>
  <c r="I17" i="10" a="1"/>
  <c r="I17" i="10" s="1"/>
  <c r="T17" i="10" s="1"/>
  <c r="I37" i="10" a="1"/>
  <c r="I37" i="10" s="1"/>
  <c r="T37" i="10" s="1"/>
  <c r="I20" i="10" a="1"/>
  <c r="I20" i="10" s="1"/>
  <c r="T20" i="10" s="1"/>
  <c r="I10" i="10" a="1"/>
  <c r="I10" i="10" s="1"/>
  <c r="M78" i="9"/>
  <c r="H78" i="9"/>
  <c r="E83" i="9"/>
  <c r="K83" i="9"/>
  <c r="J78" i="9"/>
  <c r="S78" i="9"/>
  <c r="I35" i="10" a="1"/>
  <c r="I35" i="10" s="1"/>
  <c r="T35" i="10" s="1"/>
  <c r="H83" i="9"/>
  <c r="K78" i="9"/>
  <c r="I19" i="10" a="1"/>
  <c r="I19" i="10" s="1"/>
  <c r="T19" i="10" s="1"/>
  <c r="G78" i="9"/>
  <c r="N78" i="9"/>
  <c r="P83" i="9"/>
  <c r="G83" i="9"/>
  <c r="S83" i="9"/>
  <c r="J83" i="9"/>
  <c r="I83" i="9"/>
  <c r="D83" i="9"/>
  <c r="N83" i="9"/>
  <c r="H29" i="10" a="1"/>
  <c r="H29" i="10" s="1"/>
  <c r="M83" i="9"/>
  <c r="R83" i="9"/>
  <c r="Q83" i="9"/>
  <c r="F83" i="9"/>
  <c r="L83" i="9"/>
  <c r="J90" i="9"/>
  <c r="Q90" i="9"/>
  <c r="P90" i="9"/>
  <c r="S90" i="9"/>
  <c r="R90" i="9"/>
  <c r="K90" i="9"/>
  <c r="O90" i="9"/>
  <c r="G90" i="9"/>
  <c r="T90" i="9"/>
  <c r="E90" i="9"/>
  <c r="F90" i="9"/>
  <c r="L90" i="9"/>
  <c r="H90" i="9"/>
  <c r="M90" i="9"/>
  <c r="I90" i="9"/>
  <c r="N90" i="9"/>
  <c r="D90" i="9"/>
  <c r="H23" i="10" a="1"/>
  <c r="H23" i="10" s="1"/>
  <c r="P96" i="9"/>
  <c r="J96" i="9"/>
  <c r="M96" i="9"/>
  <c r="F96" i="9"/>
  <c r="H96" i="9"/>
  <c r="S96" i="9"/>
  <c r="N96" i="9"/>
  <c r="Q96" i="9"/>
  <c r="G96" i="9"/>
  <c r="K96" i="9"/>
  <c r="I96" i="9"/>
  <c r="O96" i="9"/>
  <c r="T96" i="9"/>
  <c r="R96" i="9"/>
  <c r="D96" i="9"/>
  <c r="E96" i="9"/>
  <c r="L96" i="9"/>
  <c r="I36" i="10" l="1" a="1"/>
  <c r="I36" i="10" s="1"/>
  <c r="T36" i="10" s="1"/>
  <c r="T10" i="10"/>
  <c r="T31" i="10"/>
  <c r="T14" i="10"/>
  <c r="I32" i="10" a="1"/>
  <c r="I32" i="10" s="1"/>
  <c r="I40" i="10" a="1"/>
  <c r="I40" i="10" s="1"/>
  <c r="I25" i="10" a="1"/>
  <c r="I25" i="10" s="1"/>
  <c r="T25" i="10" s="1"/>
  <c r="I29" i="10" a="1"/>
  <c r="I29" i="10" s="1"/>
  <c r="T29" i="10" s="1"/>
  <c r="I11" i="10" a="1"/>
  <c r="I11" i="10" s="1"/>
  <c r="T11" i="10" s="1"/>
  <c r="I16" i="10" a="1"/>
  <c r="I16" i="10" s="1"/>
  <c r="T16" i="10" s="1"/>
  <c r="I23" i="10" a="1"/>
  <c r="I23" i="10" s="1"/>
  <c r="T23" i="10" s="1"/>
  <c r="H42" i="10"/>
  <c r="T40" i="10" l="1"/>
  <c r="T32" i="10"/>
  <c r="I42" i="10"/>
  <c r="T42" i="10" l="1"/>
  <c r="P19" i="10" s="1"/>
  <c r="C59" i="8" l="1"/>
  <c r="C44" i="8" l="1"/>
  <c r="M44" i="8" s="1"/>
  <c r="C55" i="8"/>
  <c r="E55" i="8" s="1"/>
  <c r="C49" i="8"/>
  <c r="N49" i="8" s="1"/>
  <c r="C66" i="8"/>
  <c r="J66" i="8" s="1"/>
  <c r="C71" i="8"/>
  <c r="R71" i="8" s="1"/>
  <c r="D59" i="8"/>
  <c r="C94" i="8"/>
  <c r="H59" i="8"/>
  <c r="E59" i="8"/>
  <c r="T59" i="8"/>
  <c r="S59" i="8"/>
  <c r="G59" i="8"/>
  <c r="R59" i="8"/>
  <c r="Q59" i="8"/>
  <c r="O59" i="8"/>
  <c r="P59" i="8"/>
  <c r="K59" i="8"/>
  <c r="I59" i="8"/>
  <c r="M59" i="8"/>
  <c r="F59" i="8"/>
  <c r="L59" i="8"/>
  <c r="J59" i="8"/>
  <c r="N59" i="8"/>
  <c r="C45" i="8"/>
  <c r="C48" i="8"/>
  <c r="C52" i="8"/>
  <c r="C68" i="8"/>
  <c r="C43" i="8"/>
  <c r="C73" i="8"/>
  <c r="C47" i="8"/>
  <c r="C69" i="8"/>
  <c r="C62" i="8"/>
  <c r="C60" i="8"/>
  <c r="C67" i="8"/>
  <c r="C50" i="8"/>
  <c r="C65" i="8"/>
  <c r="C56" i="8"/>
  <c r="C61" i="8"/>
  <c r="C57" i="8"/>
  <c r="C51" i="8"/>
  <c r="C53" i="8"/>
  <c r="C63" i="8"/>
  <c r="C58" i="8"/>
  <c r="C64" i="8"/>
  <c r="C70" i="8"/>
  <c r="C72" i="8"/>
  <c r="C46" i="8"/>
  <c r="C54" i="8"/>
  <c r="E44" i="8" l="1"/>
  <c r="D66" i="8"/>
  <c r="O66" i="8"/>
  <c r="M66" i="8"/>
  <c r="J71" i="8"/>
  <c r="D71" i="8"/>
  <c r="L71" i="8"/>
  <c r="H49" i="8"/>
  <c r="C79" i="8"/>
  <c r="C114" i="8" s="1"/>
  <c r="D114" i="8" s="1"/>
  <c r="P71" i="8"/>
  <c r="K44" i="8"/>
  <c r="R49" i="8"/>
  <c r="D44" i="8"/>
  <c r="I71" i="8"/>
  <c r="K55" i="8"/>
  <c r="H55" i="8"/>
  <c r="J44" i="8"/>
  <c r="I55" i="8"/>
  <c r="N44" i="8"/>
  <c r="N55" i="8"/>
  <c r="F71" i="8"/>
  <c r="O55" i="8"/>
  <c r="J55" i="8"/>
  <c r="D49" i="8"/>
  <c r="Q55" i="8"/>
  <c r="E49" i="8"/>
  <c r="S55" i="8"/>
  <c r="T55" i="8"/>
  <c r="O44" i="8"/>
  <c r="D55" i="8"/>
  <c r="F66" i="8"/>
  <c r="S44" i="8"/>
  <c r="P66" i="8"/>
  <c r="K49" i="8"/>
  <c r="L49" i="8"/>
  <c r="M49" i="8"/>
  <c r="Q66" i="8"/>
  <c r="I66" i="8"/>
  <c r="P49" i="8"/>
  <c r="R55" i="8"/>
  <c r="L66" i="8"/>
  <c r="P55" i="8"/>
  <c r="M55" i="8"/>
  <c r="R66" i="8"/>
  <c r="S66" i="8"/>
  <c r="T44" i="8"/>
  <c r="E66" i="8"/>
  <c r="Q44" i="8"/>
  <c r="G44" i="8"/>
  <c r="S49" i="8"/>
  <c r="K66" i="8"/>
  <c r="N66" i="8"/>
  <c r="T66" i="8"/>
  <c r="H66" i="8"/>
  <c r="F49" i="8"/>
  <c r="I44" i="8"/>
  <c r="F55" i="8"/>
  <c r="T49" i="8"/>
  <c r="C101" i="8"/>
  <c r="F101" i="8" s="1"/>
  <c r="G66" i="8"/>
  <c r="G49" i="8"/>
  <c r="C84" i="8"/>
  <c r="S84" i="8" s="1"/>
  <c r="L44" i="8"/>
  <c r="I49" i="8"/>
  <c r="R44" i="8"/>
  <c r="P44" i="8"/>
  <c r="J49" i="8"/>
  <c r="Q49" i="8"/>
  <c r="O49" i="8"/>
  <c r="O71" i="8"/>
  <c r="T71" i="8"/>
  <c r="Q71" i="8"/>
  <c r="E71" i="8"/>
  <c r="M71" i="8"/>
  <c r="N71" i="8"/>
  <c r="H71" i="8"/>
  <c r="G71" i="8"/>
  <c r="S71" i="8"/>
  <c r="C90" i="8"/>
  <c r="G55" i="8"/>
  <c r="L55" i="8"/>
  <c r="C106" i="8"/>
  <c r="C141" i="8" s="1"/>
  <c r="J141" i="8" s="1"/>
  <c r="K71" i="8"/>
  <c r="F44" i="8"/>
  <c r="H44" i="8"/>
  <c r="D67" i="8"/>
  <c r="E67" i="8"/>
  <c r="P67" i="8"/>
  <c r="H67" i="8"/>
  <c r="F67" i="8"/>
  <c r="R67" i="8"/>
  <c r="M67" i="8"/>
  <c r="C102" i="8"/>
  <c r="K67" i="8"/>
  <c r="S67" i="8"/>
  <c r="Q67" i="8"/>
  <c r="I67" i="8"/>
  <c r="T67" i="8"/>
  <c r="J67" i="8"/>
  <c r="N67" i="8"/>
  <c r="G67" i="8"/>
  <c r="L67" i="8"/>
  <c r="O67" i="8"/>
  <c r="D45" i="8"/>
  <c r="J45" i="8"/>
  <c r="P45" i="8"/>
  <c r="F45" i="8"/>
  <c r="T45" i="8"/>
  <c r="C80" i="8"/>
  <c r="S45" i="8"/>
  <c r="M45" i="8"/>
  <c r="O45" i="8"/>
  <c r="Q45" i="8"/>
  <c r="N45" i="8"/>
  <c r="I45" i="8"/>
  <c r="R45" i="8"/>
  <c r="L45" i="8"/>
  <c r="H45" i="8"/>
  <c r="K45" i="8"/>
  <c r="G45" i="8"/>
  <c r="E45" i="8"/>
  <c r="D48" i="8"/>
  <c r="C83" i="8"/>
  <c r="R48" i="8"/>
  <c r="P48" i="8"/>
  <c r="S48" i="8"/>
  <c r="T48" i="8"/>
  <c r="I48" i="8"/>
  <c r="L48" i="8"/>
  <c r="H48" i="8"/>
  <c r="Q48" i="8"/>
  <c r="M48" i="8"/>
  <c r="J48" i="8"/>
  <c r="F48" i="8"/>
  <c r="O48" i="8"/>
  <c r="E48" i="8"/>
  <c r="K48" i="8"/>
  <c r="N48" i="8"/>
  <c r="G48" i="8"/>
  <c r="D70" i="8"/>
  <c r="G70" i="8"/>
  <c r="E70" i="8"/>
  <c r="C105" i="8"/>
  <c r="C140" i="8" s="1"/>
  <c r="O70" i="8"/>
  <c r="K70" i="8"/>
  <c r="J70" i="8"/>
  <c r="I70" i="8"/>
  <c r="H70" i="8"/>
  <c r="Q70" i="8"/>
  <c r="P70" i="8"/>
  <c r="S70" i="8"/>
  <c r="N70" i="8"/>
  <c r="T70" i="8"/>
  <c r="F70" i="8"/>
  <c r="R70" i="8"/>
  <c r="M70" i="8"/>
  <c r="L70" i="8"/>
  <c r="D51" i="8"/>
  <c r="K51" i="8"/>
  <c r="G51" i="8"/>
  <c r="C86" i="8"/>
  <c r="M51" i="8"/>
  <c r="J51" i="8"/>
  <c r="F51" i="8"/>
  <c r="H51" i="8"/>
  <c r="O51" i="8"/>
  <c r="T51" i="8"/>
  <c r="P51" i="8"/>
  <c r="L51" i="8"/>
  <c r="S51" i="8"/>
  <c r="E51" i="8"/>
  <c r="I51" i="8"/>
  <c r="Q51" i="8"/>
  <c r="R51" i="8"/>
  <c r="N51" i="8"/>
  <c r="D62" i="8"/>
  <c r="N62" i="8"/>
  <c r="Q62" i="8"/>
  <c r="H62" i="8"/>
  <c r="E62" i="8"/>
  <c r="O62" i="8"/>
  <c r="L62" i="8"/>
  <c r="K62" i="8"/>
  <c r="R62" i="8"/>
  <c r="S62" i="8"/>
  <c r="J62" i="8"/>
  <c r="G62" i="8"/>
  <c r="P62" i="8"/>
  <c r="C97" i="8"/>
  <c r="C132" i="8" s="1"/>
  <c r="M62" i="8"/>
  <c r="T62" i="8"/>
  <c r="I62" i="8"/>
  <c r="F62" i="8"/>
  <c r="D57" i="8"/>
  <c r="C92" i="8"/>
  <c r="C127" i="8" s="1"/>
  <c r="J57" i="8"/>
  <c r="E57" i="8"/>
  <c r="M57" i="8"/>
  <c r="P57" i="8"/>
  <c r="N57" i="8"/>
  <c r="S57" i="8"/>
  <c r="Q57" i="8"/>
  <c r="I57" i="8"/>
  <c r="F57" i="8"/>
  <c r="G57" i="8"/>
  <c r="O57" i="8"/>
  <c r="T57" i="8"/>
  <c r="L57" i="8"/>
  <c r="K57" i="8"/>
  <c r="R57" i="8"/>
  <c r="H57" i="8"/>
  <c r="C104" i="8"/>
  <c r="K69" i="8"/>
  <c r="G69" i="8"/>
  <c r="D69" i="8"/>
  <c r="O69" i="8"/>
  <c r="I69" i="8"/>
  <c r="E69" i="8"/>
  <c r="H69" i="8"/>
  <c r="F69" i="8"/>
  <c r="M69" i="8"/>
  <c r="S69" i="8"/>
  <c r="R69" i="8"/>
  <c r="P69" i="8"/>
  <c r="J69" i="8"/>
  <c r="L69" i="8"/>
  <c r="N69" i="8"/>
  <c r="Q69" i="8"/>
  <c r="T69" i="8"/>
  <c r="D46" i="8"/>
  <c r="C81" i="8"/>
  <c r="T46" i="8"/>
  <c r="R46" i="8"/>
  <c r="J46" i="8"/>
  <c r="F46" i="8"/>
  <c r="H46" i="8"/>
  <c r="Q46" i="8"/>
  <c r="M46" i="8"/>
  <c r="L46" i="8"/>
  <c r="I46" i="8"/>
  <c r="K46" i="8"/>
  <c r="G46" i="8"/>
  <c r="P46" i="8"/>
  <c r="O46" i="8"/>
  <c r="E46" i="8"/>
  <c r="N46" i="8"/>
  <c r="S46" i="8"/>
  <c r="D53" i="8"/>
  <c r="C88" i="8"/>
  <c r="C123" i="8" s="1"/>
  <c r="P53" i="8"/>
  <c r="L53" i="8"/>
  <c r="H53" i="8"/>
  <c r="E53" i="8"/>
  <c r="I53" i="8"/>
  <c r="S53" i="8"/>
  <c r="J53" i="8"/>
  <c r="K53" i="8"/>
  <c r="M53" i="8"/>
  <c r="Q53" i="8"/>
  <c r="N53" i="8"/>
  <c r="F53" i="8"/>
  <c r="R53" i="8"/>
  <c r="G53" i="8"/>
  <c r="O53" i="8"/>
  <c r="T53" i="8"/>
  <c r="D61" i="8"/>
  <c r="C96" i="8"/>
  <c r="C131" i="8" s="1"/>
  <c r="F61" i="8"/>
  <c r="K61" i="8"/>
  <c r="N61" i="8"/>
  <c r="J61" i="8"/>
  <c r="M61" i="8"/>
  <c r="T61" i="8"/>
  <c r="O61" i="8"/>
  <c r="I61" i="8"/>
  <c r="G61" i="8"/>
  <c r="Q61" i="8"/>
  <c r="P61" i="8"/>
  <c r="L61" i="8"/>
  <c r="E61" i="8"/>
  <c r="R61" i="8"/>
  <c r="S61" i="8"/>
  <c r="H61" i="8"/>
  <c r="D60" i="8"/>
  <c r="C95" i="8"/>
  <c r="C130" i="8" s="1"/>
  <c r="I60" i="8"/>
  <c r="N60" i="8"/>
  <c r="H60" i="8"/>
  <c r="T60" i="8"/>
  <c r="J60" i="8"/>
  <c r="P60" i="8"/>
  <c r="M60" i="8"/>
  <c r="F60" i="8"/>
  <c r="G60" i="8"/>
  <c r="E60" i="8"/>
  <c r="K60" i="8"/>
  <c r="S60" i="8"/>
  <c r="O60" i="8"/>
  <c r="Q60" i="8"/>
  <c r="R60" i="8"/>
  <c r="L60" i="8"/>
  <c r="D47" i="8"/>
  <c r="C82" i="8"/>
  <c r="C117" i="8" s="1"/>
  <c r="R47" i="8"/>
  <c r="F47" i="8"/>
  <c r="E47" i="8"/>
  <c r="K47" i="8"/>
  <c r="I47" i="8"/>
  <c r="L47" i="8"/>
  <c r="T47" i="8"/>
  <c r="J47" i="8"/>
  <c r="N47" i="8"/>
  <c r="S47" i="8"/>
  <c r="G47" i="8"/>
  <c r="M47" i="8"/>
  <c r="Q47" i="8"/>
  <c r="H47" i="8"/>
  <c r="O47" i="8"/>
  <c r="P47" i="8"/>
  <c r="D43" i="8"/>
  <c r="C78" i="8"/>
  <c r="C113" i="8" s="1"/>
  <c r="P43" i="8"/>
  <c r="E43" i="8"/>
  <c r="M43" i="8"/>
  <c r="J43" i="8"/>
  <c r="G43" i="8"/>
  <c r="O43" i="8"/>
  <c r="S43" i="8"/>
  <c r="N43" i="8"/>
  <c r="H43" i="8"/>
  <c r="L43" i="8"/>
  <c r="T43" i="8"/>
  <c r="I43" i="8"/>
  <c r="F43" i="8"/>
  <c r="K43" i="8"/>
  <c r="Q43" i="8"/>
  <c r="R43" i="8"/>
  <c r="D68" i="8"/>
  <c r="C103" i="8"/>
  <c r="C138" i="8" s="1"/>
  <c r="P68" i="8"/>
  <c r="M68" i="8"/>
  <c r="E68" i="8"/>
  <c r="N68" i="8"/>
  <c r="F68" i="8"/>
  <c r="O68" i="8"/>
  <c r="K68" i="8"/>
  <c r="T68" i="8"/>
  <c r="L68" i="8"/>
  <c r="I68" i="8"/>
  <c r="H68" i="8"/>
  <c r="J68" i="8"/>
  <c r="S68" i="8"/>
  <c r="Q68" i="8"/>
  <c r="R68" i="8"/>
  <c r="G68" i="8"/>
  <c r="D94" i="8"/>
  <c r="Q94" i="8"/>
  <c r="G94" i="8"/>
  <c r="E94" i="8"/>
  <c r="F94" i="8"/>
  <c r="S94" i="8"/>
  <c r="O94" i="8"/>
  <c r="M94" i="8"/>
  <c r="L94" i="8"/>
  <c r="T94" i="8"/>
  <c r="N94" i="8"/>
  <c r="H94" i="8"/>
  <c r="J94" i="8"/>
  <c r="K94" i="8"/>
  <c r="R94" i="8"/>
  <c r="I94" i="8"/>
  <c r="P94" i="8"/>
  <c r="D63" i="8"/>
  <c r="C98" i="8"/>
  <c r="C133" i="8" s="1"/>
  <c r="Q63" i="8"/>
  <c r="H63" i="8"/>
  <c r="F63" i="8"/>
  <c r="S63" i="8"/>
  <c r="G63" i="8"/>
  <c r="R63" i="8"/>
  <c r="I63" i="8"/>
  <c r="J63" i="8"/>
  <c r="E63" i="8"/>
  <c r="K63" i="8"/>
  <c r="T63" i="8"/>
  <c r="P63" i="8"/>
  <c r="M63" i="8"/>
  <c r="N63" i="8"/>
  <c r="O63" i="8"/>
  <c r="L63" i="8"/>
  <c r="E26" i="10" a="1"/>
  <c r="E26" i="10" s="1"/>
  <c r="D54" i="8"/>
  <c r="C89" i="8"/>
  <c r="C124" i="8" s="1"/>
  <c r="O54" i="8"/>
  <c r="E54" i="8"/>
  <c r="H54" i="8"/>
  <c r="S54" i="8"/>
  <c r="R54" i="8"/>
  <c r="G54" i="8"/>
  <c r="F54" i="8"/>
  <c r="Q54" i="8"/>
  <c r="M54" i="8"/>
  <c r="I54" i="8"/>
  <c r="L54" i="8"/>
  <c r="T54" i="8"/>
  <c r="J54" i="8"/>
  <c r="K54" i="8"/>
  <c r="N54" i="8"/>
  <c r="P54" i="8"/>
  <c r="D56" i="8"/>
  <c r="C91" i="8"/>
  <c r="C126" i="8" s="1"/>
  <c r="G56" i="8"/>
  <c r="S56" i="8"/>
  <c r="F56" i="8"/>
  <c r="M56" i="8"/>
  <c r="P56" i="8"/>
  <c r="Q56" i="8"/>
  <c r="J56" i="8"/>
  <c r="R56" i="8"/>
  <c r="N56" i="8"/>
  <c r="K56" i="8"/>
  <c r="T56" i="8"/>
  <c r="E56" i="8"/>
  <c r="O56" i="8"/>
  <c r="H56" i="8"/>
  <c r="L56" i="8"/>
  <c r="I56" i="8"/>
  <c r="D73" i="8"/>
  <c r="C108" i="8"/>
  <c r="N73" i="8"/>
  <c r="K73" i="8"/>
  <c r="G73" i="8"/>
  <c r="I73" i="8"/>
  <c r="M73" i="8"/>
  <c r="P73" i="8"/>
  <c r="L73" i="8"/>
  <c r="T73" i="8"/>
  <c r="O73" i="8"/>
  <c r="F73" i="8"/>
  <c r="E73" i="8"/>
  <c r="J73" i="8"/>
  <c r="R73" i="8"/>
  <c r="S73" i="8"/>
  <c r="H73" i="8"/>
  <c r="Q73" i="8"/>
  <c r="D72" i="8"/>
  <c r="H72" i="8"/>
  <c r="L72" i="8"/>
  <c r="C107" i="8"/>
  <c r="G72" i="8"/>
  <c r="F72" i="8"/>
  <c r="I72" i="8"/>
  <c r="N72" i="8"/>
  <c r="R72" i="8"/>
  <c r="J72" i="8"/>
  <c r="P72" i="8"/>
  <c r="Q72" i="8"/>
  <c r="M72" i="8"/>
  <c r="K72" i="8"/>
  <c r="O72" i="8"/>
  <c r="T72" i="8"/>
  <c r="S72" i="8"/>
  <c r="E72" i="8"/>
  <c r="D64" i="8"/>
  <c r="C99" i="8"/>
  <c r="C134" i="8" s="1"/>
  <c r="R64" i="8"/>
  <c r="S64" i="8"/>
  <c r="P64" i="8"/>
  <c r="F64" i="8"/>
  <c r="G64" i="8"/>
  <c r="I64" i="8"/>
  <c r="J64" i="8"/>
  <c r="N64" i="8"/>
  <c r="L64" i="8"/>
  <c r="O64" i="8"/>
  <c r="H64" i="8"/>
  <c r="Q64" i="8"/>
  <c r="M64" i="8"/>
  <c r="E64" i="8"/>
  <c r="K64" i="8"/>
  <c r="T64" i="8"/>
  <c r="D65" i="8"/>
  <c r="C100" i="8"/>
  <c r="C135" i="8" s="1"/>
  <c r="M65" i="8"/>
  <c r="K65" i="8"/>
  <c r="R65" i="8"/>
  <c r="F65" i="8"/>
  <c r="S65" i="8"/>
  <c r="P65" i="8"/>
  <c r="N65" i="8"/>
  <c r="Q65" i="8"/>
  <c r="T65" i="8"/>
  <c r="J65" i="8"/>
  <c r="G65" i="8"/>
  <c r="I65" i="8"/>
  <c r="H65" i="8"/>
  <c r="O65" i="8"/>
  <c r="E65" i="8"/>
  <c r="L65" i="8"/>
  <c r="D58" i="8"/>
  <c r="C93" i="8"/>
  <c r="C128" i="8" s="1"/>
  <c r="M58" i="8"/>
  <c r="R58" i="8"/>
  <c r="Q58" i="8"/>
  <c r="I58" i="8"/>
  <c r="S58" i="8"/>
  <c r="J58" i="8"/>
  <c r="H58" i="8"/>
  <c r="E58" i="8"/>
  <c r="N58" i="8"/>
  <c r="P58" i="8"/>
  <c r="F58" i="8"/>
  <c r="O58" i="8"/>
  <c r="G58" i="8"/>
  <c r="L58" i="8"/>
  <c r="T58" i="8"/>
  <c r="K58" i="8"/>
  <c r="D50" i="8"/>
  <c r="C85" i="8"/>
  <c r="C120" i="8" s="1"/>
  <c r="J50" i="8"/>
  <c r="F50" i="8"/>
  <c r="S50" i="8"/>
  <c r="R50" i="8"/>
  <c r="I50" i="8"/>
  <c r="E50" i="8"/>
  <c r="P50" i="8"/>
  <c r="L50" i="8"/>
  <c r="G50" i="8"/>
  <c r="M50" i="8"/>
  <c r="K50" i="8"/>
  <c r="N50" i="8"/>
  <c r="H50" i="8"/>
  <c r="Q50" i="8"/>
  <c r="T50" i="8"/>
  <c r="O50" i="8"/>
  <c r="C87" i="8"/>
  <c r="C122" i="8" s="1"/>
  <c r="J52" i="8"/>
  <c r="H52" i="8"/>
  <c r="S52" i="8"/>
  <c r="I52" i="8"/>
  <c r="D52" i="8"/>
  <c r="N52" i="8"/>
  <c r="K52" i="8"/>
  <c r="P52" i="8"/>
  <c r="L52" i="8"/>
  <c r="Q52" i="8"/>
  <c r="G52" i="8"/>
  <c r="E52" i="8"/>
  <c r="M52" i="8"/>
  <c r="O52" i="8"/>
  <c r="F52" i="8"/>
  <c r="T52" i="8"/>
  <c r="R52" i="8"/>
  <c r="C129" i="8"/>
  <c r="L79" i="8" l="1"/>
  <c r="J79" i="8"/>
  <c r="F79" i="8"/>
  <c r="E79" i="8"/>
  <c r="E114" i="8"/>
  <c r="Q79" i="8"/>
  <c r="F114" i="8"/>
  <c r="R79" i="8"/>
  <c r="P114" i="8"/>
  <c r="H114" i="8"/>
  <c r="T79" i="8"/>
  <c r="H79" i="8"/>
  <c r="J114" i="8"/>
  <c r="R114" i="8"/>
  <c r="N79" i="8"/>
  <c r="G79" i="8"/>
  <c r="O114" i="8"/>
  <c r="G114" i="8"/>
  <c r="N114" i="8"/>
  <c r="P79" i="8"/>
  <c r="K79" i="8"/>
  <c r="S79" i="8"/>
  <c r="S114" i="8"/>
  <c r="I114" i="8"/>
  <c r="O79" i="8"/>
  <c r="K114" i="8"/>
  <c r="L114" i="8"/>
  <c r="M79" i="8"/>
  <c r="I79" i="8"/>
  <c r="D79" i="8"/>
  <c r="M114" i="8"/>
  <c r="T114" i="8"/>
  <c r="E22" i="10" a="1"/>
  <c r="E22" i="10" s="1"/>
  <c r="Q114" i="8"/>
  <c r="E106" i="8"/>
  <c r="O106" i="8"/>
  <c r="K101" i="8"/>
  <c r="R101" i="8"/>
  <c r="L106" i="8"/>
  <c r="H106" i="8"/>
  <c r="C119" i="8"/>
  <c r="Q119" i="8" s="1"/>
  <c r="F84" i="8"/>
  <c r="O84" i="8"/>
  <c r="L84" i="8"/>
  <c r="C136" i="8"/>
  <c r="H136" i="8" s="1"/>
  <c r="O101" i="8"/>
  <c r="P84" i="8"/>
  <c r="T84" i="8"/>
  <c r="G101" i="8"/>
  <c r="J101" i="8"/>
  <c r="E33" i="10" a="1"/>
  <c r="E33" i="10" s="1"/>
  <c r="I101" i="8"/>
  <c r="H101" i="8"/>
  <c r="S101" i="8"/>
  <c r="E101" i="8"/>
  <c r="P101" i="8"/>
  <c r="H141" i="8"/>
  <c r="N101" i="8"/>
  <c r="Q101" i="8"/>
  <c r="D101" i="8"/>
  <c r="G141" i="8"/>
  <c r="L101" i="8"/>
  <c r="T101" i="8"/>
  <c r="M101" i="8"/>
  <c r="G84" i="8"/>
  <c r="M84" i="8"/>
  <c r="E38" i="10" a="1"/>
  <c r="E38" i="10" s="1"/>
  <c r="K84" i="8"/>
  <c r="Q84" i="8"/>
  <c r="D84" i="8"/>
  <c r="E84" i="8"/>
  <c r="N84" i="8"/>
  <c r="I84" i="8"/>
  <c r="R84" i="8"/>
  <c r="H84" i="8"/>
  <c r="J84" i="8"/>
  <c r="S106" i="8"/>
  <c r="K106" i="8"/>
  <c r="L141" i="8"/>
  <c r="F141" i="8"/>
  <c r="F106" i="8"/>
  <c r="R106" i="8"/>
  <c r="D106" i="8"/>
  <c r="P141" i="8"/>
  <c r="E141" i="8"/>
  <c r="O141" i="8"/>
  <c r="T106" i="8"/>
  <c r="P106" i="8"/>
  <c r="M141" i="8"/>
  <c r="R141" i="8"/>
  <c r="F90" i="8"/>
  <c r="R90" i="8"/>
  <c r="H90" i="8"/>
  <c r="D90" i="8"/>
  <c r="E90" i="8"/>
  <c r="M90" i="8"/>
  <c r="K90" i="8"/>
  <c r="L90" i="8"/>
  <c r="Q90" i="8"/>
  <c r="T90" i="8"/>
  <c r="O90" i="8"/>
  <c r="N90" i="8"/>
  <c r="P90" i="8"/>
  <c r="J90" i="8"/>
  <c r="S90" i="8"/>
  <c r="G90" i="8"/>
  <c r="I90" i="8"/>
  <c r="Q106" i="8"/>
  <c r="N106" i="8"/>
  <c r="N141" i="8"/>
  <c r="I141" i="8"/>
  <c r="D141" i="8"/>
  <c r="C125" i="8"/>
  <c r="T141" i="8"/>
  <c r="G106" i="8"/>
  <c r="J106" i="8"/>
  <c r="Q141" i="8"/>
  <c r="S141" i="8"/>
  <c r="M106" i="8"/>
  <c r="I106" i="8"/>
  <c r="K141" i="8"/>
  <c r="D140" i="8"/>
  <c r="N140" i="8"/>
  <c r="M140" i="8"/>
  <c r="S140" i="8"/>
  <c r="H140" i="8"/>
  <c r="T140" i="8"/>
  <c r="I140" i="8"/>
  <c r="P140" i="8"/>
  <c r="R140" i="8"/>
  <c r="F140" i="8"/>
  <c r="Q140" i="8"/>
  <c r="E140" i="8"/>
  <c r="J140" i="8"/>
  <c r="K140" i="8"/>
  <c r="O140" i="8"/>
  <c r="G140" i="8"/>
  <c r="L140" i="8"/>
  <c r="D122" i="8"/>
  <c r="O122" i="8"/>
  <c r="I122" i="8"/>
  <c r="S122" i="8"/>
  <c r="P122" i="8"/>
  <c r="F122" i="8"/>
  <c r="K122" i="8"/>
  <c r="M122" i="8"/>
  <c r="H122" i="8"/>
  <c r="Q122" i="8"/>
  <c r="J122" i="8"/>
  <c r="N122" i="8"/>
  <c r="L122" i="8"/>
  <c r="G122" i="8"/>
  <c r="R122" i="8"/>
  <c r="T122" i="8"/>
  <c r="E122" i="8"/>
  <c r="M132" i="8"/>
  <c r="Q132" i="8"/>
  <c r="R132" i="8"/>
  <c r="F132" i="8"/>
  <c r="O132" i="8"/>
  <c r="L132" i="8"/>
  <c r="D132" i="8"/>
  <c r="H132" i="8"/>
  <c r="J132" i="8"/>
  <c r="N132" i="8"/>
  <c r="E132" i="8"/>
  <c r="T132" i="8"/>
  <c r="P132" i="8"/>
  <c r="I132" i="8"/>
  <c r="S132" i="8"/>
  <c r="K132" i="8"/>
  <c r="G132" i="8"/>
  <c r="D120" i="8"/>
  <c r="J120" i="8"/>
  <c r="I120" i="8"/>
  <c r="G120" i="8"/>
  <c r="H120" i="8"/>
  <c r="M120" i="8"/>
  <c r="N120" i="8"/>
  <c r="K120" i="8"/>
  <c r="O120" i="8"/>
  <c r="Q120" i="8"/>
  <c r="L120" i="8"/>
  <c r="P120" i="8"/>
  <c r="E120" i="8"/>
  <c r="F120" i="8"/>
  <c r="T120" i="8"/>
  <c r="R120" i="8"/>
  <c r="S120" i="8"/>
  <c r="O100" i="8"/>
  <c r="M100" i="8"/>
  <c r="P100" i="8"/>
  <c r="F100" i="8"/>
  <c r="D100" i="8"/>
  <c r="K100" i="8"/>
  <c r="I100" i="8"/>
  <c r="S100" i="8"/>
  <c r="J100" i="8"/>
  <c r="H100" i="8"/>
  <c r="E100" i="8"/>
  <c r="N100" i="8"/>
  <c r="Q100" i="8"/>
  <c r="G100" i="8"/>
  <c r="R100" i="8"/>
  <c r="T100" i="8"/>
  <c r="L100" i="8"/>
  <c r="E21" i="10" a="1"/>
  <c r="E21" i="10" s="1"/>
  <c r="D103" i="8"/>
  <c r="R103" i="8"/>
  <c r="H103" i="8"/>
  <c r="N103" i="8"/>
  <c r="J103" i="8"/>
  <c r="E103" i="8"/>
  <c r="F103" i="8"/>
  <c r="Q103" i="8"/>
  <c r="P103" i="8"/>
  <c r="M103" i="8"/>
  <c r="L103" i="8"/>
  <c r="G103" i="8"/>
  <c r="S103" i="8"/>
  <c r="K103" i="8"/>
  <c r="T103" i="8"/>
  <c r="I103" i="8"/>
  <c r="O103" i="8"/>
  <c r="D82" i="8"/>
  <c r="L82" i="8"/>
  <c r="G82" i="8"/>
  <c r="E82" i="8"/>
  <c r="P82" i="8"/>
  <c r="N82" i="8"/>
  <c r="H82" i="8"/>
  <c r="Q82" i="8"/>
  <c r="S82" i="8"/>
  <c r="T82" i="8"/>
  <c r="I82" i="8"/>
  <c r="K82" i="8"/>
  <c r="F82" i="8"/>
  <c r="O82" i="8"/>
  <c r="R82" i="8"/>
  <c r="M82" i="8"/>
  <c r="J82" i="8"/>
  <c r="D96" i="8"/>
  <c r="E96" i="8"/>
  <c r="P96" i="8"/>
  <c r="O96" i="8"/>
  <c r="H96" i="8"/>
  <c r="J96" i="8"/>
  <c r="S96" i="8"/>
  <c r="T96" i="8"/>
  <c r="R96" i="8"/>
  <c r="L96" i="8"/>
  <c r="N96" i="8"/>
  <c r="G96" i="8"/>
  <c r="K96" i="8"/>
  <c r="F96" i="8"/>
  <c r="I96" i="8"/>
  <c r="Q96" i="8"/>
  <c r="M96" i="8"/>
  <c r="E32" i="10" a="1"/>
  <c r="E32" i="10" s="1"/>
  <c r="D108" i="8"/>
  <c r="E108" i="8"/>
  <c r="J108" i="8"/>
  <c r="R108" i="8"/>
  <c r="G108" i="8"/>
  <c r="N108" i="8"/>
  <c r="M108" i="8"/>
  <c r="T108" i="8"/>
  <c r="S108" i="8"/>
  <c r="P108" i="8"/>
  <c r="I108" i="8"/>
  <c r="Q108" i="8"/>
  <c r="F108" i="8"/>
  <c r="K108" i="8"/>
  <c r="L108" i="8"/>
  <c r="O108" i="8"/>
  <c r="H108" i="8"/>
  <c r="E35" i="10" a="1"/>
  <c r="E35" i="10" s="1"/>
  <c r="E28" i="10" a="1"/>
  <c r="E28" i="10" s="1"/>
  <c r="D86" i="8"/>
  <c r="E86" i="8"/>
  <c r="H86" i="8"/>
  <c r="P86" i="8"/>
  <c r="F86" i="8"/>
  <c r="G86" i="8"/>
  <c r="L86" i="8"/>
  <c r="O86" i="8"/>
  <c r="T86" i="8"/>
  <c r="S86" i="8"/>
  <c r="K86" i="8"/>
  <c r="R86" i="8"/>
  <c r="J86" i="8"/>
  <c r="N86" i="8"/>
  <c r="I86" i="8"/>
  <c r="Q86" i="8"/>
  <c r="M86" i="8"/>
  <c r="E37" i="10" a="1"/>
  <c r="E37" i="10" s="1"/>
  <c r="P85" i="8"/>
  <c r="L85" i="8"/>
  <c r="O85" i="8"/>
  <c r="G85" i="8"/>
  <c r="N85" i="8"/>
  <c r="D85" i="8"/>
  <c r="T85" i="8"/>
  <c r="F85" i="8"/>
  <c r="H85" i="8"/>
  <c r="Q85" i="8"/>
  <c r="I85" i="8"/>
  <c r="J85" i="8"/>
  <c r="S85" i="8"/>
  <c r="R85" i="8"/>
  <c r="M85" i="8"/>
  <c r="K85" i="8"/>
  <c r="E85" i="8"/>
  <c r="D99" i="8"/>
  <c r="S99" i="8"/>
  <c r="F99" i="8"/>
  <c r="E99" i="8"/>
  <c r="J99" i="8"/>
  <c r="P99" i="8"/>
  <c r="Q99" i="8"/>
  <c r="T99" i="8"/>
  <c r="O99" i="8"/>
  <c r="I99" i="8"/>
  <c r="K99" i="8"/>
  <c r="N99" i="8"/>
  <c r="H99" i="8"/>
  <c r="G99" i="8"/>
  <c r="L99" i="8"/>
  <c r="R99" i="8"/>
  <c r="M99" i="8"/>
  <c r="E40" i="10" a="1"/>
  <c r="E40" i="10" s="1"/>
  <c r="O138" i="8"/>
  <c r="D138" i="8"/>
  <c r="I138" i="8"/>
  <c r="G138" i="8"/>
  <c r="K138" i="8"/>
  <c r="N138" i="8"/>
  <c r="J138" i="8"/>
  <c r="E138" i="8"/>
  <c r="L138" i="8"/>
  <c r="S138" i="8"/>
  <c r="R138" i="8"/>
  <c r="F138" i="8"/>
  <c r="H138" i="8"/>
  <c r="T138" i="8"/>
  <c r="P138" i="8"/>
  <c r="M138" i="8"/>
  <c r="Q138" i="8"/>
  <c r="O117" i="8"/>
  <c r="N117" i="8"/>
  <c r="G117" i="8"/>
  <c r="M117" i="8"/>
  <c r="F117" i="8"/>
  <c r="K117" i="8"/>
  <c r="Q117" i="8"/>
  <c r="H117" i="8"/>
  <c r="L117" i="8"/>
  <c r="D117" i="8"/>
  <c r="E117" i="8"/>
  <c r="S117" i="8"/>
  <c r="I117" i="8"/>
  <c r="P117" i="8"/>
  <c r="T117" i="8"/>
  <c r="R117" i="8"/>
  <c r="J117" i="8"/>
  <c r="D95" i="8"/>
  <c r="M95" i="8"/>
  <c r="K95" i="8"/>
  <c r="E95" i="8"/>
  <c r="L95" i="8"/>
  <c r="N95" i="8"/>
  <c r="G95" i="8"/>
  <c r="Q95" i="8"/>
  <c r="F95" i="8"/>
  <c r="O95" i="8"/>
  <c r="S95" i="8"/>
  <c r="P95" i="8"/>
  <c r="I95" i="8"/>
  <c r="J95" i="8"/>
  <c r="H95" i="8"/>
  <c r="T95" i="8"/>
  <c r="R95" i="8"/>
  <c r="Q123" i="8"/>
  <c r="N123" i="8"/>
  <c r="R123" i="8"/>
  <c r="K123" i="8"/>
  <c r="I123" i="8"/>
  <c r="D123" i="8"/>
  <c r="M123" i="8"/>
  <c r="E123" i="8"/>
  <c r="S123" i="8"/>
  <c r="H123" i="8"/>
  <c r="J123" i="8"/>
  <c r="P123" i="8"/>
  <c r="O123" i="8"/>
  <c r="L123" i="8"/>
  <c r="F123" i="8"/>
  <c r="G123" i="8"/>
  <c r="T123" i="8"/>
  <c r="D104" i="8"/>
  <c r="J104" i="8"/>
  <c r="R104" i="8"/>
  <c r="O104" i="8"/>
  <c r="L104" i="8"/>
  <c r="F104" i="8"/>
  <c r="N104" i="8"/>
  <c r="Q104" i="8"/>
  <c r="T104" i="8"/>
  <c r="K104" i="8"/>
  <c r="I104" i="8"/>
  <c r="E104" i="8"/>
  <c r="G104" i="8"/>
  <c r="M104" i="8"/>
  <c r="P104" i="8"/>
  <c r="H104" i="8"/>
  <c r="S104" i="8"/>
  <c r="E29" i="10" a="1"/>
  <c r="E29" i="10" s="1"/>
  <c r="D83" i="8"/>
  <c r="E83" i="8"/>
  <c r="Q83" i="8"/>
  <c r="R83" i="8"/>
  <c r="O83" i="8"/>
  <c r="T83" i="8"/>
  <c r="G83" i="8"/>
  <c r="F83" i="8"/>
  <c r="P83" i="8"/>
  <c r="H83" i="8"/>
  <c r="S83" i="8"/>
  <c r="J83" i="8"/>
  <c r="L83" i="8"/>
  <c r="M83" i="8"/>
  <c r="I83" i="8"/>
  <c r="K83" i="8"/>
  <c r="N83" i="8"/>
  <c r="D80" i="8"/>
  <c r="E80" i="8"/>
  <c r="P80" i="8"/>
  <c r="M80" i="8"/>
  <c r="R80" i="8"/>
  <c r="S80" i="8"/>
  <c r="K80" i="8"/>
  <c r="N80" i="8"/>
  <c r="G80" i="8"/>
  <c r="J80" i="8"/>
  <c r="T80" i="8"/>
  <c r="L80" i="8"/>
  <c r="H80" i="8"/>
  <c r="Q80" i="8"/>
  <c r="O80" i="8"/>
  <c r="I80" i="8"/>
  <c r="F80" i="8"/>
  <c r="L129" i="8"/>
  <c r="R129" i="8"/>
  <c r="S129" i="8"/>
  <c r="P129" i="8"/>
  <c r="M129" i="8"/>
  <c r="D129" i="8"/>
  <c r="K129" i="8"/>
  <c r="Q129" i="8"/>
  <c r="F129" i="8"/>
  <c r="O129" i="8"/>
  <c r="G129" i="8"/>
  <c r="N129" i="8"/>
  <c r="E129" i="8"/>
  <c r="T129" i="8"/>
  <c r="J129" i="8"/>
  <c r="H129" i="8"/>
  <c r="I129" i="8"/>
  <c r="D93" i="8"/>
  <c r="N93" i="8"/>
  <c r="S93" i="8"/>
  <c r="I93" i="8"/>
  <c r="R93" i="8"/>
  <c r="J93" i="8"/>
  <c r="H93" i="8"/>
  <c r="T93" i="8"/>
  <c r="Q93" i="8"/>
  <c r="K93" i="8"/>
  <c r="E93" i="8"/>
  <c r="L93" i="8"/>
  <c r="F93" i="8"/>
  <c r="M93" i="8"/>
  <c r="O93" i="8"/>
  <c r="G93" i="8"/>
  <c r="P93" i="8"/>
  <c r="E31" i="10" a="1"/>
  <c r="E31" i="10" s="1"/>
  <c r="H91" i="8"/>
  <c r="Q91" i="8"/>
  <c r="T91" i="8"/>
  <c r="L91" i="8"/>
  <c r="M91" i="8"/>
  <c r="O91" i="8"/>
  <c r="E91" i="8"/>
  <c r="J91" i="8"/>
  <c r="R91" i="8"/>
  <c r="P91" i="8"/>
  <c r="I91" i="8"/>
  <c r="G91" i="8"/>
  <c r="S91" i="8"/>
  <c r="F91" i="8"/>
  <c r="N91" i="8"/>
  <c r="D91" i="8"/>
  <c r="K91" i="8"/>
  <c r="D78" i="8"/>
  <c r="T78" i="8"/>
  <c r="R78" i="8"/>
  <c r="H78" i="8"/>
  <c r="F78" i="8"/>
  <c r="P78" i="8"/>
  <c r="K78" i="8"/>
  <c r="M78" i="8"/>
  <c r="Q78" i="8"/>
  <c r="J78" i="8"/>
  <c r="E78" i="8"/>
  <c r="N78" i="8"/>
  <c r="S78" i="8"/>
  <c r="O78" i="8"/>
  <c r="G78" i="8"/>
  <c r="I78" i="8"/>
  <c r="L78" i="8"/>
  <c r="E27" i="10" a="1"/>
  <c r="E27" i="10" s="1"/>
  <c r="D88" i="8"/>
  <c r="J88" i="8"/>
  <c r="L88" i="8"/>
  <c r="R88" i="8"/>
  <c r="H88" i="8"/>
  <c r="O88" i="8"/>
  <c r="G88" i="8"/>
  <c r="E88" i="8"/>
  <c r="I88" i="8"/>
  <c r="F88" i="8"/>
  <c r="P88" i="8"/>
  <c r="N88" i="8"/>
  <c r="K88" i="8"/>
  <c r="S88" i="8"/>
  <c r="T88" i="8"/>
  <c r="M88" i="8"/>
  <c r="Q88" i="8"/>
  <c r="D92" i="8"/>
  <c r="K92" i="8"/>
  <c r="N92" i="8"/>
  <c r="H92" i="8"/>
  <c r="Q92" i="8"/>
  <c r="P92" i="8"/>
  <c r="M92" i="8"/>
  <c r="T92" i="8"/>
  <c r="J92" i="8"/>
  <c r="F92" i="8"/>
  <c r="G92" i="8"/>
  <c r="I92" i="8"/>
  <c r="O92" i="8"/>
  <c r="R92" i="8"/>
  <c r="L92" i="8"/>
  <c r="S92" i="8"/>
  <c r="E92" i="8"/>
  <c r="C118" i="8"/>
  <c r="E25" i="10" a="1"/>
  <c r="E25" i="10" s="1"/>
  <c r="D134" i="8"/>
  <c r="E134" i="8"/>
  <c r="S134" i="8"/>
  <c r="P134" i="8"/>
  <c r="H134" i="8"/>
  <c r="I134" i="8"/>
  <c r="F134" i="8"/>
  <c r="Q134" i="8"/>
  <c r="J134" i="8"/>
  <c r="O134" i="8"/>
  <c r="R134" i="8"/>
  <c r="T134" i="8"/>
  <c r="G134" i="8"/>
  <c r="M134" i="8"/>
  <c r="N134" i="8"/>
  <c r="K134" i="8"/>
  <c r="L134" i="8"/>
  <c r="D107" i="8"/>
  <c r="Q107" i="8"/>
  <c r="G107" i="8"/>
  <c r="R107" i="8"/>
  <c r="K107" i="8"/>
  <c r="H107" i="8"/>
  <c r="O107" i="8"/>
  <c r="S107" i="8"/>
  <c r="N107" i="8"/>
  <c r="E107" i="8"/>
  <c r="J107" i="8"/>
  <c r="M107" i="8"/>
  <c r="L107" i="8"/>
  <c r="T107" i="8"/>
  <c r="P107" i="8"/>
  <c r="F107" i="8"/>
  <c r="I107" i="8"/>
  <c r="E23" i="10" a="1"/>
  <c r="E23" i="10" s="1"/>
  <c r="D98" i="8"/>
  <c r="T98" i="8"/>
  <c r="M98" i="8"/>
  <c r="P98" i="8"/>
  <c r="Q98" i="8"/>
  <c r="K98" i="8"/>
  <c r="H98" i="8"/>
  <c r="I98" i="8"/>
  <c r="J98" i="8"/>
  <c r="F98" i="8"/>
  <c r="L98" i="8"/>
  <c r="G98" i="8"/>
  <c r="N98" i="8"/>
  <c r="O98" i="8"/>
  <c r="R98" i="8"/>
  <c r="E98" i="8"/>
  <c r="S98" i="8"/>
  <c r="J113" i="8"/>
  <c r="H113" i="8"/>
  <c r="P113" i="8"/>
  <c r="N113" i="8"/>
  <c r="E113" i="8"/>
  <c r="S113" i="8"/>
  <c r="R113" i="8"/>
  <c r="K113" i="8"/>
  <c r="F113" i="8"/>
  <c r="I113" i="8"/>
  <c r="D113" i="8"/>
  <c r="T113" i="8"/>
  <c r="Q113" i="8"/>
  <c r="G113" i="8"/>
  <c r="M113" i="8"/>
  <c r="O113" i="8"/>
  <c r="L113" i="8"/>
  <c r="F130" i="8"/>
  <c r="I130" i="8"/>
  <c r="H130" i="8"/>
  <c r="G130" i="8"/>
  <c r="K130" i="8"/>
  <c r="S130" i="8"/>
  <c r="R130" i="8"/>
  <c r="N130" i="8"/>
  <c r="P130" i="8"/>
  <c r="E130" i="8"/>
  <c r="T130" i="8"/>
  <c r="L130" i="8"/>
  <c r="J130" i="8"/>
  <c r="M130" i="8"/>
  <c r="D130" i="8"/>
  <c r="Q130" i="8"/>
  <c r="O130" i="8"/>
  <c r="R131" i="8"/>
  <c r="D131" i="8"/>
  <c r="P131" i="8"/>
  <c r="K131" i="8"/>
  <c r="J131" i="8"/>
  <c r="O131" i="8"/>
  <c r="T131" i="8"/>
  <c r="F131" i="8"/>
  <c r="H131" i="8"/>
  <c r="Q131" i="8"/>
  <c r="S131" i="8"/>
  <c r="L131" i="8"/>
  <c r="N131" i="8"/>
  <c r="G131" i="8"/>
  <c r="E131" i="8"/>
  <c r="I131" i="8"/>
  <c r="M131" i="8"/>
  <c r="O127" i="8"/>
  <c r="P127" i="8"/>
  <c r="F127" i="8"/>
  <c r="G127" i="8"/>
  <c r="J127" i="8"/>
  <c r="D127" i="8"/>
  <c r="T127" i="8"/>
  <c r="S127" i="8"/>
  <c r="K127" i="8"/>
  <c r="E127" i="8"/>
  <c r="M127" i="8"/>
  <c r="H127" i="8"/>
  <c r="I127" i="8"/>
  <c r="L127" i="8"/>
  <c r="R127" i="8"/>
  <c r="N127" i="8"/>
  <c r="Q127" i="8"/>
  <c r="S97" i="8"/>
  <c r="L97" i="8"/>
  <c r="D97" i="8"/>
  <c r="F97" i="8"/>
  <c r="R97" i="8"/>
  <c r="T97" i="8"/>
  <c r="G97" i="8"/>
  <c r="M97" i="8"/>
  <c r="H97" i="8"/>
  <c r="Q97" i="8"/>
  <c r="I97" i="8"/>
  <c r="E97" i="8"/>
  <c r="O97" i="8"/>
  <c r="K97" i="8"/>
  <c r="P97" i="8"/>
  <c r="N97" i="8"/>
  <c r="J97" i="8"/>
  <c r="E34" i="10" a="1"/>
  <c r="E34" i="10" s="1"/>
  <c r="K128" i="8"/>
  <c r="T128" i="8"/>
  <c r="O128" i="8"/>
  <c r="D128" i="8"/>
  <c r="J128" i="8"/>
  <c r="P128" i="8"/>
  <c r="M128" i="8"/>
  <c r="L128" i="8"/>
  <c r="H128" i="8"/>
  <c r="I128" i="8"/>
  <c r="S128" i="8"/>
  <c r="N128" i="8"/>
  <c r="Q128" i="8"/>
  <c r="E128" i="8"/>
  <c r="F128" i="8"/>
  <c r="R128" i="8"/>
  <c r="G128" i="8"/>
  <c r="C142" i="8"/>
  <c r="N126" i="8"/>
  <c r="Q126" i="8"/>
  <c r="I126" i="8"/>
  <c r="O126" i="8"/>
  <c r="J126" i="8"/>
  <c r="F126" i="8"/>
  <c r="P126" i="8"/>
  <c r="H126" i="8"/>
  <c r="D126" i="8"/>
  <c r="L126" i="8"/>
  <c r="E126" i="8"/>
  <c r="S126" i="8"/>
  <c r="M126" i="8"/>
  <c r="G126" i="8"/>
  <c r="K126" i="8"/>
  <c r="R126" i="8"/>
  <c r="T126" i="8"/>
  <c r="D133" i="8"/>
  <c r="N133" i="8"/>
  <c r="H133" i="8"/>
  <c r="S133" i="8"/>
  <c r="E133" i="8"/>
  <c r="R133" i="8"/>
  <c r="F133" i="8"/>
  <c r="O133" i="8"/>
  <c r="T133" i="8"/>
  <c r="P133" i="8"/>
  <c r="I133" i="8"/>
  <c r="L133" i="8"/>
  <c r="J133" i="8"/>
  <c r="Q133" i="8"/>
  <c r="G133" i="8"/>
  <c r="K133" i="8"/>
  <c r="M133" i="8"/>
  <c r="I81" i="8"/>
  <c r="N81" i="8"/>
  <c r="F81" i="8"/>
  <c r="S81" i="8"/>
  <c r="Q81" i="8"/>
  <c r="D81" i="8"/>
  <c r="P81" i="8"/>
  <c r="G81" i="8"/>
  <c r="T81" i="8"/>
  <c r="J81" i="8"/>
  <c r="O81" i="8"/>
  <c r="M81" i="8"/>
  <c r="K81" i="8"/>
  <c r="H81" i="8"/>
  <c r="E81" i="8"/>
  <c r="L81" i="8"/>
  <c r="R81" i="8"/>
  <c r="E24" i="10" a="1"/>
  <c r="E24" i="10" s="1"/>
  <c r="C121" i="8"/>
  <c r="D105" i="8"/>
  <c r="J105" i="8"/>
  <c r="Q105" i="8"/>
  <c r="G105" i="8"/>
  <c r="T105" i="8"/>
  <c r="M105" i="8"/>
  <c r="H105" i="8"/>
  <c r="L105" i="8"/>
  <c r="I105" i="8"/>
  <c r="E105" i="8"/>
  <c r="K105" i="8"/>
  <c r="N105" i="8"/>
  <c r="O105" i="8"/>
  <c r="P105" i="8"/>
  <c r="F105" i="8"/>
  <c r="R105" i="8"/>
  <c r="S105" i="8"/>
  <c r="D102" i="8"/>
  <c r="O102" i="8"/>
  <c r="I102" i="8"/>
  <c r="M102" i="8"/>
  <c r="L102" i="8"/>
  <c r="F102" i="8"/>
  <c r="P102" i="8"/>
  <c r="G102" i="8"/>
  <c r="H102" i="8"/>
  <c r="N102" i="8"/>
  <c r="Q102" i="8"/>
  <c r="K102" i="8"/>
  <c r="R102" i="8"/>
  <c r="T102" i="8"/>
  <c r="E102" i="8"/>
  <c r="J102" i="8"/>
  <c r="S102" i="8"/>
  <c r="C137" i="8"/>
  <c r="K124" i="8"/>
  <c r="D124" i="8"/>
  <c r="J124" i="8"/>
  <c r="O124" i="8"/>
  <c r="N124" i="8"/>
  <c r="L124" i="8"/>
  <c r="T124" i="8"/>
  <c r="I124" i="8"/>
  <c r="F124" i="8"/>
  <c r="E124" i="8"/>
  <c r="R124" i="8"/>
  <c r="M124" i="8"/>
  <c r="P124" i="8"/>
  <c r="Q124" i="8"/>
  <c r="H124" i="8"/>
  <c r="G124" i="8"/>
  <c r="S124" i="8"/>
  <c r="E30" i="10" a="1"/>
  <c r="E30" i="10" s="1"/>
  <c r="D87" i="8"/>
  <c r="Q87" i="8"/>
  <c r="S87" i="8"/>
  <c r="H87" i="8"/>
  <c r="T87" i="8"/>
  <c r="I87" i="8"/>
  <c r="L87" i="8"/>
  <c r="G87" i="8"/>
  <c r="K87" i="8"/>
  <c r="J87" i="8"/>
  <c r="R87" i="8"/>
  <c r="M87" i="8"/>
  <c r="O87" i="8"/>
  <c r="E87" i="8"/>
  <c r="N87" i="8"/>
  <c r="P87" i="8"/>
  <c r="F87" i="8"/>
  <c r="D135" i="8"/>
  <c r="S135" i="8"/>
  <c r="I135" i="8"/>
  <c r="Q135" i="8"/>
  <c r="R135" i="8"/>
  <c r="T135" i="8"/>
  <c r="N135" i="8"/>
  <c r="P135" i="8"/>
  <c r="K135" i="8"/>
  <c r="G135" i="8"/>
  <c r="M135" i="8"/>
  <c r="E135" i="8"/>
  <c r="L135" i="8"/>
  <c r="J135" i="8"/>
  <c r="O135" i="8"/>
  <c r="H135" i="8"/>
  <c r="F135" i="8"/>
  <c r="E39" i="10" a="1"/>
  <c r="E39" i="10" s="1"/>
  <c r="C143" i="8"/>
  <c r="D89" i="8"/>
  <c r="J89" i="8"/>
  <c r="P89" i="8"/>
  <c r="Q89" i="8"/>
  <c r="N89" i="8"/>
  <c r="L89" i="8"/>
  <c r="K89" i="8"/>
  <c r="M89" i="8"/>
  <c r="F89" i="8"/>
  <c r="I89" i="8"/>
  <c r="S89" i="8"/>
  <c r="H89" i="8"/>
  <c r="O89" i="8"/>
  <c r="R89" i="8"/>
  <c r="T89" i="8"/>
  <c r="E89" i="8"/>
  <c r="G89" i="8"/>
  <c r="F26" i="10" a="1"/>
  <c r="F26" i="10" s="1"/>
  <c r="C116" i="8"/>
  <c r="C139" i="8"/>
  <c r="E36" i="10" a="1"/>
  <c r="E36" i="10" s="1"/>
  <c r="C115" i="8"/>
  <c r="G19" i="10" l="1" a="1"/>
  <c r="G19" i="10" s="1"/>
  <c r="G17" i="10" a="1"/>
  <c r="G17" i="10" s="1"/>
  <c r="G11" i="10" a="1"/>
  <c r="G11" i="10" s="1"/>
  <c r="D119" i="8"/>
  <c r="G136" i="8"/>
  <c r="T136" i="8"/>
  <c r="F119" i="8"/>
  <c r="S119" i="8"/>
  <c r="N119" i="8"/>
  <c r="R119" i="8"/>
  <c r="T119" i="8"/>
  <c r="K119" i="8"/>
  <c r="J119" i="8"/>
  <c r="G119" i="8"/>
  <c r="M136" i="8"/>
  <c r="P119" i="8"/>
  <c r="O119" i="8"/>
  <c r="I119" i="8"/>
  <c r="L119" i="8"/>
  <c r="E119" i="8"/>
  <c r="M119" i="8"/>
  <c r="H119" i="8"/>
  <c r="I136" i="8"/>
  <c r="K136" i="8"/>
  <c r="N136" i="8"/>
  <c r="S136" i="8"/>
  <c r="F136" i="8"/>
  <c r="E136" i="8"/>
  <c r="J136" i="8"/>
  <c r="Q136" i="8"/>
  <c r="P136" i="8"/>
  <c r="D136" i="8"/>
  <c r="L136" i="8"/>
  <c r="O136" i="8"/>
  <c r="R136" i="8"/>
  <c r="F33" i="10" a="1"/>
  <c r="F33" i="10" s="1"/>
  <c r="F38" i="10" a="1"/>
  <c r="F38" i="10" s="1"/>
  <c r="G38" i="10" a="1"/>
  <c r="G38" i="10" s="1"/>
  <c r="T125" i="8"/>
  <c r="O125" i="8"/>
  <c r="D125" i="8"/>
  <c r="R125" i="8"/>
  <c r="N125" i="8"/>
  <c r="Q125" i="8"/>
  <c r="K125" i="8"/>
  <c r="E125" i="8"/>
  <c r="S125" i="8"/>
  <c r="P125" i="8"/>
  <c r="H125" i="8"/>
  <c r="M125" i="8"/>
  <c r="F125" i="8"/>
  <c r="J125" i="8"/>
  <c r="I125" i="8"/>
  <c r="G125" i="8"/>
  <c r="L125" i="8"/>
  <c r="F22" i="10" a="1"/>
  <c r="F22" i="10" s="1"/>
  <c r="S116" i="8"/>
  <c r="J116" i="8"/>
  <c r="O116" i="8"/>
  <c r="T116" i="8"/>
  <c r="M116" i="8"/>
  <c r="D116" i="8"/>
  <c r="K116" i="8"/>
  <c r="L116" i="8"/>
  <c r="G116" i="8"/>
  <c r="F116" i="8"/>
  <c r="I116" i="8"/>
  <c r="P116" i="8"/>
  <c r="R116" i="8"/>
  <c r="H116" i="8"/>
  <c r="Q116" i="8"/>
  <c r="N116" i="8"/>
  <c r="E116" i="8"/>
  <c r="G30" i="10" a="1"/>
  <c r="G30" i="10" s="1"/>
  <c r="G25" i="10" a="1"/>
  <c r="G25" i="10" s="1"/>
  <c r="F39" i="10" a="1"/>
  <c r="F39" i="10" s="1"/>
  <c r="G26" i="10" a="1"/>
  <c r="G26" i="10" s="1"/>
  <c r="K26" i="10" s="1"/>
  <c r="M26" i="10" s="1"/>
  <c r="F31" i="10" a="1"/>
  <c r="F31" i="10" s="1"/>
  <c r="F21" i="10" a="1"/>
  <c r="F21" i="10" s="1"/>
  <c r="G23" i="10" a="1"/>
  <c r="G23" i="10" s="1"/>
  <c r="G31" i="10" a="1"/>
  <c r="G31" i="10" s="1"/>
  <c r="D143" i="8"/>
  <c r="E143" i="8"/>
  <c r="P143" i="8"/>
  <c r="K143" i="8"/>
  <c r="J143" i="8"/>
  <c r="Q143" i="8"/>
  <c r="G143" i="8"/>
  <c r="O143" i="8"/>
  <c r="S143" i="8"/>
  <c r="R143" i="8"/>
  <c r="F143" i="8"/>
  <c r="H143" i="8"/>
  <c r="N143" i="8"/>
  <c r="L143" i="8"/>
  <c r="I143" i="8"/>
  <c r="M143" i="8"/>
  <c r="T143" i="8"/>
  <c r="F37" i="10" a="1"/>
  <c r="F37" i="10" s="1"/>
  <c r="D142" i="8"/>
  <c r="L142" i="8"/>
  <c r="P142" i="8"/>
  <c r="I142" i="8"/>
  <c r="Q142" i="8"/>
  <c r="O142" i="8"/>
  <c r="K142" i="8"/>
  <c r="S142" i="8"/>
  <c r="F142" i="8"/>
  <c r="H142" i="8"/>
  <c r="M142" i="8"/>
  <c r="N142" i="8"/>
  <c r="R142" i="8"/>
  <c r="T142" i="8"/>
  <c r="G142" i="8"/>
  <c r="J142" i="8"/>
  <c r="E142" i="8"/>
  <c r="G28" i="10" a="1"/>
  <c r="G28" i="10" s="1"/>
  <c r="F36" i="10" a="1"/>
  <c r="F36" i="10" s="1"/>
  <c r="F40" i="10" a="1"/>
  <c r="F40" i="10" s="1"/>
  <c r="P115" i="8"/>
  <c r="H115" i="8"/>
  <c r="T115" i="8"/>
  <c r="N115" i="8"/>
  <c r="Q115" i="8"/>
  <c r="I115" i="8"/>
  <c r="O115" i="8"/>
  <c r="F115" i="8"/>
  <c r="K115" i="8"/>
  <c r="S115" i="8"/>
  <c r="D115" i="8"/>
  <c r="E115" i="8"/>
  <c r="L115" i="8"/>
  <c r="G115" i="8"/>
  <c r="J115" i="8"/>
  <c r="M115" i="8"/>
  <c r="R115" i="8"/>
  <c r="O121" i="8"/>
  <c r="M121" i="8"/>
  <c r="P121" i="8"/>
  <c r="G121" i="8"/>
  <c r="E121" i="8"/>
  <c r="D121" i="8"/>
  <c r="L121" i="8"/>
  <c r="R121" i="8"/>
  <c r="J121" i="8"/>
  <c r="K121" i="8"/>
  <c r="I121" i="8"/>
  <c r="F121" i="8"/>
  <c r="N121" i="8"/>
  <c r="Q121" i="8"/>
  <c r="S121" i="8"/>
  <c r="T121" i="8"/>
  <c r="H121" i="8"/>
  <c r="D118" i="8"/>
  <c r="G118" i="8"/>
  <c r="M118" i="8"/>
  <c r="N118" i="8"/>
  <c r="E118" i="8"/>
  <c r="R118" i="8"/>
  <c r="P118" i="8"/>
  <c r="S118" i="8"/>
  <c r="T118" i="8"/>
  <c r="Q118" i="8"/>
  <c r="H118" i="8"/>
  <c r="O118" i="8"/>
  <c r="J118" i="8"/>
  <c r="I118" i="8"/>
  <c r="F118" i="8"/>
  <c r="K118" i="8"/>
  <c r="L118" i="8"/>
  <c r="F23" i="10" a="1"/>
  <c r="F23" i="10" s="1"/>
  <c r="G32" i="10" a="1"/>
  <c r="G32" i="10" s="1"/>
  <c r="G21" i="10" a="1"/>
  <c r="G21" i="10" s="1"/>
  <c r="G24" i="10" a="1"/>
  <c r="G24" i="10" s="1"/>
  <c r="F24" i="10" a="1"/>
  <c r="F24" i="10" s="1"/>
  <c r="F25" i="10" a="1"/>
  <c r="F25" i="10" s="1"/>
  <c r="F27" i="10" a="1"/>
  <c r="F27" i="10" s="1"/>
  <c r="G35" i="10" a="1"/>
  <c r="G35" i="10" s="1"/>
  <c r="F28" i="10" a="1"/>
  <c r="F28" i="10" s="1"/>
  <c r="F32" i="10" a="1"/>
  <c r="F32" i="10" s="1"/>
  <c r="D139" i="8"/>
  <c r="F139" i="8"/>
  <c r="Q139" i="8"/>
  <c r="E139" i="8"/>
  <c r="T139" i="8"/>
  <c r="I139" i="8"/>
  <c r="O139" i="8"/>
  <c r="J139" i="8"/>
  <c r="G139" i="8"/>
  <c r="L139" i="8"/>
  <c r="P139" i="8"/>
  <c r="K139" i="8"/>
  <c r="S139" i="8"/>
  <c r="N139" i="8"/>
  <c r="H139" i="8"/>
  <c r="M139" i="8"/>
  <c r="R139" i="8"/>
  <c r="E137" i="8"/>
  <c r="O137" i="8"/>
  <c r="G137" i="8"/>
  <c r="J137" i="8"/>
  <c r="K137" i="8"/>
  <c r="P137" i="8"/>
  <c r="D137" i="8"/>
  <c r="H137" i="8"/>
  <c r="S137" i="8"/>
  <c r="R137" i="8"/>
  <c r="M137" i="8"/>
  <c r="I137" i="8"/>
  <c r="L137" i="8"/>
  <c r="F137" i="8"/>
  <c r="T137" i="8"/>
  <c r="Q137" i="8"/>
  <c r="N137" i="8"/>
  <c r="F29" i="10" a="1"/>
  <c r="F29" i="10" s="1"/>
  <c r="G27" i="10" a="1"/>
  <c r="G27" i="10" s="1"/>
  <c r="F30" i="10" a="1"/>
  <c r="F30" i="10" s="1"/>
  <c r="F34" i="10" a="1"/>
  <c r="F34" i="10" s="1"/>
  <c r="E42" i="10"/>
  <c r="F35" i="10" a="1"/>
  <c r="F35" i="10" s="1"/>
  <c r="G29" i="10" a="1"/>
  <c r="G29" i="10" s="1"/>
  <c r="G37" i="10" a="1"/>
  <c r="G37" i="10" s="1"/>
  <c r="G15" i="10" l="1" a="1"/>
  <c r="G15" i="10" s="1"/>
  <c r="S15" i="10" s="1"/>
  <c r="G13" i="10" a="1"/>
  <c r="G13" i="10" s="1"/>
  <c r="S11" i="10"/>
  <c r="M11" i="10"/>
  <c r="S16" i="10"/>
  <c r="K28" i="10"/>
  <c r="M28" i="10" s="1"/>
  <c r="S28" i="10"/>
  <c r="S31" i="10"/>
  <c r="K31" i="10"/>
  <c r="M31" i="10" s="1"/>
  <c r="G33" i="10" a="1"/>
  <c r="G33" i="10" s="1"/>
  <c r="K33" i="10" s="1"/>
  <c r="M33" i="10" s="1"/>
  <c r="S23" i="10"/>
  <c r="S30" i="10"/>
  <c r="M14" i="10"/>
  <c r="S20" i="10"/>
  <c r="K38" i="10"/>
  <c r="M38" i="10" s="1"/>
  <c r="S38" i="10"/>
  <c r="K23" i="10"/>
  <c r="M23" i="10" s="1"/>
  <c r="S32" i="10"/>
  <c r="S10" i="10"/>
  <c r="K30" i="10"/>
  <c r="M30" i="10" s="1"/>
  <c r="M17" i="10"/>
  <c r="K25" i="10"/>
  <c r="M25" i="10" s="1"/>
  <c r="S35" i="10"/>
  <c r="S24" i="10"/>
  <c r="K32" i="10"/>
  <c r="M32" i="10" s="1"/>
  <c r="K37" i="10"/>
  <c r="M37" i="10" s="1"/>
  <c r="S25" i="10"/>
  <c r="K21" i="10"/>
  <c r="M21" i="10" s="1"/>
  <c r="K27" i="10"/>
  <c r="M27" i="10" s="1"/>
  <c r="K35" i="10"/>
  <c r="M35" i="10" s="1"/>
  <c r="M19" i="10"/>
  <c r="G22" i="10" a="1"/>
  <c r="G22" i="10" s="1"/>
  <c r="K22" i="10" s="1"/>
  <c r="M22" i="10" s="1"/>
  <c r="S29" i="10"/>
  <c r="S27" i="10"/>
  <c r="G36" i="10" a="1"/>
  <c r="G36" i="10" s="1"/>
  <c r="S12" i="10"/>
  <c r="S17" i="10"/>
  <c r="S26" i="10"/>
  <c r="G34" i="10" a="1"/>
  <c r="G34" i="10" s="1"/>
  <c r="S34" i="10" s="1"/>
  <c r="M20" i="10"/>
  <c r="S21" i="10"/>
  <c r="F42" i="10"/>
  <c r="S19" i="10"/>
  <c r="K24" i="10"/>
  <c r="M24" i="10" s="1"/>
  <c r="K29" i="10"/>
  <c r="M29" i="10" s="1"/>
  <c r="S37" i="10"/>
  <c r="G39" i="10" a="1"/>
  <c r="G39" i="10" s="1"/>
  <c r="S14" i="10"/>
  <c r="G40" i="10" a="1"/>
  <c r="G40" i="10" s="1"/>
  <c r="M16" i="10" l="1"/>
  <c r="S33" i="10"/>
  <c r="S22" i="10"/>
  <c r="M12" i="10"/>
  <c r="M15" i="10"/>
  <c r="G42" i="10"/>
  <c r="M13" i="10"/>
  <c r="S13" i="10"/>
  <c r="K39" i="10"/>
  <c r="M39" i="10" s="1"/>
  <c r="S39" i="10"/>
  <c r="K34" i="10"/>
  <c r="M34" i="10" s="1"/>
  <c r="S36" i="10"/>
  <c r="K36" i="10"/>
  <c r="M36" i="10" s="1"/>
  <c r="M10" i="10"/>
  <c r="M18" i="10"/>
  <c r="S18" i="10"/>
  <c r="K40" i="10"/>
  <c r="M40" i="10" s="1"/>
  <c r="S40" i="10"/>
  <c r="S42" i="10" l="1"/>
  <c r="P18" i="10" s="1"/>
  <c r="P20" i="10" s="1"/>
  <c r="M42" i="10"/>
  <c r="K42" i="10"/>
  <c r="P13" i="10" s="1"/>
  <c r="P15" i="10" l="1"/>
  <c r="N4" i="21"/>
  <c r="H41" i="17"/>
  <c r="T7" i="17"/>
  <c r="H40" i="17"/>
  <c r="H43" i="17" l="1"/>
  <c r="I40" i="17" l="1"/>
  <c r="H12" i="15" s="1"/>
  <c r="I43" i="17"/>
  <c r="I42" i="17"/>
  <c r="H14" i="15" s="1"/>
  <c r="I38" i="17"/>
  <c r="I41" i="17"/>
  <c r="K13" i="15" s="1"/>
  <c r="I39" i="17"/>
  <c r="K12" i="15" l="1"/>
  <c r="V12" i="15" s="1"/>
  <c r="K11" i="15"/>
  <c r="J39" i="17"/>
  <c r="V13" i="15"/>
  <c r="H13" i="15"/>
  <c r="K14" i="15"/>
  <c r="V14" i="15" s="1"/>
  <c r="H10" i="15"/>
  <c r="K10" i="15"/>
  <c r="H11" i="15" l="1"/>
  <c r="E55" i="1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tc={7024589F-01E7-4F82-A6FE-BC835E69108E}</author>
    <author>tc={EE2533E6-B34E-4AD9-9F44-9773332A522C}</author>
    <author>tc={7233D548-98FC-4CC3-AC85-59E9262238C6}</author>
  </authors>
  <commentList>
    <comment ref="O4" authorId="0" shapeId="0" xr:uid="{7024589F-01E7-4F82-A6FE-BC835E69108E}">
      <text>
        <t>[Threaded comment]
Your version of Excel allows you to read this threaded comment; however, any edits to it will get removed if the file is opened in a newer version of Excel. Learn more: https://go.microsoft.com/fwlink/?linkid=870924
Comment:
    Population of England and Wales by single year of age in 2019 from the Human Mortality Database.</t>
      </text>
    </comment>
    <comment ref="P4" authorId="1" shapeId="0" xr:uid="{EE2533E6-B34E-4AD9-9F44-9773332A522C}">
      <text>
        <t>[Threaded comment]
Your version of Excel allows you to read this threaded comment; however, any edits to it will get removed if the file is opened in a newer version of Excel. Learn more: https://go.microsoft.com/fwlink/?linkid=870924
Comment:
    Proportion of all 18-64 year olds in England &amp;  Wales 2019. An assumption that these proportions will be very similar to the proportions in England.</t>
      </text>
    </comment>
    <comment ref="Q4" authorId="2" shapeId="0" xr:uid="{7233D548-98FC-4CC3-AC85-59E9262238C6}">
      <text>
        <t xml:space="preserve">[Threaded comment]
Your version of Excel allows you to read this threaded comment; however, any edits to it will get removed if the file is opened in a newer version of Excel. Learn more: https://go.microsoft.com/fwlink/?linkid=870924
Comment: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tc={4EE58F62-0467-42A9-9E0C-ACDB43AA0ABA}</author>
    <author>tc={3D62E98B-A8FE-4AD6-BB07-6A96F7096193}</author>
  </authors>
  <commentList>
    <comment ref="C14" authorId="0" shapeId="0" xr:uid="{4EE58F62-0467-42A9-9E0C-ACDB43AA0ABA}">
      <text>
        <t>[Threaded comment]
Your version of Excel allows you to read this threaded comment; however, any edits to it will get removed if the file is opened in a newer version of Excel. Learn more: https://go.microsoft.com/fwlink/?linkid=870924
Comment:
    Figure 21.</t>
      </text>
    </comment>
    <comment ref="C33" authorId="1" shapeId="0" xr:uid="{3D62E98B-A8FE-4AD6-BB07-6A96F7096193}">
      <text>
        <t>[Threaded comment]
Your version of Excel allows you to read this threaded comment; however, any edits to it will get removed if the file is opened in a newer version of Excel. Learn more: https://go.microsoft.com/fwlink/?linkid=870924
Comment:
    Includes suspected cases but small enough not to materially distort results</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tc={55F0ADF9-ACD0-4B5A-B1A5-D96848C09A19}</author>
    <author>tc={5E59BD0A-ED1C-4457-8615-F6C62440B279}</author>
    <author>tc={D85A5E27-3D56-4F57-B97D-941A965E3201}</author>
    <author>tc={DAF0001B-155F-40C0-8CC9-43359D8990F7}</author>
    <author>tc={DD94AF93-6782-44B7-B757-620DADBD72FC}</author>
    <author>tc={79C9BB5D-74EE-4A31-90AF-976E979B63DC}</author>
    <author>tc={961BB146-648E-4A62-BDEB-8C61C11C403A}</author>
    <author>tc={CD7B6571-8A15-45DC-9721-2B5F88E15D96}</author>
    <author>tc={FDE2AEDD-DDFA-4CC5-9380-7CE3A4654711}</author>
    <author>tc={0F3BC261-4186-41D7-900E-4525F2550DA6}</author>
    <author>tc={C68BDD56-2BB6-4F69-BF9C-C23F26DFE5B9}</author>
    <author>tc={F972DFF6-16C6-4B43-A557-B2831ECEC732}</author>
    <author>tc={046A25A9-E9C5-4AAE-ABB3-41913B0F6E51}</author>
    <author>tc={08B41555-F676-436B-91B0-CE0D8E392D9B}</author>
    <author>tc={D1398290-8688-4F26-AB48-56DD9ABE43B5}</author>
    <author>tc={316AB75B-04E0-48B0-A4F7-5343EB58B10E}</author>
    <author>tc={383734DC-EFA8-4968-AB49-CF03D3C5D628}</author>
    <author>tc={8E576C29-988B-4653-8054-0D6F6ECE7F89}</author>
    <author>tc={FA7F8051-B4A5-4551-87F0-B177A127E574}</author>
    <author>tc={1127C9F0-0C59-4AB8-9F89-51500B5CD07F}</author>
    <author>tc={B09221AE-221C-4B38-8C91-1DED45B60304}</author>
    <author>tc={DE131CCC-F62F-4863-B182-CDACB8898942}</author>
    <author>tc={7DD7A5A0-0AE0-4B6E-9DDA-B154535EFA92}</author>
    <author>tc={B52D4E57-2439-4E50-99A3-748069150DC5}</author>
    <author>tc={9E3434ED-5AE4-4DCA-9657-E1AC4D8E17CD}</author>
    <author>tc={C66E8C90-B812-483E-B05C-82E85A11F946}</author>
    <author>tc={8658D7CA-8279-47A7-BFC4-123181C0C0FD}</author>
    <author>tc={7E8DBB35-8167-4343-AF2F-2B9E26B84119}</author>
    <author>tc={0C0B2E48-FF37-48FA-A00D-0679E9861870}</author>
    <author>tc={D9CC18FF-DEA7-4095-AC07-DBFFF11D68E2}</author>
    <author>tc={7931765B-7182-45A4-BC4C-5827955F5226}</author>
    <author>tc={534B5FFA-FF59-4072-B785-7803239B01DF}</author>
    <author>tc={FA666B58-3421-469E-990E-0E59EEC4E7E8}</author>
    <author>tc={C0505168-4BBC-4BE5-A61D-961114CD2E9C}</author>
    <author>tc={8CC7A8D2-3038-4BC5-ADA9-282ABAC1D278}</author>
    <author>tc={65B4EF36-DA65-4E42-B397-4257921126B9}</author>
    <author>tc={D43047EE-1655-4039-AC1D-619274A8C5D6}</author>
    <author>tc={92BF8D1F-9B88-4096-BAFF-5D61AE021F21}</author>
    <author>tc={E5202A2F-2C09-4140-BD43-47E350F613D8}</author>
    <author>tc={C4FDA109-1B71-48FC-8102-CC46C25001D7}</author>
    <author>tc={61945121-D3EB-4E07-A942-169886021E11}</author>
  </authors>
  <commentList>
    <comment ref="E18" authorId="0" shapeId="0" xr:uid="{55F0ADF9-ACD0-4B5A-B1A5-D96848C09A19}">
      <text>
        <t>[Threaded comment]
Your version of Excel allows you to read this threaded comment; however, any edits to it will get removed if the file is opened in a newer version of Excel. Learn more: https://go.microsoft.com/fwlink/?linkid=870924
Comment:
    Final attack rate about 60%, but this fraction may be varied for modelling purposes. For example if only over a short time interval.</t>
      </text>
    </comment>
    <comment ref="S20" authorId="1" shapeId="0" xr:uid="{5E59BD0A-ED1C-4457-8615-F6C62440B279}">
      <text>
        <t>[Threaded comment]
Your version of Excel allows you to read this threaded comment; however, any edits to it will get removed if the file is opened in a newer version of Excel. Learn more: https://go.microsoft.com/fwlink/?linkid=870924
Comment:
    Safe assumption that asymptomatic people with COVID will not die from it.</t>
      </text>
    </comment>
    <comment ref="T20" authorId="2" shapeId="0" xr:uid="{D85A5E27-3D56-4F57-B97D-941A965E3201}">
      <text>
        <t>[Threaded comment]
Your version of Excel allows you to read this threaded comment; however, any edits to it will get removed if the file is opened in a newer version of Excel. Learn more: https://go.microsoft.com/fwlink/?linkid=870924
Comment:
    Safe assumption that asymptomatic people with COVID will not die from it.</t>
      </text>
    </comment>
    <comment ref="U20" authorId="3" shapeId="0" xr:uid="{DAF0001B-155F-40C0-8CC9-43359D8990F7}">
      <text>
        <t>[Threaded comment]
Your version of Excel allows you to read this threaded comment; however, any edits to it will get removed if the file is opened in a newer version of Excel. Learn more: https://go.microsoft.com/fwlink/?linkid=870924
Comment:
    Safe assumption that asymptomatic people with COVID will not die from it.</t>
      </text>
    </comment>
    <comment ref="K21" authorId="4" shapeId="0" xr:uid="{DD94AF93-6782-44B7-B757-620DADBD72FC}">
      <text>
        <t>[Threaded comment]
Your version of Excel allows you to read this threaded comment; however, any edits to it will get removed if the file is opened in a newer version of Excel. Learn more: https://go.microsoft.com/fwlink/?linkid=870924
Comment:
    Assumption that a significant proportion of cases will be symptomatic but will not be recognised as COVID, or will be deliberatly ignored.</t>
      </text>
    </comment>
    <comment ref="S21" authorId="5" shapeId="0" xr:uid="{79C9BB5D-74EE-4A31-90AF-976E979B63DC}">
      <text>
        <t>[Threaded comment]
Your version of Excel allows you to read this threaded comment; however, any edits to it will get removed if the file is opened in a newer version of Excel. Learn more: https://go.microsoft.com/fwlink/?linkid=870924
Comment:
    Unknown infections may result in sudden death with atypical symptoms, but it will be extremely uncommon.</t>
      </text>
    </comment>
    <comment ref="T21" authorId="6" shapeId="0" xr:uid="{961BB146-648E-4A62-BDEB-8C61C11C403A}">
      <text>
        <t>[Threaded comment]
Your version of Excel allows you to read this threaded comment; however, any edits to it will get removed if the file is opened in a newer version of Excel. Learn more: https://go.microsoft.com/fwlink/?linkid=870924
Comment:
    Unknown infections may result in sudden death with atypical symptoms, but it will be extremely uncommon.</t>
      </text>
    </comment>
    <comment ref="U21" authorId="7" shapeId="0" xr:uid="{CD7B6571-8A15-45DC-9721-2B5F88E15D96}">
      <text>
        <t>[Threaded comment]
Your version of Excel allows you to read this threaded comment; however, any edits to it will get removed if the file is opened in a newer version of Excel. Learn more: https://go.microsoft.com/fwlink/?linkid=870924
Comment:
    Unknown infections may result in sudden death with atypical symptoms, but it will be extremely uncommon.</t>
      </text>
    </comment>
    <comment ref="H22" authorId="8" shapeId="0" xr:uid="{FDE2AEDD-DDFA-4CC5-9380-7CE3A4654711}">
      <text>
        <t>[Threaded comment]
Your version of Excel allows you to read this threaded comment; however, any edits to it will get removed if the file is opened in a newer version of Excel. Learn more: https://go.microsoft.com/fwlink/?linkid=870924
Comment:
    Seroprevalence estimates say 6% of the UK has had it. We know that these are falling so it must be higher than that.  That suggests 4m people.
There are only 1m official cases.
So that gives us an upper bound of 25%.
It is probably somewhat higher than that now though, as this data includes the first wave where we only identified between 5% &amp; 10% of infections. We probably now identify the majority of symptomatic cases, which are about half of all infections. So if we estimate 50% of current symptomatic cases are identified, then this would suggest a figure of 25% of all infections are currently being identified.</t>
      </text>
    </comment>
    <comment ref="S23" authorId="9" shapeId="0" xr:uid="{0F3BC261-4186-41D7-900E-4525F2550DA6}">
      <text>
        <t>[Threaded comment]
Your version of Excel allows you to read this threaded comment; however, any edits to it will get removed if the file is opened in a newer version of Excel. Learn more: https://go.microsoft.com/fwlink/?linkid=870924
Comment:
    Very safe assumption that asymptomatic people with COVID will not be killed by it.</t>
      </text>
    </comment>
    <comment ref="S24" authorId="10" shapeId="0" xr:uid="{C68BDD56-2BB6-4F69-BF9C-C23F26DFE5B9}">
      <text>
        <t>[Threaded comment]
Your version of Excel allows you to read this threaded comment; however, any edits to it will get removed if the file is opened in a newer version of Excel. Learn more: https://go.microsoft.com/fwlink/?linkid=870924
Comment:
    Assumption that this group includes young fit people with trivial illness, but also a fraction of elderly frail people who are deemed unfit for admission. This will be a very low rate, but no data to base it upon. It may be higher than the assumed mortality for those admitted to hospital who only recieve general ward care with low O2 flow rates, as that group are fiter by definition than the vulnerable community group.</t>
      </text>
    </comment>
    <comment ref="T24" authorId="11" shapeId="0" xr:uid="{F972DFF6-16C6-4B43-A557-B2831ECEC732}">
      <text>
        <t>[Threaded comment]
Your version of Excel allows you to read this threaded comment; however, any edits to it will get removed if the file is opened in a newer version of Excel. Learn more: https://go.microsoft.com/fwlink/?linkid=870924
Comment:
    Same as mor twith ITU.</t>
      </text>
    </comment>
    <comment ref="U24" authorId="12" shapeId="0" xr:uid="{046A25A9-E9C5-4AAE-ABB3-41913B0F6E51}">
      <text>
        <t>[Threaded comment]
Your version of Excel allows you to read this threaded comment; however, any edits to it will get removed if the file is opened in a newer version of Excel. Learn more: https://go.microsoft.com/fwlink/?linkid=870924
Comment:
    Same as mor twith ITU.</t>
      </text>
    </comment>
    <comment ref="K25" authorId="13" shapeId="0" xr:uid="{08B41555-F676-436B-91B0-CE0D8E392D9B}">
      <text>
        <t>[Threaded comment]
Your version of Excel allows you to read this threaded comment; however, any edits to it will get removed if the file is opened in a newer version of Excel. Learn more: https://go.microsoft.com/fwlink/?linkid=870924
Comment:
    Using the 'GOV.UK Coronavirus (COVID-19) in the UK' dashboard, we found the following counts for cumulative hospitalisation and postive tests as of (31/10/20).
https://coronavirus.data.gov.uk/cases   Accessed 31/10/20</t>
      </text>
    </comment>
    <comment ref="M26" authorId="14" shapeId="0" xr:uid="{D1398290-8688-4F26-AB48-56DD9ABE43B5}">
      <text>
        <t>[Threaded comment]
Your version of Excel allows you to read this threaded comment; however, any edits to it will get removed if the file is opened in a newer version of Excel. Learn more: https://go.microsoft.com/fwlink/?linkid=870924
Comment:
    This is the group of people admitted and who are only ever cared for on the ward. It does not include patients admitted to the general ward then subsequently transferred in or out of ITU</t>
      </text>
    </comment>
    <comment ref="N26" authorId="15" shapeId="0" xr:uid="{316AB75B-04E0-48B0-A4F7-5343EB58B10E}">
      <text>
        <t>[Threaded comment]
Your version of Excel allows you to read this threaded comment; however, any edits to it will get removed if the file is opened in a newer version of Excel. Learn more: https://go.microsoft.com/fwlink/?linkid=870924
Comment:
    1-ITU admission rate.</t>
      </text>
    </comment>
    <comment ref="Q26" authorId="16" shapeId="0" xr:uid="{383734DC-EFA8-4968-AB49-CF03D3C5D628}">
      <text>
        <t>[Threaded comment]
Your version of Excel allows you to read this threaded comment; however, any edits to it will get removed if the file is opened in a newer version of Excel. Learn more: https://go.microsoft.com/fwlink/?linkid=870924
Comment:
    These are the observed proportions matching these criteria in the Nottingham University Hospitla Trust for August, September and October 2020. 1. Crooks CJ, West J, Fogarty A, Morling JR, Grainge MJ, Gonem S, et al. Predicting the need for escalation of care or death from repeated daily clinical observations and laboratory results in patients with SARS-CoV-2 during 2020: a retrospective population-based cohort study from the United Kingdom. MedRxiv [Internet]. 2020; Available from: https://www.medrxiv.org/content/10.1101/2020.12.14.20248181v1</t>
      </text>
    </comment>
    <comment ref="S26" authorId="17" shapeId="0" xr:uid="{8E576C29-988B-4653-8054-0D6F6ECE7F89}">
      <text>
        <t>[Threaded comment]
Your version of Excel allows you to read this threaded comment; however, any edits to it will get removed if the file is opened in a newer version of Excel. Learn more: https://go.microsoft.com/fwlink/?linkid=870924
Comment:
    Assumption. Very low mortality as they are un-escalated, so will only occur with non-respiratory failure deaths or sudden deaths.</t>
      </text>
    </comment>
    <comment ref="T26" authorId="18" shapeId="0" xr:uid="{FA7F8051-B4A5-4551-87F0-B177A127E574}">
      <text>
        <t>[Threaded comment]
Your version of Excel allows you to read this threaded comment; however, any edits to it will get removed if the file is opened in a newer version of Excel. Learn more: https://go.microsoft.com/fwlink/?linkid=870924
Comment:
    Assumption. Very low mortality as they are un-escalated, so will only occur with non-respiratory failure deaths or sudden deaths.</t>
      </text>
    </comment>
    <comment ref="U26" authorId="19" shapeId="0" xr:uid="{1127C9F0-0C59-4AB8-9F89-51500B5CD07F}">
      <text>
        <t>[Threaded comment]
Your version of Excel allows you to read this threaded comment; however, any edits to it will get removed if the file is opened in a newer version of Excel. Learn more: https://go.microsoft.com/fwlink/?linkid=870924
Comment:
    Assumption. The risk remains low, but will be somewhat greater than the ward based care.</t>
      </text>
    </comment>
    <comment ref="S27" authorId="20" shapeId="0" xr:uid="{B09221AE-221C-4B38-8C91-1DED45B60304}">
      <text>
        <t>[Threaded comment]
Your version of Excel allows you to read this threaded comment; however, any edits to it will get removed if the file is opened in a newer version of Excel. Learn more: https://go.microsoft.com/fwlink/?linkid=870924
Comment:
    Assumption: this is a group of people, who would be escalated to ITU if they deteriorated, so will only include sudden deaths.</t>
      </text>
    </comment>
    <comment ref="T27" authorId="21" shapeId="0" xr:uid="{DE131CCC-F62F-4863-B182-CDACB8898942}">
      <text>
        <t>[Threaded comment]
Your version of Excel allows you to read this threaded comment; however, any edits to it will get removed if the file is opened in a newer version of Excel. Learn more: https://go.microsoft.com/fwlink/?linkid=870924
Comment:
    Those who deteriorate may get CPAP on the ward, so use the CPAP mortality from ITU.</t>
      </text>
    </comment>
    <comment ref="U27" authorId="22" shapeId="0" xr:uid="{7DD7A5A0-0AE0-4B6E-9DDA-B154535EFA92}">
      <text>
        <t>[Threaded comment]
Your version of Excel allows you to read this threaded comment; however, any edits to it will get removed if the file is opened in a newer version of Excel. Learn more: https://go.microsoft.com/fwlink/?linkid=870924
Comment:
    Assume substantial mortality as these are very high flow rates indicating severe disease and risk to life. Assume that there will be no O2 outside of hospital. Set at 50% after discussion with Dr Rahul Sarkar (Critical care consultant). Great uncertainty and merits sensitivity analysis.</t>
      </text>
    </comment>
    <comment ref="S28" authorId="23" shapeId="0" xr:uid="{B52D4E57-2439-4E50-99A3-748069150DC5}">
      <text>
        <t>[Threaded comment]
Your version of Excel allows you to read this threaded comment; however, any edits to it will get removed if the file is opened in a newer version of Excel. Learn more: https://go.microsoft.com/fwlink/?linkid=870924
Comment:
    From Darren et al. Assumption that this cohort 2 group will be frail with a CFS of 6-9. From figure 1, the mortality is about 40% at 28 days.
Aw, Darren, Lauren Woodrow, Giulia Ogliari, and Rowan Harwood. 2020. “Association of Frailty with Mortality in Older Inpatients with Covid-19: A Cohort Study.” Age and Ageing 49(6):915–22.</t>
      </text>
    </comment>
    <comment ref="T28" authorId="24" shapeId="0" xr:uid="{9E3434ED-5AE4-4DCA-9657-E1AC4D8E17CD}">
      <text>
        <t>[Threaded comment]
Your version of Excel allows you to read this threaded comment; however, any edits to it will get removed if the file is opened in a newer version of Excel. Learn more: https://go.microsoft.com/fwlink/?linkid=870924
Comment:
    Assume unaffected by ITU absence.</t>
      </text>
    </comment>
    <comment ref="U28" authorId="25" shapeId="0" xr:uid="{C66E8C90-B812-483E-B05C-82E85A11F946}">
      <text>
        <t>[Threaded comment]
Your version of Excel allows you to read this threaded comment; however, any edits to it will get removed if the file is opened in a newer version of Excel. Learn more: https://go.microsoft.com/fwlink/?linkid=870924
Comment:
    Assumption. This is a group of frail people who will have no medical support despite needing unusually high O2 flows to remain stable. Assume there will be no O2 outside of hospital.</t>
      </text>
    </comment>
    <comment ref="N29" authorId="26" shapeId="0" xr:uid="{8658D7CA-8279-47A7-BFC4-123181C0C0FD}">
      <text>
        <t>[Threaded comment]
Your version of Excel allows you to read this threaded comment; however, any edits to it will get removed if the file is opened in a newer version of Excel. Learn more: https://go.microsoft.com/fwlink/?linkid=870924
Comment:
    Set at 8.2% as determine on the sheet 2 Splitting Admissions ICU Ward cell O33.</t>
      </text>
    </comment>
    <comment ref="Q29" authorId="27" shapeId="0" xr:uid="{7E8DBB35-8167-4343-AF2F-2B9E26B84119}">
      <text>
        <t>[Threaded comment]
Your version of Excel allows you to read this threaded comment; however, any edits to it will get removed if the file is opened in a newer version of Excel. Learn more: https://go.microsoft.com/fwlink/?linkid=870924
Comment:
    Data supplied from Nottingham. Close to the figure in the ICNARC report of the 24th December (page 36) as the proportion in the second wave (43%).</t>
      </text>
    </comment>
    <comment ref="S29" authorId="28" shapeId="0" xr:uid="{0C0B2E48-FF37-48FA-A00D-0679E9861870}">
      <text>
        <t>[Threaded comment]
Your version of Excel allows you to read this threaded comment; however, any edits to it will get removed if the file is opened in a newer version of Excel. Learn more: https://go.microsoft.com/fwlink/?linkid=870924
Comment:
    Assume the same as for CPAP.</t>
      </text>
    </comment>
    <comment ref="T29" authorId="29" shapeId="0" xr:uid="{D9CC18FF-DEA7-4095-AC07-DBFFF11D68E2}">
      <text>
        <t>[Threaded comment]
Your version of Excel allows you to read this threaded comment; however, any edits to it will get removed if the file is opened in a newer version of Excel. Learn more: https://go.microsoft.com/fwlink/?linkid=870924
Comment:
    Assume the same as for CPAP.</t>
      </text>
    </comment>
    <comment ref="U29" authorId="30" shapeId="0" xr:uid="{7931765B-7182-45A4-BC4C-5827955F5226}">
      <text>
        <t>[Threaded comment]
Your version of Excel allows you to read this threaded comment; however, any edits to it will get removed if the file is opened in a newer version of Excel. Learn more: https://go.microsoft.com/fwlink/?linkid=870924
Comment:
    An assumption that no O2 available outside hospital. Mortality likely to be high without it in this group identified at having a risk to life by their admission to ITU.</t>
      </text>
    </comment>
    <comment ref="S30" authorId="31" shapeId="0" xr:uid="{534B5FFA-FF59-4072-B785-7803239B01DF}">
      <text>
        <t>[Threaded comment]
Your version of Excel allows you to read this threaded comment; however, any edits to it will get removed if the file is opened in a newer version of Excel. Learn more: https://go.microsoft.com/fwlink/?linkid=870924
Comment:
    In Sivaloganathan, there were 31 who rceived NIV only on ITU, none of whom died suggesting the rate is below 3-4%. Deaths are only likely to occur if from non-respiratory causes such as sepsis or non-respiratory organ failure, otherwise they would have been escalated to IMV/ECMO.</t>
      </text>
    </comment>
    <comment ref="T30" authorId="32" shapeId="0" xr:uid="{FA666B58-3421-469E-990E-0E59EEC4E7E8}">
      <text>
        <t>[Threaded comment]
Your version of Excel allows you to read this threaded comment; however, any edits to it will get removed if the file is opened in a newer version of Excel. Learn more: https://go.microsoft.com/fwlink/?linkid=870924
Comment:
    Assume that CPAP can continue on the ward, but double the mortality for reduces surrounding support etc.</t>
      </text>
    </comment>
    <comment ref="U30" authorId="33" shapeId="0" xr:uid="{C0505168-4BBC-4BE5-A61D-961114CD2E9C}">
      <text>
        <t>[Threaded comment]
Your version of Excel allows you to read this threaded comment; however, any edits to it will get removed if the file is opened in a newer version of Excel. Learn more: https://go.microsoft.com/fwlink/?linkid=870924
Comment:
    Assume the great majority would die without CPAP, otherwise they would have been be left on O2. Also assume that there will be no O2 outside hospital.</t>
      </text>
    </comment>
    <comment ref="S31" authorId="34" shapeId="0" xr:uid="{8CC7A8D2-3038-4BC5-ADA9-282ABAC1D278}">
      <text>
        <t>[Threaded comment]
Your version of Excel allows you to read this threaded comment; however, any edits to it will get removed if the file is opened in a newer version of Excel. Learn more: https://go.microsoft.com/fwlink/?linkid=870924
Comment:
    Table 1 in 
Sivaloganathan, Arjjana A., Myra Nasim-Mohi, Michael M. Brown, Nabil Abdul, Alexander Jackson, Sophie V. Fletcher, Sanjay Gupta, Michael P. W. Grocott, Ahilanandan Dushianthan, Sanjay Gupta, Julian Nixon, Michael P. W. Grocott, Denny ZH. Levett, Michael Stewart, Ahilanadan Dushianthan, David Sparkes, Robert Chambers, Kathleen Nolan, Suzie Tanser, Jonathan Fennell, Michael Celinski, Dominic Richardson, Rebecca Cusack, Benjamin Skinner, Timothy Nicholson-Robert, Mai Wakatsuki, Ben Thomas, Francois Wessels, Mark Jones, Paul Elkington, Tom Wilkinson, Mark Allenby, Thomas Daniels, Paddy Dennison, Anastasios Lekkas, Arjjana Sivaloganathan, David Land, Sophie Fletcher, Wilkinson, Anna Freeman, Hannah Burke, Ahilanadan Dushianthan, Michael Celinski, Saul Faust, Gareth Thomas, and Christopher Kipps. 2020. “Noninvasive Ventilation for COVID-19-Associated Acute Hypoxaemic Respiratory Failure: Experience from a Single Centre.” British Journal of Anaesthesia 125(4):e368–71.</t>
      </text>
    </comment>
    <comment ref="T31" authorId="35" shapeId="0" xr:uid="{65B4EF36-DA65-4E42-B397-4257921126B9}">
      <text>
        <t>[Threaded comment]
Your version of Excel allows you to read this threaded comment; however, any edits to it will get removed if the file is opened in a newer version of Excel. Learn more: https://go.microsoft.com/fwlink/?linkid=870924
Comment:
    Assume that CPAP can continue on the ward, but with an increase due to a reduction in other supportive care.</t>
      </text>
    </comment>
    <comment ref="U31" authorId="36" shapeId="0" xr:uid="{D43047EE-1655-4039-AC1D-619274A8C5D6}">
      <text>
        <t>[Threaded comment]
Your version of Excel allows you to read this threaded comment; however, any edits to it will get removed if the file is opened in a newer version of Excel. Learn more: https://go.microsoft.com/fwlink/?linkid=870924
Comment:
    Assumption that in the absence of any hospital bed, then there would be no NIV and no chance of survival.</t>
      </text>
    </comment>
    <comment ref="S32" authorId="37" shapeId="0" xr:uid="{92BF8D1F-9B88-4096-BAFF-5D61AE021F21}">
      <text>
        <t>[Threaded comment]
Your version of Excel allows you to read this threaded comment; however, any edits to it will get removed if the file is opened in a newer version of Excel. Learn more: https://go.microsoft.com/fwlink/?linkid=870924
Comment:
    ICNARC Report 30/10/20 - mortality in those ventilated within 24hrs after admission is 40% since 1st Sep. Assumption that the mortality rate is similar for those mechanically ventilated after the 1st 24hrs.</t>
      </text>
    </comment>
    <comment ref="T32" authorId="38" shapeId="0" xr:uid="{E5202A2F-2C09-4140-BD43-47E350F613D8}">
      <text>
        <t>[Threaded comment]
Your version of Excel allows you to read this threaded comment; however, any edits to it will get removed if the file is opened in a newer version of Excel. Learn more: https://go.microsoft.com/fwlink/?linkid=870924
Comment:
    Reasonably safe assumption. IMV/ECMO are dangerous but potentially lifesaving procedures only carried out if considered life-saving in this circumstance.</t>
      </text>
    </comment>
    <comment ref="U32" authorId="39" shapeId="0" xr:uid="{C4FDA109-1B71-48FC-8102-CC46C25001D7}">
      <text>
        <t>[Threaded comment]
Your version of Excel allows you to read this threaded comment; however, any edits to it will get removed if the file is opened in a newer version of Excel. Learn more: https://go.microsoft.com/fwlink/?linkid=870924
Comment:
    Reasonably safe assumption. IMV/ECMO are dangerous but potentially lifesaving procedures only carried out if considered life-saving in this circumstance.</t>
      </text>
    </comment>
    <comment ref="Q33" authorId="40" shapeId="0" xr:uid="{61945121-D3EB-4E07-A942-169886021E11}">
      <text>
        <t>[Threaded comment]
Your version of Excel allows you to read this threaded comment; however, any edits to it will get removed if the file is opened in a newer version of Excel. Learn more: https://go.microsoft.com/fwlink/?linkid=870924
Comment:
    The total mortality for ITU is calibrated to 20% to match the data from the Nottingham Universities Trust which includes over 3,000 ITU COVID episodes.</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<sst xmlns="http://schemas.openxmlformats.org/spreadsheetml/2006/main" count="1525" uniqueCount="498">
  <si>
    <t>Model of within capacity and outside capacity deaths from COVID-19 in England</t>
  </si>
  <si>
    <t>This model estimates the number of deaths that can be expected from forward projections of demand for hospital admission for COVID-19 taking into account any step-change that may occur in mortality rates when hospital or Intensive Care Unit (ICU) bed capacity is breached.
The model was designed and built by members of the Institute and Faculty of Actuaries in response to a request for help from the Department of Health and Social Care in the UK for assistance in updating the document ''Direct and Indirect Impacts of COVID-19 on Excess Deaths and Morbidity: Executive Summary. London; 2020. ".
Whilst some parameters are estimated, it may be that other users may have access to observed data that can be substituted where we have made estimates.</t>
  </si>
  <si>
    <t>Sheets</t>
  </si>
  <si>
    <t>Purpose</t>
  </si>
  <si>
    <t>Principle parameters</t>
  </si>
  <si>
    <t>Assumptions and limitations</t>
  </si>
  <si>
    <t>This sheet lists assumptions applied in the modelling and lists recognised limitations.</t>
  </si>
  <si>
    <t>Estimating Admissions by Age</t>
  </si>
  <si>
    <t>Estimating the age distribution of admissions to hospital.</t>
  </si>
  <si>
    <t>New patients in hospital</t>
  </si>
  <si>
    <t>Split new patients by those who do or do not require ICU.  Uses publicy available admissions data.</t>
  </si>
  <si>
    <t>Splitting Admissions CCU Ward</t>
  </si>
  <si>
    <t xml:space="preserve">Split Ward demand by those within and beyond capacity.  </t>
  </si>
  <si>
    <t>Ward Demand</t>
  </si>
  <si>
    <t>Calculates the demand for ward care.</t>
  </si>
  <si>
    <t>CCU Demand</t>
  </si>
  <si>
    <t>Calculates the demand for ICU care.</t>
  </si>
  <si>
    <t>Excess Mortality Model</t>
  </si>
  <si>
    <t>Ward Mortality - Treated</t>
  </si>
  <si>
    <t>CCU Mortality - Treated</t>
  </si>
  <si>
    <t>Mortality Rates</t>
  </si>
  <si>
    <t>Calculate mortality allowing for capacity being exceeded.</t>
  </si>
  <si>
    <t>Deaths - In capacity</t>
  </si>
  <si>
    <t>Calculate the number of deaths occuring within capacity.</t>
  </si>
  <si>
    <t>Deaths - outside capacity</t>
  </si>
  <si>
    <t>Calculate the number of deaths occuring as a direct result of a lack of capacity.</t>
  </si>
  <si>
    <t>Scenarios</t>
  </si>
  <si>
    <t>Construction of three scenarios for the projection of demand for admissions.</t>
  </si>
  <si>
    <t>Sensitivity Analysis</t>
  </si>
  <si>
    <t>Results of the sensitivity analysis.</t>
  </si>
  <si>
    <t>Principal authors</t>
  </si>
  <si>
    <t>Role</t>
  </si>
  <si>
    <t>Stuart McDonald</t>
  </si>
  <si>
    <t>Head of Demographic Assumptions and Methodology at Lloyds Banking Group</t>
  </si>
  <si>
    <r>
      <t>Chris Martin</t>
    </r>
    <r>
      <rPr>
        <sz val="8"/>
        <color theme="1"/>
        <rFont val="Calibri"/>
        <family val="2"/>
        <scheme val="minor"/>
      </rPr>
      <t> </t>
    </r>
  </si>
  <si>
    <t xml:space="preserve">Director of Modelling at Crystallise </t>
  </si>
  <si>
    <t>Steve Bale</t>
  </si>
  <si>
    <t>Senior Actuary at Munich Re</t>
  </si>
  <si>
    <t>Michiel Luteijn</t>
  </si>
  <si>
    <t>Biometric Research Data Specialist at Hannover Re</t>
  </si>
  <si>
    <t>Rahul Sarkar</t>
  </si>
  <si>
    <t>Consultant Physician in Respiratory Medicine 7 Critical Care at Medway NHS Foundation Trust</t>
  </si>
  <si>
    <t>Acknowledgements</t>
  </si>
  <si>
    <t>The authors acknowledge assistance and advice from the following people:</t>
  </si>
  <si>
    <t>Institute and Faculty of Actuaries</t>
  </si>
  <si>
    <t>Josephine Robertson (Health &amp; Care Actuary, Optum)</t>
  </si>
  <si>
    <t>Dan Ryan (Chief Science Officer at COIOS Research)</t>
  </si>
  <si>
    <t>Scott Reid (Global Protection Pricing &amp; Product Development Actuary, Zurich)</t>
  </si>
  <si>
    <t>James Robinson (UK &amp; Ireland Business Strategy and Analytics, Aon Benfield)</t>
  </si>
  <si>
    <t>Nottingham Universities Hospital Trust</t>
  </si>
  <si>
    <t>Joe West (Professor of Epidemiology; Honorary Consultant Gastroenterologist, Faculty of Medicine &amp; Health Sciences Nottingham University)</t>
  </si>
  <si>
    <r>
      <t>Richard Hubbard (</t>
    </r>
    <r>
      <rPr>
        <sz val="11"/>
        <color rgb="FF434341"/>
        <rFont val="Calibri"/>
        <family val="2"/>
        <scheme val="minor"/>
      </rPr>
      <t>GSK/British Lung Foundation Professor of Respiratory Epidemiology, Faculty of Medicine &amp; Health Sciences)</t>
    </r>
  </si>
  <si>
    <r>
      <t>Tim Card (</t>
    </r>
    <r>
      <rPr>
        <sz val="11"/>
        <color rgb="FF373334"/>
        <rFont val="Calibri"/>
        <family val="2"/>
        <scheme val="minor"/>
      </rPr>
      <t>Clinical Associate Professor, Nottingham Biomedical Research Centre)</t>
    </r>
  </si>
  <si>
    <r>
      <t xml:space="preserve">Colin Crooks (Clinical Associate Professor, </t>
    </r>
    <r>
      <rPr>
        <sz val="11"/>
        <color rgb="FF373334"/>
        <rFont val="Calibri"/>
        <family val="2"/>
        <scheme val="minor"/>
      </rPr>
      <t>Nottingham Biomedical Research Centre</t>
    </r>
    <r>
      <rPr>
        <sz val="11"/>
        <color rgb="FF000000"/>
        <rFont val="Calibri"/>
        <family val="2"/>
        <scheme val="minor"/>
      </rPr>
      <t>)</t>
    </r>
  </si>
  <si>
    <t>Nina Lewis (Consultant Gastroenterologist, Nottingham University NHS Trust)</t>
  </si>
  <si>
    <r>
      <t>Andrew Fogarty (</t>
    </r>
    <r>
      <rPr>
        <sz val="11"/>
        <color rgb="FF434341"/>
        <rFont val="Calibri"/>
        <family val="2"/>
        <scheme val="minor"/>
      </rPr>
      <t>Clinical Associate Professor &amp; Reader in Clinical Epidemiology, Faculty of Medicine &amp; Health Sciences)</t>
    </r>
  </si>
  <si>
    <t>Andrew Marshall (Deputy Medical Director at Nottingham University Hospitals)</t>
  </si>
  <si>
    <t>De Beer Thearina (Consultant in Anaesthetics and ICM at Nottingham University Hospitals NHS Trust)</t>
  </si>
  <si>
    <t>Dominic Shaw (Professor and Honorary Consultant, Faculty of Medicine &amp; Health Sciences)</t>
  </si>
  <si>
    <t>Emma O’Dowd (Honorary Consultant Assistant Professor, University of Nottingham)</t>
  </si>
  <si>
    <t>Andrew Baraclough (Assistant Director of Insight, Nottingham University Hospitals NHS Trust)</t>
  </si>
  <si>
    <t>Crystallise</t>
  </si>
  <si>
    <t>Shannon Connolly, Analyst at Crystallise Ltd</t>
  </si>
  <si>
    <t xml:space="preserve">Dr Will Letton, Consultant Analyst at Crystallise Ltd </t>
  </si>
  <si>
    <t>Dr Louisa Rutherford, Senior Clinical Researcher at Crystallise Ltd</t>
  </si>
  <si>
    <t>This sheet is a compilation of assumtions made in the model and recognised limitations</t>
  </si>
  <si>
    <t>Assumptions</t>
  </si>
  <si>
    <t>There is no change in the expected mortality as demand grows until the bed capacity is breached.</t>
  </si>
  <si>
    <t>Only bed capacity affects excess mortality rates and not other resource constraints such as staffing or equipment.</t>
  </si>
  <si>
    <t>Surge capacity will be applied before the use of field hospitals or the commandeering of private facilities.</t>
  </si>
  <si>
    <t>All of the surge capacity, field hospital and private facility beds will be utilised for COVID-19 rather than any other demand.</t>
  </si>
  <si>
    <t>The age distribution of admissions remains constant over time.</t>
  </si>
  <si>
    <t>There is perfect redistribution of bed capacity and resources across the country immediately according to demand.</t>
  </si>
  <si>
    <t>Weekly bed availability remains constant.</t>
  </si>
  <si>
    <t>Limitations</t>
  </si>
  <si>
    <t>Mortality rates are affected by constraints other than just bed availability including staffing and equipment.</t>
  </si>
  <si>
    <t>The model will not capture the transition between low mortality will full capacity and the high mortality from lack of a bed that arises from stressing of the system before capacity is absent.</t>
  </si>
  <si>
    <t xml:space="preserve">The estimates of bed availability is determined using the mean length of stay on the ward or in ICU. The distribution of oICUpants by length of stay will change over time which may result in a slow consumption of capacity that is not captured in this model. </t>
  </si>
  <si>
    <t>Capacity estimates are fixed throughout the model when, in fact, new resources may be recruited over time, or capcity may fall in response to disruption of staffing and supplies.</t>
  </si>
  <si>
    <t xml:space="preserve">The estimate of bed availability is determined using the mean length of stay on the ward or in ICU. The distribution of of ICU occupants by length of stay will change over time which may result in a slow consumption of capacity that is not captured in this model. </t>
  </si>
  <si>
    <t>The principle underlying parameters of the model with their sources.</t>
  </si>
  <si>
    <t>Key assumptions and parameter inputs into model</t>
  </si>
  <si>
    <t>Value</t>
  </si>
  <si>
    <t>Parameter</t>
  </si>
  <si>
    <t>Data scource</t>
  </si>
  <si>
    <t>Logic</t>
  </si>
  <si>
    <t>Within-hospital ICU surge multiplier</t>
  </si>
  <si>
    <t>9,11</t>
  </si>
  <si>
    <t>Report from one specialist unit in London that achieved 236% increase. Assume 200% typical. However, the NHS England guidance 2013 suggests 100%.</t>
  </si>
  <si>
    <t>Ward beds total</t>
  </si>
  <si>
    <t>Based on data from 2020/21 Q2</t>
  </si>
  <si>
    <t>Total ICU beds available for COVID patients (no surge)</t>
  </si>
  <si>
    <t>Spare capacity in Results section para1.</t>
  </si>
  <si>
    <t>Total Ward Beds available for COVID patients ( no surge)</t>
  </si>
  <si>
    <t>Total ICU beds available per week for COVID patients (with surge)</t>
  </si>
  <si>
    <t>2,9,11</t>
  </si>
  <si>
    <t>Assumption that, at equilibrium, the proportion of ICU beds that is available remains constant as this will relate to turnover.</t>
  </si>
  <si>
    <t>Total Ward Beds available for COVID patients (with surge)</t>
  </si>
  <si>
    <t>Page 5 para 2.</t>
  </si>
  <si>
    <t>Nightingale capacity, cancelled electives and private medical facilities - ICU beds</t>
  </si>
  <si>
    <t>Page 5 -"We estimate that these interventions would allow for up to 2627 and 62, 267 COVID-19 patients to be accommodated in CC and G&amp;A on any day, respectively". Minus pre-pandemic daily capacity.</t>
  </si>
  <si>
    <t>Nightingale capacity, cancelled electives and private medical facilities - ward beds</t>
  </si>
  <si>
    <t>Y</t>
  </si>
  <si>
    <t>Include within hospital surge capacity.</t>
  </si>
  <si>
    <t>N/A</t>
  </si>
  <si>
    <t>Include additional field hospital and private facilty capacity with routine care cancellation (Y/N)</t>
  </si>
  <si>
    <t>Nightingale facilities are currently largely on standby, but could be reactivated.</t>
  </si>
  <si>
    <t>Mean length of stay on ICU</t>
  </si>
  <si>
    <t>The number of beds available each week would be the number of beds * 7 days / mean duration of stay.</t>
  </si>
  <si>
    <t>Mean length of stay in hospital ward.</t>
  </si>
  <si>
    <t>Sensitivity adjustment</t>
  </si>
  <si>
    <t>ICU beds available each week for scenario</t>
  </si>
  <si>
    <t>Field hospitals, private facilities and cancellation of elective admissions will only happen after surge in ICU beds.</t>
  </si>
  <si>
    <t>Ward beds avaialable each week for scenario</t>
  </si>
  <si>
    <t>With our without the capacity from field hospitals, private facilities and cancellation of elective admissions.</t>
  </si>
  <si>
    <t>Mortality scalar if needs ICU but no beds are available</t>
  </si>
  <si>
    <t>see "5 Excess Mortaltiy Model" sheet</t>
  </si>
  <si>
    <t>Mortality scalar if needs ICU but only ward beds are available</t>
  </si>
  <si>
    <t>Mortality scalar if needs ward but no beds are available</t>
  </si>
  <si>
    <t>Care required</t>
  </si>
  <si>
    <t>Ward Beds Available</t>
  </si>
  <si>
    <t>ICU Beds Available</t>
  </si>
  <si>
    <t>Care provided</t>
  </si>
  <si>
    <t>Ward</t>
  </si>
  <si>
    <t>Yes</t>
  </si>
  <si>
    <t>n/a</t>
  </si>
  <si>
    <t>No</t>
  </si>
  <si>
    <t>None</t>
  </si>
  <si>
    <t>ICU</t>
  </si>
  <si>
    <t>Sources</t>
  </si>
  <si>
    <t>https://www.england.nhs.uk/statistics/statistical-work-areas/critical-care-capacity/critical-care-bed-capacity-and-urgent-operations-cancelled-2019-20-data/</t>
  </si>
  <si>
    <t>McCabe R, Schmit N, Christen P, D’Aeth JC, Løchen A, Rizmie D, et al. Adapting hospital capacity to meet changing demands during the COVID-19 pandemic. BMC Med [Internet]. 2020 Dec 16;18(1):329. Supplement 2</t>
  </si>
  <si>
    <t>https://www.england.nhs.uk/statistics/statistical-work-areas/bed-availability-and-occupancy/bed-data-overnight/</t>
  </si>
  <si>
    <t>ICNARC COVID-19 report, 18th December (https://www.icnarc.org/Our-Audit/Audits/Cmp/Reports)</t>
  </si>
  <si>
    <t>ISARIC April 2020 (https://www.medrxiv.org/content/10.1101/2020.04.23.20076042v1.full.pdf)</t>
  </si>
  <si>
    <t xml:space="preserve">Sivaloganathan AA, Nasim-Mohi M, Brown MM, Abdul N, Jackson A, Fletcher S V., et al. Noninvasive ventilation for COVID-19-associated acute hypoxaemic respiratory failure: experience from a single centre. Br J Anaesth. 2020;125(4):e368–71. </t>
  </si>
  <si>
    <t>McCabe R, Schmit N, Christen P, D’Aeth JC, Løchen A, Rizmie D, et al. Adapting hospital capacity to meet changing demands during the COVID-19 pandemic. BMC Med [Internet]. 2020 Dec 16;18(1):329. Available from: https://bmcmedicine.biomedcentral.com/articles/10.1186/s12916-020-01781-w</t>
  </si>
  <si>
    <t xml:space="preserve">Hick JL, Einav S, Hanfling D, Kissoon N, Dichter JR, Devereaux A V., et al. Surge capacity principles: Care of the critically ill and injured during pandemics and disasters: CHEST consensus statement. Chest. 2014;146:e1S-e16S. </t>
  </si>
  <si>
    <t>NHS England. Management of surge and escalation in critical care services : standard operating procedure for adult critical care [Internet]. 2013 [cited 2020 Feb 15]. Available from: https://www.england.nhs.uk/commissioning/wp-content/uploads/sites/12/2013/11/sop-burns.pdf</t>
  </si>
  <si>
    <t xml:space="preserve">Docherty AB, Harrison EM, Green CA, Hardwick HE, Pius R, Norman L, et al. Features of 20 133 UK patients in hospital with covid-19 using the ISARIC WHO Clinical Characterisation Protocol: Prospective observational cohort study. BMJ. 2020;369(March):1–12. </t>
  </si>
  <si>
    <t xml:space="preserve">Rees EM, Nightingale ES, Jafari Y, Waterlow NR, Clifford S, Carl CA, et al. COVID-19 length of hospital stay: A systematic review and data synthesis. BMC Med. 2020;18(1). </t>
  </si>
  <si>
    <t>Input data</t>
  </si>
  <si>
    <t>Data sources are shown in column F.</t>
  </si>
  <si>
    <t>Output</t>
  </si>
  <si>
    <t>Estimates of the weekly number of ICU and ward beds available for COVID-19 patients.</t>
  </si>
  <si>
    <t>Display of mortality rhazard ratios calculated elsewhere.</t>
  </si>
  <si>
    <t>This sheet estimates the age distribution of admissions using age-binned admission rates that are interpolated to single year of age.</t>
  </si>
  <si>
    <t>This sheet shows how we estimated the real shape of admission by age.</t>
  </si>
  <si>
    <t>Table 1.1 - Estimation of age distribution by single year of age.</t>
  </si>
  <si>
    <t>First we fit an exponential curve to the rate data for the age ranges 18 to 85+, with the x-axis taken as the</t>
  </si>
  <si>
    <t>Age</t>
  </si>
  <si>
    <t>Admission rate per 100K</t>
  </si>
  <si>
    <t>Population England</t>
  </si>
  <si>
    <t>Population adjusted rate</t>
  </si>
  <si>
    <t>% of bin</t>
  </si>
  <si>
    <t>Admissions</t>
  </si>
  <si>
    <t>Age distribution</t>
  </si>
  <si>
    <t>Check</t>
  </si>
  <si>
    <t xml:space="preserve"> estimated  midpoint of those intervals. The equation is then applied to each age to etimate the rate per 100K for that age (col N).</t>
  </si>
  <si>
    <t>Where the observed data is available it can be put into 5-year age bins and applied directly in column Range E44:E60.</t>
  </si>
  <si>
    <t>This data was not available to us, so we estimated it by interpolating binned data.</t>
  </si>
  <si>
    <r>
      <t>We took admissions by age data from</t>
    </r>
    <r>
      <rPr>
        <b/>
        <i/>
        <sz val="11"/>
        <color theme="1"/>
        <rFont val="Calibri"/>
        <family val="2"/>
        <scheme val="minor"/>
      </rPr>
      <t xml:space="preserve"> https://coronavirus.data.gov.uk/details/healthcare?areaType=nation&amp;areaName=England</t>
    </r>
  </si>
  <si>
    <t>We estimate admissions by individual age and regroup into bands that match with the deaths data</t>
  </si>
  <si>
    <t>NHS England Admissions Age Distribution</t>
  </si>
  <si>
    <t>As of 22/12/20</t>
  </si>
  <si>
    <t>Age Band</t>
  </si>
  <si>
    <t>Number</t>
  </si>
  <si>
    <t>Rate</t>
  </si>
  <si>
    <t>0 - 5</t>
  </si>
  <si>
    <t>6 -17</t>
  </si>
  <si>
    <t>18 - 64</t>
  </si>
  <si>
    <t>65 - 84</t>
  </si>
  <si>
    <t>85+</t>
  </si>
  <si>
    <t>Total</t>
  </si>
  <si>
    <t>% 18+</t>
  </si>
  <si>
    <t>Error</t>
  </si>
  <si>
    <t>Results</t>
  </si>
  <si>
    <t>Distribution</t>
  </si>
  <si>
    <t>Regrouped into required Age bands for ward mortality calculation</t>
  </si>
  <si>
    <t>0-4</t>
  </si>
  <si>
    <t>0 - 19</t>
  </si>
  <si>
    <t>% 20+</t>
  </si>
  <si>
    <t>5-9</t>
  </si>
  <si>
    <t>20 - 39</t>
  </si>
  <si>
    <t>10-14</t>
  </si>
  <si>
    <t>40 - 59</t>
  </si>
  <si>
    <t>15-19</t>
  </si>
  <si>
    <t>60 - 79</t>
  </si>
  <si>
    <t>20-24</t>
  </si>
  <si>
    <t>80+</t>
  </si>
  <si>
    <t>25-29</t>
  </si>
  <si>
    <t>30-34</t>
  </si>
  <si>
    <t>35-39</t>
  </si>
  <si>
    <t>40-44</t>
  </si>
  <si>
    <t>45-49</t>
  </si>
  <si>
    <t>50-54</t>
  </si>
  <si>
    <t>Regrouped for calculating ICU admissions</t>
  </si>
  <si>
    <t>55-59</t>
  </si>
  <si>
    <t>16-29</t>
  </si>
  <si>
    <t>60-64</t>
  </si>
  <si>
    <t>30-39</t>
  </si>
  <si>
    <t>65-69</t>
  </si>
  <si>
    <t>40-49</t>
  </si>
  <si>
    <t>70-74</t>
  </si>
  <si>
    <t>50-59</t>
  </si>
  <si>
    <t>75-79</t>
  </si>
  <si>
    <t>60-69</t>
  </si>
  <si>
    <t>70-79</t>
  </si>
  <si>
    <t>Binned admission data from the Coronavirus data dashboard at Gov.Uk here:  https://coronavirus.data.gov.uk/details/healthcare?areaType=nation&amp;areaName=England</t>
  </si>
  <si>
    <t>Mid-year population of England by single year of age. Source ONS. Table SAPE22DT2. https://www.ons.gov.uk/peoplepopulationandcommunity/populationandmigration/populationestimates/datasets/lowersuperoutputareamidyearpopulationestimates</t>
  </si>
  <si>
    <t>Distribution of admissions by 5-year age bins.</t>
  </si>
  <si>
    <t>This sheets calculates the scenario projections of admission demand on a weekly basis in a 'middling', 'pessimistic' and 'optimistic' scenario.</t>
  </si>
  <si>
    <t>This sheet projects three scenarios forward from observed data up to the 9th December.</t>
  </si>
  <si>
    <t>Optimistic</t>
  </si>
  <si>
    <t>Middling</t>
  </si>
  <si>
    <t>Pessimistic</t>
  </si>
  <si>
    <t>Multiplier values projected</t>
  </si>
  <si>
    <t>Linear projection of current increase in R</t>
  </si>
  <si>
    <t>Sensitivity analysis of Exceeding Capacity model</t>
  </si>
  <si>
    <t>Scenario</t>
  </si>
  <si>
    <t>ICU availability</t>
  </si>
  <si>
    <t>Outside capacity deaths</t>
  </si>
  <si>
    <t>Total deaths</t>
  </si>
  <si>
    <t>Adjustment choices</t>
  </si>
  <si>
    <t>0%</t>
  </si>
  <si>
    <t>Adjustment</t>
  </si>
  <si>
    <t>ICU capacity</t>
  </si>
  <si>
    <t>Ward capacity</t>
  </si>
  <si>
    <t>Variable</t>
  </si>
  <si>
    <t>Calculating the estimated number of hospitalised patients in each age group of each week</t>
  </si>
  <si>
    <t>Table 2.1 - Estimated hospitalised patients per week and age group.</t>
  </si>
  <si>
    <t>Week commencing</t>
  </si>
  <si>
    <t>Region</t>
  </si>
  <si>
    <t>England</t>
  </si>
  <si>
    <t xml:space="preserve">Column C holds the  scenario weekly hospitalisation numbers.
Using the age-distribution and the  COVID admissions in the scenario we have calculated the number of admissions to hospital in each age group.
</t>
  </si>
  <si>
    <t>UK</t>
  </si>
  <si>
    <r>
      <rPr>
        <b/>
        <sz val="11"/>
        <color theme="1"/>
        <rFont val="Calibri"/>
        <family val="2"/>
        <scheme val="minor"/>
      </rPr>
      <t>C4:C34</t>
    </r>
    <r>
      <rPr>
        <sz val="11"/>
        <color theme="1"/>
        <rFont val="Calibri"/>
        <family val="2"/>
        <scheme val="minor"/>
      </rPr>
      <t>. Observed number of admissions up to the 9th December 2020, then one three hypothetical projections for the number of admissions to the week beginning the 28th April 2021 from sheet "12 Scenarios".</t>
    </r>
  </si>
  <si>
    <r>
      <rPr>
        <b/>
        <sz val="11"/>
        <color theme="1"/>
        <rFont val="Calibri"/>
        <family val="2"/>
        <scheme val="minor"/>
      </rPr>
      <t>D37:T37</t>
    </r>
    <r>
      <rPr>
        <sz val="11"/>
        <color theme="1"/>
        <rFont val="Calibri"/>
        <family val="2"/>
        <scheme val="minor"/>
      </rPr>
      <t>. Estimated distribution of admissions by 5-year age bands. See sheet "1 Estimating Admissions by Age" range E44:E61.</t>
    </r>
  </si>
  <si>
    <t>Counts of expected admissions by 5-year age bins for each calendar week between the week beginning 30th September 20 and 28th April 21</t>
  </si>
  <si>
    <t>Calculating the proportion of admissions that will require ICU care by age.</t>
  </si>
  <si>
    <t>In this sheet we use ICNARC and UK government data to estimate the total proportion of hospital admissions that require ICU or ward, by age group.</t>
  </si>
  <si>
    <t>ICNARC - 18th Decemberr</t>
  </si>
  <si>
    <t>https://www.icnarc.org/Our-Audit/Audits/Cmp/Reports</t>
  </si>
  <si>
    <t>Table 2.1 - ICNARC data on total hospital admissions</t>
  </si>
  <si>
    <t>Total admissions</t>
  </si>
  <si>
    <t>Number of admissions up to the 31st of August from the ICNARC COVID Report of the 18th December.</t>
  </si>
  <si>
    <t>to 31/08</t>
  </si>
  <si>
    <t>Number of admissions from 1st September to 5th November from the ICNARC COVID Report of the 18th December.</t>
  </si>
  <si>
    <t>01/09 to 18/12</t>
  </si>
  <si>
    <t>Age distribution of ICU admissions from the ICNARC COVID Report of the 18th December.</t>
  </si>
  <si>
    <t>Total ICU</t>
  </si>
  <si>
    <t>The total number of ICU admissions for COVID-19 from the same report.</t>
  </si>
  <si>
    <t>Table 2.2 Estimating admissions per age group.</t>
  </si>
  <si>
    <t>Female</t>
  </si>
  <si>
    <t>Male</t>
  </si>
  <si>
    <t>Age at admission to critical care</t>
  </si>
  <si>
    <t>% admitted from 1 Sep</t>
  </si>
  <si>
    <t>2.1 - Here we use ICNARC data on the age and sex breakdown of all ICU admissions for COVID, as well as the total ICU admissions, to caculate the total number of ICU admissions for each age and sex group.</t>
  </si>
  <si>
    <t>Percentage of admissions admitted to ICU or ward by age. Range: B73:C89.</t>
  </si>
  <si>
    <t>Aim</t>
  </si>
  <si>
    <t>General Hospital Admissions</t>
  </si>
  <si>
    <t>Cumulative, to 18th December</t>
  </si>
  <si>
    <t>Table 2.4 - GOV data for total admissions by UK country.</t>
  </si>
  <si>
    <t>Area</t>
  </si>
  <si>
    <t>Hospital admissions</t>
  </si>
  <si>
    <t>Source</t>
  </si>
  <si>
    <t>2.3 - Here we use the hospital admissions age breakdown (column N, from sheet "1 New patients in hopsital") and the total hospital admissions for UK minus scotland (B46) to estimate the total hosptial admissions for each age group (C49:C55). Again, the numbers are not exactly equal as the rounded percentages do not sum to exactly 100%.</t>
  </si>
  <si>
    <t>https://coronavirus.data.gov.uk/details/healthcare?areaType=nation&amp;areaName=England</t>
  </si>
  <si>
    <t>Wales</t>
  </si>
  <si>
    <t>https://coronavirus.data.gov.uk/details/healthcare?areaType=nation&amp;areaName=Wales</t>
  </si>
  <si>
    <t>For England &amp; Wales</t>
  </si>
  <si>
    <t>Table 2.5 - Estimate for total admissions by age group for England and Wales</t>
  </si>
  <si>
    <t>From sheet 1</t>
  </si>
  <si>
    <t>Table 2.6 - Estimate of ICU admission as a percentage of all admissions, by age group.</t>
  </si>
  <si>
    <t>ICU proportion by age</t>
  </si>
  <si>
    <t>2.4 - Here we use the estimates of ICU admissions (C47:C53) and total hospital admissions (B26:B32) to estimate the proportion of hospital admissions that are ICU admissions (B60:B66), by age.</t>
  </si>
  <si>
    <t>All ages</t>
  </si>
  <si>
    <t>Table 2.7 - Estimates of ICU and Ward admission as a percentage of all admissions, by age group.</t>
  </si>
  <si>
    <t>Non_ICU</t>
  </si>
  <si>
    <t>2.5 - Here we use the estimates of the proportion of hospital admissions that are ICU admissions (B60:B66), and break it down further into 5-year age bands, that match those used in the rest of the model (B71:B87). Non ICU admissions are taken as whatever admissions are not ICU (C71:C87).</t>
  </si>
  <si>
    <t>Calculation of the age distribution of ward demand.</t>
  </si>
  <si>
    <t>In this sheet we use the estimates of total admissions from sheet 1 and the proportion requiring Ward care from sheet 2 to estimate the number of patients requiring Ward care.</t>
  </si>
  <si>
    <t>This is then combined with an estimate of maximum Ward capacity to estimate the number of patients that require Ward care who are able to be admitted to Ward.</t>
  </si>
  <si>
    <t>Table 3.1 - Estimated total ward demand by week and age group.</t>
  </si>
  <si>
    <t>Here we use our estimates of total number of hospitalisations per week from sheet "1 New patients in hospital", and our estimates of the proportion of those that will be admitted to the ward (i.e. non ICU) from sheet "2 Splitting admissions ICU Ward", to estimate the total number of patients in each age group that should be admitted to the ward each week.</t>
  </si>
  <si>
    <t>Demand within Capacity</t>
  </si>
  <si>
    <t>Table 3.2 - Estimated Ward demand that gets Ward admission by week and age group.</t>
  </si>
  <si>
    <t>Demand beyond Capacity</t>
  </si>
  <si>
    <t>Table 3.3 - Estimated Ward demand that gets no admission by week and age group.</t>
  </si>
  <si>
    <t>Here we calculate the number of ward patients that are not admitted because of lack of capacity. This is done the same way as in the table above, only using the excess to capactiy (column C) rather than the capacity. The numbers in this table and the table above will therefore sum to the table at the top.</t>
  </si>
  <si>
    <t>Calculating the age distribution of demand for ICU.</t>
  </si>
  <si>
    <t>In this sheet we use the estimates of total admissions from sheet 1 and the proportion requiring ICU care from sheet 2 to estimate the number of patients requiring ICU care.</t>
  </si>
  <si>
    <t>This is then combined with an estimate of maximum ICU capacity to estimate the number of patients that require ICU care who are able to be admitted to ICU,</t>
  </si>
  <si>
    <t>Any available Ward capacity is assumed to be filled with any patients that require ICU that are unable to be admitted to ICU</t>
  </si>
  <si>
    <t>Table 4.1 - Estimated total ICU demand by week and age group.</t>
  </si>
  <si>
    <t>Here we use our estimates of total number of hospitalisations per week from sheet "1 New patients in hospital", and our estimates of the proportion of those that will be admitted to the ICU from sheet "2 Splitting admissions ICU Ward", to estimate the total number of patients in each age group that should be admitted to the ICU each week (demand).</t>
  </si>
  <si>
    <t>Demand within CCU Capacity</t>
  </si>
  <si>
    <t>Table 4.2 - Estimated ICU demand that gets ICU admission by week and age group.</t>
  </si>
  <si>
    <t>Here we estimate the numbers of patients that will actually be admitted to ICU based on the ICU capacity (cell C38). This is done the same way as for ward beds on the "3 Ward Demand" sheet.</t>
  </si>
  <si>
    <t>Demand outside of ICU capacity but within Ward Capacity</t>
  </si>
  <si>
    <t>Table 4.3 - Estimated CIU demand that gets Ward admission by week and age group.</t>
  </si>
  <si>
    <t>Here we estimate the number of ICU patients that will not be admitted to ICU due to lack of capacity, but that would instead be admitted to a ward bed. The total ward beds available (column V) is calculated as the total ward beds minus the ward demand (sheet "3 ward demand"). This capacity is then split between the age groups according to the proportion of all patients that age group represents. e.g. if 15-19 year olds represent 10% of the ICU patients they will get 10% of the excess capacity ward beds.</t>
  </si>
  <si>
    <t>Demand beyond any Capacity</t>
  </si>
  <si>
    <t>Table 4.4 - Estimated CCU demand that gets no admission by week and age group.</t>
  </si>
  <si>
    <t>Here we estimate the number of ICU patients in each age group that are outside the capacity of both ICU and ward beds. First the total number of ICU patients outside all capacity is calculated (column C) by taking the total number of ICU patients (table 1) and then subtracting those admitted to ICU (table 2) and those admitted to the excess ward capacity (table 3). Then the number for each age group is calculated by multiplying the total number outside the capacity by the proportion of all ICU patients in each age group.</t>
  </si>
  <si>
    <t>Estimating the hazard ratios for mortality rates when capacity limits are breached.</t>
  </si>
  <si>
    <t>This sheet is used to estimate mortality hazard ratios to be applied to patients that require ICU admission but get Ward or no admission, or require Ward admission and get no admission.</t>
  </si>
  <si>
    <t>The approach taken is to generate a flow of people through the process of catching COVID, being admitted or not, and with various in-hospital care being provided, then the mortality rate estimated with and without this particular service (e.g. CPAP or mechanical ventilation).</t>
  </si>
  <si>
    <t>Yellow cells are cells that the user can enter data in to explore a scenario.</t>
  </si>
  <si>
    <t>Light blue cells have calculated results and should not be tampered with.</t>
  </si>
  <si>
    <t>The green cells indicate that have a reasonable evidence based support.</t>
  </si>
  <si>
    <t>Orange cells have weak support in that there is a substantive element of judgement used. These cells merit revision if better alternatives arise.</t>
  </si>
  <si>
    <t>The red cells are poorly parameterised in that there is no data or evidence to work from at all, and are entirely based on judgement or guesswork.</t>
  </si>
  <si>
    <t>Cells are mutually exclusice in a category. For example, someone in the ICU NIV group will exclude those who have NIV then convert to IMV.</t>
  </si>
  <si>
    <t>Parameter cells will contain a comment describing the source or the rationale for an assumption.</t>
  </si>
  <si>
    <t>Flow of patients through test and treatment alternatives and resulting mortality and hazard ratio estimates.</t>
  </si>
  <si>
    <t>Population</t>
  </si>
  <si>
    <t>Proportion</t>
  </si>
  <si>
    <t>#</t>
  </si>
  <si>
    <t>Mort with ICU</t>
  </si>
  <si>
    <t>Mort no ICU</t>
  </si>
  <si>
    <t>Mort no hospital</t>
  </si>
  <si>
    <t>Deaths With ICU</t>
  </si>
  <si>
    <t>Deaths No ICU</t>
  </si>
  <si>
    <t>Deaths no hospital</t>
  </si>
  <si>
    <t xml:space="preserve">UK </t>
  </si>
  <si>
    <t>Susceptible</t>
  </si>
  <si>
    <t>Immune</t>
  </si>
  <si>
    <t>Infected (time interval…)</t>
  </si>
  <si>
    <t>% of infected</t>
  </si>
  <si>
    <t>Unknown infections</t>
  </si>
  <si>
    <t>Category</t>
  </si>
  <si>
    <t>% of unknowns</t>
  </si>
  <si>
    <t># With ICU</t>
  </si>
  <si>
    <t># No ICU</t>
  </si>
  <si>
    <t># no hospital</t>
  </si>
  <si>
    <t>Asymptomatic</t>
  </si>
  <si>
    <t>Unrecognised symptomatic</t>
  </si>
  <si>
    <t>Known cases (test +ve or clinically diagnosed)</t>
  </si>
  <si>
    <t>No-hospital</t>
  </si>
  <si>
    <t>% of cases</t>
  </si>
  <si>
    <t>Group</t>
  </si>
  <si>
    <t>% of group</t>
  </si>
  <si>
    <t>Symptomatic</t>
  </si>
  <si>
    <t>Hospitalised</t>
  </si>
  <si>
    <t>% of hospitalised</t>
  </si>
  <si>
    <t>WARD</t>
  </si>
  <si>
    <t>General ward care</t>
  </si>
  <si>
    <t xml:space="preserve">Ward care O2&gt;35% </t>
  </si>
  <si>
    <t>Ward care O2&gt;35% (Ceiling)</t>
  </si>
  <si>
    <t>Supportive/HFO</t>
  </si>
  <si>
    <t>NIV/CPAP</t>
  </si>
  <si>
    <t>NIV/CPAP (Ceiling)</t>
  </si>
  <si>
    <t>IMV+/-ECMO</t>
  </si>
  <si>
    <t>Overall ICU mortality</t>
  </si>
  <si>
    <t>Overall COVID mortality</t>
  </si>
  <si>
    <t>HR sub-capacity</t>
  </si>
  <si>
    <t>No ICU availability</t>
  </si>
  <si>
    <t>No hospital capacity</t>
  </si>
  <si>
    <t>Mortality rate</t>
  </si>
  <si>
    <t>HR</t>
  </si>
  <si>
    <t>NIV</t>
  </si>
  <si>
    <t>NIV+IMV</t>
  </si>
  <si>
    <t>IMV</t>
  </si>
  <si>
    <t>NIV ceiling</t>
  </si>
  <si>
    <t>ICU COVID mortality</t>
  </si>
  <si>
    <r>
      <t xml:space="preserve">Sivaloganathan, Arjjana A., Myra Nasim-Mohi, Michael M. Brown, Nabil Abdul, Alexander Jackson, Sophie V. Fletcher, Sanjay Gupta, Michael P. W. Grocott, Ahilanandan Dushianthan, Sanjay Gupta, Julian Nixon, Michael P. W. Grocott, Denny ZH. Levett, Michael Stewart, Ahilanadan Dushianthan, David Sparkes, Robert Chambers, Kathleen Nolan, Suzie Tanser, Jonathan Fennell, Michael Celinski, Dominic Richardson, Rebecca Cusack, Benjamin Skinner, Timothy Nicholson-Robert, Mai Wakatsuki, Ben Thomas, Francois Wessels, Mark Jones, Paul Elkington, Tom Wilkinson, Mark Allenby, Thomas Daniels, Paddy Dennison, Anastasios Lekkas, Arjjana Sivaloganathan, David Land, Sophie Fletcher, Wilkinson, Anna Freeman, Hannah Burke, Ahilanadan Dushianthan, Michael Celinski, Saul Faust, Gareth Thomas, and Christopher Kipps. 2020. “Noninvasive Ventilation for COVID-19-Associated Acute Hypoxaemic Respiratory Failure: Experience from a Single Centre.” </t>
    </r>
    <r>
      <rPr>
        <i/>
        <sz val="11"/>
        <color theme="1"/>
        <rFont val="Calibri"/>
        <family val="2"/>
        <scheme val="minor"/>
      </rPr>
      <t>British Journal of Anaesthesia</t>
    </r>
    <r>
      <rPr>
        <sz val="11"/>
        <color theme="1"/>
        <rFont val="Calibri"/>
        <family val="2"/>
        <scheme val="minor"/>
      </rPr>
      <t xml:space="preserve"> 125(4):e368–71.</t>
    </r>
  </si>
  <si>
    <t>Ward COVID mortality</t>
  </si>
  <si>
    <t>Input data / parameters</t>
  </si>
  <si>
    <t>The proportion of admitted patients needing ICU care is taken from the sheet "1 Estimating Admissions by Age".</t>
  </si>
  <si>
    <t>If there is no ward capacity available, then there is no ICU capacity.</t>
  </si>
  <si>
    <t>COVID-19 patients in the "Ward care O2&gt;35% (Ceiling)" and "NIV/CPAP (Ceiling)" can have no further escalation in care.</t>
  </si>
  <si>
    <t>The parameters and mortality risks are not age dependent.</t>
  </si>
  <si>
    <t>Weaknesses</t>
  </si>
  <si>
    <t>Estimating the age distribution of the mortality of ward patients.</t>
  </si>
  <si>
    <t>This sheet uses government data to estimate mortality rates for Ward patients of different ages through fitting an exponential function</t>
  </si>
  <si>
    <t>https://www.england.nhs.uk/statistics/statistical-work-areas/covid-19-daily-deaths/</t>
  </si>
  <si>
    <t>This is Ward mortality when treatment is available</t>
  </si>
  <si>
    <t>Table 6a.2 - total deaths by age group.</t>
  </si>
  <si>
    <t>Table 6a.4 - Ward mortaltiy rate by age group, estimated through fitting an exponential function.</t>
  </si>
  <si>
    <t>Age group (years)</t>
  </si>
  <si>
    <t>5-year age bands</t>
  </si>
  <si>
    <t>Use formula from chart</t>
  </si>
  <si>
    <t xml:space="preserve">Table 6a.3 - </t>
  </si>
  <si>
    <t>MID OF AGE BAND</t>
  </si>
  <si>
    <t>AGE BAND</t>
  </si>
  <si>
    <t>ESTIMATED MORTALITY RATE</t>
  </si>
  <si>
    <t>ICU deaths</t>
  </si>
  <si>
    <t>Overall Death Rate</t>
  </si>
  <si>
    <t>Ward death rate</t>
  </si>
  <si>
    <t>WARD DEATH</t>
  </si>
  <si>
    <t>AGE</t>
  </si>
  <si>
    <t>RATE</t>
  </si>
  <si>
    <t>40-59</t>
  </si>
  <si>
    <t>60-79</t>
  </si>
  <si>
    <t>TBC</t>
  </si>
  <si>
    <t>Total admissions in england one week prior</t>
  </si>
  <si>
    <t>Table 6a.1 - Estimates for total admissions by age group.</t>
  </si>
  <si>
    <t>Here the total ward admissions  (B18) and estimates for the breakdown by age (D21:D25 or E21:E25) are used to estimate total ward admissions by age (F21:F25).</t>
  </si>
  <si>
    <t>Total deaths by age are given in D9:D13. By taking away the ICU deaths (F9:F13) we get the ward deaths. By dividing this by the estimate of ward admissions by age (F21:F25), we get an estimate of ward death rate by age (K9:K13)</t>
  </si>
  <si>
    <t>Ward mortality rates are shown in U11:V13 for 50 years, 70 years, and 82 years. By fitting an exponential curve we use that curve to estimate the mortality rate for the 5-year age bands (column P)</t>
  </si>
  <si>
    <t>Ultimately it is hoped and expected that DHSC may have more granular hospital death data than is in the public domain, removing the need for some of the approximations on this sheet.</t>
  </si>
  <si>
    <t>Estimating the age distribution of mortality in ICU patients.</t>
  </si>
  <si>
    <t>This sheet uses ICNARC data to estimate mortality rates for ICU patients of different ages through fitting an exponential function</t>
  </si>
  <si>
    <t>ICNARC data for ICU mortality by age group.</t>
  </si>
  <si>
    <t>Subgroup</t>
  </si>
  <si>
    <t>N (up to 31 Aug)</t>
  </si>
  <si>
    <t>28-day in-hospital mortality (up to 31 Aug)</t>
  </si>
  <si>
    <t>N (from 1 Sep)</t>
  </si>
  <si>
    <t>28-day in-hospital mortality (from 1 Sep)</t>
  </si>
  <si>
    <t>16-39</t>
  </si>
  <si>
    <t>ICNARC - 6 November</t>
  </si>
  <si>
    <t>Sex</t>
  </si>
  <si>
    <t>Combine mortality - pre 31 Aug may be overstated as treatment has improved.  Post 1 Sep may be understated as bias early on (mortality rate is increasing weekly)</t>
  </si>
  <si>
    <t>Weighted mean for ICU mortality rate based on ICNARC data.</t>
  </si>
  <si>
    <t>Mortality</t>
  </si>
  <si>
    <t>Deaths</t>
  </si>
  <si>
    <t>mortality</t>
  </si>
  <si>
    <t>Estimated ICU mortality by age group by fitting an exponential function.</t>
  </si>
  <si>
    <t>mid-age</t>
  </si>
  <si>
    <t>age group</t>
  </si>
  <si>
    <t>ICU mortality when treatment is available</t>
  </si>
  <si>
    <t>ICNARC data for ICU mortality is shown in A3:F11.</t>
  </si>
  <si>
    <t>This data is combined to estimate the weighted mean for ICU mortality (C17:C22)</t>
  </si>
  <si>
    <t>By taking the mid age value for each age bin and the mortality estimates (C17:C22), we fit an exponential curve to the values, shown in the graph.</t>
  </si>
  <si>
    <t>This fitted exponential curve is then used to estimate ICU mortality rates for all age bins (C27:C43).</t>
  </si>
  <si>
    <t>Estimating the mortality rates of those within and outside capacity limits</t>
  </si>
  <si>
    <t>This sheet combines the estimated mortality rates for Ward and ICU patients of different age groups with assumptions about additional</t>
  </si>
  <si>
    <t>mortality if they do not get the required admission to estimate mortality rates for all five admission combinations.</t>
  </si>
  <si>
    <t>Estimated mortality rates by age group for all combinations of ICU and Ward demand and ICU, Ward and No admittance.</t>
  </si>
  <si>
    <t>Mortality Rates for those who need ICU</t>
  </si>
  <si>
    <t>Mortality Rates for those who need Ward</t>
  </si>
  <si>
    <t>In ICU</t>
  </si>
  <si>
    <t>In Ward</t>
  </si>
  <si>
    <t>Untreated</t>
  </si>
  <si>
    <t>Table 6.2 - Estimates for mortality scalars for patients that do not get the CCU or Ward bed of their demand.</t>
  </si>
  <si>
    <t>Here the estimates for ICU and ward mortality are collected from sheet "6a Ward Mortality - Treated" into column I3:I19, and sheet "6b ICU Mortality -Treated" into column C6:C22.</t>
  </si>
  <si>
    <t>These are then used, along with the excess mortality scalars from sheet "5 Excess Mortality Model" (also in the "Descriptions" sheet), to estimate the mortality rates for Ward patients that do not get access to</t>
  </si>
  <si>
    <t>the ward (column G) and CCU patients that don't get access to ICU or the Ward (column E), or that get Ward access (column D).</t>
  </si>
  <si>
    <t>For Untreated Ward patients (column G). The mortality is calculated as 1-((survival rate)^mortality scalar). For example, if the mortality rate is 65.7% (0.657), then the survival rate</t>
  </si>
  <si>
    <t xml:space="preserve"> is 0.343. If the mortality scalar is 3.7, then the untreated mortality rate is 1-(0.343^3.7)=0.981 (98.1%).</t>
  </si>
  <si>
    <t>The same approach is used for the ICU patients, with different mortality scalars (I2:I25).</t>
  </si>
  <si>
    <t>Calculating the deaths occuring within capacity.</t>
  </si>
  <si>
    <t>This sheet calculates the total number of deaths each week if there are no Ward or CCU capacity limits</t>
  </si>
  <si>
    <t>Predicted deaths per week on ICU and Ward if there are no capacity limits.</t>
  </si>
  <si>
    <t>Total deaths up to the 9th December are the observed figures. Deaths in ICU calculated as 15% of the toal as there are time delays in collecting data.</t>
  </si>
  <si>
    <t>In column E the estimated ICU mortality from sheet "6 Mortality Rates" is multiplied by the estimated number of patients admitted to ICU from sheet "4 - ICU demand".</t>
  </si>
  <si>
    <t>In column F the estimated Ward mortality from sheet "6 Mortality Rates" is multiplied by the estimated number of patients admitted to Ward from sheet "3 - Ward demand".</t>
  </si>
  <si>
    <t>ICU deaths are 15% of the total up to the 30th September.</t>
  </si>
  <si>
    <t>This sheet estimates the number of deaths that occur as a direct result of lack of capacity.</t>
  </si>
  <si>
    <t>Observed data is used up to the 9th December with an assumption that no deaths occurred outside of capacity in that time.</t>
  </si>
  <si>
    <t>The estimated number of patients requiring Ward and ICU admission and their estimated admission outcome are multiplied by the mortality estimate</t>
  </si>
  <si>
    <t>For each requirement-outcome combination and then summed to give Total Deaths.</t>
  </si>
  <si>
    <t>Total Deaths minus those within capacity gives the number outside capacity - the estimated number of deaths specifically due to ICU and Ward capacity limits</t>
  </si>
  <si>
    <t>Predicted deaths under the current scenario for all combinations of Care Required and Care Received, for Total Deaths within and outside capacity.</t>
  </si>
  <si>
    <t>Excess deaths breakdown</t>
  </si>
  <si>
    <t>Care Required</t>
  </si>
  <si>
    <t>Total Deaths (with ICU and Ward capacity limits)</t>
  </si>
  <si>
    <t>Deaths if there are no ICU and Ward capacity limits.</t>
  </si>
  <si>
    <t>Excess deaths specifically due to ICU and Ward capacity limits</t>
  </si>
  <si>
    <t>ICU Only</t>
  </si>
  <si>
    <t>Ward Only</t>
  </si>
  <si>
    <t>Care Received</t>
  </si>
  <si>
    <t>Total Deaths</t>
  </si>
  <si>
    <t>Within capacity</t>
  </si>
  <si>
    <t>Outside capacity</t>
  </si>
  <si>
    <t>Outside capacity deaths arising from:</t>
  </si>
  <si>
    <t>Checksum</t>
  </si>
  <si>
    <t>totals</t>
  </si>
  <si>
    <t xml:space="preserve">Here the final output of the model is calculated. </t>
  </si>
  <si>
    <t>The deaths for the individual scenarios are calculated are calculated using their appropriate counts and mortality rates.</t>
  </si>
  <si>
    <t>For example for "Care Required = ICU Care Received = Ward" (column F), we use the patient counts by age from sheet "4 - ICU demand" table3, and the mortality rates from sheet "6 Mortality Rates", column D.</t>
  </si>
  <si>
    <t>Total Deaths (column K) is calculated as the sum of deaths in columns E,F,G,H,I. These columns represent the five scenarios of care required and care received (e.g. ICU required and ICU received or ICU required and None received).</t>
  </si>
  <si>
    <t>Within capacity deaths (column L) are imported from sheet "7 Deaths - Within capacity (check)" column G. This represents the deaths that would occur if there were no limits to ICU or Ward capacity.</t>
  </si>
  <si>
    <t>Outside capacity deaths (column M) are calculated as total deaths (column K) minus Within capacity deaths (column L).</t>
  </si>
  <si>
    <t>Outside capacity therefore refers to the excess deaths that occur specifically due to exceeding the limits of the ICU and Ward capacity.</t>
  </si>
  <si>
    <t>The totals across all weeks are given in row 40.</t>
  </si>
  <si>
    <t>31st December 2020</t>
  </si>
  <si>
    <t>Derivation of mortality scalars.</t>
  </si>
  <si>
    <t>Treated mortality rates by age, within Ward (6a) and ICU (6b).  Mortality scalars from 5 used to determine mortality rates when capacity exceeded.</t>
  </si>
  <si>
    <t>This sheet derives or displays the principle underlying parameters - the availability of ward and ICU beds, and the mortality scalars that apply when ward or ICU care is not available.</t>
  </si>
  <si>
    <t>Multipliers of mortality rates (scalars) under different scenarios of exceeding capacity - results of sheet "6. Excess Mortality Model"</t>
  </si>
  <si>
    <t>Scalar</t>
  </si>
  <si>
    <t>Here we are estimating how many of the patients that should be addmitted to the ward will actually be so. Column C contains the ward beds available for the ward patients, which is capped at the overall ward capacity (cell C37). The number of wards patients actually admitted is calculated as the actual capacity divided by the number of patients, multiplied by the number of patients . For example, if  the demand is 13,449 while the capacity limit is 12,000, only 12,000/13449=89% of the patients can be admitted.
Importantly, we assume no age-preference as to which patients get admitted.</t>
  </si>
  <si>
    <t>Table 0.2 - Summary of mortality scalars - see Excess Mortality Model</t>
  </si>
  <si>
    <t>Simple check that the normal (in capacity) mortality rates gives an answer similar to the deaths in the scenarios</t>
  </si>
  <si>
    <t xml:space="preserve">The mortality (including by age) is the same for the old COVID strain and novel mutations. </t>
  </si>
  <si>
    <t>This model is intended to help estimate the hazard ratio to be applied to overall COVID mortality should hospital ward and/or ICU capacity be exceeded.</t>
  </si>
  <si>
    <t>Data on admissions from the GOV.UK Coronavirus dashboard. https://coronavirus.data.gov.uk/details/healthcare?areaType=nation&amp;areaName=England</t>
  </si>
  <si>
    <t>Three scenarios projecting admission rates in columns G, H and I.</t>
  </si>
  <si>
    <t>Unlimited capacity deaths</t>
  </si>
  <si>
    <t>Excess deaths due to capacity breach</t>
  </si>
  <si>
    <t>% increase in deaths</t>
  </si>
  <si>
    <t>No ward HR</t>
  </si>
  <si>
    <t xml:space="preserve">No ICU HR </t>
  </si>
  <si>
    <t xml:space="preserve">No ICU or Ward HR </t>
  </si>
  <si>
    <t>Ward availability</t>
  </si>
  <si>
    <t>Historical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</si>
</sst>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_-;\-* #,##0_-;_-* &quot;-&quot;??_-;_-@_-"/>
    <numFmt numFmtId="165" formatCode="0.0%"/>
    <numFmt numFmtId="166" formatCode="0.0"/>
    <numFmt numFmtId="167" formatCode="0.000%"/>
  </numFmts>
  <fonts count="41" x14ac:knownFonts="1">
    <font>
      <sz val="11"/>
      <color theme="1"/>
      <name val="Calibri"/>
      <family val="2"/>
      <scheme val="minor"/>
    </font>
    <font>
      <sz val="11"/>
      <color theme="1"/>
      <name val="Calibri"/>
      <family val="2"/>
      <scheme val="minor"/>
    </font>
    <font>
      <b/>
      <sz val="11"/>
      <color theme="1"/>
      <name val="Calibri"/>
      <family val="2"/>
      <scheme val="minor"/>
    </font>
    <font>
      <sz val="11"/>
      <color rgb="FF0070C0"/>
      <name val="Calibri"/>
      <family val="2"/>
      <scheme val="minor"/>
    </font>
    <font>
      <sz val="11"/>
      <color rgb="FFFF0000"/>
      <name val="Calibri"/>
      <family val="2"/>
      <scheme val="minor"/>
    </font>
    <font>
      <sz val="11"/>
      <color theme="1"/>
      <name val="Calibri"/>
      <family val="2"/>
    </font>
    <font>
      <b/>
      <sz val="11"/>
      <color theme="0"/>
      <name val="Calibri"/>
      <family val="2"/>
      <scheme val="minor"/>
    </font>
    <font>
      <sz val="11"/>
      <color theme="0"/>
      <name val="Calibri"/>
      <family val="2"/>
      <scheme val="minor"/>
    </font>
    <font>
      <i/>
      <sz val="11"/>
      <color theme="1"/>
      <name val="Calibri"/>
      <family val="2"/>
      <scheme val="minor"/>
    </font>
    <font>
      <sz val="11"/>
      <name val="Calibri"/>
      <family val="2"/>
      <scheme val="minor"/>
    </font>
    <font>
      <u/>
      <sz val="11"/>
      <color theme="10"/>
      <name val="Calibri"/>
      <family val="2"/>
      <scheme val="minor"/>
    </font>
    <font>
      <sz val="11"/>
      <color rgb="FF002060"/>
      <name val="Calibri"/>
      <family val="2"/>
      <scheme val="minor"/>
    </font>
    <font>
      <b/>
      <sz val="10"/>
      <color rgb="FF095BA6"/>
      <name val="Verdana"/>
      <family val="2"/>
    </font>
    <font>
      <sz val="10"/>
      <name val="Verdana"/>
      <family val="2"/>
    </font>
    <font>
      <sz val="10"/>
      <color theme="0"/>
      <name val="Verdana"/>
      <family val="2"/>
    </font>
    <font>
      <b/>
      <sz val="10"/>
      <name val="Verdana"/>
      <family val="2"/>
    </font>
    <font>
      <sz val="9"/>
      <color rgb="FF0B0C0C"/>
      <name val="Arial"/>
      <family val="2"/>
    </font>
    <font>
      <sz val="11"/>
      <color rgb="FF9C5700"/>
      <name val="Calibri"/>
      <family val="2"/>
      <scheme val="minor"/>
    </font>
    <font>
      <b/>
      <sz val="11"/>
      <color rgb="FF002060"/>
      <name val="Calibri"/>
      <family val="2"/>
      <scheme val="minor"/>
    </font>
    <font>
      <sz val="11"/>
      <color rgb="FF00B050"/>
      <name val="Calibri"/>
      <family val="2"/>
      <scheme val="minor"/>
    </font>
    <font>
      <b/>
      <sz val="9"/>
      <color rgb="FF0B0C0C"/>
      <name val="Arial"/>
      <family val="2"/>
    </font>
    <font>
      <b/>
      <sz val="11"/>
      <color theme="1"/>
      <name val="Calibri"/>
      <family val="2"/>
    </font>
    <font>
      <sz val="11"/>
      <color rgb="FF7030A0"/>
      <name val="Calibri"/>
      <family val="2"/>
      <scheme val="minor"/>
    </font>
    <font>
      <b/>
      <sz val="11"/>
      <color rgb="FF7030A0"/>
      <name val="Calibri"/>
      <family val="2"/>
      <scheme val="minor"/>
    </font>
    <font>
      <b/>
      <sz val="11"/>
      <color rgb="FF3F3F3F"/>
      <name val="Calibri"/>
      <family val="2"/>
      <scheme val="minor"/>
    </font>
    <font>
      <b/>
      <sz val="11"/>
      <color rgb="FFFA7D00"/>
      <name val="Calibri"/>
      <family val="2"/>
      <scheme val="minor"/>
    </font>
    <font>
      <b/>
      <sz val="11"/>
      <name val="Calibri"/>
      <family val="2"/>
      <scheme val="minor"/>
    </font>
    <font>
      <sz val="20"/>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b/>
      <i/>
      <sz val="11"/>
      <color theme="1"/>
      <name val="Calibri"/>
      <family val="2"/>
      <scheme val="minor"/>
    </font>
    <font>
      <b/>
      <sz val="16"/>
      <color theme="1"/>
      <name val="Calibri"/>
      <family val="2"/>
      <scheme val="minor"/>
    </font>
    <font>
      <sz val="14"/>
      <color theme="1"/>
      <name val="Calibri"/>
      <family val="2"/>
      <scheme val="minor"/>
    </font>
    <font>
      <sz val="8"/>
      <color theme="1"/>
      <name val="Calibri"/>
      <family val="2"/>
      <scheme val="minor"/>
    </font>
    <font>
      <sz val="10"/>
      <color theme="1"/>
      <name val="Calibri"/>
      <family val="2"/>
      <scheme val="minor"/>
    </font>
    <font>
      <b/>
      <sz val="11"/>
      <color rgb="FF000000"/>
      <name val="Calibri"/>
      <family val="2"/>
      <scheme val="minor"/>
    </font>
    <font>
      <sz val="11"/>
      <color rgb="FF000000"/>
      <name val="Calibri"/>
      <family val="2"/>
      <scheme val="minor"/>
    </font>
    <font>
      <sz val="11"/>
      <color rgb="FF434341"/>
      <name val="Calibri"/>
      <family val="2"/>
      <scheme val="minor"/>
    </font>
    <font>
      <sz val="11"/>
      <color rgb="FF373334"/>
      <name val="Calibri"/>
      <family val="2"/>
      <scheme val="minor"/>
    </font>
    <font>
      <b/>
      <sz val="20"/>
      <color theme="1"/>
      <name val="Calibri"/>
      <family val="2"/>
      <scheme val="minor"/>
    </font>
  </fonts>
  <fills count="26">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rgb="FF007F7F"/>
        <bgColor indexed="64"/>
      </patternFill>
    </fill>
    <fill>
      <patternFill patternType="solid">
        <fgColor theme="8" tint="0.79998168889431442"/>
        <bgColor indexed="64"/>
      </patternFill>
    </fill>
    <fill>
      <patternFill patternType="solid">
        <fgColor theme="9" tint="0.39997558519241921"/>
        <bgColor indexed="64"/>
      </patternFill>
    </fill>
    <fill>
      <patternFill patternType="solid">
        <fgColor theme="8" tint="0.59999389629810485"/>
        <bgColor indexed="64"/>
      </patternFill>
    </fill>
    <fill>
      <patternFill patternType="solid">
        <fgColor rgb="FFFFC000"/>
        <bgColor indexed="64"/>
      </patternFill>
    </fill>
    <fill>
      <patternFill patternType="solid">
        <fgColor rgb="FFFF0000"/>
        <bgColor indexed="64"/>
      </patternFill>
    </fill>
    <fill>
      <patternFill patternType="solid">
        <fgColor rgb="FF05FFFF"/>
        <bgColor indexed="64"/>
      </patternFill>
    </fill>
    <fill>
      <patternFill patternType="solid">
        <fgColor theme="4" tint="0.79998168889431442"/>
        <bgColor indexed="64"/>
      </patternFill>
    </fill>
    <fill>
      <patternFill patternType="solid">
        <fgColor rgb="FFEDF3F9"/>
        <bgColor rgb="FF000000"/>
      </patternFill>
    </fill>
    <fill>
      <patternFill patternType="solid">
        <fgColor indexed="9"/>
        <bgColor indexed="64"/>
      </patternFill>
    </fill>
    <fill>
      <patternFill patternType="solid">
        <fgColor theme="7" tint="0.79998168889431442"/>
        <bgColor indexed="64"/>
      </patternFill>
    </fill>
    <fill>
      <patternFill patternType="solid">
        <fgColor rgb="FFFFEB9C"/>
      </patternFill>
    </fill>
    <fill>
      <patternFill patternType="solid">
        <fgColor rgb="FF92D050"/>
        <bgColor indexed="64"/>
      </patternFill>
    </fill>
    <fill>
      <patternFill patternType="solid">
        <fgColor rgb="FFF2F2F2"/>
      </patternFill>
    </fill>
    <fill>
      <patternFill patternType="solid">
        <fgColor theme="0" tint="-4.9989318521683403E-2"/>
        <bgColor indexed="64"/>
      </patternFill>
    </fill>
    <fill>
      <patternFill patternType="solid">
        <fgColor theme="0" tint="-0.249977111117893"/>
        <bgColor indexed="64"/>
      </patternFill>
    </fill>
    <fill>
      <patternFill patternType="solid">
        <fgColor rgb="FF00B0F0"/>
        <bgColor indexed="64"/>
      </patternFill>
    </fill>
    <fill>
      <patternFill patternType="solid">
        <fgColor theme="9" tint="0.79998168889431442"/>
        <bgColor indexed="64"/>
      </patternFill>
    </fill>
    <fill>
      <patternFill patternType="solid">
        <fgColor theme="7"/>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5" tint="0.39997558519241921"/>
        <bgColor indexed="64"/>
      </patternFill>
    </fill>
  </fills>
  <borders count="8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top/>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style="double">
        <color indexed="64"/>
      </left>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style="double">
        <color indexed="64"/>
      </top>
      <bottom/>
      <diagonal/>
    </border>
    <border>
      <left/>
      <right style="double">
        <color indexed="64"/>
      </right>
      <top/>
      <bottom/>
      <diagonal/>
    </border>
    <border>
      <left/>
      <right style="double">
        <color indexed="64"/>
      </right>
      <top/>
      <bottom style="double">
        <color indexed="6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diagonal/>
    </border>
    <border>
      <left style="medium">
        <color indexed="64"/>
      </left>
      <right style="medium">
        <color indexed="64"/>
      </right>
      <top style="thin">
        <color indexed="64"/>
      </top>
      <bottom/>
      <diagonal/>
    </border>
    <border>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6">
    <xf numFmtId="0" fontId="0" fillId="0" borderId="0"/>
    <xf numFmtId="9" fontId="1" fillId="0" borderId="0" applyFont="0" applyFill="0" applyBorder="0" applyAlignment="0" applyProtection="0"/>
    <xf numFmtId="0" fontId="10" fillId="0" borderId="0" applyNumberFormat="0" applyFill="0" applyBorder="0" applyAlignment="0" applyProtection="0"/>
    <xf numFmtId="0" fontId="17" fillId="15" borderId="0" applyNumberFormat="0" applyBorder="0" applyAlignment="0" applyProtection="0"/>
    <xf numFmtId="0" fontId="24" fillId="17" borderId="54" applyNumberFormat="0" applyAlignment="0" applyProtection="0"/>
    <xf numFmtId="0" fontId="25" fillId="17" borderId="53" applyNumberFormat="0" applyAlignment="0" applyProtection="0"/>
  </cellStyleXfs>
  <cellXfs count="614">
    <xf numFmtId="0" fontId="0" fillId="0" borderId="0" xfId="0"/>
    <xf numFmtId="0" fontId="0" fillId="0" borderId="0" xfId="0" applyAlignment="1">
      <alignment horizontal="center"/>
    </xf>
    <xf numFmtId="164" fontId="3" fillId="0" borderId="0" xfId="0" applyNumberFormat="1" applyFont="1"/>
    <xf numFmtId="0" fontId="0" fillId="2" borderId="0" xfId="0" applyFill="1" applyAlignment="1">
      <alignment horizontal="center"/>
    </xf>
    <xf numFmtId="14" fontId="0" fillId="2" borderId="0" xfId="0" applyNumberFormat="1" applyFill="1" applyAlignment="1">
      <alignment horizontal="center"/>
    </xf>
    <xf numFmtId="0" fontId="0" fillId="2" borderId="0" xfId="0" applyFill="1"/>
    <xf numFmtId="164" fontId="0" fillId="2" borderId="0" xfId="0" applyNumberFormat="1" applyFill="1"/>
    <xf numFmtId="14" fontId="0" fillId="2" borderId="0" xfId="0" applyNumberFormat="1" applyFill="1"/>
    <xf numFmtId="164" fontId="0" fillId="2" borderId="0" xfId="0" applyNumberFormat="1" applyFill="1" applyAlignment="1">
      <alignment horizontal="center"/>
    </xf>
    <xf numFmtId="10" fontId="0" fillId="2" borderId="0" xfId="0" applyNumberFormat="1" applyFill="1"/>
    <xf numFmtId="9" fontId="0" fillId="0" borderId="0" xfId="1" applyFont="1"/>
    <xf numFmtId="0" fontId="0" fillId="0" borderId="0" xfId="0" applyAlignment="1">
      <alignment vertical="center"/>
    </xf>
    <xf numFmtId="3" fontId="2" fillId="0" borderId="0" xfId="0" applyNumberFormat="1" applyFont="1"/>
    <xf numFmtId="0" fontId="0" fillId="0" borderId="0" xfId="0" applyAlignment="1">
      <alignment horizontal="center" vertical="center"/>
    </xf>
    <xf numFmtId="0" fontId="2" fillId="0" borderId="0" xfId="0" applyFont="1"/>
    <xf numFmtId="0" fontId="2" fillId="0" borderId="0" xfId="0" applyFont="1" applyAlignment="1">
      <alignment horizontal="center"/>
    </xf>
    <xf numFmtId="0" fontId="2" fillId="0" borderId="0" xfId="0" applyFont="1" applyAlignment="1">
      <alignment horizontal="right"/>
    </xf>
    <xf numFmtId="2" fontId="0" fillId="0" borderId="2" xfId="0" applyNumberFormat="1" applyBorder="1" applyAlignment="1">
      <alignment horizontal="center"/>
    </xf>
    <xf numFmtId="0" fontId="6" fillId="4" borderId="2" xfId="0" applyFont="1" applyFill="1" applyBorder="1" applyAlignment="1">
      <alignment horizontal="right" vertical="center"/>
    </xf>
    <xf numFmtId="0" fontId="6" fillId="4" borderId="2" xfId="0" applyFont="1" applyFill="1" applyBorder="1" applyAlignment="1">
      <alignment horizontal="center" vertical="center" wrapText="1"/>
    </xf>
    <xf numFmtId="2" fontId="2" fillId="0" borderId="0" xfId="0" applyNumberFormat="1" applyFont="1" applyAlignment="1">
      <alignment horizontal="right"/>
    </xf>
    <xf numFmtId="2" fontId="9" fillId="0" borderId="2" xfId="0" applyNumberFormat="1" applyFont="1" applyBorder="1" applyAlignment="1">
      <alignment horizontal="center"/>
    </xf>
    <xf numFmtId="0" fontId="9" fillId="0" borderId="2" xfId="0" applyFont="1" applyBorder="1" applyAlignment="1">
      <alignment horizontal="center"/>
    </xf>
    <xf numFmtId="0" fontId="6" fillId="4" borderId="2" xfId="0" applyFont="1" applyFill="1" applyBorder="1" applyAlignment="1">
      <alignment horizontal="center"/>
    </xf>
    <xf numFmtId="0" fontId="7" fillId="4" borderId="2" xfId="0" applyFont="1" applyFill="1" applyBorder="1"/>
    <xf numFmtId="9" fontId="0" fillId="0" borderId="0" xfId="1" applyFont="1" applyBorder="1"/>
    <xf numFmtId="0" fontId="2" fillId="0" borderId="6" xfId="0" applyFont="1" applyBorder="1" applyAlignment="1">
      <alignment horizontal="center" vertical="center"/>
    </xf>
    <xf numFmtId="2" fontId="0" fillId="8" borderId="2" xfId="0" applyNumberFormat="1" applyFill="1" applyBorder="1" applyAlignment="1">
      <alignment horizontal="center" vertical="center"/>
    </xf>
    <xf numFmtId="0" fontId="2" fillId="0" borderId="2" xfId="0" applyFont="1" applyBorder="1" applyAlignment="1">
      <alignment horizontal="center" vertical="center"/>
    </xf>
    <xf numFmtId="0" fontId="2" fillId="0" borderId="19" xfId="0" applyFont="1" applyBorder="1" applyAlignment="1">
      <alignment horizontal="center" vertical="center"/>
    </xf>
    <xf numFmtId="0" fontId="7" fillId="9" borderId="6" xfId="0" applyFont="1" applyFill="1" applyBorder="1" applyAlignment="1">
      <alignment horizontal="center" vertical="center"/>
    </xf>
    <xf numFmtId="0" fontId="0" fillId="8" borderId="23" xfId="0" applyFill="1" applyBorder="1" applyAlignment="1">
      <alignment horizontal="center" vertical="center"/>
    </xf>
    <xf numFmtId="0" fontId="7" fillId="9" borderId="23" xfId="0" applyFont="1" applyFill="1" applyBorder="1" applyAlignment="1">
      <alignment horizontal="center" vertical="center"/>
    </xf>
    <xf numFmtId="0" fontId="2" fillId="0" borderId="23" xfId="0" applyFont="1" applyBorder="1" applyAlignment="1">
      <alignment horizontal="center" vertical="center"/>
    </xf>
    <xf numFmtId="0" fontId="0" fillId="0" borderId="0" xfId="0" applyAlignment="1">
      <alignment wrapText="1"/>
    </xf>
    <xf numFmtId="0" fontId="6" fillId="4" borderId="25" xfId="0" applyFont="1" applyFill="1" applyBorder="1" applyAlignment="1">
      <alignment horizontal="center" vertical="center" wrapText="1"/>
    </xf>
    <xf numFmtId="0" fontId="6" fillId="4" borderId="26" xfId="0" applyFont="1" applyFill="1" applyBorder="1" applyAlignment="1">
      <alignment horizontal="center" vertical="center" wrapText="1"/>
    </xf>
    <xf numFmtId="0" fontId="2" fillId="10" borderId="6" xfId="0" applyFont="1" applyFill="1" applyBorder="1" applyAlignment="1">
      <alignment horizontal="center" vertical="center"/>
    </xf>
    <xf numFmtId="0" fontId="0" fillId="6" borderId="23" xfId="0" applyFill="1" applyBorder="1" applyAlignment="1">
      <alignment horizontal="center" vertical="center"/>
    </xf>
    <xf numFmtId="0" fontId="2" fillId="10" borderId="23" xfId="0" applyFont="1" applyFill="1" applyBorder="1" applyAlignment="1">
      <alignment horizontal="center" vertical="center"/>
    </xf>
    <xf numFmtId="0" fontId="7" fillId="4" borderId="26" xfId="0" applyFont="1" applyFill="1" applyBorder="1" applyAlignment="1">
      <alignment horizontal="center" vertical="center" wrapText="1"/>
    </xf>
    <xf numFmtId="0" fontId="6" fillId="4" borderId="29" xfId="0" applyFont="1" applyFill="1" applyBorder="1" applyAlignment="1">
      <alignment horizontal="center" vertical="center" wrapText="1"/>
    </xf>
    <xf numFmtId="0" fontId="0" fillId="10" borderId="6" xfId="0" applyFill="1" applyBorder="1" applyAlignment="1">
      <alignment horizontal="center" vertical="center"/>
    </xf>
    <xf numFmtId="0" fontId="0" fillId="6" borderId="19" xfId="0" applyFill="1" applyBorder="1" applyAlignment="1">
      <alignment horizontal="center" vertical="center"/>
    </xf>
    <xf numFmtId="0" fontId="2" fillId="10" borderId="19" xfId="0" applyFont="1" applyFill="1" applyBorder="1" applyAlignment="1">
      <alignment horizontal="center" vertical="center"/>
    </xf>
    <xf numFmtId="0" fontId="0" fillId="10" borderId="19" xfId="0" applyFill="1" applyBorder="1" applyAlignment="1">
      <alignment horizontal="center" vertical="center"/>
    </xf>
    <xf numFmtId="0" fontId="6" fillId="4" borderId="30" xfId="0" applyFont="1" applyFill="1" applyBorder="1" applyAlignment="1">
      <alignment horizontal="center" vertical="center" wrapText="1"/>
    </xf>
    <xf numFmtId="0" fontId="6" fillId="4" borderId="20" xfId="0" applyFont="1" applyFill="1" applyBorder="1" applyAlignment="1">
      <alignment horizontal="center" vertical="center" wrapText="1"/>
    </xf>
    <xf numFmtId="0" fontId="7" fillId="4" borderId="20" xfId="0" applyFont="1" applyFill="1" applyBorder="1" applyAlignment="1">
      <alignment horizontal="center" vertical="center" wrapText="1"/>
    </xf>
    <xf numFmtId="0" fontId="7" fillId="4" borderId="25" xfId="0" applyFont="1" applyFill="1" applyBorder="1" applyAlignment="1">
      <alignment horizontal="center" vertical="center" wrapText="1"/>
    </xf>
    <xf numFmtId="0" fontId="7" fillId="4" borderId="29" xfId="0" applyFont="1" applyFill="1" applyBorder="1" applyAlignment="1">
      <alignment horizontal="center" vertical="center" wrapText="1"/>
    </xf>
    <xf numFmtId="0" fontId="0" fillId="6" borderId="13" xfId="0" applyFill="1" applyBorder="1" applyAlignment="1">
      <alignment horizontal="center"/>
    </xf>
    <xf numFmtId="0" fontId="2" fillId="10" borderId="31" xfId="0" applyFont="1" applyFill="1" applyBorder="1" applyAlignment="1">
      <alignment horizontal="center"/>
    </xf>
    <xf numFmtId="0" fontId="2" fillId="10" borderId="31" xfId="0" applyFont="1" applyFill="1" applyBorder="1" applyAlignment="1">
      <alignment horizontal="right"/>
    </xf>
    <xf numFmtId="0" fontId="0" fillId="10" borderId="31" xfId="0" applyFill="1" applyBorder="1"/>
    <xf numFmtId="0" fontId="0" fillId="10" borderId="32" xfId="0" applyFill="1" applyBorder="1"/>
    <xf numFmtId="0" fontId="6" fillId="4" borderId="26" xfId="0" applyFont="1" applyFill="1" applyBorder="1" applyAlignment="1">
      <alignment horizontal="center" wrapText="1"/>
    </xf>
    <xf numFmtId="0" fontId="6" fillId="4" borderId="26" xfId="0" applyFont="1" applyFill="1" applyBorder="1" applyAlignment="1">
      <alignment horizontal="right" wrapText="1"/>
    </xf>
    <xf numFmtId="0" fontId="7" fillId="4" borderId="26" xfId="0" applyFont="1" applyFill="1" applyBorder="1" applyAlignment="1">
      <alignment wrapText="1"/>
    </xf>
    <xf numFmtId="0" fontId="6" fillId="4" borderId="26" xfId="0" applyFont="1" applyFill="1" applyBorder="1" applyAlignment="1">
      <alignment wrapText="1"/>
    </xf>
    <xf numFmtId="0" fontId="6" fillId="4" borderId="25" xfId="0" applyFont="1" applyFill="1" applyBorder="1" applyAlignment="1">
      <alignment wrapText="1"/>
    </xf>
    <xf numFmtId="0" fontId="6" fillId="4" borderId="29" xfId="0" applyFont="1" applyFill="1" applyBorder="1" applyAlignment="1">
      <alignment wrapText="1"/>
    </xf>
    <xf numFmtId="0" fontId="7" fillId="9" borderId="0" xfId="0" applyFont="1" applyFill="1"/>
    <xf numFmtId="0" fontId="7" fillId="9" borderId="0" xfId="0" applyFont="1" applyFill="1" applyAlignment="1">
      <alignment horizontal="center"/>
    </xf>
    <xf numFmtId="0" fontId="7" fillId="9" borderId="0" xfId="0" applyFont="1" applyFill="1" applyAlignment="1">
      <alignment horizontal="center" vertical="center"/>
    </xf>
    <xf numFmtId="0" fontId="0" fillId="8" borderId="0" xfId="0" applyFill="1"/>
    <xf numFmtId="0" fontId="0" fillId="8" borderId="0" xfId="0" applyFill="1" applyAlignment="1">
      <alignment horizontal="center"/>
    </xf>
    <xf numFmtId="0" fontId="0" fillId="8" borderId="0" xfId="0" applyFill="1" applyAlignment="1">
      <alignment horizontal="center" vertical="center"/>
    </xf>
    <xf numFmtId="0" fontId="0" fillId="6" borderId="0" xfId="0" applyFill="1"/>
    <xf numFmtId="0" fontId="0" fillId="6" borderId="0" xfId="0" applyFill="1" applyAlignment="1">
      <alignment horizontal="center"/>
    </xf>
    <xf numFmtId="0" fontId="0" fillId="6" borderId="0" xfId="0" applyFill="1" applyAlignment="1">
      <alignment horizontal="center" vertical="center"/>
    </xf>
    <xf numFmtId="0" fontId="0" fillId="7" borderId="0" xfId="0" applyFill="1"/>
    <xf numFmtId="0" fontId="0" fillId="7" borderId="0" xfId="0" applyFill="1" applyAlignment="1">
      <alignment horizontal="center"/>
    </xf>
    <xf numFmtId="0" fontId="0" fillId="7" borderId="0" xfId="0" applyFill="1" applyAlignment="1">
      <alignment horizontal="center" vertical="center"/>
    </xf>
    <xf numFmtId="0" fontId="0" fillId="3" borderId="0" xfId="0" applyFill="1"/>
    <xf numFmtId="0" fontId="0" fillId="3" borderId="0" xfId="0" applyFill="1" applyAlignment="1">
      <alignment horizontal="center"/>
    </xf>
    <xf numFmtId="0" fontId="0" fillId="3" borderId="0" xfId="0" applyFill="1" applyAlignment="1">
      <alignment horizontal="center" vertical="center"/>
    </xf>
    <xf numFmtId="0" fontId="10" fillId="0" borderId="0" xfId="2"/>
    <xf numFmtId="0" fontId="5" fillId="0" borderId="2" xfId="0" applyFont="1" applyBorder="1" applyAlignment="1">
      <alignment horizontal="center" vertical="center"/>
    </xf>
    <xf numFmtId="0" fontId="5" fillId="0" borderId="19" xfId="0" applyFont="1" applyBorder="1" applyAlignment="1">
      <alignment horizontal="center" vertical="center"/>
    </xf>
    <xf numFmtId="0" fontId="5" fillId="0" borderId="6" xfId="0" applyFont="1" applyBorder="1" applyAlignment="1">
      <alignment horizontal="center" vertical="center"/>
    </xf>
    <xf numFmtId="3" fontId="0" fillId="7" borderId="33" xfId="0" applyNumberFormat="1" applyFill="1" applyBorder="1" applyAlignment="1">
      <alignment horizontal="center" vertical="center"/>
    </xf>
    <xf numFmtId="3" fontId="0" fillId="7" borderId="19" xfId="0" applyNumberFormat="1" applyFill="1" applyBorder="1" applyAlignment="1">
      <alignment horizontal="center" vertical="center"/>
    </xf>
    <xf numFmtId="3" fontId="0" fillId="7" borderId="6" xfId="0" applyNumberFormat="1" applyFill="1" applyBorder="1" applyAlignment="1">
      <alignment horizontal="center" vertical="center"/>
    </xf>
    <xf numFmtId="3" fontId="0" fillId="5" borderId="23" xfId="0" applyNumberFormat="1" applyFill="1" applyBorder="1" applyAlignment="1">
      <alignment horizontal="center" vertical="center"/>
    </xf>
    <xf numFmtId="3" fontId="0" fillId="5" borderId="6" xfId="0" applyNumberFormat="1" applyFill="1" applyBorder="1" applyAlignment="1">
      <alignment horizontal="center" vertical="center"/>
    </xf>
    <xf numFmtId="3" fontId="0" fillId="7" borderId="23" xfId="0" applyNumberFormat="1" applyFill="1" applyBorder="1" applyAlignment="1">
      <alignment horizontal="center" vertical="center"/>
    </xf>
    <xf numFmtId="3" fontId="0" fillId="7" borderId="2" xfId="0" applyNumberFormat="1" applyFill="1" applyBorder="1" applyAlignment="1">
      <alignment horizontal="center" vertical="center"/>
    </xf>
    <xf numFmtId="3" fontId="0" fillId="5" borderId="19" xfId="0" applyNumberFormat="1" applyFill="1" applyBorder="1" applyAlignment="1">
      <alignment horizontal="center"/>
    </xf>
    <xf numFmtId="3" fontId="0" fillId="5" borderId="18" xfId="0" applyNumberFormat="1" applyFill="1" applyBorder="1" applyAlignment="1">
      <alignment horizontal="center"/>
    </xf>
    <xf numFmtId="3" fontId="0" fillId="5" borderId="6" xfId="0" applyNumberFormat="1" applyFill="1" applyBorder="1" applyAlignment="1">
      <alignment horizontal="center"/>
    </xf>
    <xf numFmtId="3" fontId="0" fillId="5" borderId="5" xfId="0" applyNumberFormat="1" applyFill="1" applyBorder="1" applyAlignment="1">
      <alignment horizontal="center"/>
    </xf>
    <xf numFmtId="3" fontId="0" fillId="5" borderId="23" xfId="0" applyNumberFormat="1" applyFill="1" applyBorder="1" applyAlignment="1">
      <alignment horizontal="center"/>
    </xf>
    <xf numFmtId="3" fontId="0" fillId="5" borderId="22" xfId="0" applyNumberFormat="1" applyFill="1" applyBorder="1" applyAlignment="1">
      <alignment horizontal="center"/>
    </xf>
    <xf numFmtId="3" fontId="0" fillId="5" borderId="13" xfId="0" applyNumberFormat="1" applyFill="1" applyBorder="1" applyAlignment="1">
      <alignment horizontal="center"/>
    </xf>
    <xf numFmtId="3" fontId="0" fillId="5" borderId="17" xfId="0" applyNumberFormat="1" applyFill="1" applyBorder="1" applyAlignment="1">
      <alignment horizontal="center"/>
    </xf>
    <xf numFmtId="3" fontId="0" fillId="5" borderId="2" xfId="0" applyNumberFormat="1" applyFill="1" applyBorder="1" applyAlignment="1">
      <alignment horizontal="center"/>
    </xf>
    <xf numFmtId="3" fontId="0" fillId="5" borderId="12" xfId="0" applyNumberFormat="1" applyFill="1" applyBorder="1" applyAlignment="1">
      <alignment horizontal="center"/>
    </xf>
    <xf numFmtId="165" fontId="0" fillId="0" borderId="0" xfId="1" applyNumberFormat="1" applyFont="1"/>
    <xf numFmtId="15" fontId="12" fillId="12" borderId="2" xfId="0" applyNumberFormat="1" applyFont="1" applyFill="1" applyBorder="1" applyAlignment="1">
      <alignment vertical="center" wrapText="1"/>
    </xf>
    <xf numFmtId="3" fontId="13" fillId="0" borderId="2" xfId="0" applyNumberFormat="1" applyFont="1" applyBorder="1"/>
    <xf numFmtId="0" fontId="14" fillId="13" borderId="0" xfId="0" applyFont="1" applyFill="1"/>
    <xf numFmtId="0" fontId="12" fillId="12" borderId="4" xfId="0" applyFont="1" applyFill="1" applyBorder="1" applyAlignment="1">
      <alignment horizontal="left" vertical="center"/>
    </xf>
    <xf numFmtId="0" fontId="12" fillId="12" borderId="3" xfId="0" applyFont="1" applyFill="1" applyBorder="1" applyAlignment="1">
      <alignment horizontal="left" vertical="center"/>
    </xf>
    <xf numFmtId="0" fontId="13" fillId="13" borderId="0" xfId="0" applyFont="1" applyFill="1"/>
    <xf numFmtId="16" fontId="0" fillId="0" borderId="0" xfId="0" applyNumberFormat="1"/>
    <xf numFmtId="3" fontId="16" fillId="0" borderId="0" xfId="0" applyNumberFormat="1" applyFont="1"/>
    <xf numFmtId="9" fontId="0" fillId="0" borderId="0" xfId="0" applyNumberFormat="1"/>
    <xf numFmtId="0" fontId="0" fillId="6" borderId="2" xfId="0" applyFill="1" applyBorder="1" applyAlignment="1">
      <alignment horizontal="center" vertical="center"/>
    </xf>
    <xf numFmtId="0" fontId="0" fillId="6" borderId="6" xfId="0" applyFill="1" applyBorder="1" applyAlignment="1">
      <alignment horizontal="center" vertical="center"/>
    </xf>
    <xf numFmtId="0" fontId="9" fillId="16" borderId="23" xfId="0" applyFont="1" applyFill="1" applyBorder="1" applyAlignment="1">
      <alignment horizontal="center" vertical="center"/>
    </xf>
    <xf numFmtId="0" fontId="9" fillId="16" borderId="2" xfId="0" applyFont="1" applyFill="1" applyBorder="1" applyAlignment="1">
      <alignment horizontal="center" vertical="center"/>
    </xf>
    <xf numFmtId="0" fontId="9" fillId="16" borderId="6" xfId="0" applyFont="1" applyFill="1" applyBorder="1" applyAlignment="1">
      <alignment horizontal="center" vertical="center"/>
    </xf>
    <xf numFmtId="2" fontId="2" fillId="0" borderId="0" xfId="0" applyNumberFormat="1" applyFont="1" applyAlignment="1">
      <alignment horizontal="center"/>
    </xf>
    <xf numFmtId="0" fontId="6" fillId="0" borderId="0" xfId="0" applyFont="1" applyFill="1" applyBorder="1" applyAlignment="1">
      <alignment horizontal="right"/>
    </xf>
    <xf numFmtId="2" fontId="0" fillId="0" borderId="0" xfId="0" applyNumberFormat="1" applyFill="1" applyBorder="1" applyAlignment="1">
      <alignment horizontal="center"/>
    </xf>
    <xf numFmtId="0" fontId="2" fillId="0" borderId="23" xfId="0" applyFont="1" applyBorder="1" applyAlignment="1">
      <alignment horizontal="right"/>
    </xf>
    <xf numFmtId="0" fontId="2" fillId="0" borderId="23" xfId="0" applyFont="1" applyBorder="1" applyAlignment="1">
      <alignment horizontal="center"/>
    </xf>
    <xf numFmtId="0" fontId="0" fillId="11" borderId="19" xfId="0" applyFill="1" applyBorder="1" applyAlignment="1">
      <alignment horizontal="center" vertical="center"/>
    </xf>
    <xf numFmtId="3" fontId="0" fillId="7" borderId="43" xfId="0" applyNumberFormat="1" applyFill="1" applyBorder="1" applyAlignment="1">
      <alignment horizontal="center" vertical="center"/>
    </xf>
    <xf numFmtId="0" fontId="0" fillId="10" borderId="21" xfId="0" applyFill="1" applyBorder="1"/>
    <xf numFmtId="0" fontId="0" fillId="10" borderId="19" xfId="0" applyFill="1" applyBorder="1"/>
    <xf numFmtId="0" fontId="2" fillId="10" borderId="19" xfId="0" applyFont="1" applyFill="1" applyBorder="1" applyAlignment="1">
      <alignment horizontal="right"/>
    </xf>
    <xf numFmtId="0" fontId="2" fillId="10" borderId="19" xfId="0" applyFont="1" applyFill="1" applyBorder="1" applyAlignment="1">
      <alignment horizontal="center"/>
    </xf>
    <xf numFmtId="0" fontId="0" fillId="6" borderId="19" xfId="0" applyFill="1" applyBorder="1" applyAlignment="1">
      <alignment horizontal="center"/>
    </xf>
    <xf numFmtId="2" fontId="0" fillId="8" borderId="6" xfId="0" applyNumberFormat="1" applyFill="1" applyBorder="1" applyAlignment="1">
      <alignment horizontal="center" vertical="center"/>
    </xf>
    <xf numFmtId="165" fontId="0" fillId="0" borderId="0" xfId="0" applyNumberFormat="1"/>
    <xf numFmtId="3" fontId="0" fillId="3" borderId="2" xfId="0" applyNumberFormat="1" applyFill="1" applyBorder="1" applyAlignment="1">
      <alignment horizontal="center"/>
    </xf>
    <xf numFmtId="0" fontId="0" fillId="0" borderId="2" xfId="0" applyBorder="1"/>
    <xf numFmtId="166" fontId="0" fillId="3" borderId="2" xfId="0" applyNumberFormat="1" applyFill="1" applyBorder="1" applyAlignment="1">
      <alignment horizontal="center"/>
    </xf>
    <xf numFmtId="0" fontId="0" fillId="2" borderId="2" xfId="0" applyFill="1" applyBorder="1" applyAlignment="1">
      <alignment horizontal="center"/>
    </xf>
    <xf numFmtId="3" fontId="0" fillId="2" borderId="2" xfId="0" applyNumberFormat="1" applyFill="1" applyBorder="1" applyAlignment="1">
      <alignment horizontal="center"/>
    </xf>
    <xf numFmtId="0" fontId="2" fillId="2" borderId="2" xfId="0" applyFont="1" applyFill="1" applyBorder="1"/>
    <xf numFmtId="0" fontId="2" fillId="2" borderId="2" xfId="0" applyFont="1" applyFill="1" applyBorder="1" applyAlignment="1">
      <alignment horizontal="center"/>
    </xf>
    <xf numFmtId="164" fontId="0" fillId="2" borderId="2" xfId="0" applyNumberFormat="1" applyFill="1" applyBorder="1" applyAlignment="1">
      <alignment horizontal="center"/>
    </xf>
    <xf numFmtId="14" fontId="0" fillId="2" borderId="2" xfId="0" applyNumberFormat="1" applyFill="1" applyBorder="1" applyAlignment="1">
      <alignment horizontal="center"/>
    </xf>
    <xf numFmtId="164" fontId="3" fillId="0" borderId="2" xfId="0" applyNumberFormat="1" applyFont="1" applyBorder="1"/>
    <xf numFmtId="164" fontId="2" fillId="2" borderId="2" xfId="0" applyNumberFormat="1" applyFont="1" applyFill="1" applyBorder="1" applyAlignment="1">
      <alignment horizontal="center"/>
    </xf>
    <xf numFmtId="0" fontId="2" fillId="0" borderId="2" xfId="0" applyFont="1" applyBorder="1"/>
    <xf numFmtId="14" fontId="2" fillId="2" borderId="2" xfId="0" applyNumberFormat="1" applyFont="1" applyFill="1" applyBorder="1" applyAlignment="1">
      <alignment horizontal="center"/>
    </xf>
    <xf numFmtId="10" fontId="0" fillId="2" borderId="2" xfId="0" applyNumberFormat="1" applyFill="1" applyBorder="1" applyAlignment="1">
      <alignment horizontal="center"/>
    </xf>
    <xf numFmtId="0" fontId="0" fillId="0" borderId="0" xfId="0" applyAlignment="1">
      <alignment horizontal="left"/>
    </xf>
    <xf numFmtId="3" fontId="0" fillId="3" borderId="2" xfId="0" applyNumberFormat="1" applyFill="1" applyBorder="1"/>
    <xf numFmtId="3" fontId="2" fillId="2" borderId="2" xfId="0" applyNumberFormat="1" applyFont="1" applyFill="1" applyBorder="1" applyAlignment="1">
      <alignment horizontal="center"/>
    </xf>
    <xf numFmtId="3" fontId="13" fillId="0" borderId="31" xfId="0" applyNumberFormat="1" applyFont="1" applyBorder="1" applyAlignment="1">
      <alignment horizontal="center"/>
    </xf>
    <xf numFmtId="3" fontId="13" fillId="0" borderId="34" xfId="0" applyNumberFormat="1" applyFont="1" applyBorder="1" applyAlignment="1">
      <alignment horizontal="center"/>
    </xf>
    <xf numFmtId="3" fontId="13" fillId="0" borderId="13" xfId="0" applyNumberFormat="1" applyFont="1" applyBorder="1" applyAlignment="1">
      <alignment horizontal="center"/>
    </xf>
    <xf numFmtId="3" fontId="13" fillId="0" borderId="35" xfId="0" applyNumberFormat="1" applyFont="1" applyBorder="1" applyAlignment="1">
      <alignment horizontal="center"/>
    </xf>
    <xf numFmtId="3" fontId="13" fillId="0" borderId="36" xfId="0" applyNumberFormat="1" applyFont="1" applyBorder="1" applyAlignment="1">
      <alignment horizontal="center"/>
    </xf>
    <xf numFmtId="1" fontId="0" fillId="0" borderId="2" xfId="0" applyNumberFormat="1" applyBorder="1"/>
    <xf numFmtId="165" fontId="0" fillId="0" borderId="2" xfId="0" applyNumberFormat="1" applyBorder="1" applyAlignment="1">
      <alignment horizontal="center"/>
    </xf>
    <xf numFmtId="166" fontId="0" fillId="2" borderId="2" xfId="0" applyNumberFormat="1" applyFill="1" applyBorder="1" applyAlignment="1">
      <alignment horizontal="center"/>
    </xf>
    <xf numFmtId="9" fontId="11" fillId="0" borderId="2" xfId="1" applyFont="1" applyBorder="1" applyAlignment="1">
      <alignment horizontal="center"/>
    </xf>
    <xf numFmtId="1" fontId="0" fillId="0" borderId="2" xfId="0" applyNumberFormat="1" applyBorder="1" applyAlignment="1">
      <alignment horizontal="center"/>
    </xf>
    <xf numFmtId="165" fontId="0" fillId="0" borderId="2" xfId="1" applyNumberFormat="1" applyFont="1" applyBorder="1" applyAlignment="1">
      <alignment horizontal="center"/>
    </xf>
    <xf numFmtId="3" fontId="2" fillId="0" borderId="2" xfId="0" applyNumberFormat="1" applyFont="1" applyBorder="1" applyAlignment="1">
      <alignment horizontal="center"/>
    </xf>
    <xf numFmtId="0" fontId="2" fillId="0" borderId="2" xfId="0" applyFont="1" applyBorder="1" applyAlignment="1">
      <alignment wrapText="1"/>
    </xf>
    <xf numFmtId="3" fontId="20" fillId="0" borderId="0" xfId="0" applyNumberFormat="1" applyFont="1"/>
    <xf numFmtId="0" fontId="19" fillId="0" borderId="0" xfId="0" applyFont="1" applyAlignment="1">
      <alignment horizontal="left"/>
    </xf>
    <xf numFmtId="0" fontId="19" fillId="14" borderId="45" xfId="0" applyFont="1" applyFill="1" applyBorder="1"/>
    <xf numFmtId="0" fontId="0" fillId="14" borderId="46" xfId="0" applyFill="1" applyBorder="1"/>
    <xf numFmtId="0" fontId="0" fillId="14" borderId="50" xfId="0" applyFill="1" applyBorder="1"/>
    <xf numFmtId="0" fontId="19" fillId="14" borderId="47" xfId="0" applyFont="1" applyFill="1" applyBorder="1"/>
    <xf numFmtId="0" fontId="0" fillId="14" borderId="0" xfId="0" applyFill="1" applyBorder="1"/>
    <xf numFmtId="0" fontId="0" fillId="14" borderId="51" xfId="0" applyFill="1" applyBorder="1"/>
    <xf numFmtId="0" fontId="0" fillId="14" borderId="49" xfId="0" applyFill="1" applyBorder="1"/>
    <xf numFmtId="0" fontId="0" fillId="14" borderId="52" xfId="0" applyFill="1" applyBorder="1"/>
    <xf numFmtId="0" fontId="22" fillId="0" borderId="0" xfId="0" applyFont="1"/>
    <xf numFmtId="0" fontId="19" fillId="14" borderId="48" xfId="0" applyFont="1" applyFill="1" applyBorder="1"/>
    <xf numFmtId="0" fontId="19" fillId="14" borderId="47" xfId="0" applyFont="1" applyFill="1" applyBorder="1" applyAlignment="1">
      <alignment horizontal="left"/>
    </xf>
    <xf numFmtId="0" fontId="0" fillId="14" borderId="0" xfId="0" applyFill="1" applyBorder="1" applyAlignment="1">
      <alignment horizontal="center"/>
    </xf>
    <xf numFmtId="0" fontId="0" fillId="14" borderId="49" xfId="0" applyFill="1" applyBorder="1" applyAlignment="1">
      <alignment horizontal="center"/>
    </xf>
    <xf numFmtId="0" fontId="19" fillId="14" borderId="0" xfId="0" applyFont="1" applyFill="1" applyBorder="1" applyAlignment="1">
      <alignment horizontal="left"/>
    </xf>
    <xf numFmtId="0" fontId="19" fillId="14" borderId="48" xfId="0" applyFont="1" applyFill="1" applyBorder="1" applyAlignment="1">
      <alignment horizontal="left"/>
    </xf>
    <xf numFmtId="0" fontId="26" fillId="0" borderId="2" xfId="0" applyFont="1" applyBorder="1" applyAlignment="1">
      <alignment horizontal="center"/>
    </xf>
    <xf numFmtId="3" fontId="9" fillId="0" borderId="2" xfId="0" applyNumberFormat="1" applyFont="1" applyBorder="1" applyAlignment="1">
      <alignment horizontal="center"/>
    </xf>
    <xf numFmtId="0" fontId="9" fillId="0" borderId="2" xfId="0" applyFont="1" applyBorder="1"/>
    <xf numFmtId="3" fontId="26" fillId="0" borderId="2" xfId="0" applyNumberFormat="1" applyFont="1" applyBorder="1" applyAlignment="1">
      <alignment horizontal="center"/>
    </xf>
    <xf numFmtId="0" fontId="9" fillId="0" borderId="0" xfId="0" applyFont="1"/>
    <xf numFmtId="0" fontId="9" fillId="14" borderId="46" xfId="0" applyFont="1" applyFill="1" applyBorder="1"/>
    <xf numFmtId="0" fontId="9" fillId="14" borderId="0" xfId="0" applyFont="1" applyFill="1" applyBorder="1"/>
    <xf numFmtId="0" fontId="9" fillId="14" borderId="0" xfId="0" applyFont="1" applyFill="1" applyBorder="1" applyAlignment="1">
      <alignment horizontal="left"/>
    </xf>
    <xf numFmtId="0" fontId="9" fillId="14" borderId="49" xfId="0" applyFont="1" applyFill="1" applyBorder="1"/>
    <xf numFmtId="0" fontId="0" fillId="0" borderId="0" xfId="0" applyAlignment="1">
      <alignment horizontal="right"/>
    </xf>
    <xf numFmtId="0" fontId="0" fillId="0" borderId="0" xfId="0" applyBorder="1"/>
    <xf numFmtId="0" fontId="2" fillId="0" borderId="0" xfId="0" applyFont="1" applyBorder="1" applyAlignment="1">
      <alignment horizontal="center"/>
    </xf>
    <xf numFmtId="0" fontId="9" fillId="0" borderId="0" xfId="0" applyFont="1" applyBorder="1" applyAlignment="1">
      <alignment horizontal="center"/>
    </xf>
    <xf numFmtId="3" fontId="26" fillId="0" borderId="0" xfId="0" applyNumberFormat="1" applyFont="1" applyBorder="1" applyAlignment="1">
      <alignment horizontal="center"/>
    </xf>
    <xf numFmtId="3" fontId="25" fillId="17" borderId="53" xfId="5" applyNumberFormat="1" applyAlignment="1">
      <alignment horizontal="center"/>
    </xf>
    <xf numFmtId="3" fontId="24" fillId="17" borderId="54" xfId="4" applyNumberFormat="1" applyAlignment="1">
      <alignment horizontal="center"/>
    </xf>
    <xf numFmtId="0" fontId="2" fillId="0" borderId="0" xfId="3" applyFont="1" applyFill="1" applyBorder="1"/>
    <xf numFmtId="3" fontId="2" fillId="0" borderId="0" xfId="3" applyNumberFormat="1" applyFont="1" applyFill="1" applyBorder="1"/>
    <xf numFmtId="0" fontId="2" fillId="16" borderId="21" xfId="3" applyFont="1" applyFill="1" applyBorder="1"/>
    <xf numFmtId="0" fontId="23" fillId="16" borderId="14" xfId="3" applyFont="1" applyFill="1" applyBorder="1"/>
    <xf numFmtId="0" fontId="23" fillId="16" borderId="8" xfId="3" applyFont="1" applyFill="1" applyBorder="1"/>
    <xf numFmtId="0" fontId="2" fillId="18" borderId="14" xfId="0" applyFont="1" applyFill="1" applyBorder="1" applyAlignment="1">
      <alignment horizontal="right" vertical="center"/>
    </xf>
    <xf numFmtId="3" fontId="0" fillId="0" borderId="12" xfId="0" applyNumberFormat="1" applyBorder="1"/>
    <xf numFmtId="0" fontId="2" fillId="18" borderId="8" xfId="0" applyFont="1" applyFill="1" applyBorder="1" applyAlignment="1">
      <alignment horizontal="right" vertical="center"/>
    </xf>
    <xf numFmtId="0" fontId="2" fillId="0" borderId="2" xfId="0" applyFont="1" applyFill="1" applyBorder="1"/>
    <xf numFmtId="0" fontId="2" fillId="18" borderId="2" xfId="0" applyFont="1" applyFill="1" applyBorder="1"/>
    <xf numFmtId="0" fontId="2" fillId="0" borderId="0" xfId="0" applyFont="1" applyBorder="1"/>
    <xf numFmtId="165" fontId="0" fillId="0" borderId="0" xfId="1" applyNumberFormat="1" applyFont="1" applyBorder="1"/>
    <xf numFmtId="3" fontId="0" fillId="3" borderId="5" xfId="0" applyNumberFormat="1" applyFill="1" applyBorder="1"/>
    <xf numFmtId="0" fontId="2" fillId="18" borderId="2" xfId="0" applyFont="1" applyFill="1" applyBorder="1" applyAlignment="1">
      <alignment wrapText="1"/>
    </xf>
    <xf numFmtId="0" fontId="0" fillId="18" borderId="2" xfId="0" applyFill="1" applyBorder="1" applyAlignment="1">
      <alignment wrapText="1"/>
    </xf>
    <xf numFmtId="165" fontId="11" fillId="3" borderId="2" xfId="1" applyNumberFormat="1" applyFont="1" applyFill="1" applyBorder="1" applyAlignment="1">
      <alignment horizontal="center"/>
    </xf>
    <xf numFmtId="0" fontId="27" fillId="0" borderId="0" xfId="0" applyFont="1"/>
    <xf numFmtId="165" fontId="0" fillId="3" borderId="2" xfId="0" applyNumberFormat="1" applyFill="1" applyBorder="1" applyAlignment="1">
      <alignment horizontal="center"/>
    </xf>
    <xf numFmtId="9" fontId="0" fillId="3" borderId="2" xfId="0" applyNumberFormat="1" applyFill="1" applyBorder="1" applyAlignment="1">
      <alignment horizontal="center"/>
    </xf>
    <xf numFmtId="0" fontId="2" fillId="18" borderId="2" xfId="0" applyFont="1" applyFill="1" applyBorder="1" applyAlignment="1">
      <alignment horizontal="center"/>
    </xf>
    <xf numFmtId="0" fontId="2" fillId="18" borderId="21" xfId="0" applyFont="1" applyFill="1" applyBorder="1"/>
    <xf numFmtId="0" fontId="0" fillId="18" borderId="18" xfId="0" applyFill="1" applyBorder="1"/>
    <xf numFmtId="0" fontId="2" fillId="18" borderId="14" xfId="0" applyFont="1" applyFill="1" applyBorder="1" applyAlignment="1">
      <alignment horizontal="center"/>
    </xf>
    <xf numFmtId="0" fontId="2" fillId="18" borderId="12" xfId="0" applyFont="1" applyFill="1" applyBorder="1" applyAlignment="1">
      <alignment horizontal="center"/>
    </xf>
    <xf numFmtId="165" fontId="0" fillId="0" borderId="14" xfId="1" applyNumberFormat="1" applyFont="1" applyBorder="1" applyAlignment="1">
      <alignment horizontal="center"/>
    </xf>
    <xf numFmtId="165" fontId="0" fillId="0" borderId="12" xfId="1" applyNumberFormat="1" applyFont="1" applyBorder="1" applyAlignment="1">
      <alignment horizontal="center"/>
    </xf>
    <xf numFmtId="165" fontId="0" fillId="0" borderId="8" xfId="1" applyNumberFormat="1" applyFont="1" applyBorder="1" applyAlignment="1">
      <alignment horizontal="center"/>
    </xf>
    <xf numFmtId="165" fontId="0" fillId="0" borderId="5" xfId="1" applyNumberFormat="1" applyFont="1" applyBorder="1" applyAlignment="1">
      <alignment horizontal="center"/>
    </xf>
    <xf numFmtId="165" fontId="0" fillId="0" borderId="6" xfId="1" applyNumberFormat="1" applyFont="1" applyBorder="1" applyAlignment="1">
      <alignment horizontal="center"/>
    </xf>
    <xf numFmtId="0" fontId="0" fillId="0" borderId="28" xfId="0" applyBorder="1"/>
    <xf numFmtId="0" fontId="0" fillId="18" borderId="16" xfId="0" applyFill="1" applyBorder="1"/>
    <xf numFmtId="0" fontId="2" fillId="18" borderId="16" xfId="0" applyFont="1" applyFill="1" applyBorder="1"/>
    <xf numFmtId="0" fontId="2" fillId="18" borderId="10" xfId="0" applyFont="1" applyFill="1" applyBorder="1"/>
    <xf numFmtId="3" fontId="0" fillId="0" borderId="2" xfId="0" applyNumberFormat="1" applyFill="1" applyBorder="1" applyAlignment="1">
      <alignment horizontal="center" vertical="center" wrapText="1"/>
    </xf>
    <xf numFmtId="3" fontId="2" fillId="3" borderId="2" xfId="0" applyNumberFormat="1" applyFont="1" applyFill="1" applyBorder="1" applyAlignment="1">
      <alignment horizontal="center" wrapText="1"/>
    </xf>
    <xf numFmtId="10" fontId="0" fillId="0" borderId="2" xfId="0" applyNumberFormat="1" applyBorder="1" applyAlignment="1">
      <alignment horizontal="center"/>
    </xf>
    <xf numFmtId="3" fontId="2" fillId="3" borderId="2" xfId="0" applyNumberFormat="1" applyFont="1" applyFill="1" applyBorder="1" applyAlignment="1">
      <alignment horizontal="center"/>
    </xf>
    <xf numFmtId="0" fontId="2" fillId="18" borderId="23" xfId="0" applyFont="1" applyFill="1" applyBorder="1"/>
    <xf numFmtId="9" fontId="0" fillId="0" borderId="2" xfId="0" applyNumberFormat="1" applyBorder="1" applyAlignment="1">
      <alignment horizontal="center"/>
    </xf>
    <xf numFmtId="10" fontId="2" fillId="0" borderId="2" xfId="0" applyNumberFormat="1" applyFont="1" applyBorder="1" applyAlignment="1">
      <alignment horizontal="center"/>
    </xf>
    <xf numFmtId="9" fontId="2" fillId="0" borderId="2" xfId="0" applyNumberFormat="1" applyFont="1" applyBorder="1" applyAlignment="1">
      <alignment horizontal="center"/>
    </xf>
    <xf numFmtId="165" fontId="0" fillId="3" borderId="2" xfId="1" applyNumberFormat="1" applyFont="1" applyFill="1" applyBorder="1" applyAlignment="1">
      <alignment horizontal="center"/>
    </xf>
    <xf numFmtId="3" fontId="0" fillId="0" borderId="2" xfId="0" applyNumberFormat="1" applyBorder="1" applyAlignment="1">
      <alignment horizontal="center"/>
    </xf>
    <xf numFmtId="14" fontId="0" fillId="0" borderId="2" xfId="0" applyNumberFormat="1" applyBorder="1"/>
    <xf numFmtId="3" fontId="2" fillId="16" borderId="18" xfId="3" applyNumberFormat="1" applyFont="1" applyFill="1" applyBorder="1" applyAlignment="1">
      <alignment horizontal="center"/>
    </xf>
    <xf numFmtId="3" fontId="23" fillId="16" borderId="12" xfId="3" applyNumberFormat="1" applyFont="1" applyFill="1" applyBorder="1" applyAlignment="1">
      <alignment horizontal="center"/>
    </xf>
    <xf numFmtId="3" fontId="23" fillId="16" borderId="5" xfId="3" applyNumberFormat="1" applyFont="1" applyFill="1" applyBorder="1" applyAlignment="1">
      <alignment horizontal="center"/>
    </xf>
    <xf numFmtId="4" fontId="0" fillId="2" borderId="2" xfId="0" applyNumberFormat="1" applyFill="1" applyBorder="1" applyAlignment="1">
      <alignment horizontal="center"/>
    </xf>
    <xf numFmtId="0" fontId="2" fillId="0" borderId="2" xfId="0" applyFont="1" applyBorder="1" applyAlignment="1">
      <alignment horizontal="right"/>
    </xf>
    <xf numFmtId="2" fontId="0" fillId="14" borderId="2" xfId="0" applyNumberFormat="1" applyFill="1" applyBorder="1" applyAlignment="1">
      <alignment horizontal="center"/>
    </xf>
    <xf numFmtId="2" fontId="2" fillId="14" borderId="2" xfId="0" applyNumberFormat="1" applyFont="1" applyFill="1" applyBorder="1" applyAlignment="1">
      <alignment horizontal="center"/>
    </xf>
    <xf numFmtId="17" fontId="2" fillId="0" borderId="0" xfId="0" applyNumberFormat="1" applyFont="1"/>
    <xf numFmtId="0" fontId="2" fillId="0" borderId="2" xfId="0" applyFont="1" applyBorder="1" applyAlignment="1">
      <alignment horizontal="center" wrapText="1"/>
    </xf>
    <xf numFmtId="0" fontId="2" fillId="0" borderId="2" xfId="0" applyFont="1" applyFill="1" applyBorder="1" applyAlignment="1">
      <alignment horizontal="center" wrapText="1"/>
    </xf>
    <xf numFmtId="1" fontId="0" fillId="21" borderId="2" xfId="0" applyNumberFormat="1" applyFill="1" applyBorder="1" applyAlignment="1">
      <alignment horizontal="center"/>
    </xf>
    <xf numFmtId="1" fontId="0" fillId="5" borderId="2" xfId="0" applyNumberFormat="1" applyFill="1" applyBorder="1" applyAlignment="1">
      <alignment horizontal="center"/>
    </xf>
    <xf numFmtId="1" fontId="0" fillId="0" borderId="0" xfId="0" applyNumberFormat="1" applyBorder="1" applyAlignment="1">
      <alignment horizontal="center"/>
    </xf>
    <xf numFmtId="9" fontId="0" fillId="0" borderId="2" xfId="1" applyFont="1" applyBorder="1" applyAlignment="1">
      <alignment horizontal="center"/>
    </xf>
    <xf numFmtId="165" fontId="0" fillId="0" borderId="0" xfId="1" applyNumberFormat="1" applyFont="1" applyAlignment="1">
      <alignment horizontal="center"/>
    </xf>
    <xf numFmtId="0" fontId="22" fillId="0" borderId="0" xfId="0" applyFont="1" applyBorder="1"/>
    <xf numFmtId="0" fontId="10" fillId="0" borderId="0" xfId="2" applyBorder="1"/>
    <xf numFmtId="0" fontId="27" fillId="0" borderId="1" xfId="0" applyFont="1" applyBorder="1"/>
    <xf numFmtId="0" fontId="28" fillId="0" borderId="1" xfId="0" applyFont="1" applyBorder="1"/>
    <xf numFmtId="0" fontId="0" fillId="0" borderId="1" xfId="0" applyBorder="1"/>
    <xf numFmtId="0" fontId="27" fillId="0" borderId="0" xfId="0" applyFont="1" applyAlignment="1">
      <alignment horizontal="center"/>
    </xf>
    <xf numFmtId="0" fontId="0" fillId="0" borderId="1" xfId="0" applyBorder="1" applyAlignment="1">
      <alignment horizontal="center"/>
    </xf>
    <xf numFmtId="1" fontId="3" fillId="0" borderId="2" xfId="0" applyNumberFormat="1" applyFont="1" applyBorder="1" applyAlignment="1">
      <alignment horizontal="center"/>
    </xf>
    <xf numFmtId="0" fontId="2" fillId="0" borderId="1" xfId="0" applyFont="1" applyBorder="1"/>
    <xf numFmtId="0" fontId="28" fillId="0" borderId="0" xfId="0" applyFont="1"/>
    <xf numFmtId="0" fontId="0" fillId="0" borderId="12" xfId="0" applyBorder="1" applyAlignment="1">
      <alignment vertical="center" wrapText="1"/>
    </xf>
    <xf numFmtId="0" fontId="0" fillId="0" borderId="2" xfId="0" applyBorder="1" applyAlignment="1">
      <alignment horizontal="center" vertical="center" wrapText="1"/>
    </xf>
    <xf numFmtId="0" fontId="0" fillId="0" borderId="6" xfId="0" applyBorder="1" applyAlignment="1">
      <alignment horizontal="center" vertical="center" wrapText="1"/>
    </xf>
    <xf numFmtId="164" fontId="0" fillId="21" borderId="2" xfId="0" applyNumberFormat="1" applyFill="1" applyBorder="1" applyAlignment="1">
      <alignment horizontal="center"/>
    </xf>
    <xf numFmtId="3" fontId="0" fillId="0" borderId="0" xfId="0" applyNumberFormat="1"/>
    <xf numFmtId="0" fontId="22" fillId="14" borderId="47" xfId="0" applyFont="1" applyFill="1" applyBorder="1" applyAlignment="1">
      <alignment horizontal="left"/>
    </xf>
    <xf numFmtId="0" fontId="22" fillId="0" borderId="49" xfId="0" applyFont="1" applyFill="1" applyBorder="1" applyAlignment="1">
      <alignment horizontal="left"/>
    </xf>
    <xf numFmtId="0" fontId="0" fillId="0" borderId="49" xfId="0" applyFill="1" applyBorder="1" applyAlignment="1">
      <alignment horizontal="center"/>
    </xf>
    <xf numFmtId="0" fontId="0" fillId="0" borderId="49" xfId="0" applyFill="1" applyBorder="1"/>
    <xf numFmtId="0" fontId="0" fillId="11" borderId="2" xfId="0" applyFill="1" applyBorder="1" applyAlignment="1">
      <alignment horizontal="center"/>
    </xf>
    <xf numFmtId="0" fontId="2" fillId="2" borderId="2" xfId="0" quotePrefix="1" applyFont="1" applyFill="1" applyBorder="1" applyAlignment="1">
      <alignment horizontal="center"/>
    </xf>
    <xf numFmtId="165" fontId="0" fillId="2" borderId="2" xfId="1" applyNumberFormat="1" applyFont="1" applyFill="1" applyBorder="1" applyAlignment="1">
      <alignment horizontal="center"/>
    </xf>
    <xf numFmtId="165" fontId="2" fillId="0" borderId="2" xfId="1" applyNumberFormat="1" applyFont="1" applyBorder="1" applyAlignment="1">
      <alignment horizontal="center"/>
    </xf>
    <xf numFmtId="0" fontId="2" fillId="0" borderId="0" xfId="0" applyFont="1" applyFill="1" applyBorder="1" applyAlignment="1">
      <alignment horizontal="center"/>
    </xf>
    <xf numFmtId="3" fontId="0" fillId="0" borderId="0" xfId="0" applyNumberFormat="1" applyFill="1" applyBorder="1" applyAlignment="1">
      <alignment horizontal="center"/>
    </xf>
    <xf numFmtId="165" fontId="0" fillId="0" borderId="0" xfId="1" applyNumberFormat="1" applyFont="1" applyFill="1" applyBorder="1" applyAlignment="1">
      <alignment horizontal="center"/>
    </xf>
    <xf numFmtId="167" fontId="0" fillId="0" borderId="0" xfId="1" applyNumberFormat="1" applyFont="1" applyFill="1" applyBorder="1" applyAlignment="1">
      <alignment horizontal="center"/>
    </xf>
    <xf numFmtId="0" fontId="0" fillId="23" borderId="2" xfId="0" applyFill="1" applyBorder="1" applyAlignment="1">
      <alignment horizontal="center"/>
    </xf>
    <xf numFmtId="1" fontId="0" fillId="0" borderId="2" xfId="1" applyNumberFormat="1" applyFont="1" applyFill="1" applyBorder="1" applyAlignment="1">
      <alignment horizontal="center"/>
    </xf>
    <xf numFmtId="0" fontId="0" fillId="0" borderId="0" xfId="0" applyBorder="1" applyAlignment="1">
      <alignment horizontal="center"/>
    </xf>
    <xf numFmtId="0" fontId="2" fillId="0" borderId="0" xfId="0" applyFont="1" applyBorder="1" applyAlignment="1">
      <alignment horizontal="left"/>
    </xf>
    <xf numFmtId="0" fontId="2" fillId="0" borderId="0" xfId="0" applyFont="1" applyBorder="1" applyAlignment="1">
      <alignment horizontal="right"/>
    </xf>
    <xf numFmtId="0" fontId="2" fillId="0" borderId="3" xfId="0" applyFont="1" applyBorder="1"/>
    <xf numFmtId="0" fontId="0" fillId="0" borderId="3" xfId="0" applyBorder="1"/>
    <xf numFmtId="0" fontId="30" fillId="0" borderId="1" xfId="0" applyFont="1" applyBorder="1"/>
    <xf numFmtId="165" fontId="2" fillId="0" borderId="2" xfId="1" applyNumberFormat="1" applyFont="1" applyFill="1" applyBorder="1" applyAlignment="1">
      <alignment horizontal="center"/>
    </xf>
    <xf numFmtId="165" fontId="0" fillId="16" borderId="2" xfId="1" applyNumberFormat="1" applyFont="1" applyFill="1" applyBorder="1" applyAlignment="1">
      <alignment horizontal="center"/>
    </xf>
    <xf numFmtId="0" fontId="2" fillId="19" borderId="4" xfId="0" applyFont="1" applyFill="1" applyBorder="1" applyAlignment="1">
      <alignment horizontal="center" wrapText="1"/>
    </xf>
    <xf numFmtId="0" fontId="2" fillId="19" borderId="44" xfId="0" applyFont="1" applyFill="1" applyBorder="1" applyAlignment="1">
      <alignment horizontal="center" wrapText="1"/>
    </xf>
    <xf numFmtId="0" fontId="2" fillId="19" borderId="3" xfId="0" applyFont="1" applyFill="1" applyBorder="1" applyAlignment="1">
      <alignment horizontal="center" wrapText="1"/>
    </xf>
    <xf numFmtId="0" fontId="0" fillId="18" borderId="4" xfId="0" applyFill="1" applyBorder="1" applyAlignment="1">
      <alignment horizontal="center" wrapText="1"/>
    </xf>
    <xf numFmtId="0" fontId="0" fillId="18" borderId="44" xfId="0" applyFill="1" applyBorder="1" applyAlignment="1">
      <alignment horizontal="center" wrapText="1"/>
    </xf>
    <xf numFmtId="0" fontId="0" fillId="18" borderId="3" xfId="0" applyFill="1" applyBorder="1" applyAlignment="1">
      <alignment horizontal="center" wrapText="1"/>
    </xf>
    <xf numFmtId="0" fontId="2" fillId="0" borderId="2" xfId="0" applyFont="1" applyBorder="1" applyAlignment="1">
      <alignment horizontal="center"/>
    </xf>
    <xf numFmtId="0" fontId="0" fillId="0" borderId="0" xfId="0" applyFill="1"/>
    <xf numFmtId="10" fontId="0" fillId="0" borderId="0" xfId="1" applyNumberFormat="1" applyFont="1" applyBorder="1" applyAlignment="1">
      <alignment horizontal="center"/>
    </xf>
    <xf numFmtId="0" fontId="30" fillId="0" borderId="0" xfId="0" applyFont="1" applyBorder="1"/>
    <xf numFmtId="0" fontId="0" fillId="0" borderId="2" xfId="0" applyBorder="1" applyAlignment="1">
      <alignment horizontal="center" vertical="center"/>
    </xf>
    <xf numFmtId="4" fontId="0" fillId="0" borderId="0" xfId="0" applyNumberFormat="1" applyFill="1" applyBorder="1" applyAlignment="1">
      <alignment horizontal="center"/>
    </xf>
    <xf numFmtId="1" fontId="0" fillId="0" borderId="0" xfId="0" applyNumberFormat="1"/>
    <xf numFmtId="1" fontId="0" fillId="24" borderId="2" xfId="0" applyNumberFormat="1" applyFill="1" applyBorder="1" applyAlignment="1">
      <alignment horizontal="center"/>
    </xf>
    <xf numFmtId="0" fontId="0" fillId="24" borderId="2" xfId="0" applyFill="1" applyBorder="1" applyAlignment="1">
      <alignment horizontal="center"/>
    </xf>
    <xf numFmtId="10" fontId="0" fillId="24" borderId="2" xfId="1" applyNumberFormat="1" applyFont="1" applyFill="1" applyBorder="1" applyAlignment="1">
      <alignment horizontal="center"/>
    </xf>
    <xf numFmtId="167" fontId="0" fillId="24" borderId="2" xfId="1" applyNumberFormat="1" applyFont="1" applyFill="1" applyBorder="1" applyAlignment="1">
      <alignment horizontal="center"/>
    </xf>
    <xf numFmtId="10" fontId="0" fillId="0" borderId="0" xfId="0" applyNumberFormat="1" applyFill="1"/>
    <xf numFmtId="0" fontId="2" fillId="0" borderId="2" xfId="0" applyFont="1" applyFill="1" applyBorder="1" applyAlignment="1">
      <alignment horizontal="center" vertical="center"/>
    </xf>
    <xf numFmtId="166" fontId="0" fillId="24" borderId="2" xfId="1" applyNumberFormat="1" applyFont="1" applyFill="1" applyBorder="1" applyAlignment="1">
      <alignment horizontal="center"/>
    </xf>
    <xf numFmtId="1" fontId="0" fillId="0" borderId="0" xfId="0" applyNumberFormat="1" applyFill="1"/>
    <xf numFmtId="1" fontId="0" fillId="2" borderId="2" xfId="0" applyNumberFormat="1" applyFill="1" applyBorder="1" applyAlignment="1">
      <alignment horizontal="center"/>
    </xf>
    <xf numFmtId="166" fontId="0" fillId="2" borderId="2" xfId="1" applyNumberFormat="1" applyFont="1" applyFill="1" applyBorder="1" applyAlignment="1">
      <alignment horizontal="center"/>
    </xf>
    <xf numFmtId="167" fontId="0" fillId="2" borderId="2" xfId="1" applyNumberFormat="1" applyFont="1" applyFill="1" applyBorder="1" applyAlignment="1">
      <alignment horizontal="center"/>
    </xf>
    <xf numFmtId="10" fontId="0" fillId="2" borderId="2" xfId="1" applyNumberFormat="1" applyFont="1" applyFill="1" applyBorder="1" applyAlignment="1">
      <alignment horizontal="center"/>
    </xf>
    <xf numFmtId="10" fontId="0" fillId="0" borderId="13" xfId="1" applyNumberFormat="1" applyFont="1" applyFill="1" applyBorder="1" applyAlignment="1">
      <alignment horizontal="center"/>
    </xf>
    <xf numFmtId="167" fontId="0" fillId="0" borderId="0" xfId="0" applyNumberFormat="1"/>
    <xf numFmtId="0" fontId="0" fillId="21" borderId="2" xfId="0" applyFill="1" applyBorder="1" applyAlignment="1">
      <alignment horizontal="center"/>
    </xf>
    <xf numFmtId="166" fontId="0" fillId="21" borderId="2" xfId="1" applyNumberFormat="1" applyFont="1" applyFill="1" applyBorder="1" applyAlignment="1">
      <alignment horizontal="center"/>
    </xf>
    <xf numFmtId="167" fontId="0" fillId="21" borderId="2" xfId="1" applyNumberFormat="1" applyFont="1" applyFill="1" applyBorder="1" applyAlignment="1">
      <alignment horizontal="center"/>
    </xf>
    <xf numFmtId="10" fontId="0" fillId="21" borderId="2" xfId="1" applyNumberFormat="1" applyFont="1" applyFill="1" applyBorder="1" applyAlignment="1">
      <alignment horizontal="center"/>
    </xf>
    <xf numFmtId="0" fontId="0" fillId="14" borderId="2" xfId="0" applyFill="1" applyBorder="1" applyAlignment="1">
      <alignment horizontal="center"/>
    </xf>
    <xf numFmtId="1" fontId="0" fillId="14" borderId="2" xfId="0" applyNumberFormat="1" applyFill="1" applyBorder="1" applyAlignment="1">
      <alignment horizontal="center"/>
    </xf>
    <xf numFmtId="166" fontId="0" fillId="14" borderId="2" xfId="1" applyNumberFormat="1" applyFont="1" applyFill="1" applyBorder="1" applyAlignment="1">
      <alignment horizontal="center"/>
    </xf>
    <xf numFmtId="167" fontId="0" fillId="14" borderId="2" xfId="1" applyNumberFormat="1" applyFont="1" applyFill="1" applyBorder="1" applyAlignment="1">
      <alignment horizontal="center"/>
    </xf>
    <xf numFmtId="10" fontId="0" fillId="14" borderId="2" xfId="1" applyNumberFormat="1" applyFont="1" applyFill="1" applyBorder="1" applyAlignment="1">
      <alignment horizontal="center"/>
    </xf>
    <xf numFmtId="1" fontId="0" fillId="11" borderId="2" xfId="0" applyNumberFormat="1" applyFill="1" applyBorder="1" applyAlignment="1">
      <alignment horizontal="center"/>
    </xf>
    <xf numFmtId="166" fontId="0" fillId="11" borderId="2" xfId="1" applyNumberFormat="1" applyFont="1" applyFill="1" applyBorder="1" applyAlignment="1">
      <alignment horizontal="center"/>
    </xf>
    <xf numFmtId="167" fontId="0" fillId="11" borderId="2" xfId="1" applyNumberFormat="1" applyFont="1" applyFill="1" applyBorder="1" applyAlignment="1">
      <alignment horizontal="center"/>
    </xf>
    <xf numFmtId="165" fontId="0" fillId="11" borderId="2" xfId="1" applyNumberFormat="1" applyFont="1" applyFill="1" applyBorder="1" applyAlignment="1">
      <alignment horizontal="center"/>
    </xf>
    <xf numFmtId="0" fontId="15" fillId="13" borderId="4" xfId="0" applyFont="1" applyFill="1" applyBorder="1" applyAlignment="1">
      <alignment horizontal="right"/>
    </xf>
    <xf numFmtId="0" fontId="15" fillId="13" borderId="2" xfId="0" applyFont="1" applyFill="1" applyBorder="1" applyAlignment="1">
      <alignment horizontal="right"/>
    </xf>
    <xf numFmtId="0" fontId="2" fillId="0" borderId="63" xfId="0" applyFont="1" applyBorder="1" applyAlignment="1">
      <alignment wrapText="1"/>
    </xf>
    <xf numFmtId="0" fontId="2" fillId="0" borderId="61" xfId="0" applyFont="1" applyBorder="1" applyAlignment="1">
      <alignment horizontal="center"/>
    </xf>
    <xf numFmtId="0" fontId="0" fillId="0" borderId="0" xfId="0" applyBorder="1" applyAlignment="1">
      <alignment horizontal="center" wrapText="1"/>
    </xf>
    <xf numFmtId="0" fontId="2" fillId="0" borderId="0" xfId="0" applyFont="1" applyFill="1" applyBorder="1"/>
    <xf numFmtId="0" fontId="0" fillId="0" borderId="69" xfId="0" applyBorder="1"/>
    <xf numFmtId="0" fontId="2" fillId="0" borderId="64" xfId="0" applyFont="1" applyFill="1" applyBorder="1" applyAlignment="1">
      <alignment horizontal="center" wrapText="1"/>
    </xf>
    <xf numFmtId="3" fontId="0" fillId="3" borderId="62" xfId="0" applyNumberFormat="1" applyFill="1" applyBorder="1" applyAlignment="1">
      <alignment horizontal="center"/>
    </xf>
    <xf numFmtId="3" fontId="0" fillId="3" borderId="71" xfId="0" applyNumberFormat="1" applyFill="1" applyBorder="1" applyAlignment="1">
      <alignment horizontal="center"/>
    </xf>
    <xf numFmtId="3" fontId="11" fillId="3" borderId="68" xfId="0" applyNumberFormat="1" applyFont="1" applyFill="1" applyBorder="1" applyAlignment="1">
      <alignment horizontal="center"/>
    </xf>
    <xf numFmtId="3" fontId="11" fillId="3" borderId="72" xfId="0" applyNumberFormat="1" applyFont="1" applyFill="1" applyBorder="1" applyAlignment="1">
      <alignment horizontal="center"/>
    </xf>
    <xf numFmtId="0" fontId="2" fillId="0" borderId="73" xfId="0" applyFont="1" applyBorder="1" applyAlignment="1">
      <alignment wrapText="1"/>
    </xf>
    <xf numFmtId="165" fontId="11" fillId="0" borderId="44" xfId="1" applyNumberFormat="1" applyFont="1" applyBorder="1" applyAlignment="1">
      <alignment horizontal="center"/>
    </xf>
    <xf numFmtId="165" fontId="11" fillId="0" borderId="38" xfId="1" applyNumberFormat="1" applyFont="1" applyBorder="1" applyAlignment="1">
      <alignment horizontal="center"/>
    </xf>
    <xf numFmtId="0" fontId="0" fillId="0" borderId="66" xfId="0" applyBorder="1"/>
    <xf numFmtId="3" fontId="11" fillId="3" borderId="70" xfId="0" applyNumberFormat="1" applyFont="1" applyFill="1" applyBorder="1" applyAlignment="1">
      <alignment horizontal="center"/>
    </xf>
    <xf numFmtId="0" fontId="2" fillId="0" borderId="74" xfId="0" applyFont="1" applyFill="1" applyBorder="1"/>
    <xf numFmtId="0" fontId="2" fillId="0" borderId="16" xfId="0" applyFont="1" applyFill="1" applyBorder="1"/>
    <xf numFmtId="0" fontId="2" fillId="0" borderId="75" xfId="0" applyFont="1" applyFill="1" applyBorder="1"/>
    <xf numFmtId="0" fontId="2" fillId="0" borderId="28" xfId="0" applyFont="1" applyFill="1" applyBorder="1"/>
    <xf numFmtId="0" fontId="2" fillId="0" borderId="10" xfId="0" applyFont="1" applyFill="1" applyBorder="1"/>
    <xf numFmtId="0" fontId="2" fillId="0" borderId="61" xfId="0" applyFont="1" applyBorder="1" applyAlignment="1">
      <alignment wrapText="1"/>
    </xf>
    <xf numFmtId="165" fontId="11" fillId="0" borderId="70" xfId="1" applyNumberFormat="1" applyFont="1" applyBorder="1" applyAlignment="1">
      <alignment horizontal="center"/>
    </xf>
    <xf numFmtId="165" fontId="11" fillId="0" borderId="68" xfId="1" applyNumberFormat="1" applyFont="1" applyBorder="1" applyAlignment="1">
      <alignment horizontal="center"/>
    </xf>
    <xf numFmtId="165" fontId="11" fillId="0" borderId="72" xfId="1" applyNumberFormat="1" applyFont="1" applyBorder="1" applyAlignment="1">
      <alignment horizontal="center"/>
    </xf>
    <xf numFmtId="0" fontId="0" fillId="0" borderId="67" xfId="0" applyBorder="1" applyAlignment="1">
      <alignment horizontal="center"/>
    </xf>
    <xf numFmtId="3" fontId="0" fillId="0" borderId="67" xfId="0" applyNumberFormat="1" applyBorder="1" applyAlignment="1">
      <alignment horizontal="center"/>
    </xf>
    <xf numFmtId="0" fontId="0" fillId="0" borderId="57" xfId="0" applyBorder="1" applyAlignment="1">
      <alignment horizontal="center"/>
    </xf>
    <xf numFmtId="3" fontId="0" fillId="0" borderId="56" xfId="0" applyNumberFormat="1" applyBorder="1" applyAlignment="1">
      <alignment horizontal="center"/>
    </xf>
    <xf numFmtId="0" fontId="0" fillId="0" borderId="0" xfId="0" applyFill="1" applyBorder="1" applyAlignment="1">
      <alignment horizontal="center" wrapText="1"/>
    </xf>
    <xf numFmtId="0" fontId="10" fillId="0" borderId="0" xfId="2" applyFill="1" applyBorder="1" applyAlignment="1">
      <alignment horizontal="center" wrapText="1"/>
    </xf>
    <xf numFmtId="0" fontId="2" fillId="0" borderId="0" xfId="0" applyFont="1" applyFill="1" applyBorder="1" applyAlignment="1">
      <alignment horizontal="center" wrapText="1"/>
    </xf>
    <xf numFmtId="0" fontId="9" fillId="0" borderId="2" xfId="2" applyFont="1" applyBorder="1" applyAlignment="1">
      <alignment horizontal="center" vertical="center" wrapText="1"/>
    </xf>
    <xf numFmtId="0" fontId="0" fillId="0" borderId="2" xfId="0" applyFill="1" applyBorder="1" applyAlignment="1">
      <alignment horizontal="center"/>
    </xf>
    <xf numFmtId="0" fontId="0" fillId="0" borderId="12" xfId="0" applyBorder="1" applyAlignment="1">
      <alignment horizontal="center" vertical="center" wrapText="1"/>
    </xf>
    <xf numFmtId="0" fontId="0" fillId="0" borderId="5" xfId="0" applyBorder="1" applyAlignment="1">
      <alignment horizontal="center" vertical="center" wrapText="1"/>
    </xf>
    <xf numFmtId="0" fontId="2" fillId="0" borderId="26" xfId="0" applyFont="1" applyBorder="1" applyAlignment="1">
      <alignment horizontal="center" wrapText="1"/>
    </xf>
    <xf numFmtId="0" fontId="2" fillId="0" borderId="25" xfId="0" applyFont="1" applyBorder="1" applyAlignment="1">
      <alignment wrapText="1"/>
    </xf>
    <xf numFmtId="0" fontId="2" fillId="0" borderId="76" xfId="0" applyFont="1" applyBorder="1" applyAlignment="1">
      <alignment wrapText="1"/>
    </xf>
    <xf numFmtId="0" fontId="0" fillId="0" borderId="3" xfId="0" applyBorder="1" applyAlignment="1">
      <alignment vertical="center" wrapText="1"/>
    </xf>
    <xf numFmtId="0" fontId="0" fillId="0" borderId="77" xfId="0" applyBorder="1" applyAlignment="1">
      <alignment vertical="center" wrapText="1"/>
    </xf>
    <xf numFmtId="3" fontId="0" fillId="3" borderId="68" xfId="0" applyNumberFormat="1" applyFill="1" applyBorder="1" applyAlignment="1">
      <alignment horizontal="center" vertical="center"/>
    </xf>
    <xf numFmtId="0" fontId="0" fillId="3" borderId="68" xfId="0" applyFill="1" applyBorder="1" applyAlignment="1">
      <alignment horizontal="center" vertical="center"/>
    </xf>
    <xf numFmtId="166" fontId="0" fillId="22" borderId="68" xfId="0" applyNumberFormat="1" applyFill="1" applyBorder="1" applyAlignment="1">
      <alignment horizontal="center" vertical="center"/>
    </xf>
    <xf numFmtId="0" fontId="2" fillId="0" borderId="1" xfId="0" applyFont="1" applyBorder="1" applyAlignment="1">
      <alignment horizontal="right"/>
    </xf>
    <xf numFmtId="0" fontId="2" fillId="0" borderId="1" xfId="0" applyFont="1" applyBorder="1" applyAlignment="1">
      <alignment horizontal="center"/>
    </xf>
    <xf numFmtId="0" fontId="28" fillId="0" borderId="1" xfId="0" applyFont="1" applyBorder="1" applyAlignment="1">
      <alignment horizontal="left" vertical="center"/>
    </xf>
    <xf numFmtId="0" fontId="0" fillId="0" borderId="0" xfId="0" applyAlignment="1">
      <alignment horizontal="left" vertical="center"/>
    </xf>
    <xf numFmtId="0" fontId="9" fillId="0" borderId="2" xfId="0" applyFont="1" applyBorder="1" applyAlignment="1">
      <alignment horizontal="center" vertical="center"/>
    </xf>
    <xf numFmtId="2" fontId="9" fillId="0" borderId="2" xfId="0" applyNumberFormat="1" applyFont="1" applyBorder="1" applyAlignment="1">
      <alignment horizontal="center" vertical="center"/>
    </xf>
    <xf numFmtId="16" fontId="9" fillId="0" borderId="0" xfId="2" applyNumberFormat="1" applyFont="1"/>
    <xf numFmtId="0" fontId="32" fillId="0" borderId="1" xfId="0" applyFont="1" applyBorder="1"/>
    <xf numFmtId="0" fontId="33" fillId="0" borderId="1" xfId="0" applyFont="1" applyBorder="1" applyAlignment="1">
      <alignment horizontal="center"/>
    </xf>
    <xf numFmtId="0" fontId="33" fillId="0" borderId="1" xfId="0" applyFont="1" applyBorder="1"/>
    <xf numFmtId="0" fontId="26" fillId="0" borderId="2" xfId="0" applyFont="1" applyBorder="1" applyAlignment="1">
      <alignment horizontal="center" wrapText="1"/>
    </xf>
    <xf numFmtId="0" fontId="21" fillId="0" borderId="21" xfId="0" applyFont="1" applyBorder="1" applyAlignment="1">
      <alignment horizontal="center" vertical="center"/>
    </xf>
    <xf numFmtId="0" fontId="21" fillId="0" borderId="8" xfId="0" applyFont="1" applyBorder="1" applyAlignment="1">
      <alignment horizontal="center" vertical="center"/>
    </xf>
    <xf numFmtId="0" fontId="21" fillId="0" borderId="14" xfId="0" applyFont="1" applyBorder="1" applyAlignment="1">
      <alignment horizontal="center" vertical="center"/>
    </xf>
    <xf numFmtId="0" fontId="21" fillId="0" borderId="79" xfId="0" applyFont="1" applyBorder="1" applyAlignment="1">
      <alignment horizontal="center" vertical="center"/>
    </xf>
    <xf numFmtId="0" fontId="21" fillId="0" borderId="20" xfId="0" applyFont="1" applyBorder="1" applyAlignment="1">
      <alignment horizontal="center" vertical="center"/>
    </xf>
    <xf numFmtId="0" fontId="21" fillId="0" borderId="27" xfId="0" applyFont="1" applyBorder="1" applyAlignment="1">
      <alignment horizontal="center" vertical="center"/>
    </xf>
    <xf numFmtId="0" fontId="21" fillId="0" borderId="24" xfId="0" applyFont="1" applyBorder="1" applyAlignment="1">
      <alignment horizontal="center" vertical="center"/>
    </xf>
    <xf numFmtId="0" fontId="5" fillId="0" borderId="23" xfId="0" applyFont="1" applyBorder="1" applyAlignment="1">
      <alignment horizontal="center" vertical="center"/>
    </xf>
    <xf numFmtId="0" fontId="5" fillId="0" borderId="43" xfId="0" applyFont="1" applyBorder="1" applyAlignment="1">
      <alignment horizontal="center" vertical="center"/>
    </xf>
    <xf numFmtId="0" fontId="5" fillId="0" borderId="78" xfId="0" applyFont="1" applyBorder="1" applyAlignment="1">
      <alignment horizontal="center" vertical="center"/>
    </xf>
    <xf numFmtId="0" fontId="5" fillId="0" borderId="33" xfId="0" applyFont="1" applyBorder="1" applyAlignment="1">
      <alignment horizontal="center" vertical="center"/>
    </xf>
    <xf numFmtId="0" fontId="5" fillId="0" borderId="4" xfId="0" applyFont="1" applyBorder="1" applyAlignment="1">
      <alignment horizontal="center" vertical="center"/>
    </xf>
    <xf numFmtId="0" fontId="21" fillId="0" borderId="80" xfId="0" applyFont="1" applyFill="1" applyBorder="1" applyAlignment="1">
      <alignment horizontal="center" vertical="center"/>
    </xf>
    <xf numFmtId="0" fontId="0" fillId="0" borderId="55" xfId="0" applyBorder="1" applyAlignment="1">
      <alignment horizontal="center"/>
    </xf>
    <xf numFmtId="0" fontId="0" fillId="0" borderId="56" xfId="0" applyBorder="1" applyAlignment="1">
      <alignment horizontal="center"/>
    </xf>
    <xf numFmtId="0" fontId="0" fillId="0" borderId="62" xfId="0" applyBorder="1" applyAlignment="1">
      <alignment horizontal="center"/>
    </xf>
    <xf numFmtId="0" fontId="0" fillId="0" borderId="81" xfId="0" applyBorder="1" applyAlignment="1">
      <alignment horizontal="center"/>
    </xf>
    <xf numFmtId="0" fontId="21" fillId="0" borderId="82" xfId="0" applyFont="1" applyBorder="1" applyAlignment="1">
      <alignment horizontal="center" vertical="center"/>
    </xf>
    <xf numFmtId="166" fontId="21" fillId="20" borderId="67" xfId="0" applyNumberFormat="1" applyFont="1" applyFill="1" applyBorder="1" applyAlignment="1">
      <alignment horizontal="center" vertical="center"/>
    </xf>
    <xf numFmtId="166" fontId="21" fillId="20" borderId="69" xfId="0" applyNumberFormat="1" applyFont="1" applyFill="1" applyBorder="1" applyAlignment="1">
      <alignment horizontal="center" vertical="center"/>
    </xf>
    <xf numFmtId="166" fontId="21" fillId="20" borderId="70" xfId="0" applyNumberFormat="1" applyFont="1" applyFill="1" applyBorder="1" applyAlignment="1">
      <alignment horizontal="center" vertical="center"/>
    </xf>
    <xf numFmtId="166" fontId="21" fillId="20" borderId="68" xfId="0" applyNumberFormat="1" applyFont="1" applyFill="1" applyBorder="1" applyAlignment="1">
      <alignment horizontal="center" vertical="center"/>
    </xf>
    <xf numFmtId="0" fontId="2" fillId="0" borderId="2" xfId="0" applyFont="1" applyBorder="1" applyAlignment="1">
      <alignment horizontal="center" vertical="center" wrapText="1"/>
    </xf>
    <xf numFmtId="0" fontId="26" fillId="0" borderId="2" xfId="0" applyFont="1" applyBorder="1" applyAlignment="1">
      <alignment horizontal="center" vertical="center" wrapText="1"/>
    </xf>
    <xf numFmtId="3" fontId="9" fillId="5" borderId="2" xfId="0" applyNumberFormat="1" applyFont="1" applyFill="1" applyBorder="1" applyAlignment="1">
      <alignment horizontal="center"/>
    </xf>
    <xf numFmtId="3" fontId="25" fillId="5" borderId="53" xfId="5" applyNumberFormat="1" applyFill="1" applyAlignment="1">
      <alignment horizontal="center"/>
    </xf>
    <xf numFmtId="3" fontId="24" fillId="5" borderId="54" xfId="4" applyNumberFormat="1" applyFill="1" applyAlignment="1">
      <alignment horizontal="center"/>
    </xf>
    <xf numFmtId="0" fontId="9" fillId="0" borderId="1" xfId="0" applyFont="1" applyBorder="1"/>
    <xf numFmtId="0" fontId="33" fillId="0" borderId="0" xfId="0" applyFont="1"/>
    <xf numFmtId="0" fontId="2" fillId="0" borderId="2" xfId="0" applyFont="1" applyBorder="1" applyAlignment="1">
      <alignment vertical="center" wrapText="1"/>
    </xf>
    <xf numFmtId="0" fontId="2" fillId="0" borderId="0" xfId="0" applyFont="1" applyBorder="1" applyAlignment="1">
      <alignment horizontal="right" wrapText="1"/>
    </xf>
    <xf numFmtId="0" fontId="2" fillId="0" borderId="0" xfId="0" applyFont="1" applyBorder="1" applyAlignment="1">
      <alignment horizontal="center" vertical="center" wrapText="1"/>
    </xf>
    <xf numFmtId="0" fontId="26" fillId="0" borderId="0" xfId="0" applyFont="1" applyBorder="1" applyAlignment="1">
      <alignment horizontal="center" vertical="center" wrapText="1"/>
    </xf>
    <xf numFmtId="9" fontId="0" fillId="0" borderId="0" xfId="0" quotePrefix="1" applyNumberFormat="1" applyBorder="1" applyAlignment="1">
      <alignment horizontal="center"/>
    </xf>
    <xf numFmtId="1" fontId="0" fillId="0" borderId="0" xfId="0" applyNumberFormat="1" applyFont="1" applyBorder="1" applyAlignment="1">
      <alignment horizontal="center" wrapText="1"/>
    </xf>
    <xf numFmtId="1" fontId="9" fillId="0" borderId="0" xfId="0" applyNumberFormat="1" applyFont="1" applyBorder="1" applyAlignment="1">
      <alignment horizontal="center" wrapText="1"/>
    </xf>
    <xf numFmtId="9" fontId="0" fillId="0" borderId="2" xfId="0" quotePrefix="1" applyNumberFormat="1" applyBorder="1" applyAlignment="1">
      <alignment horizontal="center" vertical="center"/>
    </xf>
    <xf numFmtId="3" fontId="0" fillId="3" borderId="68" xfId="0" applyNumberFormat="1" applyFont="1" applyFill="1" applyBorder="1" applyAlignment="1">
      <alignment horizontal="center" vertical="center"/>
    </xf>
    <xf numFmtId="0" fontId="0" fillId="3" borderId="72" xfId="0" applyFill="1" applyBorder="1" applyAlignment="1">
      <alignment horizontal="center" vertical="center"/>
    </xf>
    <xf numFmtId="166" fontId="0" fillId="22" borderId="70" xfId="0" applyNumberFormat="1" applyFill="1" applyBorder="1" applyAlignment="1">
      <alignment horizontal="center" vertical="center"/>
    </xf>
    <xf numFmtId="3" fontId="2" fillId="25" borderId="67" xfId="0" applyNumberFormat="1" applyFont="1" applyFill="1" applyBorder="1" applyAlignment="1">
      <alignment horizontal="center" vertical="center"/>
    </xf>
    <xf numFmtId="3" fontId="2" fillId="25" borderId="69" xfId="0" applyNumberFormat="1" applyFont="1" applyFill="1" applyBorder="1" applyAlignment="1">
      <alignment horizontal="center" vertical="center"/>
    </xf>
    <xf numFmtId="0" fontId="0" fillId="0" borderId="18" xfId="0" applyBorder="1" applyAlignment="1">
      <alignment horizontal="center" vertical="center"/>
    </xf>
    <xf numFmtId="0" fontId="0" fillId="0" borderId="5" xfId="0" applyBorder="1" applyAlignment="1">
      <alignment horizontal="center" vertical="center"/>
    </xf>
    <xf numFmtId="3" fontId="0" fillId="8" borderId="68" xfId="0" applyNumberFormat="1" applyFont="1" applyFill="1" applyBorder="1" applyAlignment="1">
      <alignment horizontal="center" vertical="center"/>
    </xf>
    <xf numFmtId="3" fontId="0" fillId="8" borderId="68" xfId="0" applyNumberFormat="1" applyFill="1" applyBorder="1" applyAlignment="1">
      <alignment horizontal="center" vertical="center"/>
    </xf>
    <xf numFmtId="0" fontId="26" fillId="0" borderId="0" xfId="2" applyFont="1" applyFill="1" applyBorder="1"/>
    <xf numFmtId="0" fontId="0" fillId="0" borderId="0" xfId="0" applyFill="1" applyBorder="1"/>
    <xf numFmtId="0" fontId="0" fillId="0" borderId="0" xfId="0" applyFill="1" applyBorder="1" applyAlignment="1">
      <alignment horizontal="center"/>
    </xf>
    <xf numFmtId="0" fontId="10" fillId="0" borderId="0" xfId="2" applyFill="1" applyBorder="1"/>
    <xf numFmtId="0" fontId="18" fillId="0" borderId="0" xfId="0" applyFont="1" applyFill="1" applyBorder="1"/>
    <xf numFmtId="166" fontId="11" fillId="0" borderId="0" xfId="0" applyNumberFormat="1" applyFont="1" applyFill="1" applyBorder="1" applyAlignment="1">
      <alignment horizontal="center"/>
    </xf>
    <xf numFmtId="0" fontId="11" fillId="0" borderId="0" xfId="0" applyFont="1" applyFill="1" applyBorder="1"/>
    <xf numFmtId="0" fontId="0" fillId="0" borderId="0" xfId="0" applyFill="1" applyBorder="1" applyAlignment="1">
      <alignment vertical="top"/>
    </xf>
    <xf numFmtId="0" fontId="2" fillId="0" borderId="0" xfId="0" applyFont="1" applyFill="1" applyBorder="1" applyAlignment="1">
      <alignment horizontal="right" vertical="top"/>
    </xf>
    <xf numFmtId="0" fontId="0" fillId="0" borderId="0" xfId="0" applyFill="1" applyBorder="1" applyAlignment="1">
      <alignment horizontal="center" vertical="top"/>
    </xf>
    <xf numFmtId="0" fontId="0" fillId="0" borderId="1" xfId="0" applyFont="1" applyBorder="1"/>
    <xf numFmtId="166" fontId="0" fillId="22" borderId="69" xfId="0" applyNumberFormat="1" applyFill="1" applyBorder="1" applyAlignment="1">
      <alignment horizontal="center" vertical="center"/>
    </xf>
    <xf numFmtId="0" fontId="29" fillId="0" borderId="1" xfId="0" applyFont="1" applyBorder="1" applyAlignment="1">
      <alignment horizontal="right"/>
    </xf>
    <xf numFmtId="0" fontId="0" fillId="0" borderId="0" xfId="0" applyAlignment="1">
      <alignment horizontal="right" vertical="center"/>
    </xf>
    <xf numFmtId="0" fontId="34" fillId="0" borderId="0" xfId="0" applyFont="1" applyAlignment="1">
      <alignment horizontal="right" vertical="center"/>
    </xf>
    <xf numFmtId="0" fontId="35" fillId="0" borderId="0" xfId="0" applyFont="1" applyBorder="1" applyAlignment="1">
      <alignment horizontal="right" vertical="center"/>
    </xf>
    <xf numFmtId="0" fontId="36" fillId="0" borderId="0" xfId="0" applyFont="1" applyAlignment="1">
      <alignment vertical="center"/>
    </xf>
    <xf numFmtId="0" fontId="37" fillId="0" borderId="0" xfId="0" applyFont="1" applyAlignment="1">
      <alignment vertical="center"/>
    </xf>
    <xf numFmtId="0" fontId="29" fillId="0" borderId="0" xfId="0" applyFont="1" applyBorder="1" applyAlignment="1">
      <alignment horizontal="right"/>
    </xf>
    <xf numFmtId="0" fontId="0" fillId="0" borderId="0" xfId="0" applyFont="1" applyBorder="1"/>
    <xf numFmtId="0" fontId="40" fillId="0" borderId="1" xfId="0" applyFont="1" applyBorder="1"/>
    <xf numFmtId="0" fontId="33" fillId="0" borderId="0" xfId="0" applyFont="1" applyBorder="1"/>
    <xf numFmtId="0" fontId="27" fillId="0" borderId="1" xfId="0" applyFont="1" applyBorder="1" applyAlignment="1">
      <alignment horizontal="center"/>
    </xf>
    <xf numFmtId="0" fontId="0" fillId="0" borderId="1" xfId="0" applyBorder="1" applyAlignment="1">
      <alignment horizontal="center" vertical="center"/>
    </xf>
    <xf numFmtId="0" fontId="40" fillId="0" borderId="1" xfId="0" applyFont="1" applyBorder="1" applyAlignment="1">
      <alignment horizontal="left"/>
    </xf>
    <xf numFmtId="0" fontId="28" fillId="0" borderId="0" xfId="0" applyFont="1" applyBorder="1"/>
    <xf numFmtId="0" fontId="2" fillId="0" borderId="0" xfId="0" applyFont="1" applyBorder="1" applyAlignment="1">
      <alignment horizontal="right" vertical="center" wrapText="1"/>
    </xf>
    <xf numFmtId="1" fontId="0" fillId="0" borderId="0" xfId="0" applyNumberFormat="1" applyBorder="1" applyAlignment="1">
      <alignment horizontal="center" vertical="center"/>
    </xf>
    <xf numFmtId="9" fontId="0" fillId="3" borderId="2" xfId="1" applyFont="1" applyFill="1" applyBorder="1" applyAlignment="1">
      <alignment horizontal="center"/>
    </xf>
    <xf numFmtId="0" fontId="33" fillId="0" borderId="1" xfId="0" applyFont="1" applyBorder="1" applyAlignment="1">
      <alignment horizontal="center" vertical="center"/>
    </xf>
    <xf numFmtId="9" fontId="0" fillId="0" borderId="0" xfId="0" quotePrefix="1" applyNumberFormat="1" applyBorder="1" applyAlignment="1">
      <alignment horizontal="center" vertical="center"/>
    </xf>
    <xf numFmtId="9" fontId="0" fillId="3" borderId="2" xfId="0" applyNumberFormat="1" applyFill="1" applyBorder="1" applyAlignment="1">
      <alignment horizontal="center" vertical="center"/>
    </xf>
    <xf numFmtId="3" fontId="0" fillId="21" borderId="23" xfId="0" applyNumberFormat="1" applyFont="1" applyFill="1" applyBorder="1" applyAlignment="1">
      <alignment horizontal="center" wrapText="1"/>
    </xf>
    <xf numFmtId="3" fontId="9" fillId="21" borderId="23" xfId="0" applyNumberFormat="1" applyFont="1" applyFill="1" applyBorder="1" applyAlignment="1">
      <alignment horizontal="center" wrapText="1"/>
    </xf>
    <xf numFmtId="0" fontId="0" fillId="0" borderId="1" xfId="0" applyBorder="1" applyAlignment="1">
      <alignment wrapText="1"/>
    </xf>
    <xf numFmtId="0" fontId="0" fillId="0" borderId="0" xfId="0" applyAlignment="1">
      <alignment horizontal="center"/>
    </xf>
    <xf numFmtId="0" fontId="2" fillId="0" borderId="8" xfId="0" applyFont="1" applyBorder="1" applyAlignment="1">
      <alignment horizontal="center" vertical="center" wrapText="1"/>
    </xf>
    <xf numFmtId="0" fontId="2" fillId="0" borderId="8" xfId="0" applyFont="1" applyBorder="1" applyAlignment="1">
      <alignment horizontal="center" vertical="center"/>
    </xf>
    <xf numFmtId="0" fontId="0" fillId="8" borderId="19" xfId="0" applyFill="1" applyBorder="1" applyAlignment="1">
      <alignment horizontal="center" vertical="center"/>
    </xf>
    <xf numFmtId="0" fontId="0" fillId="8" borderId="2" xfId="0" applyFill="1" applyBorder="1" applyAlignment="1">
      <alignment horizontal="center" vertical="center"/>
    </xf>
    <xf numFmtId="0" fontId="0" fillId="8" borderId="6" xfId="0" applyFill="1" applyBorder="1" applyAlignment="1">
      <alignment horizontal="center" vertical="center"/>
    </xf>
    <xf numFmtId="0" fontId="0" fillId="5" borderId="19" xfId="0" applyFill="1" applyBorder="1" applyAlignment="1">
      <alignment horizontal="center" vertical="center"/>
    </xf>
    <xf numFmtId="0" fontId="0" fillId="3" borderId="6" xfId="0" applyFill="1" applyBorder="1" applyAlignment="1">
      <alignment horizontal="center" vertical="center"/>
    </xf>
    <xf numFmtId="0" fontId="2" fillId="0" borderId="21" xfId="0" applyFont="1" applyBorder="1" applyAlignment="1">
      <alignment horizontal="center" vertical="center"/>
    </xf>
    <xf numFmtId="0" fontId="0" fillId="0" borderId="2" xfId="0" applyBorder="1" applyAlignment="1">
      <alignment horizontal="center"/>
    </xf>
    <xf numFmtId="0" fontId="4" fillId="0" borderId="0" xfId="0" applyFont="1" applyFill="1" applyBorder="1"/>
    <xf numFmtId="0" fontId="4" fillId="0" borderId="0" xfId="0" applyFont="1" applyBorder="1"/>
    <xf numFmtId="0" fontId="22" fillId="0" borderId="2" xfId="0" applyFont="1" applyBorder="1" applyAlignment="1">
      <alignment horizontal="center"/>
    </xf>
    <xf numFmtId="165" fontId="22" fillId="0" borderId="2" xfId="1" applyNumberFormat="1" applyFont="1" applyBorder="1" applyAlignment="1">
      <alignment horizontal="center"/>
    </xf>
    <xf numFmtId="165" fontId="22" fillId="0" borderId="0" xfId="1" applyNumberFormat="1" applyFont="1" applyAlignment="1">
      <alignment horizontal="right"/>
    </xf>
    <xf numFmtId="0" fontId="0" fillId="0" borderId="0" xfId="0" applyFont="1" applyAlignment="1">
      <alignment horizontal="left" vertical="center"/>
    </xf>
    <xf numFmtId="165" fontId="0" fillId="0" borderId="2" xfId="1" applyNumberFormat="1" applyFont="1" applyBorder="1" applyAlignment="1">
      <alignment horizontal="center" vertical="center"/>
    </xf>
    <xf numFmtId="3" fontId="0" fillId="14" borderId="2" xfId="0" applyNumberFormat="1" applyFont="1" applyFill="1" applyBorder="1" applyAlignment="1">
      <alignment horizontal="center" vertical="center" wrapText="1"/>
    </xf>
    <xf numFmtId="3" fontId="9" fillId="14" borderId="2" xfId="0" applyNumberFormat="1" applyFont="1" applyFill="1" applyBorder="1" applyAlignment="1">
      <alignment horizontal="center" vertical="center" wrapText="1"/>
    </xf>
    <xf numFmtId="3" fontId="0" fillId="0" borderId="2" xfId="0" applyNumberFormat="1" applyBorder="1" applyAlignment="1">
      <alignment horizontal="center" vertical="center"/>
    </xf>
    <xf numFmtId="0" fontId="2" fillId="3" borderId="2" xfId="0" applyFont="1" applyFill="1" applyBorder="1" applyAlignment="1">
      <alignment horizontal="center" vertical="center"/>
    </xf>
    <xf numFmtId="1" fontId="0" fillId="0" borderId="0" xfId="0" applyNumberFormat="1" applyAlignment="1">
      <alignment horizontal="center"/>
    </xf>
    <xf numFmtId="0" fontId="2" fillId="3" borderId="2" xfId="0" applyFont="1" applyFill="1" applyBorder="1" applyAlignment="1">
      <alignment horizontal="center"/>
    </xf>
    <xf numFmtId="4" fontId="2" fillId="16" borderId="2" xfId="0" applyNumberFormat="1" applyFont="1" applyFill="1" applyBorder="1" applyAlignment="1">
      <alignment horizontal="center"/>
    </xf>
    <xf numFmtId="4" fontId="26" fillId="16" borderId="2" xfId="0" applyNumberFormat="1" applyFont="1" applyFill="1" applyBorder="1" applyAlignment="1">
      <alignment horizontal="center"/>
    </xf>
    <xf numFmtId="0" fontId="2" fillId="0" borderId="2" xfId="0" applyFont="1" applyFill="1" applyBorder="1" applyAlignment="1">
      <alignment horizontal="center"/>
    </xf>
    <xf numFmtId="0" fontId="0" fillId="22" borderId="2" xfId="0" applyFill="1" applyBorder="1" applyAlignment="1">
      <alignment horizontal="center"/>
    </xf>
    <xf numFmtId="3" fontId="0" fillId="0" borderId="2" xfId="0" applyNumberFormat="1" applyFill="1" applyBorder="1" applyAlignment="1">
      <alignment horizontal="center" vertical="center"/>
    </xf>
    <xf numFmtId="165" fontId="0" fillId="0" borderId="2" xfId="1" applyNumberFormat="1" applyFont="1" applyFill="1" applyBorder="1" applyAlignment="1">
      <alignment horizontal="center" vertical="center"/>
    </xf>
    <xf numFmtId="0" fontId="0" fillId="0" borderId="84" xfId="0" applyBorder="1" applyAlignment="1">
      <alignment horizontal="left" vertical="center" wrapText="1"/>
    </xf>
    <xf numFmtId="0" fontId="0" fillId="0" borderId="85" xfId="0" applyBorder="1" applyAlignment="1">
      <alignment horizontal="left" vertical="center" wrapText="1"/>
    </xf>
    <xf numFmtId="0" fontId="0" fillId="0" borderId="80" xfId="0" applyBorder="1" applyAlignment="1">
      <alignment horizontal="left" vertical="center" wrapText="1"/>
    </xf>
    <xf numFmtId="0" fontId="0" fillId="0" borderId="86" xfId="0" applyBorder="1" applyAlignment="1">
      <alignment horizontal="left" vertical="center" wrapText="1"/>
    </xf>
    <xf numFmtId="0" fontId="0" fillId="0" borderId="0" xfId="0" applyBorder="1" applyAlignment="1">
      <alignment horizontal="left" vertical="center" wrapText="1"/>
    </xf>
    <xf numFmtId="0" fontId="0" fillId="0" borderId="71" xfId="0" applyBorder="1" applyAlignment="1">
      <alignment horizontal="left" vertical="center" wrapText="1"/>
    </xf>
    <xf numFmtId="0" fontId="0" fillId="0" borderId="87" xfId="0" applyBorder="1" applyAlignment="1">
      <alignment horizontal="left" vertical="center" wrapText="1"/>
    </xf>
    <xf numFmtId="0" fontId="0" fillId="0" borderId="65" xfId="0" applyBorder="1" applyAlignment="1">
      <alignment horizontal="left" vertical="center" wrapText="1"/>
    </xf>
    <xf numFmtId="0" fontId="0" fillId="0" borderId="88" xfId="0" applyBorder="1" applyAlignment="1">
      <alignment horizontal="left" vertical="center" wrapText="1"/>
    </xf>
    <xf numFmtId="0" fontId="28" fillId="0" borderId="1" xfId="0" applyFont="1" applyBorder="1" applyAlignment="1">
      <alignment horizontal="left" wrapText="1"/>
    </xf>
    <xf numFmtId="0" fontId="0" fillId="0" borderId="38" xfId="0" applyBorder="1" applyAlignment="1">
      <alignment horizontal="left" wrapText="1"/>
    </xf>
    <xf numFmtId="0" fontId="0" fillId="0" borderId="0" xfId="0" applyAlignment="1">
      <alignment horizontal="left" wrapText="1"/>
    </xf>
    <xf numFmtId="0" fontId="37" fillId="0" borderId="0" xfId="0" applyFont="1" applyAlignment="1">
      <alignment horizontal="left" wrapText="1"/>
    </xf>
    <xf numFmtId="0" fontId="2" fillId="0" borderId="79" xfId="0" applyFont="1" applyBorder="1" applyAlignment="1">
      <alignment horizontal="center" vertical="center" wrapText="1"/>
    </xf>
    <xf numFmtId="0" fontId="2" fillId="0" borderId="83" xfId="0" applyFont="1" applyBorder="1" applyAlignment="1">
      <alignment horizontal="center" vertical="center" wrapText="1"/>
    </xf>
    <xf numFmtId="0" fontId="2" fillId="0" borderId="4" xfId="0" applyFont="1" applyBorder="1" applyAlignment="1">
      <alignment horizontal="center"/>
    </xf>
    <xf numFmtId="0" fontId="2" fillId="0" borderId="44" xfId="0" applyFont="1" applyBorder="1" applyAlignment="1">
      <alignment horizontal="center"/>
    </xf>
    <xf numFmtId="0" fontId="2" fillId="0" borderId="3" xfId="0" applyFont="1" applyBorder="1" applyAlignment="1">
      <alignment horizontal="center"/>
    </xf>
    <xf numFmtId="0" fontId="19" fillId="14" borderId="37" xfId="0" applyFont="1" applyFill="1" applyBorder="1" applyAlignment="1">
      <alignment horizontal="center" vertical="center" wrapText="1"/>
    </xf>
    <xf numFmtId="0" fontId="19" fillId="14" borderId="38" xfId="0" applyFont="1" applyFill="1" applyBorder="1" applyAlignment="1">
      <alignment horizontal="center" vertical="center" wrapText="1"/>
    </xf>
    <xf numFmtId="0" fontId="19" fillId="14" borderId="58" xfId="0" applyFont="1" applyFill="1" applyBorder="1" applyAlignment="1">
      <alignment horizontal="center" vertical="center" wrapText="1"/>
    </xf>
    <xf numFmtId="0" fontId="19" fillId="14" borderId="15" xfId="0" applyFont="1" applyFill="1" applyBorder="1" applyAlignment="1">
      <alignment horizontal="center" vertical="center" wrapText="1"/>
    </xf>
    <xf numFmtId="0" fontId="19" fillId="14" borderId="0" xfId="0" applyFont="1" applyFill="1" applyBorder="1" applyAlignment="1">
      <alignment horizontal="center" vertical="center" wrapText="1"/>
    </xf>
    <xf numFmtId="0" fontId="19" fillId="14" borderId="59" xfId="0" applyFont="1" applyFill="1" applyBorder="1" applyAlignment="1">
      <alignment horizontal="center" vertical="center" wrapText="1"/>
    </xf>
    <xf numFmtId="0" fontId="19" fillId="14" borderId="33" xfId="0" applyFont="1" applyFill="1" applyBorder="1" applyAlignment="1">
      <alignment horizontal="center" vertical="center" wrapText="1"/>
    </xf>
    <xf numFmtId="0" fontId="19" fillId="14" borderId="1" xfId="0" applyFont="1" applyFill="1" applyBorder="1" applyAlignment="1">
      <alignment horizontal="center" vertical="center" wrapText="1"/>
    </xf>
    <xf numFmtId="0" fontId="19" fillId="14" borderId="60" xfId="0" applyFont="1" applyFill="1" applyBorder="1" applyAlignment="1">
      <alignment horizontal="center" vertical="center" wrapText="1"/>
    </xf>
    <xf numFmtId="0" fontId="19" fillId="14" borderId="45" xfId="0" applyFont="1" applyFill="1" applyBorder="1" applyAlignment="1">
      <alignment horizontal="center" vertical="center" wrapText="1"/>
    </xf>
    <xf numFmtId="0" fontId="19" fillId="14" borderId="46" xfId="0" applyFont="1" applyFill="1" applyBorder="1" applyAlignment="1">
      <alignment horizontal="center" vertical="center" wrapText="1"/>
    </xf>
    <xf numFmtId="0" fontId="19" fillId="14" borderId="50" xfId="0" applyFont="1" applyFill="1" applyBorder="1" applyAlignment="1">
      <alignment horizontal="center" vertical="center" wrapText="1"/>
    </xf>
    <xf numFmtId="0" fontId="19" fillId="14" borderId="47" xfId="0" applyFont="1" applyFill="1" applyBorder="1" applyAlignment="1">
      <alignment horizontal="center" vertical="center" wrapText="1"/>
    </xf>
    <xf numFmtId="0" fontId="19" fillId="14" borderId="51" xfId="0" applyFont="1" applyFill="1" applyBorder="1" applyAlignment="1">
      <alignment horizontal="center" vertical="center" wrapText="1"/>
    </xf>
    <xf numFmtId="0" fontId="19" fillId="14" borderId="48" xfId="0" applyFont="1" applyFill="1" applyBorder="1" applyAlignment="1">
      <alignment horizontal="center" vertical="center" wrapText="1"/>
    </xf>
    <xf numFmtId="0" fontId="19" fillId="14" borderId="49" xfId="0" applyFont="1" applyFill="1" applyBorder="1" applyAlignment="1">
      <alignment horizontal="center" vertical="center" wrapText="1"/>
    </xf>
    <xf numFmtId="0" fontId="19" fillId="14" borderId="52" xfId="0" applyFont="1" applyFill="1" applyBorder="1" applyAlignment="1">
      <alignment horizontal="center" vertical="center" wrapText="1"/>
    </xf>
    <xf numFmtId="0" fontId="2" fillId="18" borderId="28" xfId="0" applyFont="1" applyFill="1" applyBorder="1" applyAlignment="1">
      <alignment horizontal="center"/>
    </xf>
    <xf numFmtId="0" fontId="2" fillId="18" borderId="55" xfId="0" applyFont="1" applyFill="1" applyBorder="1" applyAlignment="1">
      <alignment horizontal="center"/>
    </xf>
    <xf numFmtId="0" fontId="0" fillId="0" borderId="65" xfId="0" applyBorder="1" applyAlignment="1">
      <alignment horizontal="center"/>
    </xf>
    <xf numFmtId="0" fontId="0" fillId="0" borderId="0" xfId="0" applyAlignment="1">
      <alignment horizontal="center"/>
    </xf>
    <xf numFmtId="0" fontId="0" fillId="0" borderId="4" xfId="0" applyBorder="1" applyAlignment="1">
      <alignment horizontal="center" wrapText="1"/>
    </xf>
    <xf numFmtId="0" fontId="0" fillId="0" borderId="44" xfId="0" applyBorder="1" applyAlignment="1">
      <alignment horizontal="center" wrapText="1"/>
    </xf>
    <xf numFmtId="0" fontId="0" fillId="0" borderId="3" xfId="0" applyBorder="1" applyAlignment="1">
      <alignment horizontal="center" wrapText="1"/>
    </xf>
    <xf numFmtId="0" fontId="10" fillId="0" borderId="4" xfId="2" applyBorder="1" applyAlignment="1">
      <alignment horizontal="center" wrapText="1"/>
    </xf>
    <xf numFmtId="0" fontId="10" fillId="0" borderId="44" xfId="2" applyBorder="1" applyAlignment="1">
      <alignment horizontal="center" wrapText="1"/>
    </xf>
    <xf numFmtId="0" fontId="10" fillId="0" borderId="3" xfId="2" applyBorder="1" applyAlignment="1">
      <alignment horizontal="center" wrapText="1"/>
    </xf>
    <xf numFmtId="0" fontId="19" fillId="14" borderId="45" xfId="0" applyFont="1" applyFill="1" applyBorder="1" applyAlignment="1">
      <alignment horizontal="center" wrapText="1"/>
    </xf>
    <xf numFmtId="0" fontId="19" fillId="14" borderId="46" xfId="0" applyFont="1" applyFill="1" applyBorder="1" applyAlignment="1">
      <alignment horizontal="center" wrapText="1"/>
    </xf>
    <xf numFmtId="0" fontId="19" fillId="14" borderId="50" xfId="0" applyFont="1" applyFill="1" applyBorder="1" applyAlignment="1">
      <alignment horizontal="center" wrapText="1"/>
    </xf>
    <xf numFmtId="0" fontId="19" fillId="14" borderId="47" xfId="0" applyFont="1" applyFill="1" applyBorder="1" applyAlignment="1">
      <alignment horizontal="center" wrapText="1"/>
    </xf>
    <xf numFmtId="0" fontId="19" fillId="14" borderId="0" xfId="0" applyFont="1" applyFill="1" applyBorder="1" applyAlignment="1">
      <alignment horizontal="center" wrapText="1"/>
    </xf>
    <xf numFmtId="0" fontId="19" fillId="14" borderId="51" xfId="0" applyFont="1" applyFill="1" applyBorder="1" applyAlignment="1">
      <alignment horizontal="center" wrapText="1"/>
    </xf>
    <xf numFmtId="0" fontId="19" fillId="14" borderId="48" xfId="0" applyFont="1" applyFill="1" applyBorder="1" applyAlignment="1">
      <alignment horizontal="center" wrapText="1"/>
    </xf>
    <xf numFmtId="0" fontId="19" fillId="14" borderId="49" xfId="0" applyFont="1" applyFill="1" applyBorder="1" applyAlignment="1">
      <alignment horizontal="center" wrapText="1"/>
    </xf>
    <xf numFmtId="0" fontId="19" fillId="14" borderId="52" xfId="0" applyFont="1" applyFill="1" applyBorder="1" applyAlignment="1">
      <alignment horizontal="center" wrapText="1"/>
    </xf>
    <xf numFmtId="0" fontId="0" fillId="0" borderId="0" xfId="0" applyAlignment="1">
      <alignment horizontal="center" vertical="center" wrapText="1"/>
    </xf>
    <xf numFmtId="0" fontId="6" fillId="4" borderId="4" xfId="0" applyFont="1" applyFill="1" applyBorder="1" applyAlignment="1">
      <alignment horizontal="center" vertical="center" wrapText="1"/>
    </xf>
    <xf numFmtId="0" fontId="6" fillId="4" borderId="3" xfId="0" applyFont="1" applyFill="1" applyBorder="1" applyAlignment="1">
      <alignment horizontal="center" vertical="center" wrapText="1"/>
    </xf>
    <xf numFmtId="3" fontId="0" fillId="7" borderId="20" xfId="0" applyNumberFormat="1" applyFill="1" applyBorder="1" applyAlignment="1">
      <alignment horizontal="center" vertical="center"/>
    </xf>
    <xf numFmtId="3" fontId="0" fillId="7" borderId="15" xfId="0" applyNumberFormat="1" applyFill="1" applyBorder="1" applyAlignment="1">
      <alignment horizontal="center" vertical="center"/>
    </xf>
    <xf numFmtId="3" fontId="0" fillId="7" borderId="9" xfId="0" applyNumberFormat="1" applyFill="1" applyBorder="1" applyAlignment="1">
      <alignment horizontal="center" vertical="center"/>
    </xf>
    <xf numFmtId="3" fontId="0" fillId="7" borderId="27" xfId="0" applyNumberFormat="1" applyFill="1" applyBorder="1" applyAlignment="1">
      <alignment horizontal="center" vertical="center"/>
    </xf>
    <xf numFmtId="3" fontId="0" fillId="7" borderId="13" xfId="0" applyNumberFormat="1" applyFill="1" applyBorder="1" applyAlignment="1">
      <alignment horizontal="center" vertical="center"/>
    </xf>
    <xf numFmtId="3" fontId="0" fillId="7" borderId="7" xfId="0" applyNumberFormat="1" applyFill="1" applyBorder="1" applyAlignment="1">
      <alignment horizontal="center" vertical="center"/>
    </xf>
    <xf numFmtId="3" fontId="2" fillId="7" borderId="13" xfId="0" applyNumberFormat="1" applyFont="1" applyFill="1" applyBorder="1" applyAlignment="1">
      <alignment horizontal="center" vertical="center"/>
    </xf>
    <xf numFmtId="3" fontId="2" fillId="7" borderId="7" xfId="0" applyNumberFormat="1" applyFont="1" applyFill="1" applyBorder="1" applyAlignment="1">
      <alignment horizontal="center" vertical="center"/>
    </xf>
    <xf numFmtId="3" fontId="2" fillId="7" borderId="20" xfId="0" applyNumberFormat="1" applyFont="1" applyFill="1" applyBorder="1" applyAlignment="1">
      <alignment horizontal="center" vertical="center"/>
    </xf>
    <xf numFmtId="0" fontId="0" fillId="6" borderId="20" xfId="0" applyFill="1" applyBorder="1" applyAlignment="1">
      <alignment horizontal="center" vertical="center"/>
    </xf>
    <xf numFmtId="0" fontId="0" fillId="6" borderId="13" xfId="0" applyFill="1" applyBorder="1" applyAlignment="1">
      <alignment horizontal="center" vertical="center"/>
    </xf>
    <xf numFmtId="0" fontId="0" fillId="6" borderId="7" xfId="0" applyFill="1" applyBorder="1" applyAlignment="1">
      <alignment horizontal="center" vertical="center"/>
    </xf>
    <xf numFmtId="0" fontId="2" fillId="0" borderId="21" xfId="0" applyFont="1" applyBorder="1" applyAlignment="1">
      <alignment horizontal="center" vertical="center"/>
    </xf>
    <xf numFmtId="0" fontId="2" fillId="0" borderId="14" xfId="0" applyFont="1" applyBorder="1" applyAlignment="1">
      <alignment horizontal="center" vertical="center"/>
    </xf>
    <xf numFmtId="0" fontId="2" fillId="0" borderId="8" xfId="0" applyFont="1" applyBorder="1" applyAlignment="1">
      <alignment horizontal="center" vertical="center"/>
    </xf>
    <xf numFmtId="0" fontId="2" fillId="0" borderId="24" xfId="0" applyFont="1" applyBorder="1" applyAlignment="1">
      <alignment horizontal="center" vertical="center"/>
    </xf>
    <xf numFmtId="0" fontId="2" fillId="5" borderId="23" xfId="0" applyFont="1" applyFill="1" applyBorder="1" applyAlignment="1">
      <alignment horizontal="center" vertical="center"/>
    </xf>
    <xf numFmtId="0" fontId="2" fillId="5" borderId="2" xfId="0" applyFont="1" applyFill="1" applyBorder="1" applyAlignment="1">
      <alignment horizontal="center" vertical="center"/>
    </xf>
    <xf numFmtId="0" fontId="0" fillId="5" borderId="6" xfId="0" applyFill="1" applyBorder="1" applyAlignment="1">
      <alignment horizontal="center" vertical="center"/>
    </xf>
    <xf numFmtId="9" fontId="2" fillId="6" borderId="19" xfId="1" applyFont="1" applyFill="1" applyBorder="1" applyAlignment="1">
      <alignment horizontal="center" vertical="center"/>
    </xf>
    <xf numFmtId="9" fontId="0" fillId="6" borderId="2" xfId="1" applyFont="1" applyFill="1" applyBorder="1" applyAlignment="1">
      <alignment horizontal="center" vertical="center"/>
    </xf>
    <xf numFmtId="9" fontId="0" fillId="6" borderId="6" xfId="1" applyFont="1" applyFill="1" applyBorder="1" applyAlignment="1">
      <alignment horizontal="center" vertical="center"/>
    </xf>
    <xf numFmtId="0" fontId="2" fillId="0" borderId="21"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8" xfId="0" applyFont="1" applyBorder="1" applyAlignment="1">
      <alignment horizontal="center" vertical="center" wrapText="1"/>
    </xf>
    <xf numFmtId="3" fontId="0" fillId="7" borderId="30" xfId="0" applyNumberFormat="1" applyFill="1" applyBorder="1" applyAlignment="1">
      <alignment horizontal="center" vertical="center"/>
    </xf>
    <xf numFmtId="3" fontId="0" fillId="7" borderId="17" xfId="0" applyNumberFormat="1" applyFill="1" applyBorder="1" applyAlignment="1">
      <alignment horizontal="center" vertical="center"/>
    </xf>
    <xf numFmtId="3" fontId="0" fillId="7" borderId="11" xfId="0" applyNumberFormat="1" applyFill="1" applyBorder="1" applyAlignment="1">
      <alignment horizontal="center" vertical="center"/>
    </xf>
    <xf numFmtId="0" fontId="0" fillId="5" borderId="23" xfId="0" applyFill="1" applyBorder="1" applyAlignment="1">
      <alignment horizontal="center" vertical="center"/>
    </xf>
    <xf numFmtId="0" fontId="2" fillId="0" borderId="28" xfId="0" applyFont="1" applyBorder="1" applyAlignment="1">
      <alignment horizontal="center" vertical="center"/>
    </xf>
    <xf numFmtId="0" fontId="0" fillId="8" borderId="19" xfId="0" applyFill="1" applyBorder="1" applyAlignment="1">
      <alignment horizontal="center" vertical="center"/>
    </xf>
    <xf numFmtId="0" fontId="0" fillId="8" borderId="2" xfId="0" applyFill="1" applyBorder="1" applyAlignment="1">
      <alignment horizontal="center" vertical="center"/>
    </xf>
    <xf numFmtId="0" fontId="0" fillId="8" borderId="6" xfId="0" applyFill="1" applyBorder="1" applyAlignment="1">
      <alignment horizontal="center" vertical="center"/>
    </xf>
    <xf numFmtId="0" fontId="2" fillId="0" borderId="16" xfId="0" applyFont="1" applyBorder="1" applyAlignment="1">
      <alignment horizontal="center" vertical="center"/>
    </xf>
    <xf numFmtId="0" fontId="2" fillId="0" borderId="10" xfId="0" applyFont="1" applyBorder="1" applyAlignment="1">
      <alignment horizontal="center" vertical="center"/>
    </xf>
    <xf numFmtId="0" fontId="0" fillId="5" borderId="19" xfId="0" applyFill="1" applyBorder="1" applyAlignment="1">
      <alignment horizontal="center" vertical="center"/>
    </xf>
    <xf numFmtId="0" fontId="0" fillId="5" borderId="2" xfId="0" applyFill="1" applyBorder="1" applyAlignment="1">
      <alignment horizontal="center" vertical="center"/>
    </xf>
    <xf numFmtId="0" fontId="0" fillId="3" borderId="19" xfId="0" applyFill="1" applyBorder="1" applyAlignment="1">
      <alignment horizontal="center" vertical="center"/>
    </xf>
    <xf numFmtId="0" fontId="0" fillId="3" borderId="2" xfId="0" applyFill="1" applyBorder="1" applyAlignment="1">
      <alignment horizontal="center" vertical="center"/>
    </xf>
    <xf numFmtId="0" fontId="0" fillId="3" borderId="6" xfId="0" applyFill="1" applyBorder="1" applyAlignment="1">
      <alignment horizontal="center" vertical="center"/>
    </xf>
    <xf numFmtId="3" fontId="0" fillId="3" borderId="18" xfId="0" applyNumberFormat="1" applyFill="1" applyBorder="1" applyAlignment="1">
      <alignment horizontal="center" vertical="center"/>
    </xf>
    <xf numFmtId="3" fontId="0" fillId="3" borderId="12" xfId="0" applyNumberFormat="1" applyFill="1" applyBorder="1" applyAlignment="1">
      <alignment horizontal="center" vertical="center"/>
    </xf>
    <xf numFmtId="3" fontId="0" fillId="3" borderId="5" xfId="0" applyNumberFormat="1" applyFill="1" applyBorder="1" applyAlignment="1">
      <alignment horizontal="center" vertical="center"/>
    </xf>
    <xf numFmtId="0" fontId="0" fillId="0" borderId="0" xfId="0" applyBorder="1" applyAlignment="1">
      <alignment horizontal="center"/>
    </xf>
    <xf numFmtId="0" fontId="15" fillId="13" borderId="2" xfId="0" applyFont="1" applyFill="1" applyBorder="1" applyAlignment="1">
      <alignment horizontal="center"/>
    </xf>
    <xf numFmtId="0" fontId="15" fillId="0" borderId="4" xfId="0" applyFont="1" applyBorder="1" applyAlignment="1">
      <alignment horizontal="left" vertical="center"/>
    </xf>
    <xf numFmtId="0" fontId="15" fillId="0" borderId="3" xfId="0" applyFont="1" applyBorder="1" applyAlignment="1">
      <alignment horizontal="left" vertical="center"/>
    </xf>
    <xf numFmtId="0" fontId="15" fillId="13" borderId="37" xfId="0" applyFont="1" applyFill="1" applyBorder="1" applyAlignment="1">
      <alignment horizontal="center"/>
    </xf>
    <xf numFmtId="0" fontId="15" fillId="13" borderId="38" xfId="0" applyFont="1" applyFill="1" applyBorder="1" applyAlignment="1">
      <alignment horizontal="center"/>
    </xf>
    <xf numFmtId="0" fontId="15" fillId="13" borderId="39" xfId="0" applyFont="1" applyFill="1" applyBorder="1" applyAlignment="1">
      <alignment horizontal="center"/>
    </xf>
    <xf numFmtId="0" fontId="15" fillId="13" borderId="40" xfId="0" applyFont="1" applyFill="1" applyBorder="1" applyAlignment="1">
      <alignment horizontal="center"/>
    </xf>
    <xf numFmtId="0" fontId="15" fillId="13" borderId="41" xfId="0" applyFont="1" applyFill="1" applyBorder="1" applyAlignment="1">
      <alignment horizontal="center"/>
    </xf>
    <xf numFmtId="0" fontId="15" fillId="13" borderId="42" xfId="0" applyFont="1" applyFill="1" applyBorder="1" applyAlignment="1">
      <alignment horizontal="center"/>
    </xf>
    <xf numFmtId="0" fontId="0" fillId="0" borderId="4" xfId="0" applyBorder="1" applyAlignment="1">
      <alignment horizontal="left"/>
    </xf>
    <xf numFmtId="0" fontId="0" fillId="0" borderId="44" xfId="0" applyBorder="1" applyAlignment="1">
      <alignment horizontal="left"/>
    </xf>
    <xf numFmtId="0" fontId="0" fillId="0" borderId="3" xfId="0" applyBorder="1" applyAlignment="1">
      <alignment horizontal="left"/>
    </xf>
    <xf numFmtId="0" fontId="2" fillId="18" borderId="57" xfId="0" applyFont="1" applyFill="1" applyBorder="1" applyAlignment="1">
      <alignment horizontal="center"/>
    </xf>
    <xf numFmtId="3" fontId="26" fillId="0" borderId="31" xfId="0" applyNumberFormat="1" applyFont="1" applyBorder="1" applyAlignment="1">
      <alignment horizontal="center" wrapText="1"/>
    </xf>
    <xf numFmtId="3" fontId="26" fillId="0" borderId="23" xfId="0" applyNumberFormat="1" applyFont="1" applyBorder="1" applyAlignment="1">
      <alignment horizontal="center" wrapText="1"/>
    </xf>
    <xf numFmtId="0" fontId="26" fillId="0" borderId="31" xfId="0" applyFont="1" applyBorder="1" applyAlignment="1">
      <alignment horizontal="center" wrapText="1"/>
    </xf>
    <xf numFmtId="0" fontId="26" fillId="0" borderId="23" xfId="0" applyFont="1" applyBorder="1" applyAlignment="1">
      <alignment horizontal="center" wrapText="1"/>
    </xf>
    <xf numFmtId="0" fontId="2" fillId="0" borderId="31" xfId="0" applyFont="1" applyBorder="1" applyAlignment="1">
      <alignment horizontal="center" wrapText="1"/>
    </xf>
    <xf numFmtId="0" fontId="2" fillId="0" borderId="23" xfId="0" applyFont="1" applyBorder="1" applyAlignment="1">
      <alignment horizontal="center" wrapText="1"/>
    </xf>
    <xf numFmtId="0" fontId="2" fillId="0" borderId="4" xfId="0" applyFont="1" applyBorder="1" applyAlignment="1">
      <alignment horizontal="left"/>
    </xf>
    <xf numFmtId="0" fontId="2" fillId="0" borderId="3" xfId="0" applyFont="1" applyBorder="1" applyAlignment="1">
      <alignment horizontal="left"/>
    </xf>
  </cellXfs>
  <cellStyles count="6">
    <cellStyle name="Calculation" xfId="5" builtinId="22"/>
    <cellStyle name="Hyperlink" xfId="2" builtinId="8"/>
    <cellStyle name="Neutral" xfId="3" builtinId="28"/>
    <cellStyle name="Normal" xfId="0" builtinId="0"/>
    <cellStyle name="Output" xfId="4" builtinId="21"/>
    <cellStyle name="Percent" xfId="1" builtinId="5"/>
  </cellStyles>
  <dxfs count="2">
    <dxf>
      <font>
        <color auto="1"/>
      </font>
      <fill>
        <patternFill>
          <bgColor rgb="FF92D050"/>
        </patternFill>
      </fill>
    </dxf>
    <dxf>
      <font>
        <color theme="0"/>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eetMetadata" Target="metadata.xml"/><Relationship Id="rId27" Type="http://schemas.openxmlformats.org/officeDocument/2006/relationships/customXml" Target="../customXml/item3.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sz="1200" b="1"/>
              <a:t>Estimate of the number of admissions to the 22nd December 2020 by age</a:t>
            </a:r>
          </a:p>
        </c:rich>
      </c:tx>
      <c:layout>
        <c:manualLayout>
          <c:xMode val="edge"/>
          <c:yMode val="edge"/>
          <c:x val="0.11514209925512281"/>
          <c:y val="2.2038573867110292E-2"/>
        </c:manualLayout>
      </c:layout>
      <c:overlay val="0"/>
      <c:spPr>
        <a:noFill/>
        <a:ln>
          <a:noFill/>
        </a:ln>
        <a:effectLst/>
      </c:spPr>
    </c:title>
    <c:autoTitleDeleted val="0"/>
    <c:plotArea>
      <c:layout>
        <c:manualLayout>
          <c:layoutTarget val="inner"/>
          <c:xMode val="edge"/>
          <c:yMode val="edge"/>
          <c:x val="0.19680871793824917"/>
          <c:y val="0.27483800409299963"/>
          <c:w val="0.77340736143392952"/>
          <c:h val="0.56281779086493855"/>
        </c:manualLayout>
      </c:layout>
      <c:lineChart>
        <c:grouping val="standard"/>
        <c:varyColors val="0"/>
        <c:ser>
          <c:idx val="2"/>
          <c:order val="0"/>
          <c:tx>
            <c:strRef>
              <c:f>'Estimating Admissions by Age'!$R$4</c:f>
              <c:strCache>
                <c:ptCount val="1"/>
                <c:pt idx="0">
                  <c:v>Admissions</c:v>
                </c:pt>
              </c:strCache>
            </c:strRef>
          </c:tx>
          <c:marker>
            <c:symbol val="none"/>
          </c:marker>
          <c:cat>
            <c:numRef>
              <c:f>'Estimating Admissions by Age'!$M$23:$M$89</c:f>
              <c:numCache>
                <c:formatCode>General</c:formatCode>
                <c:ptCount val="67"/>
                <c:pt idx="0">
                  <c:v>18</c:v>
                </c:pt>
                <c:pt idx="1">
                  <c:v>19</c:v>
                </c:pt>
                <c:pt idx="2">
                  <c:v>20</c:v>
                </c:pt>
                <c:pt idx="3">
                  <c:v>21</c:v>
                </c:pt>
                <c:pt idx="4">
                  <c:v>22</c:v>
                </c:pt>
                <c:pt idx="5">
                  <c:v>23</c:v>
                </c:pt>
                <c:pt idx="6">
                  <c:v>24</c:v>
                </c:pt>
                <c:pt idx="7">
                  <c:v>25</c:v>
                </c:pt>
                <c:pt idx="8">
                  <c:v>26</c:v>
                </c:pt>
                <c:pt idx="9">
                  <c:v>27</c:v>
                </c:pt>
                <c:pt idx="10">
                  <c:v>28</c:v>
                </c:pt>
                <c:pt idx="11">
                  <c:v>29</c:v>
                </c:pt>
                <c:pt idx="12">
                  <c:v>30</c:v>
                </c:pt>
                <c:pt idx="13">
                  <c:v>31</c:v>
                </c:pt>
                <c:pt idx="14">
                  <c:v>32</c:v>
                </c:pt>
                <c:pt idx="15">
                  <c:v>33</c:v>
                </c:pt>
                <c:pt idx="16">
                  <c:v>34</c:v>
                </c:pt>
                <c:pt idx="17">
                  <c:v>35</c:v>
                </c:pt>
                <c:pt idx="18">
                  <c:v>36</c:v>
                </c:pt>
                <c:pt idx="19">
                  <c:v>37</c:v>
                </c:pt>
                <c:pt idx="20">
                  <c:v>38</c:v>
                </c:pt>
                <c:pt idx="21">
                  <c:v>39</c:v>
                </c:pt>
                <c:pt idx="22">
                  <c:v>40</c:v>
                </c:pt>
                <c:pt idx="23">
                  <c:v>41</c:v>
                </c:pt>
                <c:pt idx="24">
                  <c:v>42</c:v>
                </c:pt>
                <c:pt idx="25">
                  <c:v>43</c:v>
                </c:pt>
                <c:pt idx="26">
                  <c:v>44</c:v>
                </c:pt>
                <c:pt idx="27">
                  <c:v>45</c:v>
                </c:pt>
                <c:pt idx="28">
                  <c:v>46</c:v>
                </c:pt>
                <c:pt idx="29">
                  <c:v>47</c:v>
                </c:pt>
                <c:pt idx="30">
                  <c:v>48</c:v>
                </c:pt>
                <c:pt idx="31">
                  <c:v>49</c:v>
                </c:pt>
                <c:pt idx="32">
                  <c:v>50</c:v>
                </c:pt>
                <c:pt idx="33">
                  <c:v>51</c:v>
                </c:pt>
                <c:pt idx="34">
                  <c:v>52</c:v>
                </c:pt>
                <c:pt idx="35">
                  <c:v>53</c:v>
                </c:pt>
                <c:pt idx="36">
                  <c:v>54</c:v>
                </c:pt>
                <c:pt idx="37">
                  <c:v>55</c:v>
                </c:pt>
                <c:pt idx="38">
                  <c:v>56</c:v>
                </c:pt>
                <c:pt idx="39">
                  <c:v>57</c:v>
                </c:pt>
                <c:pt idx="40">
                  <c:v>58</c:v>
                </c:pt>
                <c:pt idx="41">
                  <c:v>59</c:v>
                </c:pt>
                <c:pt idx="42">
                  <c:v>60</c:v>
                </c:pt>
                <c:pt idx="43">
                  <c:v>61</c:v>
                </c:pt>
                <c:pt idx="44">
                  <c:v>62</c:v>
                </c:pt>
                <c:pt idx="45">
                  <c:v>63</c:v>
                </c:pt>
                <c:pt idx="46">
                  <c:v>64</c:v>
                </c:pt>
                <c:pt idx="47">
                  <c:v>65</c:v>
                </c:pt>
                <c:pt idx="48">
                  <c:v>66</c:v>
                </c:pt>
                <c:pt idx="49">
                  <c:v>67</c:v>
                </c:pt>
                <c:pt idx="50">
                  <c:v>68</c:v>
                </c:pt>
                <c:pt idx="51">
                  <c:v>69</c:v>
                </c:pt>
                <c:pt idx="52">
                  <c:v>70</c:v>
                </c:pt>
                <c:pt idx="53">
                  <c:v>71</c:v>
                </c:pt>
                <c:pt idx="54">
                  <c:v>72</c:v>
                </c:pt>
                <c:pt idx="55">
                  <c:v>73</c:v>
                </c:pt>
                <c:pt idx="56">
                  <c:v>74</c:v>
                </c:pt>
                <c:pt idx="57">
                  <c:v>75</c:v>
                </c:pt>
                <c:pt idx="58">
                  <c:v>76</c:v>
                </c:pt>
                <c:pt idx="59">
                  <c:v>77</c:v>
                </c:pt>
                <c:pt idx="60">
                  <c:v>78</c:v>
                </c:pt>
                <c:pt idx="61">
                  <c:v>79</c:v>
                </c:pt>
                <c:pt idx="62">
                  <c:v>80</c:v>
                </c:pt>
                <c:pt idx="63">
                  <c:v>81</c:v>
                </c:pt>
                <c:pt idx="64">
                  <c:v>82</c:v>
                </c:pt>
                <c:pt idx="65">
                  <c:v>83</c:v>
                </c:pt>
                <c:pt idx="66">
                  <c:v>84</c:v>
                </c:pt>
              </c:numCache>
            </c:numRef>
          </c:cat>
          <c:val>
            <c:numRef>
              <c:f>'Estimating Admissions by Age'!$R$5:$R$89</c:f>
              <c:numCache>
                <c:formatCode>0</c:formatCode>
                <c:ptCount val="85"/>
                <c:pt idx="0">
                  <c:v>212.75982237965263</c:v>
                </c:pt>
                <c:pt idx="1">
                  <c:v>221.42274990797492</c:v>
                </c:pt>
                <c:pt idx="2">
                  <c:v>228.82807806735511</c:v>
                </c:pt>
                <c:pt idx="3">
                  <c:v>235.88926818181707</c:v>
                </c:pt>
                <c:pt idx="4">
                  <c:v>235.49631135330401</c:v>
                </c:pt>
                <c:pt idx="5">
                  <c:v>237.60377010989643</c:v>
                </c:pt>
                <c:pt idx="6">
                  <c:v>124.49442405514681</c:v>
                </c:pt>
                <c:pt idx="7">
                  <c:v>128.22815406167376</c:v>
                </c:pt>
                <c:pt idx="8">
                  <c:v>125.45656942670986</c:v>
                </c:pt>
                <c:pt idx="9">
                  <c:v>123.34203390121684</c:v>
                </c:pt>
                <c:pt idx="10">
                  <c:v>121.49824488544415</c:v>
                </c:pt>
                <c:pt idx="11">
                  <c:v>122.55868339456345</c:v>
                </c:pt>
                <c:pt idx="12">
                  <c:v>118.68966820946443</c:v>
                </c:pt>
                <c:pt idx="13">
                  <c:v>116.42416992611176</c:v>
                </c:pt>
                <c:pt idx="14">
                  <c:v>111.68830791320941</c:v>
                </c:pt>
                <c:pt idx="15">
                  <c:v>110.02313760977012</c:v>
                </c:pt>
                <c:pt idx="16">
                  <c:v>107.01198547108486</c:v>
                </c:pt>
                <c:pt idx="17">
                  <c:v>105.58462114560422</c:v>
                </c:pt>
                <c:pt idx="18">
                  <c:v>254.84062571367662</c:v>
                </c:pt>
                <c:pt idx="19">
                  <c:v>279.02989575717504</c:v>
                </c:pt>
                <c:pt idx="20">
                  <c:v>308.53014065082931</c:v>
                </c:pt>
                <c:pt idx="21">
                  <c:v>332.32298581366001</c:v>
                </c:pt>
                <c:pt idx="22">
                  <c:v>366.10628000000639</c:v>
                </c:pt>
                <c:pt idx="23">
                  <c:v>392.34392078081908</c:v>
                </c:pt>
                <c:pt idx="24">
                  <c:v>416.82097083238835</c:v>
                </c:pt>
                <c:pt idx="25">
                  <c:v>455.49035891915946</c:v>
                </c:pt>
                <c:pt idx="26">
                  <c:v>483.70614769599058</c:v>
                </c:pt>
                <c:pt idx="27">
                  <c:v>527.87061958665595</c:v>
                </c:pt>
                <c:pt idx="28">
                  <c:v>571.38149149734079</c:v>
                </c:pt>
                <c:pt idx="29">
                  <c:v>595.70502397157793</c:v>
                </c:pt>
                <c:pt idx="30">
                  <c:v>624.62936651875475</c:v>
                </c:pt>
                <c:pt idx="31">
                  <c:v>669.27255275049856</c:v>
                </c:pt>
                <c:pt idx="32">
                  <c:v>691.53919423489617</c:v>
                </c:pt>
                <c:pt idx="33">
                  <c:v>739.85361958211638</c:v>
                </c:pt>
                <c:pt idx="34">
                  <c:v>782.78701790045113</c:v>
                </c:pt>
                <c:pt idx="35">
                  <c:v>808.70690460773403</c:v>
                </c:pt>
                <c:pt idx="36">
                  <c:v>862.76228100668811</c:v>
                </c:pt>
                <c:pt idx="37">
                  <c:v>911.33424907707149</c:v>
                </c:pt>
                <c:pt idx="38">
                  <c:v>970.57859968882758</c:v>
                </c:pt>
                <c:pt idx="39">
                  <c:v>1029.9567979403334</c:v>
                </c:pt>
                <c:pt idx="40">
                  <c:v>1047.6759764455094</c:v>
                </c:pt>
                <c:pt idx="41">
                  <c:v>1034.4872782902332</c:v>
                </c:pt>
                <c:pt idx="42">
                  <c:v>1078.0403217765636</c:v>
                </c:pt>
                <c:pt idx="43">
                  <c:v>1161.3623805006889</c:v>
                </c:pt>
                <c:pt idx="44">
                  <c:v>1252.2076952315128</c:v>
                </c:pt>
                <c:pt idx="45">
                  <c:v>1347.4984137930583</c:v>
                </c:pt>
                <c:pt idx="46">
                  <c:v>1486.4368651099853</c:v>
                </c:pt>
                <c:pt idx="47">
                  <c:v>1638.323644849793</c:v>
                </c:pt>
                <c:pt idx="48">
                  <c:v>1788.9808408003062</c:v>
                </c:pt>
                <c:pt idx="49">
                  <c:v>1848.2091449741472</c:v>
                </c:pt>
                <c:pt idx="50">
                  <c:v>2000.6659094368795</c:v>
                </c:pt>
                <c:pt idx="51">
                  <c:v>2114.8189834738896</c:v>
                </c:pt>
                <c:pt idx="52">
                  <c:v>2269.2889157169861</c:v>
                </c:pt>
                <c:pt idx="53">
                  <c:v>2398.8426580379655</c:v>
                </c:pt>
                <c:pt idx="54">
                  <c:v>2547.0852995464329</c:v>
                </c:pt>
                <c:pt idx="55">
                  <c:v>2667.9644960655824</c:v>
                </c:pt>
                <c:pt idx="56">
                  <c:v>2756.449121732393</c:v>
                </c:pt>
                <c:pt idx="57">
                  <c:v>2847.5188496703095</c:v>
                </c:pt>
                <c:pt idx="58">
                  <c:v>2903.5581223658533</c:v>
                </c:pt>
                <c:pt idx="59">
                  <c:v>2941.19352069863</c:v>
                </c:pt>
                <c:pt idx="60">
                  <c:v>3036.0373363335834</c:v>
                </c:pt>
                <c:pt idx="61">
                  <c:v>3140.3933577109569</c:v>
                </c:pt>
                <c:pt idx="62">
                  <c:v>3191.7744331218237</c:v>
                </c:pt>
                <c:pt idx="63">
                  <c:v>3251.6585927364335</c:v>
                </c:pt>
                <c:pt idx="64">
                  <c:v>3310.9587970538373</c:v>
                </c:pt>
                <c:pt idx="65">
                  <c:v>3455.0549499052659</c:v>
                </c:pt>
                <c:pt idx="66">
                  <c:v>3597.2068079273922</c:v>
                </c:pt>
                <c:pt idx="67">
                  <c:v>3686.7112031404208</c:v>
                </c:pt>
                <c:pt idx="68">
                  <c:v>3914.149261708993</c:v>
                </c:pt>
                <c:pt idx="69">
                  <c:v>4210.2830765905437</c:v>
                </c:pt>
                <c:pt idx="70">
                  <c:v>4552.3311811048516</c:v>
                </c:pt>
                <c:pt idx="71">
                  <c:v>5061.3312479531478</c:v>
                </c:pt>
                <c:pt idx="72">
                  <c:v>5781.403560905007</c:v>
                </c:pt>
                <c:pt idx="73">
                  <c:v>4681.477146924366</c:v>
                </c:pt>
                <c:pt idx="74">
                  <c:v>4757.261983133425</c:v>
                </c:pt>
                <c:pt idx="75">
                  <c:v>4962.3212354516445</c:v>
                </c:pt>
                <c:pt idx="76">
                  <c:v>4815.0379044295823</c:v>
                </c:pt>
                <c:pt idx="77">
                  <c:v>4484.5018264618857</c:v>
                </c:pt>
                <c:pt idx="78">
                  <c:v>4196.9235519458407</c:v>
                </c:pt>
                <c:pt idx="79">
                  <c:v>4543.7870755467084</c:v>
                </c:pt>
                <c:pt idx="80">
                  <c:v>4673.451244151358</c:v>
                </c:pt>
                <c:pt idx="81">
                  <c:v>4694.247513648721</c:v>
                </c:pt>
                <c:pt idx="82">
                  <c:v>4595.2364870308165</c:v>
                </c:pt>
                <c:pt idx="83">
                  <c:v>4471.3186796563859</c:v>
                </c:pt>
                <c:pt idx="84">
                  <c:v>4326.9640623836549</c:v>
                </c:pt>
              </c:numCache>
            </c:numRef>
          </c:val>
          <c:smooth val="0"/>
          <c:extLst>
            <c:ext xmlns:c16="http://schemas.microsoft.com/office/drawing/2014/chart" uri="{C3380CC4-5D6E-409C-BE32-E72D297353CC}">
              <c16:uniqueId val="{00000006-975B-457B-80CD-EECA84604878}"/>
            </c:ext>
          </c:extLst>
        </c:ser>
        <c:dLbls>
          <c:showLegendKey val="0"/>
          <c:showVal val="0"/>
          <c:showCatName val="0"/>
          <c:showSerName val="0"/>
          <c:showPercent val="0"/>
          <c:showBubbleSize val="0"/>
        </c:dLbls>
        <c:smooth val="0"/>
        <c:axId val="615039519"/>
        <c:axId val="615056991"/>
      </c:lineChart>
      <c:catAx>
        <c:axId val="615039519"/>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b="1"/>
                  <a:t>Age</a:t>
                </a:r>
              </a:p>
            </c:rich>
          </c:tx>
          <c:overlay val="0"/>
          <c:spPr>
            <a:noFill/>
            <a:ln>
              <a:noFill/>
            </a:ln>
            <a:effectLst/>
          </c:sp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5056991"/>
        <c:crosses val="autoZero"/>
        <c:auto val="1"/>
        <c:lblAlgn val="ctr"/>
        <c:lblOffset val="100"/>
        <c:tickLblSkip val="10"/>
        <c:noMultiLvlLbl val="0"/>
      </c:catAx>
      <c:valAx>
        <c:axId val="615056991"/>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b="1"/>
                  <a:t>Admissions</a:t>
                </a:r>
              </a:p>
            </c:rich>
          </c:tx>
          <c:layout>
            <c:manualLayout>
              <c:xMode val="edge"/>
              <c:yMode val="edge"/>
              <c:x val="3.0835114707411466E-2"/>
              <c:y val="0.35030672618250919"/>
            </c:manualLayout>
          </c:layout>
          <c:overlay val="0"/>
          <c:spPr>
            <a:noFill/>
            <a:ln>
              <a:noFill/>
            </a:ln>
            <a:effectLst/>
          </c:sp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5039519"/>
        <c:crosses val="autoZero"/>
        <c:crossBetween val="between"/>
      </c:valAx>
    </c:plotArea>
    <c:plotVisOnly val="1"/>
    <c:dispBlanksAs val="gap"/>
    <c:showDLblsOverMax val="0"/>
    <c:extLst/>
  </c:chart>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Admission rate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'Estimating Admissions by Age'!$I$15</c:f>
              <c:strCache>
                <c:ptCount val="1"/>
                <c:pt idx="0">
                  <c:v>Rate</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exp"/>
            <c:dispRSqr val="0"/>
            <c:dispEq val="1"/>
            <c:trendlineLbl>
              <c:layout>
                <c:manualLayout>
                  <c:x val="-9.1844103428677257E-2"/>
                  <c:y val="6.862152983565227E-2"/>
                </c:manualLayout>
              </c:layout>
              <c:tx>
                <c:rich>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r>
                      <a:rPr lang="en-US" sz="1400" b="1" baseline="0"/>
                      <a:t>y = 16.312e</a:t>
                    </a:r>
                    <a:r>
                      <a:rPr lang="en-US" sz="1400" b="1" baseline="30000"/>
                      <a:t>0.0573x</a:t>
                    </a:r>
                    <a:endParaRPr lang="en-US" sz="1400" b="1"/>
                  </a:p>
                </c:rich>
              </c:tx>
              <c:numFmt formatCode="General" sourceLinked="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trendlineLbl>
          </c:trendline>
          <c:xVal>
            <c:numRef>
              <c:f>'Estimating Admissions by Age'!$H$16:$H$18</c:f>
              <c:numCache>
                <c:formatCode>General</c:formatCode>
                <c:ptCount val="3"/>
                <c:pt idx="0">
                  <c:v>41</c:v>
                </c:pt>
                <c:pt idx="1">
                  <c:v>74.5</c:v>
                </c:pt>
                <c:pt idx="2">
                  <c:v>88</c:v>
                </c:pt>
              </c:numCache>
            </c:numRef>
          </c:xVal>
          <c:yVal>
            <c:numRef>
              <c:f>'Estimating Admissions by Age'!$I$16:$I$18</c:f>
              <c:numCache>
                <c:formatCode>General</c:formatCode>
                <c:ptCount val="3"/>
                <c:pt idx="0">
                  <c:v>201.3</c:v>
                </c:pt>
                <c:pt idx="1">
                  <c:v>1015</c:v>
                </c:pt>
                <c:pt idx="2">
                  <c:v>3367.9</c:v>
                </c:pt>
              </c:numCache>
            </c:numRef>
          </c:yVal>
          <c:smooth val="0"/>
          <c:extLst>
            <c:ext xmlns:c16="http://schemas.microsoft.com/office/drawing/2014/chart" uri="{C3380CC4-5D6E-409C-BE32-E72D297353CC}">
              <c16:uniqueId val="{00000000-AF5B-41FA-97CB-6071D521996A}"/>
            </c:ext>
          </c:extLst>
        </c:ser>
        <c:dLbls>
          <c:showLegendKey val="0"/>
          <c:showVal val="0"/>
          <c:showCatName val="0"/>
          <c:showSerName val="0"/>
          <c:showPercent val="0"/>
          <c:showBubbleSize val="0"/>
        </c:dLbls>
        <c:axId val="1911491328"/>
        <c:axId val="1911492992"/>
      </c:scatterChart>
      <c:valAx>
        <c:axId val="1911491328"/>
        <c:scaling>
          <c:orientation val="minMax"/>
          <c:max val="90"/>
          <c:min val="40"/>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11492992"/>
        <c:crosses val="autoZero"/>
        <c:crossBetween val="midCat"/>
      </c:valAx>
      <c:valAx>
        <c:axId val="191149299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11491328"/>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b="1"/>
              <a:t>Admissions demand scenarios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Scenarios!$C$5</c:f>
              <c:strCache>
                <c:ptCount val="1"/>
                <c:pt idx="0">
                  <c:v>Optimistic</c:v>
                </c:pt>
              </c:strCache>
            </c:strRef>
          </c:tx>
          <c:spPr>
            <a:ln w="28575" cap="rnd">
              <a:solidFill>
                <a:schemeClr val="accent1"/>
              </a:solidFill>
              <a:round/>
            </a:ln>
            <a:effectLst/>
          </c:spPr>
          <c:marker>
            <c:symbol val="none"/>
          </c:marker>
          <c:cat>
            <c:numRef>
              <c:f>Scenarios!$B$6:$B$36</c:f>
              <c:numCache>
                <c:formatCode>m/d/yyyy</c:formatCode>
                <c:ptCount val="31"/>
                <c:pt idx="0">
                  <c:v>44104</c:v>
                </c:pt>
                <c:pt idx="1">
                  <c:v>44111</c:v>
                </c:pt>
                <c:pt idx="2">
                  <c:v>44118</c:v>
                </c:pt>
                <c:pt idx="3">
                  <c:v>44125</c:v>
                </c:pt>
                <c:pt idx="4">
                  <c:v>44132</c:v>
                </c:pt>
                <c:pt idx="5">
                  <c:v>44139</c:v>
                </c:pt>
                <c:pt idx="6">
                  <c:v>44146</c:v>
                </c:pt>
                <c:pt idx="7">
                  <c:v>44153</c:v>
                </c:pt>
                <c:pt idx="8">
                  <c:v>44160</c:v>
                </c:pt>
                <c:pt idx="9">
                  <c:v>44167</c:v>
                </c:pt>
                <c:pt idx="10">
                  <c:v>44174</c:v>
                </c:pt>
                <c:pt idx="11">
                  <c:v>44181</c:v>
                </c:pt>
                <c:pt idx="12">
                  <c:v>44188</c:v>
                </c:pt>
                <c:pt idx="13">
                  <c:v>44195</c:v>
                </c:pt>
                <c:pt idx="14">
                  <c:v>44202</c:v>
                </c:pt>
                <c:pt idx="15">
                  <c:v>44209</c:v>
                </c:pt>
                <c:pt idx="16">
                  <c:v>44216</c:v>
                </c:pt>
                <c:pt idx="17">
                  <c:v>44223</c:v>
                </c:pt>
                <c:pt idx="18">
                  <c:v>44230</c:v>
                </c:pt>
                <c:pt idx="19">
                  <c:v>44237</c:v>
                </c:pt>
                <c:pt idx="20">
                  <c:v>44244</c:v>
                </c:pt>
                <c:pt idx="21">
                  <c:v>44251</c:v>
                </c:pt>
                <c:pt idx="22">
                  <c:v>44258</c:v>
                </c:pt>
                <c:pt idx="23">
                  <c:v>44265</c:v>
                </c:pt>
                <c:pt idx="24">
                  <c:v>44272</c:v>
                </c:pt>
                <c:pt idx="25">
                  <c:v>44279</c:v>
                </c:pt>
                <c:pt idx="26">
                  <c:v>44286</c:v>
                </c:pt>
                <c:pt idx="27">
                  <c:v>44293</c:v>
                </c:pt>
                <c:pt idx="28">
                  <c:v>44300</c:v>
                </c:pt>
                <c:pt idx="29">
                  <c:v>44307</c:v>
                </c:pt>
                <c:pt idx="30">
                  <c:v>44314</c:v>
                </c:pt>
              </c:numCache>
            </c:numRef>
          </c:cat>
          <c:val>
            <c:numRef>
              <c:f>Scenarios!$C$6:$C$36</c:f>
              <c:numCache>
                <c:formatCode>General</c:formatCode>
                <c:ptCount val="31"/>
                <c:pt idx="0">
                  <c:v>2927</c:v>
                </c:pt>
                <c:pt idx="1">
                  <c:v>4119</c:v>
                </c:pt>
                <c:pt idx="2">
                  <c:v>5571</c:v>
                </c:pt>
                <c:pt idx="3">
                  <c:v>7626</c:v>
                </c:pt>
                <c:pt idx="4">
                  <c:v>8790</c:v>
                </c:pt>
                <c:pt idx="5">
                  <c:v>9860</c:v>
                </c:pt>
                <c:pt idx="6">
                  <c:v>10716</c:v>
                </c:pt>
                <c:pt idx="7">
                  <c:v>9621</c:v>
                </c:pt>
                <c:pt idx="8">
                  <c:v>8435</c:v>
                </c:pt>
                <c:pt idx="9">
                  <c:v>9338</c:v>
                </c:pt>
                <c:pt idx="10">
                  <c:v>11168</c:v>
                </c:pt>
                <c:pt idx="11" formatCode="0">
                  <c:v>11244</c:v>
                </c:pt>
                <c:pt idx="12" formatCode="0">
                  <c:v>15507.318995059848</c:v>
                </c:pt>
                <c:pt idx="13" formatCode="0">
                  <c:v>18608.782794071816</c:v>
                </c:pt>
                <c:pt idx="14" formatCode="0">
                  <c:v>18608.782794071816</c:v>
                </c:pt>
                <c:pt idx="15" formatCode="0">
                  <c:v>14887.026235257454</c:v>
                </c:pt>
                <c:pt idx="16" formatCode="0">
                  <c:v>11909.620988205963</c:v>
                </c:pt>
                <c:pt idx="17" formatCode="0">
                  <c:v>9527.6967905647707</c:v>
                </c:pt>
                <c:pt idx="18" formatCode="0">
                  <c:v>7622.1574324518169</c:v>
                </c:pt>
                <c:pt idx="19" formatCode="0">
                  <c:v>6097.7259459614543</c:v>
                </c:pt>
                <c:pt idx="20" formatCode="0">
                  <c:v>4878.180756769164</c:v>
                </c:pt>
                <c:pt idx="21" formatCode="0">
                  <c:v>3902.5446054153313</c:v>
                </c:pt>
                <c:pt idx="22" formatCode="0">
                  <c:v>2731.7812237907319</c:v>
                </c:pt>
                <c:pt idx="23" formatCode="0">
                  <c:v>1912.2468566535122</c:v>
                </c:pt>
                <c:pt idx="24" formatCode="0">
                  <c:v>1338.5727996574585</c:v>
                </c:pt>
                <c:pt idx="25" formatCode="0">
                  <c:v>937.00095976022089</c:v>
                </c:pt>
                <c:pt idx="26" formatCode="0">
                  <c:v>655.90067183215456</c:v>
                </c:pt>
                <c:pt idx="27" formatCode="0">
                  <c:v>459.13047028250816</c:v>
                </c:pt>
                <c:pt idx="28" formatCode="0">
                  <c:v>321.39132919775568</c:v>
                </c:pt>
                <c:pt idx="29" formatCode="0">
                  <c:v>224.97393043842897</c:v>
                </c:pt>
                <c:pt idx="30" formatCode="0">
                  <c:v>157.48175130690026</c:v>
                </c:pt>
              </c:numCache>
            </c:numRef>
          </c:val>
          <c:smooth val="0"/>
          <c:extLst>
            <c:ext xmlns:c16="http://schemas.microsoft.com/office/drawing/2014/chart" uri="{C3380CC4-5D6E-409C-BE32-E72D297353CC}">
              <c16:uniqueId val="{00000000-8D7E-4772-B680-F0E77D49C3E1}"/>
            </c:ext>
          </c:extLst>
        </c:ser>
        <c:ser>
          <c:idx val="1"/>
          <c:order val="1"/>
          <c:tx>
            <c:strRef>
              <c:f>Scenarios!$D$5</c:f>
              <c:strCache>
                <c:ptCount val="1"/>
                <c:pt idx="0">
                  <c:v>Middling</c:v>
                </c:pt>
              </c:strCache>
            </c:strRef>
          </c:tx>
          <c:spPr>
            <a:ln w="28575" cap="rnd">
              <a:solidFill>
                <a:schemeClr val="accent2"/>
              </a:solidFill>
              <a:round/>
            </a:ln>
            <a:effectLst/>
          </c:spPr>
          <c:marker>
            <c:symbol val="none"/>
          </c:marker>
          <c:cat>
            <c:numRef>
              <c:f>Scenarios!$B$6:$B$36</c:f>
              <c:numCache>
                <c:formatCode>m/d/yyyy</c:formatCode>
                <c:ptCount val="31"/>
                <c:pt idx="0">
                  <c:v>44104</c:v>
                </c:pt>
                <c:pt idx="1">
                  <c:v>44111</c:v>
                </c:pt>
                <c:pt idx="2">
                  <c:v>44118</c:v>
                </c:pt>
                <c:pt idx="3">
                  <c:v>44125</c:v>
                </c:pt>
                <c:pt idx="4">
                  <c:v>44132</c:v>
                </c:pt>
                <c:pt idx="5">
                  <c:v>44139</c:v>
                </c:pt>
                <c:pt idx="6">
                  <c:v>44146</c:v>
                </c:pt>
                <c:pt idx="7">
                  <c:v>44153</c:v>
                </c:pt>
                <c:pt idx="8">
                  <c:v>44160</c:v>
                </c:pt>
                <c:pt idx="9">
                  <c:v>44167</c:v>
                </c:pt>
                <c:pt idx="10">
                  <c:v>44174</c:v>
                </c:pt>
                <c:pt idx="11">
                  <c:v>44181</c:v>
                </c:pt>
                <c:pt idx="12">
                  <c:v>44188</c:v>
                </c:pt>
                <c:pt idx="13">
                  <c:v>44195</c:v>
                </c:pt>
                <c:pt idx="14">
                  <c:v>44202</c:v>
                </c:pt>
                <c:pt idx="15">
                  <c:v>44209</c:v>
                </c:pt>
                <c:pt idx="16">
                  <c:v>44216</c:v>
                </c:pt>
                <c:pt idx="17">
                  <c:v>44223</c:v>
                </c:pt>
                <c:pt idx="18">
                  <c:v>44230</c:v>
                </c:pt>
                <c:pt idx="19">
                  <c:v>44237</c:v>
                </c:pt>
                <c:pt idx="20">
                  <c:v>44244</c:v>
                </c:pt>
                <c:pt idx="21">
                  <c:v>44251</c:v>
                </c:pt>
                <c:pt idx="22">
                  <c:v>44258</c:v>
                </c:pt>
                <c:pt idx="23">
                  <c:v>44265</c:v>
                </c:pt>
                <c:pt idx="24">
                  <c:v>44272</c:v>
                </c:pt>
                <c:pt idx="25">
                  <c:v>44279</c:v>
                </c:pt>
                <c:pt idx="26">
                  <c:v>44286</c:v>
                </c:pt>
                <c:pt idx="27">
                  <c:v>44293</c:v>
                </c:pt>
                <c:pt idx="28">
                  <c:v>44300</c:v>
                </c:pt>
                <c:pt idx="29">
                  <c:v>44307</c:v>
                </c:pt>
                <c:pt idx="30">
                  <c:v>44314</c:v>
                </c:pt>
              </c:numCache>
            </c:numRef>
          </c:cat>
          <c:val>
            <c:numRef>
              <c:f>Scenarios!$D$6:$D$36</c:f>
              <c:numCache>
                <c:formatCode>General</c:formatCode>
                <c:ptCount val="31"/>
                <c:pt idx="0">
                  <c:v>2927</c:v>
                </c:pt>
                <c:pt idx="1">
                  <c:v>4119</c:v>
                </c:pt>
                <c:pt idx="2">
                  <c:v>5571</c:v>
                </c:pt>
                <c:pt idx="3">
                  <c:v>7626</c:v>
                </c:pt>
                <c:pt idx="4">
                  <c:v>8790</c:v>
                </c:pt>
                <c:pt idx="5">
                  <c:v>9860</c:v>
                </c:pt>
                <c:pt idx="6">
                  <c:v>10716</c:v>
                </c:pt>
                <c:pt idx="7">
                  <c:v>9621</c:v>
                </c:pt>
                <c:pt idx="8">
                  <c:v>8435</c:v>
                </c:pt>
                <c:pt idx="9">
                  <c:v>9338</c:v>
                </c:pt>
                <c:pt idx="10">
                  <c:v>11168</c:v>
                </c:pt>
                <c:pt idx="11" formatCode="0">
                  <c:v>11244</c:v>
                </c:pt>
                <c:pt idx="12" formatCode="0">
                  <c:v>15507.318995059848</c:v>
                </c:pt>
                <c:pt idx="13" formatCode="0">
                  <c:v>23862.455209626471</c:v>
                </c:pt>
                <c:pt idx="14" formatCode="0">
                  <c:v>40528.217285347659</c:v>
                </c:pt>
                <c:pt idx="15" formatCode="0">
                  <c:v>48633.860742417186</c:v>
                </c:pt>
                <c:pt idx="16" formatCode="0">
                  <c:v>48633.860742417186</c:v>
                </c:pt>
                <c:pt idx="17" formatCode="0">
                  <c:v>38907.088593933753</c:v>
                </c:pt>
                <c:pt idx="18" formatCode="0">
                  <c:v>31125.670875147003</c:v>
                </c:pt>
                <c:pt idx="19" formatCode="0">
                  <c:v>24900.536700117606</c:v>
                </c:pt>
                <c:pt idx="20" formatCode="0">
                  <c:v>19920.429360094087</c:v>
                </c:pt>
                <c:pt idx="21" formatCode="0">
                  <c:v>15936.34348807527</c:v>
                </c:pt>
                <c:pt idx="22" formatCode="0">
                  <c:v>12749.074790460218</c:v>
                </c:pt>
                <c:pt idx="23" formatCode="0">
                  <c:v>10199.259832368174</c:v>
                </c:pt>
                <c:pt idx="24" formatCode="0">
                  <c:v>7139.4818826577211</c:v>
                </c:pt>
                <c:pt idx="25" formatCode="0">
                  <c:v>4997.6373178604044</c:v>
                </c:pt>
                <c:pt idx="26" formatCode="0">
                  <c:v>3498.3461225022829</c:v>
                </c:pt>
                <c:pt idx="27" formatCode="0">
                  <c:v>2448.842285751598</c:v>
                </c:pt>
                <c:pt idx="28" formatCode="0">
                  <c:v>1714.1896000261186</c:v>
                </c:pt>
                <c:pt idx="29" formatCode="0">
                  <c:v>1199.9327200182829</c:v>
                </c:pt>
                <c:pt idx="30" formatCode="0">
                  <c:v>839.95290401279794</c:v>
                </c:pt>
              </c:numCache>
            </c:numRef>
          </c:val>
          <c:smooth val="0"/>
          <c:extLst>
            <c:ext xmlns:c16="http://schemas.microsoft.com/office/drawing/2014/chart" uri="{C3380CC4-5D6E-409C-BE32-E72D297353CC}">
              <c16:uniqueId val="{00000001-8D7E-4772-B680-F0E77D49C3E1}"/>
            </c:ext>
          </c:extLst>
        </c:ser>
        <c:ser>
          <c:idx val="2"/>
          <c:order val="2"/>
          <c:tx>
            <c:strRef>
              <c:f>Scenarios!$E$5</c:f>
              <c:strCache>
                <c:ptCount val="1"/>
                <c:pt idx="0">
                  <c:v>Pessimistic</c:v>
                </c:pt>
              </c:strCache>
            </c:strRef>
          </c:tx>
          <c:spPr>
            <a:ln w="28575" cap="rnd">
              <a:solidFill>
                <a:schemeClr val="accent3"/>
              </a:solidFill>
              <a:round/>
            </a:ln>
            <a:effectLst/>
          </c:spPr>
          <c:marker>
            <c:symbol val="none"/>
          </c:marker>
          <c:cat>
            <c:numRef>
              <c:f>Scenarios!$B$6:$B$36</c:f>
              <c:numCache>
                <c:formatCode>m/d/yyyy</c:formatCode>
                <c:ptCount val="31"/>
                <c:pt idx="0">
                  <c:v>44104</c:v>
                </c:pt>
                <c:pt idx="1">
                  <c:v>44111</c:v>
                </c:pt>
                <c:pt idx="2">
                  <c:v>44118</c:v>
                </c:pt>
                <c:pt idx="3">
                  <c:v>44125</c:v>
                </c:pt>
                <c:pt idx="4">
                  <c:v>44132</c:v>
                </c:pt>
                <c:pt idx="5">
                  <c:v>44139</c:v>
                </c:pt>
                <c:pt idx="6">
                  <c:v>44146</c:v>
                </c:pt>
                <c:pt idx="7">
                  <c:v>44153</c:v>
                </c:pt>
                <c:pt idx="8">
                  <c:v>44160</c:v>
                </c:pt>
                <c:pt idx="9">
                  <c:v>44167</c:v>
                </c:pt>
                <c:pt idx="10">
                  <c:v>44174</c:v>
                </c:pt>
                <c:pt idx="11">
                  <c:v>44181</c:v>
                </c:pt>
                <c:pt idx="12">
                  <c:v>44188</c:v>
                </c:pt>
                <c:pt idx="13">
                  <c:v>44195</c:v>
                </c:pt>
                <c:pt idx="14">
                  <c:v>44202</c:v>
                </c:pt>
                <c:pt idx="15">
                  <c:v>44209</c:v>
                </c:pt>
                <c:pt idx="16">
                  <c:v>44216</c:v>
                </c:pt>
                <c:pt idx="17">
                  <c:v>44223</c:v>
                </c:pt>
                <c:pt idx="18">
                  <c:v>44230</c:v>
                </c:pt>
                <c:pt idx="19">
                  <c:v>44237</c:v>
                </c:pt>
                <c:pt idx="20">
                  <c:v>44244</c:v>
                </c:pt>
                <c:pt idx="21">
                  <c:v>44251</c:v>
                </c:pt>
                <c:pt idx="22">
                  <c:v>44258</c:v>
                </c:pt>
                <c:pt idx="23">
                  <c:v>44265</c:v>
                </c:pt>
                <c:pt idx="24">
                  <c:v>44272</c:v>
                </c:pt>
                <c:pt idx="25">
                  <c:v>44279</c:v>
                </c:pt>
                <c:pt idx="26">
                  <c:v>44286</c:v>
                </c:pt>
                <c:pt idx="27">
                  <c:v>44293</c:v>
                </c:pt>
                <c:pt idx="28">
                  <c:v>44300</c:v>
                </c:pt>
                <c:pt idx="29">
                  <c:v>44307</c:v>
                </c:pt>
                <c:pt idx="30">
                  <c:v>44314</c:v>
                </c:pt>
              </c:numCache>
            </c:numRef>
          </c:cat>
          <c:val>
            <c:numRef>
              <c:f>Scenarios!$E$6:$E$36</c:f>
              <c:numCache>
                <c:formatCode>General</c:formatCode>
                <c:ptCount val="31"/>
                <c:pt idx="0">
                  <c:v>2927</c:v>
                </c:pt>
                <c:pt idx="1">
                  <c:v>4119</c:v>
                </c:pt>
                <c:pt idx="2">
                  <c:v>5571</c:v>
                </c:pt>
                <c:pt idx="3">
                  <c:v>7626</c:v>
                </c:pt>
                <c:pt idx="4">
                  <c:v>8790</c:v>
                </c:pt>
                <c:pt idx="5">
                  <c:v>9860</c:v>
                </c:pt>
                <c:pt idx="6">
                  <c:v>10716</c:v>
                </c:pt>
                <c:pt idx="7">
                  <c:v>9621</c:v>
                </c:pt>
                <c:pt idx="8">
                  <c:v>8435</c:v>
                </c:pt>
                <c:pt idx="9">
                  <c:v>9338</c:v>
                </c:pt>
                <c:pt idx="10">
                  <c:v>11168</c:v>
                </c:pt>
                <c:pt idx="11" formatCode="0">
                  <c:v>11244</c:v>
                </c:pt>
                <c:pt idx="12" formatCode="0">
                  <c:v>15507.318995059848</c:v>
                </c:pt>
                <c:pt idx="13" formatCode="0">
                  <c:v>23862.455209626471</c:v>
                </c:pt>
                <c:pt idx="14" formatCode="0">
                  <c:v>40528.217285347659</c:v>
                </c:pt>
                <c:pt idx="15" formatCode="0">
                  <c:v>75302.728092280522</c:v>
                </c:pt>
                <c:pt idx="16" formatCode="0">
                  <c:v>127894.85824041367</c:v>
                </c:pt>
                <c:pt idx="17" formatCode="0">
                  <c:v>153473.8298884964</c:v>
                </c:pt>
                <c:pt idx="18" formatCode="0">
                  <c:v>153473.8298884964</c:v>
                </c:pt>
                <c:pt idx="19" formatCode="0">
                  <c:v>122779.06391079712</c:v>
                </c:pt>
                <c:pt idx="20" formatCode="0">
                  <c:v>98223.251128637698</c:v>
                </c:pt>
                <c:pt idx="21" formatCode="0">
                  <c:v>78578.600902910155</c:v>
                </c:pt>
                <c:pt idx="22" formatCode="0">
                  <c:v>62862.880722328126</c:v>
                </c:pt>
                <c:pt idx="23" formatCode="0">
                  <c:v>50290.304577862502</c:v>
                </c:pt>
                <c:pt idx="24" formatCode="0">
                  <c:v>40232.243662290006</c:v>
                </c:pt>
                <c:pt idx="25" formatCode="0">
                  <c:v>32185.794929832005</c:v>
                </c:pt>
                <c:pt idx="26" formatCode="0">
                  <c:v>22530.056450882403</c:v>
                </c:pt>
                <c:pt idx="27" formatCode="0">
                  <c:v>15771.03951561768</c:v>
                </c:pt>
                <c:pt idx="28" formatCode="0">
                  <c:v>11039.727660932376</c:v>
                </c:pt>
                <c:pt idx="29" formatCode="0">
                  <c:v>7727.8093626526625</c:v>
                </c:pt>
                <c:pt idx="30" formatCode="0">
                  <c:v>5409.4665538568634</c:v>
                </c:pt>
              </c:numCache>
            </c:numRef>
          </c:val>
          <c:smooth val="0"/>
          <c:extLst>
            <c:ext xmlns:c16="http://schemas.microsoft.com/office/drawing/2014/chart" uri="{C3380CC4-5D6E-409C-BE32-E72D297353CC}">
              <c16:uniqueId val="{00000002-8D7E-4772-B680-F0E77D49C3E1}"/>
            </c:ext>
          </c:extLst>
        </c:ser>
        <c:ser>
          <c:idx val="4"/>
          <c:order val="3"/>
          <c:tx>
            <c:v>Projection</c:v>
          </c:tx>
          <c:spPr>
            <a:ln w="28575" cap="rnd">
              <a:solidFill>
                <a:schemeClr val="accent5"/>
              </a:solidFill>
              <a:prstDash val="dash"/>
              <a:round/>
            </a:ln>
            <a:effectLst/>
          </c:spPr>
          <c:marker>
            <c:symbol val="none"/>
          </c:marker>
          <c:cat>
            <c:numRef>
              <c:f>Scenarios!$B$6:$B$36</c:f>
              <c:numCache>
                <c:formatCode>m/d/yyyy</c:formatCode>
                <c:ptCount val="31"/>
                <c:pt idx="0">
                  <c:v>44104</c:v>
                </c:pt>
                <c:pt idx="1">
                  <c:v>44111</c:v>
                </c:pt>
                <c:pt idx="2">
                  <c:v>44118</c:v>
                </c:pt>
                <c:pt idx="3">
                  <c:v>44125</c:v>
                </c:pt>
                <c:pt idx="4">
                  <c:v>44132</c:v>
                </c:pt>
                <c:pt idx="5">
                  <c:v>44139</c:v>
                </c:pt>
                <c:pt idx="6">
                  <c:v>44146</c:v>
                </c:pt>
                <c:pt idx="7">
                  <c:v>44153</c:v>
                </c:pt>
                <c:pt idx="8">
                  <c:v>44160</c:v>
                </c:pt>
                <c:pt idx="9">
                  <c:v>44167</c:v>
                </c:pt>
                <c:pt idx="10">
                  <c:v>44174</c:v>
                </c:pt>
                <c:pt idx="11">
                  <c:v>44181</c:v>
                </c:pt>
                <c:pt idx="12">
                  <c:v>44188</c:v>
                </c:pt>
                <c:pt idx="13">
                  <c:v>44195</c:v>
                </c:pt>
                <c:pt idx="14">
                  <c:v>44202</c:v>
                </c:pt>
                <c:pt idx="15">
                  <c:v>44209</c:v>
                </c:pt>
                <c:pt idx="16">
                  <c:v>44216</c:v>
                </c:pt>
                <c:pt idx="17">
                  <c:v>44223</c:v>
                </c:pt>
                <c:pt idx="18">
                  <c:v>44230</c:v>
                </c:pt>
                <c:pt idx="19">
                  <c:v>44237</c:v>
                </c:pt>
                <c:pt idx="20">
                  <c:v>44244</c:v>
                </c:pt>
                <c:pt idx="21">
                  <c:v>44251</c:v>
                </c:pt>
                <c:pt idx="22">
                  <c:v>44258</c:v>
                </c:pt>
                <c:pt idx="23">
                  <c:v>44265</c:v>
                </c:pt>
                <c:pt idx="24">
                  <c:v>44272</c:v>
                </c:pt>
                <c:pt idx="25">
                  <c:v>44279</c:v>
                </c:pt>
                <c:pt idx="26">
                  <c:v>44286</c:v>
                </c:pt>
                <c:pt idx="27">
                  <c:v>44293</c:v>
                </c:pt>
                <c:pt idx="28">
                  <c:v>44300</c:v>
                </c:pt>
                <c:pt idx="29">
                  <c:v>44307</c:v>
                </c:pt>
                <c:pt idx="30">
                  <c:v>44314</c:v>
                </c:pt>
              </c:numCache>
            </c:numRef>
          </c:cat>
          <c:val>
            <c:numRef>
              <c:f>Scenarios!$F$6:$F$36</c:f>
              <c:numCache>
                <c:formatCode>General</c:formatCode>
                <c:ptCount val="31"/>
                <c:pt idx="0">
                  <c:v>2833</c:v>
                </c:pt>
                <c:pt idx="1">
                  <c:v>4242</c:v>
                </c:pt>
                <c:pt idx="2">
                  <c:v>5843</c:v>
                </c:pt>
                <c:pt idx="3">
                  <c:v>7600</c:v>
                </c:pt>
                <c:pt idx="4">
                  <c:v>9743</c:v>
                </c:pt>
                <c:pt idx="5">
                  <c:v>10660</c:v>
                </c:pt>
                <c:pt idx="6">
                  <c:v>11820</c:v>
                </c:pt>
                <c:pt idx="7">
                  <c:v>12109</c:v>
                </c:pt>
                <c:pt idx="8">
                  <c:v>10873</c:v>
                </c:pt>
                <c:pt idx="9">
                  <c:v>9685</c:v>
                </c:pt>
                <c:pt idx="10">
                  <c:v>10981</c:v>
                </c:pt>
                <c:pt idx="11">
                  <c:v>12979</c:v>
                </c:pt>
                <c:pt idx="12">
                  <c:v>15393</c:v>
                </c:pt>
                <c:pt idx="13">
                  <c:v>19322</c:v>
                </c:pt>
                <c:pt idx="14">
                  <c:v>25818</c:v>
                </c:pt>
                <c:pt idx="15">
                  <c:v>29447</c:v>
                </c:pt>
                <c:pt idx="16">
                  <c:v>27734</c:v>
                </c:pt>
                <c:pt idx="17">
                  <c:v>22365</c:v>
                </c:pt>
                <c:pt idx="18">
                  <c:v>18010</c:v>
                </c:pt>
                <c:pt idx="19">
                  <c:v>14408</c:v>
                </c:pt>
                <c:pt idx="20">
                  <c:v>11526.400000000001</c:v>
                </c:pt>
                <c:pt idx="21">
                  <c:v>9221.1200000000008</c:v>
                </c:pt>
                <c:pt idx="22">
                  <c:v>7376.8960000000006</c:v>
                </c:pt>
                <c:pt idx="23">
                  <c:v>5163.8271999999997</c:v>
                </c:pt>
                <c:pt idx="24">
                  <c:v>3614.6790399999995</c:v>
                </c:pt>
                <c:pt idx="25">
                  <c:v>2530.2753279999997</c:v>
                </c:pt>
                <c:pt idx="26">
                  <c:v>1771.1927295999997</c:v>
                </c:pt>
                <c:pt idx="27">
                  <c:v>1239.8349107199997</c:v>
                </c:pt>
                <c:pt idx="28">
                  <c:v>867.88443750399972</c:v>
                </c:pt>
                <c:pt idx="29">
                  <c:v>607.51910625279982</c:v>
                </c:pt>
                <c:pt idx="30">
                  <c:v>425.26337437695986</c:v>
                </c:pt>
              </c:numCache>
            </c:numRef>
          </c:val>
          <c:smooth val="0"/>
          <c:extLst>
            <c:ext xmlns:c16="http://schemas.microsoft.com/office/drawing/2014/chart" uri="{C3380CC4-5D6E-409C-BE32-E72D297353CC}">
              <c16:uniqueId val="{00000003-0889-43A6-ABEF-9EA7F74E8232}"/>
            </c:ext>
          </c:extLst>
        </c:ser>
        <c:ser>
          <c:idx val="3"/>
          <c:order val="4"/>
          <c:tx>
            <c:strRef>
              <c:f>Scenarios!$F$5</c:f>
              <c:strCache>
                <c:ptCount val="1"/>
                <c:pt idx="0">
                  <c:v>Historical</c:v>
                </c:pt>
              </c:strCache>
            </c:strRef>
          </c:tx>
          <c:spPr>
            <a:ln w="28575" cap="rnd">
              <a:solidFill>
                <a:schemeClr val="tx1"/>
              </a:solidFill>
              <a:prstDash val="dash"/>
              <a:round/>
            </a:ln>
            <a:effectLst/>
          </c:spPr>
          <c:marker>
            <c:symbol val="none"/>
          </c:marker>
          <c:cat>
            <c:numRef>
              <c:f>Scenarios!$B$6:$B$36</c:f>
              <c:numCache>
                <c:formatCode>m/d/yyyy</c:formatCode>
                <c:ptCount val="31"/>
                <c:pt idx="0">
                  <c:v>44104</c:v>
                </c:pt>
                <c:pt idx="1">
                  <c:v>44111</c:v>
                </c:pt>
                <c:pt idx="2">
                  <c:v>44118</c:v>
                </c:pt>
                <c:pt idx="3">
                  <c:v>44125</c:v>
                </c:pt>
                <c:pt idx="4">
                  <c:v>44132</c:v>
                </c:pt>
                <c:pt idx="5">
                  <c:v>44139</c:v>
                </c:pt>
                <c:pt idx="6">
                  <c:v>44146</c:v>
                </c:pt>
                <c:pt idx="7">
                  <c:v>44153</c:v>
                </c:pt>
                <c:pt idx="8">
                  <c:v>44160</c:v>
                </c:pt>
                <c:pt idx="9">
                  <c:v>44167</c:v>
                </c:pt>
                <c:pt idx="10">
                  <c:v>44174</c:v>
                </c:pt>
                <c:pt idx="11">
                  <c:v>44181</c:v>
                </c:pt>
                <c:pt idx="12">
                  <c:v>44188</c:v>
                </c:pt>
                <c:pt idx="13">
                  <c:v>44195</c:v>
                </c:pt>
                <c:pt idx="14">
                  <c:v>44202</c:v>
                </c:pt>
                <c:pt idx="15">
                  <c:v>44209</c:v>
                </c:pt>
                <c:pt idx="16">
                  <c:v>44216</c:v>
                </c:pt>
                <c:pt idx="17">
                  <c:v>44223</c:v>
                </c:pt>
                <c:pt idx="18">
                  <c:v>44230</c:v>
                </c:pt>
                <c:pt idx="19">
                  <c:v>44237</c:v>
                </c:pt>
                <c:pt idx="20">
                  <c:v>44244</c:v>
                </c:pt>
                <c:pt idx="21">
                  <c:v>44251</c:v>
                </c:pt>
                <c:pt idx="22">
                  <c:v>44258</c:v>
                </c:pt>
                <c:pt idx="23">
                  <c:v>44265</c:v>
                </c:pt>
                <c:pt idx="24">
                  <c:v>44272</c:v>
                </c:pt>
                <c:pt idx="25">
                  <c:v>44279</c:v>
                </c:pt>
                <c:pt idx="26">
                  <c:v>44286</c:v>
                </c:pt>
                <c:pt idx="27">
                  <c:v>44293</c:v>
                </c:pt>
                <c:pt idx="28">
                  <c:v>44300</c:v>
                </c:pt>
                <c:pt idx="29">
                  <c:v>44307</c:v>
                </c:pt>
                <c:pt idx="30">
                  <c:v>44314</c:v>
                </c:pt>
              </c:numCache>
            </c:numRef>
          </c:cat>
          <c:val>
            <c:numRef>
              <c:f>Scenarios!$F$6:$F$24</c:f>
              <c:numCache>
                <c:formatCode>General</c:formatCode>
                <c:ptCount val="19"/>
                <c:pt idx="0">
                  <c:v>2833</c:v>
                </c:pt>
                <c:pt idx="1">
                  <c:v>4242</c:v>
                </c:pt>
                <c:pt idx="2">
                  <c:v>5843</c:v>
                </c:pt>
                <c:pt idx="3">
                  <c:v>7600</c:v>
                </c:pt>
                <c:pt idx="4">
                  <c:v>9743</c:v>
                </c:pt>
                <c:pt idx="5">
                  <c:v>10660</c:v>
                </c:pt>
                <c:pt idx="6">
                  <c:v>11820</c:v>
                </c:pt>
                <c:pt idx="7">
                  <c:v>12109</c:v>
                </c:pt>
                <c:pt idx="8">
                  <c:v>10873</c:v>
                </c:pt>
                <c:pt idx="9">
                  <c:v>9685</c:v>
                </c:pt>
                <c:pt idx="10">
                  <c:v>10981</c:v>
                </c:pt>
                <c:pt idx="11">
                  <c:v>12979</c:v>
                </c:pt>
                <c:pt idx="12">
                  <c:v>15393</c:v>
                </c:pt>
                <c:pt idx="13">
                  <c:v>19322</c:v>
                </c:pt>
                <c:pt idx="14">
                  <c:v>25818</c:v>
                </c:pt>
                <c:pt idx="15">
                  <c:v>29447</c:v>
                </c:pt>
                <c:pt idx="16">
                  <c:v>27734</c:v>
                </c:pt>
                <c:pt idx="17">
                  <c:v>22365</c:v>
                </c:pt>
                <c:pt idx="18">
                  <c:v>18010</c:v>
                </c:pt>
              </c:numCache>
            </c:numRef>
          </c:val>
          <c:smooth val="0"/>
          <c:extLst>
            <c:ext xmlns:c16="http://schemas.microsoft.com/office/drawing/2014/chart" uri="{C3380CC4-5D6E-409C-BE32-E72D297353CC}">
              <c16:uniqueId val="{00000001-ED5A-489E-A31F-D67BCCA47645}"/>
            </c:ext>
          </c:extLst>
        </c:ser>
        <c:dLbls>
          <c:showLegendKey val="0"/>
          <c:showVal val="0"/>
          <c:showCatName val="0"/>
          <c:showSerName val="0"/>
          <c:showPercent val="0"/>
          <c:showBubbleSize val="0"/>
        </c:dLbls>
        <c:smooth val="0"/>
        <c:axId val="1198610992"/>
        <c:axId val="1198611408"/>
      </c:lineChart>
      <c:dateAx>
        <c:axId val="1198610992"/>
        <c:scaling>
          <c:orientation val="minMax"/>
        </c:scaling>
        <c:delete val="0"/>
        <c:axPos val="b"/>
        <c:numFmt formatCode="m/d/yy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98611408"/>
        <c:crosses val="autoZero"/>
        <c:auto val="1"/>
        <c:lblOffset val="100"/>
        <c:baseTimeUnit val="days"/>
      </c:dateAx>
      <c:valAx>
        <c:axId val="1198611408"/>
        <c:scaling>
          <c:logBase val="10"/>
          <c:orientation val="minMax"/>
          <c:max val="200000"/>
          <c:min val="10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9861099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'Sensitivity Analysis'!$T$11</c:f>
          <c:strCache>
            <c:ptCount val="1"/>
            <c:pt idx="0">
              <c:v>No ICU or Ward HR 
Scenario: Historical</c:v>
            </c:pt>
          </c:strCache>
        </c:strRef>
      </c:tx>
      <c:layout>
        <c:manualLayout>
          <c:xMode val="edge"/>
          <c:yMode val="edge"/>
          <c:x val="0.11971794570454812"/>
          <c:y val="2.0151128172282096E-2"/>
        </c:manualLayout>
      </c:layout>
      <c:overlay val="0"/>
      <c:spPr>
        <a:noFill/>
        <a:ln>
          <a:noFill/>
        </a:ln>
        <a:effectLst/>
      </c:spPr>
      <c:txPr>
        <a:bodyPr rot="0" spcFirstLastPara="1" vertOverflow="ellipsis" vert="horz" wrap="square" anchor="ctr" anchorCtr="1"/>
        <a:lstStyle/>
        <a:p>
          <a:pPr algn="ctr">
            <a:defRPr sz="12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31744584165785245"/>
          <c:y val="0.32157974266850653"/>
          <c:w val="0.61304396651911053"/>
          <c:h val="0.41233333668303968"/>
        </c:manualLayout>
      </c:layout>
      <c:barChart>
        <c:barDir val="col"/>
        <c:grouping val="clustered"/>
        <c:varyColors val="0"/>
        <c:ser>
          <c:idx val="0"/>
          <c:order val="0"/>
          <c:spPr>
            <a:solidFill>
              <a:schemeClr val="accent1"/>
            </a:solidFill>
            <a:ln>
              <a:noFill/>
            </a:ln>
            <a:effectLst/>
          </c:spPr>
          <c:invertIfNegative val="0"/>
          <c:cat>
            <c:strRef>
              <c:f>'Sensitivity Analysis'!$Q$18:$Q$20</c:f>
              <c:strCache>
                <c:ptCount val="3"/>
                <c:pt idx="0">
                  <c:v>-20%</c:v>
                </c:pt>
                <c:pt idx="1">
                  <c:v>0%</c:v>
                </c:pt>
                <c:pt idx="2">
                  <c:v>20%</c:v>
                </c:pt>
              </c:strCache>
            </c:strRef>
          </c:cat>
          <c:val>
            <c:numRef>
              <c:f>'Sensitivity Analysis'!$R$18:$R$20</c:f>
              <c:numCache>
                <c:formatCode>0</c:formatCode>
                <c:ptCount val="3"/>
                <c:pt idx="0">
                  <c:v>0</c:v>
                </c:pt>
                <c:pt idx="1">
                  <c:v>73782.746351766167</c:v>
                </c:pt>
                <c:pt idx="2">
                  <c:v>0</c:v>
                </c:pt>
              </c:numCache>
            </c:numRef>
          </c:val>
          <c:extLst>
            <c:ext xmlns:c16="http://schemas.microsoft.com/office/drawing/2014/chart" uri="{C3380CC4-5D6E-409C-BE32-E72D297353CC}">
              <c16:uniqueId val="{00000000-E5B7-4D1F-A4D8-591C74C9D2D1}"/>
            </c:ext>
          </c:extLst>
        </c:ser>
        <c:dLbls>
          <c:showLegendKey val="0"/>
          <c:showVal val="0"/>
          <c:showCatName val="0"/>
          <c:showSerName val="0"/>
          <c:showPercent val="0"/>
          <c:showBubbleSize val="0"/>
        </c:dLbls>
        <c:gapWidth val="6"/>
        <c:axId val="864015504"/>
        <c:axId val="864012592"/>
      </c:barChart>
      <c:catAx>
        <c:axId val="86401550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1050" b="1"/>
                  <a:t>Variable adjustment</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64012592"/>
        <c:crosses val="autoZero"/>
        <c:auto val="1"/>
        <c:lblAlgn val="ctr"/>
        <c:lblOffset val="100"/>
        <c:noMultiLvlLbl val="0"/>
      </c:catAx>
      <c:valAx>
        <c:axId val="86401259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1050" b="1"/>
                  <a:t>Excess</a:t>
                </a:r>
                <a:r>
                  <a:rPr lang="en-GB" sz="1050" b="1" baseline="0"/>
                  <a:t> deaths</a:t>
                </a:r>
                <a:endParaRPr lang="en-GB" sz="1050" b="1"/>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6401550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exp"/>
            <c:dispRSqr val="0"/>
            <c:dispEq val="1"/>
            <c:trendlineLbl>
              <c:layout>
                <c:manualLayout>
                  <c:x val="-7.1897200349956253E-2"/>
                  <c:y val="0.19797001153402538"/>
                </c:manualLayout>
              </c:layout>
              <c:numFmt formatCode="General" sourceLinked="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trendlineLbl>
          </c:trendline>
          <c:xVal>
            <c:numRef>
              <c:f>'Ward Mortality - Treated'!$U$12:$U$14</c:f>
              <c:numCache>
                <c:formatCode>General</c:formatCode>
                <c:ptCount val="3"/>
                <c:pt idx="0">
                  <c:v>50</c:v>
                </c:pt>
                <c:pt idx="1">
                  <c:v>70</c:v>
                </c:pt>
                <c:pt idx="2">
                  <c:v>82</c:v>
                </c:pt>
              </c:numCache>
            </c:numRef>
          </c:xVal>
          <c:yVal>
            <c:numRef>
              <c:f>'Ward Mortality - Treated'!$V$12:$V$14</c:f>
              <c:numCache>
                <c:formatCode>0.0%</c:formatCode>
                <c:ptCount val="3"/>
                <c:pt idx="0">
                  <c:v>4.2233884366013399E-2</c:v>
                </c:pt>
                <c:pt idx="1">
                  <c:v>0.16896279539543668</c:v>
                </c:pt>
                <c:pt idx="2">
                  <c:v>0.37469905328917097</c:v>
                </c:pt>
              </c:numCache>
            </c:numRef>
          </c:yVal>
          <c:smooth val="0"/>
          <c:extLst>
            <c:ext xmlns:c16="http://schemas.microsoft.com/office/drawing/2014/chart" uri="{C3380CC4-5D6E-409C-BE32-E72D297353CC}">
              <c16:uniqueId val="{00000000-2629-4609-9950-E634014FF236}"/>
            </c:ext>
          </c:extLst>
        </c:ser>
        <c:dLbls>
          <c:showLegendKey val="0"/>
          <c:showVal val="0"/>
          <c:showCatName val="0"/>
          <c:showSerName val="0"/>
          <c:showPercent val="0"/>
          <c:showBubbleSize val="0"/>
        </c:dLbls>
        <c:axId val="607432064"/>
        <c:axId val="597645552"/>
      </c:scatterChart>
      <c:valAx>
        <c:axId val="60743206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97645552"/>
        <c:crosses val="autoZero"/>
        <c:crossBetween val="midCat"/>
      </c:valAx>
      <c:valAx>
        <c:axId val="597645552"/>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07432064"/>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exp"/>
            <c:dispRSqr val="0"/>
            <c:dispEq val="1"/>
            <c:trendlineLbl>
              <c:layout>
                <c:manualLayout>
                  <c:x val="-5.1958428701280215E-2"/>
                  <c:y val="4.8357273152264582E-2"/>
                </c:manualLayout>
              </c:layout>
              <c:numFmt formatCode="General" sourceLinked="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trendlineLbl>
          </c:trendline>
          <c:xVal>
            <c:numRef>
              <c:f>'CCU Mortality - Treated'!$K$19:$K$23</c:f>
              <c:numCache>
                <c:formatCode>General</c:formatCode>
                <c:ptCount val="5"/>
                <c:pt idx="0">
                  <c:v>28</c:v>
                </c:pt>
                <c:pt idx="1">
                  <c:v>45</c:v>
                </c:pt>
                <c:pt idx="2">
                  <c:v>55</c:v>
                </c:pt>
                <c:pt idx="3">
                  <c:v>65</c:v>
                </c:pt>
                <c:pt idx="4">
                  <c:v>75</c:v>
                </c:pt>
              </c:numCache>
            </c:numRef>
          </c:xVal>
          <c:yVal>
            <c:numRef>
              <c:f>'CCU Mortality - Treated'!$L$19:$L$23</c:f>
              <c:numCache>
                <c:formatCode>0%</c:formatCode>
                <c:ptCount val="5"/>
                <c:pt idx="0">
                  <c:v>0.12700798053569623</c:v>
                </c:pt>
                <c:pt idx="1">
                  <c:v>0.19738730905841848</c:v>
                </c:pt>
                <c:pt idx="2">
                  <c:v>0.28719177861802914</c:v>
                </c:pt>
                <c:pt idx="3">
                  <c:v>0.43037699394885265</c:v>
                </c:pt>
                <c:pt idx="4">
                  <c:v>0.60692245366267861</c:v>
                </c:pt>
              </c:numCache>
            </c:numRef>
          </c:yVal>
          <c:smooth val="0"/>
          <c:extLst>
            <c:ext xmlns:c16="http://schemas.microsoft.com/office/drawing/2014/chart" uri="{C3380CC4-5D6E-409C-BE32-E72D297353CC}">
              <c16:uniqueId val="{00000000-8507-4F22-ADFC-5D15E325C382}"/>
            </c:ext>
          </c:extLst>
        </c:ser>
        <c:dLbls>
          <c:showLegendKey val="0"/>
          <c:showVal val="0"/>
          <c:showCatName val="0"/>
          <c:showSerName val="0"/>
          <c:showPercent val="0"/>
          <c:showBubbleSize val="0"/>
        </c:dLbls>
        <c:axId val="692315616"/>
        <c:axId val="597653872"/>
      </c:scatterChart>
      <c:valAx>
        <c:axId val="69231561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97653872"/>
        <c:crosses val="autoZero"/>
        <c:crossBetween val="midCat"/>
      </c:valAx>
      <c:valAx>
        <c:axId val="59765387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92315616"/>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4.xml"/></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561976</xdr:colOff>
      <xdr:row>23</xdr:row>
      <xdr:rowOff>180975</xdr:rowOff>
    </xdr:from>
    <xdr:to>
      <xdr:col>5</xdr:col>
      <xdr:colOff>619126</xdr:colOff>
      <xdr:row>34</xdr:row>
      <xdr:rowOff>95248</xdr:rowOff>
    </xdr:to>
    <xdr:graphicFrame macro="">
      <xdr:nvGraphicFramePr>
        <xdr:cNvPr id="5" name="Chart 4">
          <a:extLst>
            <a:ext uri="{FF2B5EF4-FFF2-40B4-BE49-F238E27FC236}">
              <a16:creationId xmlns:a16="http://schemas.microsoft.com/office/drawing/2014/main" id="{F93BA346-4690-4F80-BBC4-1E182346D86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371476</xdr:colOff>
      <xdr:row>18</xdr:row>
      <xdr:rowOff>161925</xdr:rowOff>
    </xdr:from>
    <xdr:to>
      <xdr:col>10</xdr:col>
      <xdr:colOff>533401</xdr:colOff>
      <xdr:row>31</xdr:row>
      <xdr:rowOff>95250</xdr:rowOff>
    </xdr:to>
    <xdr:graphicFrame macro="">
      <xdr:nvGraphicFramePr>
        <xdr:cNvPr id="2" name="Chart 1">
          <a:extLst>
            <a:ext uri="{FF2B5EF4-FFF2-40B4-BE49-F238E27FC236}">
              <a16:creationId xmlns:a16="http://schemas.microsoft.com/office/drawing/2014/main" id="{1C468F68-EF9E-49C4-A892-FA99CA210C3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10</xdr:col>
      <xdr:colOff>219075</xdr:colOff>
      <xdr:row>14</xdr:row>
      <xdr:rowOff>138111</xdr:rowOff>
    </xdr:from>
    <xdr:to>
      <xdr:col>20</xdr:col>
      <xdr:colOff>390525</xdr:colOff>
      <xdr:row>35</xdr:row>
      <xdr:rowOff>123824</xdr:rowOff>
    </xdr:to>
    <xdr:graphicFrame macro="">
      <xdr:nvGraphicFramePr>
        <xdr:cNvPr id="2" name="Chart 1">
          <a:extLst>
            <a:ext uri="{FF2B5EF4-FFF2-40B4-BE49-F238E27FC236}">
              <a16:creationId xmlns:a16="http://schemas.microsoft.com/office/drawing/2014/main" id="{46449DA9-97C9-4E16-BA93-C61A56C2CD3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18</xdr:col>
      <xdr:colOff>419100</xdr:colOff>
      <xdr:row>11</xdr:row>
      <xdr:rowOff>138112</xdr:rowOff>
    </xdr:from>
    <xdr:to>
      <xdr:col>22</xdr:col>
      <xdr:colOff>123825</xdr:colOff>
      <xdr:row>21</xdr:row>
      <xdr:rowOff>123825</xdr:rowOff>
    </xdr:to>
    <xdr:graphicFrame macro="">
      <xdr:nvGraphicFramePr>
        <xdr:cNvPr id="2" name="Chart 1">
          <a:extLst>
            <a:ext uri="{FF2B5EF4-FFF2-40B4-BE49-F238E27FC236}">
              <a16:creationId xmlns:a16="http://schemas.microsoft.com/office/drawing/2014/main" id="{B8D96F1E-D689-4F8D-BC48-29C780DF0AD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oneCellAnchor>
    <xdr:from>
      <xdr:col>0</xdr:col>
      <xdr:colOff>370417</xdr:colOff>
      <xdr:row>33</xdr:row>
      <xdr:rowOff>137584</xdr:rowOff>
    </xdr:from>
    <xdr:ext cx="6970324" cy="4782257"/>
    <xdr:pic>
      <xdr:nvPicPr>
        <xdr:cNvPr id="2" name="Picture 1">
          <a:extLst>
            <a:ext uri="{FF2B5EF4-FFF2-40B4-BE49-F238E27FC236}">
              <a16:creationId xmlns:a16="http://schemas.microsoft.com/office/drawing/2014/main" id="{487DF92D-24EF-4657-874C-8E19F845F8E6}"/>
            </a:ext>
          </a:extLst>
        </xdr:cNvPr>
        <xdr:cNvPicPr>
          <a:picLocks noChangeAspect="1"/>
        </xdr:cNvPicPr>
      </xdr:nvPicPr>
      <xdr:blipFill>
        <a:blip xmlns:r="http://schemas.openxmlformats.org/officeDocument/2006/relationships" r:embed="rId1"/>
        <a:stretch>
          <a:fillRect/>
        </a:stretch>
      </xdr:blipFill>
      <xdr:spPr>
        <a:xfrm>
          <a:off x="373592" y="5750984"/>
          <a:ext cx="6970324" cy="4782257"/>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xdr:from>
      <xdr:col>17</xdr:col>
      <xdr:colOff>34925</xdr:colOff>
      <xdr:row>15</xdr:row>
      <xdr:rowOff>163512</xdr:rowOff>
    </xdr:from>
    <xdr:to>
      <xdr:col>24</xdr:col>
      <xdr:colOff>339725</xdr:colOff>
      <xdr:row>31</xdr:row>
      <xdr:rowOff>17462</xdr:rowOff>
    </xdr:to>
    <xdr:graphicFrame macro="">
      <xdr:nvGraphicFramePr>
        <xdr:cNvPr id="2" name="Chart 1">
          <a:extLst>
            <a:ext uri="{FF2B5EF4-FFF2-40B4-BE49-F238E27FC236}">
              <a16:creationId xmlns:a16="http://schemas.microsoft.com/office/drawing/2014/main" id="{FDDFB229-6448-4E29-9573-4F2509C59DF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12</xdr:col>
      <xdr:colOff>440266</xdr:colOff>
      <xdr:row>13</xdr:row>
      <xdr:rowOff>84667</xdr:rowOff>
    </xdr:from>
    <xdr:to>
      <xdr:col>20</xdr:col>
      <xdr:colOff>95250</xdr:colOff>
      <xdr:row>28</xdr:row>
      <xdr:rowOff>116417</xdr:rowOff>
    </xdr:to>
    <xdr:graphicFrame macro="">
      <xdr:nvGraphicFramePr>
        <xdr:cNvPr id="3" name="Chart 2">
          <a:extLst>
            <a:ext uri="{FF2B5EF4-FFF2-40B4-BE49-F238E27FC236}">
              <a16:creationId xmlns:a16="http://schemas.microsoft.com/office/drawing/2014/main" id="{C9024674-2DA4-4673-A70B-C8DE42FAAE1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Chris Martin" id="{24240851-F436-41A5-90F9-0E1F3214EBE4}" userId="S::chris.martin@crystallise.com::6399fb30-6bb8-4d8c-b7c7-5301d14879f1" providerId="AD"/>
  <person displayName="McDonald, Stuart (Demographic A&amp;M)" id="{19C7F4C8-EC25-40C0-9A3B-591A669AE882}" userId="S::Stuart.SR.McDonald@lloydsbanking.com::54dafece-ff3e-4b4a-9b66-b4d58fe57f70"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O4" dT="2020-12-08T18:37:06.75" personId="{24240851-F436-41A5-90F9-0E1F3214EBE4}" id="{7024589F-01E7-4F82-A6FE-BC835E69108E}">
    <text>Population of England and Wales by single year of age in 2019 from the Human Mortality Database.</text>
  </threadedComment>
  <threadedComment ref="P4" dT="2020-12-08T18:38:11.59" personId="{24240851-F436-41A5-90F9-0E1F3214EBE4}" id="{EE2533E6-B34E-4AD9-9F44-9773332A522C}">
    <text>Proportion of all 18-64 year olds in England &amp;  Wales 2019. An assumption that these proportions will be very similar to the proportions in England.</text>
  </threadedComment>
  <threadedComment ref="Q4" dT="2020-12-08T18:37:53.91" personId="{24240851-F436-41A5-90F9-0E1F3214EBE4}" id="{7233D548-98FC-4CC3-AC85-59E9262238C6}">
    <text/>
  </threadedComment>
</ThreadedComments>
</file>

<file path=xl/threadedComments/threadedComment2.xml><?xml version="1.0" encoding="utf-8"?>
<ThreadedComments xmlns="http://schemas.microsoft.com/office/spreadsheetml/2018/threadedcomments" xmlns:x="http://schemas.openxmlformats.org/spreadsheetml/2006/main">
  <threadedComment ref="C14" dT="2020-12-22T19:12:48.18" personId="{24240851-F436-41A5-90F9-0E1F3214EBE4}" id="{4EE58F62-0467-42A9-9E0C-ACDB43AA0ABA}">
    <text>Figure 21.</text>
  </threadedComment>
  <threadedComment ref="C33" dT="2020-11-08T17:35:04.90" personId="{19C7F4C8-EC25-40C0-9A3B-591A669AE882}" id="{3D62E98B-A8FE-4AD6-BB07-6A96F7096193}">
    <text>Includes suspected cases but small enough not to materially distort results</text>
  </threadedComment>
</ThreadedComments>
</file>

<file path=xl/threadedComments/threadedComment3.xml><?xml version="1.0" encoding="utf-8"?>
<ThreadedComments xmlns="http://schemas.microsoft.com/office/spreadsheetml/2018/threadedcomments" xmlns:x="http://schemas.openxmlformats.org/spreadsheetml/2006/main">
  <threadedComment ref="E18" dT="2020-11-05T12:26:36.71" personId="{24240851-F436-41A5-90F9-0E1F3214EBE4}" id="{55F0ADF9-ACD0-4B5A-B1A5-D96848C09A19}">
    <text>Final attack rate about 60%, but this fraction may be varied for modelling purposes. For example if only over a short time interval.</text>
  </threadedComment>
  <threadedComment ref="S20" dT="2020-11-05T15:21:09.16" personId="{24240851-F436-41A5-90F9-0E1F3214EBE4}" id="{5E59BD0A-ED1C-4457-8615-F6C62440B279}">
    <text>Safe assumption that asymptomatic people with COVID will not die from it.</text>
  </threadedComment>
  <threadedComment ref="T20" dT="2020-11-05T15:21:13.79" personId="{24240851-F436-41A5-90F9-0E1F3214EBE4}" id="{D85A5E27-3D56-4F57-B97D-941A965E3201}">
    <text>Safe assumption that asymptomatic people with COVID will not die from it.</text>
  </threadedComment>
  <threadedComment ref="U20" dT="2020-11-05T15:21:17.84" personId="{24240851-F436-41A5-90F9-0E1F3214EBE4}" id="{DAF0001B-155F-40C0-8CC9-43359D8990F7}">
    <text>Safe assumption that asymptomatic people with COVID will not die from it.</text>
  </threadedComment>
  <threadedComment ref="K21" dT="2020-11-05T16:27:24.72" personId="{24240851-F436-41A5-90F9-0E1F3214EBE4}" id="{DD94AF93-6782-44B7-B757-620DADBD72FC}">
    <text>Assumption that a significant proportion of cases will be symptomatic but will not be recognised as COVID, or will be deliberatly ignored.</text>
  </threadedComment>
  <threadedComment ref="S21" dT="2020-11-05T15:20:12.56" personId="{24240851-F436-41A5-90F9-0E1F3214EBE4}" id="{79C9BB5D-74EE-4A31-90AF-976E979B63DC}">
    <text>Unknown infections may result in sudden death with atypical symptoms, but it will be extremely uncommon.</text>
  </threadedComment>
  <threadedComment ref="T21" dT="2020-11-05T15:20:27.03" personId="{24240851-F436-41A5-90F9-0E1F3214EBE4}" id="{961BB146-648E-4A62-BDEB-8C61C11C403A}">
    <text>Unknown infections may result in sudden death with atypical symptoms, but it will be extremely uncommon.</text>
  </threadedComment>
  <threadedComment ref="U21" dT="2020-11-05T15:20:31.34" personId="{24240851-F436-41A5-90F9-0E1F3214EBE4}" id="{CD7B6571-8A15-45DC-9721-2B5F88E15D96}">
    <text>Unknown infections may result in sudden death with atypical symptoms, but it will be extremely uncommon.</text>
  </threadedComment>
  <threadedComment ref="H22" dT="2020-11-05T15:45:22.01" personId="{24240851-F436-41A5-90F9-0E1F3214EBE4}" id="{FDE2AEDD-DDFA-4CC5-9380-7CE3A4654711}">
    <text>Seroprevalence estimates say 6% of the UK has had it. We know that these are falling so it must be higher than that.  That suggests 4m people.
There are only 1m official cases.
So that gives us an upper bound of 25%.
It is probably somewhat higher than that now though, as this data includes the first wave where we only identified between 5% &amp; 10% of infections. We probably now identify the majority of symptomatic cases, which are about half of all infections. So if we estimate 50% of current symptomatic cases are identified, then this would suggest a figure of 25% of all infections are currently being identified.</text>
  </threadedComment>
  <threadedComment ref="S23" dT="2020-11-05T15:18:37.02" personId="{24240851-F436-41A5-90F9-0E1F3214EBE4}" id="{0F3BC261-4186-41D7-900E-4525F2550DA6}">
    <text>Very safe assumption that asymptomatic people with COVID will not be killed by it.</text>
  </threadedComment>
  <threadedComment ref="S24" dT="2020-11-05T15:15:04.87" personId="{24240851-F436-41A5-90F9-0E1F3214EBE4}" id="{C68BDD56-2BB6-4F69-BF9C-C23F26DFE5B9}">
    <text>Assumption that this group includes young fit people with trivial illness, but also a fraction of elderly frail people who are deemed unfit for admission. This will be a very low rate, but no data to base it upon. It may be higher than the assumed mortality for those admitted to hospital who only recieve general ward care with low O2 flow rates, as that group are fiter by definition than the vulnerable community group.</text>
  </threadedComment>
  <threadedComment ref="T24" dT="2020-11-05T15:17:38.36" personId="{24240851-F436-41A5-90F9-0E1F3214EBE4}" id="{F972DFF6-16C6-4B43-A557-B2831ECEC732}">
    <text>Same as mor twith ITU.</text>
  </threadedComment>
  <threadedComment ref="U24" dT="2020-11-05T15:17:44.21" personId="{24240851-F436-41A5-90F9-0E1F3214EBE4}" id="{046A25A9-E9C5-4AAE-ABB3-41913B0F6E51}">
    <text>Same as mor twith ITU.</text>
  </threadedComment>
  <threadedComment ref="K25" dT="2020-11-05T15:26:40.95" personId="{24240851-F436-41A5-90F9-0E1F3214EBE4}" id="{08B41555-F676-436B-91B0-CE0D8E392D9B}">
    <text>Using the 'GOV.UK Coronavirus (COVID-19) in the UK' dashboard, we found the following counts for cumulative hospitalisation and postive tests as of (31/10/20).
https://coronavirus.data.gov.uk/cases   Accessed 31/10/20</text>
  </threadedComment>
  <threadedComment ref="M26" dT="2020-11-05T12:51:34.28" personId="{24240851-F436-41A5-90F9-0E1F3214EBE4}" id="{D1398290-8688-4F26-AB48-56DD9ABE43B5}">
    <text>This is the group of people admitted and who are only ever cared for on the ward. It does not include patients admitted to the general ward then subsequently transferred in or out of ITU</text>
  </threadedComment>
  <threadedComment ref="N26" dT="2020-11-05T14:14:13.52" personId="{24240851-F436-41A5-90F9-0E1F3214EBE4}" id="{316AB75B-04E0-48B0-A4F7-5343EB58B10E}">
    <text>1-ITU admission rate.</text>
  </threadedComment>
  <threadedComment ref="Q26" dT="2020-11-06T14:50:26.23" personId="{24240851-F436-41A5-90F9-0E1F3214EBE4}" id="{383734DC-EFA8-4968-AB49-CF03D3C5D628}">
    <text>These are the observed proportions matching these criteria in the Nottingham University Hospitla Trust for August, September and October 2020. 1. Crooks CJ, West J, Fogarty A, Morling JR, Grainge MJ, Gonem S, et al. Predicting the need for escalation of care or death from repeated daily clinical observations and laboratory results in patients with SARS-CoV-2 during 2020: a retrospective population-based cohort study from the United Kingdom. MedRxiv [Internet]. 2020; Available from: https://www.medrxiv.org/content/10.1101/2020.12.14.20248181v1</text>
  </threadedComment>
  <threadedComment ref="S26" dT="2020-11-05T15:22:49.99" personId="{24240851-F436-41A5-90F9-0E1F3214EBE4}" id="{8E576C29-988B-4653-8054-0D6F6ECE7F89}">
    <text>Assumption. Very low mortality as they are un-escalated, so will only occur with non-respiratory failure deaths or sudden deaths.</text>
  </threadedComment>
  <threadedComment ref="T26" dT="2020-11-05T15:23:16.04" personId="{24240851-F436-41A5-90F9-0E1F3214EBE4}" id="{FA7F8051-B4A5-4551-87F0-B177A127E574}">
    <text>Assumption. Very low mortality as they are un-escalated, so will only occur with non-respiratory failure deaths or sudden deaths.</text>
  </threadedComment>
  <threadedComment ref="U26" dT="2020-11-05T15:23:56.67" personId="{24240851-F436-41A5-90F9-0E1F3214EBE4}" id="{1127C9F0-0C59-4AB8-9F89-51500B5CD07F}">
    <text>Assumption. The risk remains low, but will be somewhat greater than the ward based care.</text>
  </threadedComment>
  <threadedComment ref="S27" dT="2020-11-05T15:04:37.88" personId="{24240851-F436-41A5-90F9-0E1F3214EBE4}" id="{B09221AE-221C-4B38-8C91-1DED45B60304}">
    <text>Assumption: this is a group of people, who would be escalated to ITU if they deteriorated, so will only include sudden deaths.</text>
  </threadedComment>
  <threadedComment ref="T27" dT="2020-11-05T15:05:17.13" personId="{24240851-F436-41A5-90F9-0E1F3214EBE4}" id="{DE131CCC-F62F-4863-B182-CDACB8898942}">
    <text>Those who deteriorate may get CPAP on the ward, so use the CPAP mortality from ITU.</text>
  </threadedComment>
  <threadedComment ref="U27" dT="2020-11-05T15:09:22.11" personId="{24240851-F436-41A5-90F9-0E1F3214EBE4}" id="{7DD7A5A0-0AE0-4B6E-9DDA-B154535EFA92}">
    <text>Assume substantial mortality as these are very high flow rates indicating severe disease and risk to life. Assume that there will be no O2 outside of hospital. Set at 50% after discussion with Dr Rahul Sarkar (Critical care consultant). Great uncertainty and merits sensitivity analysis.</text>
  </threadedComment>
  <threadedComment ref="S28" dT="2020-11-05T14:53:50.33" personId="{24240851-F436-41A5-90F9-0E1F3214EBE4}" id="{B52D4E57-2439-4E50-99A3-748069150DC5}">
    <text>From Darren et al. Assumption that this cohort 2 group will be frail with a CFS of 6-9. From figure 1, the mortality is about 40% at 28 days.
Aw, Darren, Lauren Woodrow, Giulia Ogliari, and Rowan Harwood. 2020. “Association of Frailty with Mortality in Older Inpatients with Covid-19: A Cohort Study.” Age and Ageing 49(6):915–22.</text>
  </threadedComment>
  <threadedComment ref="T28" dT="2020-11-05T14:59:22.97" personId="{24240851-F436-41A5-90F9-0E1F3214EBE4}" id="{9E3434ED-5AE4-4DCA-9657-E1AC4D8E17CD}">
    <text>Assume unaffected by ITU absence.</text>
  </threadedComment>
  <threadedComment ref="U28" dT="2020-11-05T15:03:20.46" personId="{24240851-F436-41A5-90F9-0E1F3214EBE4}" id="{C66E8C90-B812-483E-B05C-82E85A11F946}">
    <text>Assumption. This is a group of frail people who will have no medical support despite needing unusually high O2 flows to remain stable. Assume there will be no O2 outside of hospital.</text>
  </threadedComment>
  <threadedComment ref="N29" dT="2020-11-05T14:02:20.13" personId="{24240851-F436-41A5-90F9-0E1F3214EBE4}" id="{8658D7CA-8279-47A7-BFC4-123181C0C0FD}">
    <text>Set at 8.2% as determine on the sheet 2 Splitting Admissions ICU Ward cell O33.</text>
  </threadedComment>
  <threadedComment ref="Q29" dT="2020-11-05T16:04:33.40" personId="{24240851-F436-41A5-90F9-0E1F3214EBE4}" id="{7E8DBB35-8167-4343-AF2F-2B9E26B84119}">
    <text>Data supplied from Nottingham. Close to the figure in the ICNARC report of the 24th December (page 36) as the proportion in the second wave (43%).</text>
  </threadedComment>
  <threadedComment ref="S29" dT="2020-11-05T14:45:33.37" personId="{24240851-F436-41A5-90F9-0E1F3214EBE4}" id="{0C0B2E48-FF37-48FA-A00D-0679E9861870}">
    <text>Assume the same as for CPAP.</text>
  </threadedComment>
  <threadedComment ref="T29" dT="2020-11-05T14:45:46.42" personId="{24240851-F436-41A5-90F9-0E1F3214EBE4}" id="{D9CC18FF-DEA7-4095-AC07-DBFFF11D68E2}">
    <text>Assume the same as for CPAP.</text>
  </threadedComment>
  <threadedComment ref="U29" dT="2020-11-05T14:47:08.02" personId="{24240851-F436-41A5-90F9-0E1F3214EBE4}" id="{7931765B-7182-45A4-BC4C-5827955F5226}">
    <text>An assumption that no O2 available outside hospital. Mortality likely to be high without it in this group identified at having a risk to life by their admission to ITU.</text>
  </threadedComment>
  <threadedComment ref="S30" dT="2020-11-05T14:41:23.66" personId="{24240851-F436-41A5-90F9-0E1F3214EBE4}" id="{534B5FFA-FF59-4072-B785-7803239B01DF}">
    <text>In Sivaloganathan, there were 31 who rceived NIV only on ITU, none of whom died suggesting the rate is below 3-4%. Deaths are only likely to occur if from non-respiratory causes such as sepsis or non-respiratory organ failure, otherwise they would have been escalated to IMV/ECMO.</text>
  </threadedComment>
  <threadedComment ref="T30" dT="2020-11-05T14:43:10.28" personId="{24240851-F436-41A5-90F9-0E1F3214EBE4}" id="{FA666B58-3421-469E-990E-0E59EEC4E7E8}">
    <text>Assume that CPAP can continue on the ward, but double the mortality for reduces surrounding support etc.</text>
  </threadedComment>
  <threadedComment ref="U30" dT="2020-11-05T14:44:48.73" personId="{24240851-F436-41A5-90F9-0E1F3214EBE4}" id="{C0505168-4BBC-4BE5-A61D-961114CD2E9C}">
    <text>Assume the great majority would die without CPAP, otherwise they would have been be left on O2. Also assume that there will be no O2 outside hospital.</text>
  </threadedComment>
  <threadedComment ref="S31" dT="2020-11-05T14:29:21.68" personId="{24240851-F436-41A5-90F9-0E1F3214EBE4}" id="{8CC7A8D2-3038-4BC5-ADA9-282ABAC1D278}">
    <text>Table 1 in 
Sivaloganathan, Arjjana A., Myra Nasim-Mohi, Michael M. Brown, Nabil Abdul, Alexander Jackson, Sophie V. Fletcher, Sanjay Gupta, Michael P. W. Grocott, Ahilanandan Dushianthan, Sanjay Gupta, Julian Nixon, Michael P. W. Grocott, Denny ZH. Levett, Michael Stewart, Ahilanadan Dushianthan, David Sparkes, Robert Chambers, Kathleen Nolan, Suzie Tanser, Jonathan Fennell, Michael Celinski, Dominic Richardson, Rebecca Cusack, Benjamin Skinner, Timothy Nicholson-Robert, Mai Wakatsuki, Ben Thomas, Francois Wessels, Mark Jones, Paul Elkington, Tom Wilkinson, Mark Allenby, Thomas Daniels, Paddy Dennison, Anastasios Lekkas, Arjjana Sivaloganathan, David Land, Sophie Fletcher, Wilkinson, Anna Freeman, Hannah Burke, Ahilanadan Dushianthan, Michael Celinski, Saul Faust, Gareth Thomas, and Christopher Kipps. 2020. “Noninvasive Ventilation for COVID-19-Associated Acute Hypoxaemic Respiratory Failure: Experience from a Single Centre.” British Journal of Anaesthesia 125(4):e368–71.</text>
  </threadedComment>
  <threadedComment ref="T31" dT="2020-12-23T17:17:06.32" personId="{24240851-F436-41A5-90F9-0E1F3214EBE4}" id="{65B4EF36-DA65-4E42-B397-4257921126B9}">
    <text>Assume that CPAP can continue on the ward, but with an increase due to a reduction in other supportive care.</text>
  </threadedComment>
  <threadedComment ref="U31" dT="2020-11-05T13:39:46.55" personId="{24240851-F436-41A5-90F9-0E1F3214EBE4}" id="{D43047EE-1655-4039-AC1D-619274A8C5D6}">
    <text>Assumption that in the absence of any hospital bed, then there would be no NIV and no chance of survival.</text>
  </threadedComment>
  <threadedComment ref="S32" dT="2020-11-05T14:27:16.95" personId="{24240851-F436-41A5-90F9-0E1F3214EBE4}" id="{92BF8D1F-9B88-4096-BAFF-5D61AE021F21}">
    <text>ICNARC Report 30/10/20 - mortality in those ventilated within 24hrs after admission is 40% since 1st Sep. Assumption that the mortality rate is similar for those mechanically ventilated after the 1st 24hrs.</text>
  </threadedComment>
  <threadedComment ref="T32" dT="2020-11-05T12:23:45.94" personId="{24240851-F436-41A5-90F9-0E1F3214EBE4}" id="{E5202A2F-2C09-4140-BD43-47E350F613D8}">
    <text>Reasonably safe assumption. IMV/ECMO are dangerous but potentially lifesaving procedures only carried out if considered life-saving in this circumstance.</text>
  </threadedComment>
  <threadedComment ref="U32" dT="2020-11-05T12:24:18.66" personId="{24240851-F436-41A5-90F9-0E1F3214EBE4}" id="{C4FDA109-1B71-48FC-8102-CC46C25001D7}">
    <text>Reasonably safe assumption. IMV/ECMO are dangerous but potentially lifesaving procedures only carried out if considered life-saving in this circumstance.</text>
  </threadedComment>
  <threadedComment ref="Q33" dT="2020-12-04T07:39:12.38" personId="{24240851-F436-41A5-90F9-0E1F3214EBE4}" id="{61945121-D3EB-4E07-A942-169886021E11}">
    <text>The total mortality for ITU is calibrated to 20% to match the data from the Nottingham Universities Trust which includes over 3,000 ITU COVID episodes.</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4.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hyperlink" Target="https://coronavirus.data.gov.uk/details/healthcare?areaType=nation&amp;areaName=Wales" TargetMode="External"/><Relationship Id="rId7" Type="http://schemas.microsoft.com/office/2017/10/relationships/threadedComment" Target="../threadedComments/threadedComment2.xml"/><Relationship Id="rId2" Type="http://schemas.openxmlformats.org/officeDocument/2006/relationships/hyperlink" Target="https://coronavirus.data.gov.uk/details/healthcare?areaType=nation&amp;areaName=England" TargetMode="External"/><Relationship Id="rId1" Type="http://schemas.openxmlformats.org/officeDocument/2006/relationships/hyperlink" Target="https://www.icnarc.org/Our-Audit/Audits/Cmp/Reports" TargetMode="External"/><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13.bin"/><Relationship Id="rId5" Type="http://schemas.microsoft.com/office/2017/10/relationships/threadedComment" Target="../threadedComments/threadedComment3.xml"/><Relationship Id="rId4" Type="http://schemas.openxmlformats.org/officeDocument/2006/relationships/comments" Target="../comments3.xml"/></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hyperlink" Target="https://coronavirus.data.gov.uk/details/healthcare?areaType=nation&amp;areaName=England" TargetMode="External"/><Relationship Id="rId1" Type="http://schemas.openxmlformats.org/officeDocument/2006/relationships/hyperlink" Target="https://www.england.nhs.uk/statistics/statistical-work-areas/covid-19-daily-deaths/" TargetMode="External"/><Relationship Id="rId4" Type="http://schemas.openxmlformats.org/officeDocument/2006/relationships/drawing" Target="../drawings/drawing5.xml"/></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5.bin"/><Relationship Id="rId1" Type="http://schemas.openxmlformats.org/officeDocument/2006/relationships/hyperlink" Target="https://www.icnarc.org/Our-Audit/Audits/Cmp/Reports"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0DDD7-9FC6-494D-B628-9FCCCC9C6183}">
  <sheetPr codeName="Sheet2"/>
  <dimension ref="A1:AA60"/>
  <sheetViews>
    <sheetView showGridLines="0" tabSelected="1" workbookViewId="0"/>
  </sheetViews>
  <sheetFormatPr defaultRowHeight="15" x14ac:dyDescent="0.25"/>
  <cols>
    <col min="3" max="3" width="28.85546875" customWidth="1"/>
    <col min="4" max="4" width="1.5703125" customWidth="1"/>
  </cols>
  <sheetData>
    <row r="1" spans="1:27" ht="21" x14ac:dyDescent="0.35">
      <c r="A1" s="253"/>
      <c r="B1" s="378" t="s">
        <v>0</v>
      </c>
      <c r="C1" s="253"/>
      <c r="D1" s="253"/>
      <c r="E1" s="253"/>
      <c r="F1" s="253"/>
      <c r="G1" s="253"/>
      <c r="H1" s="253"/>
      <c r="I1" s="253"/>
      <c r="J1" s="253"/>
      <c r="K1" s="253"/>
      <c r="L1" s="253"/>
      <c r="M1" s="253"/>
      <c r="N1" s="257" t="s">
        <v>477</v>
      </c>
      <c r="O1" s="253"/>
      <c r="P1" s="253"/>
      <c r="Q1" s="253"/>
      <c r="R1" s="253"/>
      <c r="S1" s="253"/>
      <c r="T1" s="253"/>
      <c r="U1" s="253"/>
      <c r="V1" s="253"/>
      <c r="W1" s="253"/>
      <c r="X1" s="253"/>
      <c r="Y1" s="253"/>
      <c r="Z1" s="253"/>
      <c r="AA1" s="253"/>
    </row>
    <row r="2" spans="1:27" ht="15.75" thickBot="1" x14ac:dyDescent="0.3"/>
    <row r="3" spans="1:27" ht="15" customHeight="1" x14ac:dyDescent="0.25">
      <c r="C3" s="492" t="s">
        <v>1</v>
      </c>
      <c r="D3" s="493"/>
      <c r="E3" s="493"/>
      <c r="F3" s="493"/>
      <c r="G3" s="493"/>
      <c r="H3" s="493"/>
      <c r="I3" s="493"/>
      <c r="J3" s="493"/>
      <c r="K3" s="493"/>
      <c r="L3" s="493"/>
      <c r="M3" s="493"/>
      <c r="N3" s="493"/>
      <c r="O3" s="493"/>
      <c r="P3" s="493"/>
      <c r="Q3" s="493"/>
      <c r="R3" s="494"/>
    </row>
    <row r="4" spans="1:27" x14ac:dyDescent="0.25">
      <c r="C4" s="495"/>
      <c r="D4" s="496"/>
      <c r="E4" s="496"/>
      <c r="F4" s="496"/>
      <c r="G4" s="496"/>
      <c r="H4" s="496"/>
      <c r="I4" s="496"/>
      <c r="J4" s="496"/>
      <c r="K4" s="496"/>
      <c r="L4" s="496"/>
      <c r="M4" s="496"/>
      <c r="N4" s="496"/>
      <c r="O4" s="496"/>
      <c r="P4" s="496"/>
      <c r="Q4" s="496"/>
      <c r="R4" s="497"/>
    </row>
    <row r="5" spans="1:27" x14ac:dyDescent="0.25">
      <c r="C5" s="495"/>
      <c r="D5" s="496"/>
      <c r="E5" s="496"/>
      <c r="F5" s="496"/>
      <c r="G5" s="496"/>
      <c r="H5" s="496"/>
      <c r="I5" s="496"/>
      <c r="J5" s="496"/>
      <c r="K5" s="496"/>
      <c r="L5" s="496"/>
      <c r="M5" s="496"/>
      <c r="N5" s="496"/>
      <c r="O5" s="496"/>
      <c r="P5" s="496"/>
      <c r="Q5" s="496"/>
      <c r="R5" s="497"/>
    </row>
    <row r="6" spans="1:27" x14ac:dyDescent="0.25">
      <c r="C6" s="495"/>
      <c r="D6" s="496"/>
      <c r="E6" s="496"/>
      <c r="F6" s="496"/>
      <c r="G6" s="496"/>
      <c r="H6" s="496"/>
      <c r="I6" s="496"/>
      <c r="J6" s="496"/>
      <c r="K6" s="496"/>
      <c r="L6" s="496"/>
      <c r="M6" s="496"/>
      <c r="N6" s="496"/>
      <c r="O6" s="496"/>
      <c r="P6" s="496"/>
      <c r="Q6" s="496"/>
      <c r="R6" s="497"/>
    </row>
    <row r="7" spans="1:27" x14ac:dyDescent="0.25">
      <c r="C7" s="495"/>
      <c r="D7" s="496"/>
      <c r="E7" s="496"/>
      <c r="F7" s="496"/>
      <c r="G7" s="496"/>
      <c r="H7" s="496"/>
      <c r="I7" s="496"/>
      <c r="J7" s="496"/>
      <c r="K7" s="496"/>
      <c r="L7" s="496"/>
      <c r="M7" s="496"/>
      <c r="N7" s="496"/>
      <c r="O7" s="496"/>
      <c r="P7" s="496"/>
      <c r="Q7" s="496"/>
      <c r="R7" s="497"/>
    </row>
    <row r="8" spans="1:27" ht="15.75" thickBot="1" x14ac:dyDescent="0.3">
      <c r="C8" s="498"/>
      <c r="D8" s="499"/>
      <c r="E8" s="499"/>
      <c r="F8" s="499"/>
      <c r="G8" s="499"/>
      <c r="H8" s="499"/>
      <c r="I8" s="499"/>
      <c r="J8" s="499"/>
      <c r="K8" s="499"/>
      <c r="L8" s="499"/>
      <c r="M8" s="499"/>
      <c r="N8" s="499"/>
      <c r="O8" s="499"/>
      <c r="P8" s="499"/>
      <c r="Q8" s="499"/>
      <c r="R8" s="500"/>
    </row>
    <row r="10" spans="1:27" ht="15.75" x14ac:dyDescent="0.25">
      <c r="C10" s="440" t="s">
        <v>2</v>
      </c>
      <c r="D10" s="440"/>
      <c r="E10" s="257" t="s">
        <v>3</v>
      </c>
      <c r="F10" s="438"/>
      <c r="G10" s="438"/>
      <c r="H10" s="438"/>
      <c r="I10" s="438"/>
      <c r="J10" s="438"/>
      <c r="K10" s="438"/>
      <c r="L10" s="438"/>
      <c r="M10" s="438"/>
      <c r="N10" s="438"/>
      <c r="O10" s="438"/>
      <c r="P10" s="438"/>
      <c r="Q10" s="438"/>
      <c r="R10" s="438"/>
    </row>
    <row r="11" spans="1:27" ht="15.75" x14ac:dyDescent="0.25">
      <c r="C11" s="280" t="s">
        <v>4</v>
      </c>
      <c r="D11" s="446"/>
      <c r="E11" s="447" t="s">
        <v>480</v>
      </c>
      <c r="F11" s="447"/>
      <c r="G11" s="447"/>
      <c r="H11" s="447"/>
      <c r="I11" s="447"/>
      <c r="J11" s="447"/>
      <c r="K11" s="447"/>
      <c r="L11" s="447"/>
      <c r="M11" s="447"/>
      <c r="N11" s="447"/>
      <c r="O11" s="447"/>
      <c r="P11" s="447"/>
      <c r="Q11" s="447"/>
      <c r="R11" s="447"/>
    </row>
    <row r="12" spans="1:27" ht="15.75" x14ac:dyDescent="0.25">
      <c r="C12" s="280" t="s">
        <v>5</v>
      </c>
      <c r="D12" s="446"/>
      <c r="E12" s="447" t="s">
        <v>6</v>
      </c>
      <c r="F12" s="447"/>
      <c r="G12" s="447"/>
      <c r="H12" s="447"/>
      <c r="I12" s="447"/>
      <c r="J12" s="447"/>
      <c r="K12" s="447"/>
      <c r="L12" s="447"/>
      <c r="M12" s="447"/>
      <c r="N12" s="447"/>
      <c r="O12" s="447"/>
      <c r="P12" s="447"/>
      <c r="Q12" s="447"/>
      <c r="R12" s="447"/>
    </row>
    <row r="13" spans="1:27" x14ac:dyDescent="0.25">
      <c r="C13" s="16" t="s">
        <v>7</v>
      </c>
      <c r="D13" s="16"/>
      <c r="E13" t="s">
        <v>8</v>
      </c>
    </row>
    <row r="14" spans="1:27" x14ac:dyDescent="0.25">
      <c r="C14" s="16" t="s">
        <v>9</v>
      </c>
      <c r="D14" s="16"/>
      <c r="E14" t="s">
        <v>10</v>
      </c>
    </row>
    <row r="15" spans="1:27" x14ac:dyDescent="0.25">
      <c r="C15" s="16" t="s">
        <v>11</v>
      </c>
      <c r="D15" s="16"/>
      <c r="E15" t="s">
        <v>12</v>
      </c>
    </row>
    <row r="16" spans="1:27" x14ac:dyDescent="0.25">
      <c r="C16" s="16" t="s">
        <v>13</v>
      </c>
      <c r="D16" s="16"/>
      <c r="E16" t="s">
        <v>14</v>
      </c>
    </row>
    <row r="17" spans="3:18" x14ac:dyDescent="0.25">
      <c r="C17" s="16" t="s">
        <v>15</v>
      </c>
      <c r="D17" s="16"/>
      <c r="E17" t="s">
        <v>16</v>
      </c>
    </row>
    <row r="18" spans="3:18" x14ac:dyDescent="0.25">
      <c r="C18" s="16" t="s">
        <v>17</v>
      </c>
      <c r="D18" s="16"/>
      <c r="E18" t="s">
        <v>478</v>
      </c>
    </row>
    <row r="19" spans="3:18" x14ac:dyDescent="0.25">
      <c r="C19" s="16" t="s">
        <v>18</v>
      </c>
      <c r="D19" s="16"/>
      <c r="E19" t="s">
        <v>479</v>
      </c>
    </row>
    <row r="20" spans="3:18" x14ac:dyDescent="0.25">
      <c r="C20" s="16" t="s">
        <v>19</v>
      </c>
      <c r="D20" s="16"/>
      <c r="E20" t="s">
        <v>485</v>
      </c>
    </row>
    <row r="21" spans="3:18" x14ac:dyDescent="0.25">
      <c r="C21" s="16" t="s">
        <v>20</v>
      </c>
      <c r="D21" s="16"/>
      <c r="E21" t="s">
        <v>21</v>
      </c>
    </row>
    <row r="22" spans="3:18" x14ac:dyDescent="0.25">
      <c r="C22" s="16" t="s">
        <v>22</v>
      </c>
      <c r="D22" s="16"/>
      <c r="E22" t="s">
        <v>23</v>
      </c>
    </row>
    <row r="23" spans="3:18" x14ac:dyDescent="0.25">
      <c r="C23" s="16" t="s">
        <v>24</v>
      </c>
      <c r="D23" s="16"/>
      <c r="E23" t="s">
        <v>25</v>
      </c>
    </row>
    <row r="24" spans="3:18" x14ac:dyDescent="0.25">
      <c r="C24" s="16" t="s">
        <v>26</v>
      </c>
      <c r="D24" s="16"/>
      <c r="E24" t="s">
        <v>27</v>
      </c>
    </row>
    <row r="25" spans="3:18" x14ac:dyDescent="0.25">
      <c r="C25" s="16" t="s">
        <v>28</v>
      </c>
      <c r="D25" s="16"/>
      <c r="E25" t="s">
        <v>29</v>
      </c>
    </row>
    <row r="26" spans="3:18" x14ac:dyDescent="0.25">
      <c r="C26" s="14"/>
      <c r="D26" s="14"/>
    </row>
    <row r="27" spans="3:18" x14ac:dyDescent="0.25">
      <c r="C27" s="14"/>
      <c r="D27" s="14"/>
    </row>
    <row r="28" spans="3:18" x14ac:dyDescent="0.25">
      <c r="C28" s="371" t="s">
        <v>30</v>
      </c>
      <c r="E28" s="257" t="s">
        <v>31</v>
      </c>
      <c r="F28" s="253"/>
      <c r="G28" s="253"/>
      <c r="H28" s="253"/>
      <c r="I28" s="253"/>
      <c r="J28" s="253"/>
      <c r="K28" s="253"/>
      <c r="L28" s="253"/>
      <c r="M28" s="253"/>
      <c r="N28" s="253"/>
      <c r="O28" s="253"/>
      <c r="P28" s="253"/>
      <c r="Q28" s="253"/>
      <c r="R28" s="253"/>
    </row>
    <row r="29" spans="3:18" x14ac:dyDescent="0.25">
      <c r="C29" s="441" t="s">
        <v>32</v>
      </c>
      <c r="E29" t="s">
        <v>33</v>
      </c>
    </row>
    <row r="30" spans="3:18" x14ac:dyDescent="0.25">
      <c r="C30" s="441" t="s">
        <v>34</v>
      </c>
      <c r="E30" t="s">
        <v>35</v>
      </c>
    </row>
    <row r="31" spans="3:18" x14ac:dyDescent="0.25">
      <c r="C31" s="441" t="s">
        <v>36</v>
      </c>
      <c r="E31" t="s">
        <v>37</v>
      </c>
    </row>
    <row r="32" spans="3:18" x14ac:dyDescent="0.25">
      <c r="C32" s="441" t="s">
        <v>38</v>
      </c>
      <c r="E32" t="s">
        <v>39</v>
      </c>
    </row>
    <row r="33" spans="3:18" x14ac:dyDescent="0.25">
      <c r="C33" s="183" t="s">
        <v>40</v>
      </c>
      <c r="E33" t="s">
        <v>41</v>
      </c>
    </row>
    <row r="34" spans="3:18" x14ac:dyDescent="0.25">
      <c r="C34" s="442"/>
    </row>
    <row r="35" spans="3:18" x14ac:dyDescent="0.25">
      <c r="C35" s="443"/>
      <c r="D35" s="184"/>
      <c r="E35" s="184"/>
      <c r="F35" s="184"/>
      <c r="G35" s="184"/>
      <c r="H35" s="184"/>
      <c r="I35" s="184"/>
      <c r="J35" s="184"/>
      <c r="K35" s="184"/>
      <c r="L35" s="184"/>
      <c r="M35" s="184"/>
      <c r="N35" s="184"/>
      <c r="O35" s="184"/>
      <c r="P35" s="184"/>
      <c r="Q35" s="184"/>
      <c r="R35" s="184"/>
    </row>
    <row r="36" spans="3:18" x14ac:dyDescent="0.25">
      <c r="C36" s="371" t="s">
        <v>42</v>
      </c>
      <c r="D36" s="253"/>
      <c r="E36" s="253"/>
      <c r="F36" s="253"/>
      <c r="G36" s="253"/>
      <c r="H36" s="253"/>
      <c r="I36" s="253"/>
      <c r="J36" s="253"/>
      <c r="K36" s="253"/>
      <c r="L36" s="253"/>
      <c r="M36" s="253"/>
      <c r="N36" s="253"/>
      <c r="O36" s="253"/>
      <c r="P36" s="253"/>
      <c r="Q36" s="253"/>
      <c r="R36" s="253"/>
    </row>
    <row r="37" spans="3:18" x14ac:dyDescent="0.25">
      <c r="C37" t="s">
        <v>43</v>
      </c>
    </row>
    <row r="38" spans="3:18" x14ac:dyDescent="0.25">
      <c r="C38" s="444" t="s">
        <v>44</v>
      </c>
    </row>
    <row r="39" spans="3:18" x14ac:dyDescent="0.25">
      <c r="C39" s="445" t="s">
        <v>45</v>
      </c>
    </row>
    <row r="40" spans="3:18" x14ac:dyDescent="0.25">
      <c r="C40" s="445" t="s">
        <v>46</v>
      </c>
    </row>
    <row r="41" spans="3:18" x14ac:dyDescent="0.25">
      <c r="C41" s="445" t="s">
        <v>47</v>
      </c>
    </row>
    <row r="42" spans="3:18" x14ac:dyDescent="0.25">
      <c r="C42" s="445" t="s">
        <v>48</v>
      </c>
    </row>
    <row r="43" spans="3:18" x14ac:dyDescent="0.25">
      <c r="C43" s="445"/>
    </row>
    <row r="44" spans="3:18" x14ac:dyDescent="0.25">
      <c r="C44" s="444" t="s">
        <v>49</v>
      </c>
    </row>
    <row r="45" spans="3:18" x14ac:dyDescent="0.25">
      <c r="C45" s="445" t="s">
        <v>50</v>
      </c>
    </row>
    <row r="46" spans="3:18" x14ac:dyDescent="0.25">
      <c r="C46" s="445" t="s">
        <v>51</v>
      </c>
    </row>
    <row r="47" spans="3:18" x14ac:dyDescent="0.25">
      <c r="C47" s="445" t="s">
        <v>52</v>
      </c>
    </row>
    <row r="48" spans="3:18" x14ac:dyDescent="0.25">
      <c r="C48" s="445" t="s">
        <v>53</v>
      </c>
    </row>
    <row r="49" spans="3:3" x14ac:dyDescent="0.25">
      <c r="C49" s="445" t="s">
        <v>54</v>
      </c>
    </row>
    <row r="50" spans="3:3" x14ac:dyDescent="0.25">
      <c r="C50" s="445" t="s">
        <v>55</v>
      </c>
    </row>
    <row r="51" spans="3:3" x14ac:dyDescent="0.25">
      <c r="C51" s="445" t="s">
        <v>56</v>
      </c>
    </row>
    <row r="52" spans="3:3" x14ac:dyDescent="0.25">
      <c r="C52" s="445" t="s">
        <v>57</v>
      </c>
    </row>
    <row r="53" spans="3:3" x14ac:dyDescent="0.25">
      <c r="C53" s="445" t="s">
        <v>58</v>
      </c>
    </row>
    <row r="54" spans="3:3" x14ac:dyDescent="0.25">
      <c r="C54" s="445" t="s">
        <v>59</v>
      </c>
    </row>
    <row r="55" spans="3:3" x14ac:dyDescent="0.25">
      <c r="C55" s="445" t="s">
        <v>60</v>
      </c>
    </row>
    <row r="56" spans="3:3" x14ac:dyDescent="0.25">
      <c r="C56" s="445"/>
    </row>
    <row r="57" spans="3:3" x14ac:dyDescent="0.25">
      <c r="C57" s="444" t="s">
        <v>61</v>
      </c>
    </row>
    <row r="58" spans="3:3" x14ac:dyDescent="0.25">
      <c r="C58" s="445" t="s">
        <v>62</v>
      </c>
    </row>
    <row r="59" spans="3:3" x14ac:dyDescent="0.25">
      <c r="C59" s="445" t="s">
        <v>63</v>
      </c>
    </row>
    <row r="60" spans="3:3" x14ac:dyDescent="0.25">
      <c r="C60" s="445" t="s">
        <v>64</v>
      </c>
    </row>
  </sheetData>
  <mergeCells count="1">
    <mergeCell ref="C3:R8"/>
  </mergeCells>
  <pageMargins left="0.7" right="0.7" top="0.75" bottom="0.75" header="0.3" footer="0.3"/>
  <pageSetup paperSize="9" orientation="portrait" horizontalDpi="4294967293" r:id="rId1"/>
  <headerFooter>
    <oddHeader>&amp;L&amp;"Calibri"&amp;12&amp;K008000Classification: Public&amp;1#</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505FB-51E3-4E1D-849F-43DE6BDC46C8}">
  <sheetPr codeName="Sheet15"/>
  <dimension ref="A1:S22"/>
  <sheetViews>
    <sheetView showGridLines="0" topLeftCell="A4" workbookViewId="0">
      <selection activeCell="M18" sqref="M18"/>
    </sheetView>
  </sheetViews>
  <sheetFormatPr defaultRowHeight="15" x14ac:dyDescent="0.25"/>
  <sheetData>
    <row r="1" spans="1:19" ht="26.25" x14ac:dyDescent="0.4">
      <c r="A1" s="448"/>
      <c r="B1" s="448" t="s">
        <v>65</v>
      </c>
      <c r="C1" s="253"/>
      <c r="D1" s="253"/>
      <c r="E1" s="253"/>
      <c r="F1" s="253"/>
      <c r="G1" s="253"/>
      <c r="H1" s="253"/>
      <c r="I1" s="253"/>
      <c r="J1" s="253"/>
      <c r="K1" s="253"/>
      <c r="L1" s="253"/>
      <c r="M1" s="253"/>
      <c r="N1" s="253"/>
      <c r="O1" s="253"/>
      <c r="P1" s="253"/>
      <c r="Q1" s="253"/>
      <c r="R1" s="253"/>
      <c r="S1" s="253"/>
    </row>
    <row r="4" spans="1:19" ht="37.5" customHeight="1" x14ac:dyDescent="0.3">
      <c r="B4" s="501" t="s">
        <v>66</v>
      </c>
      <c r="C4" s="501"/>
      <c r="D4" s="501"/>
      <c r="E4" s="501"/>
      <c r="F4" s="501"/>
      <c r="G4" s="501"/>
      <c r="H4" s="462"/>
      <c r="I4" s="462"/>
      <c r="J4" s="462"/>
      <c r="K4" s="462"/>
      <c r="L4" s="253"/>
      <c r="M4" s="253"/>
      <c r="N4" s="253"/>
      <c r="O4" s="253"/>
      <c r="P4" s="253"/>
      <c r="Q4" s="253"/>
      <c r="R4" s="253"/>
      <c r="S4" s="253"/>
    </row>
    <row r="5" spans="1:19" ht="30" customHeight="1" x14ac:dyDescent="0.25">
      <c r="B5" s="502" t="s">
        <v>67</v>
      </c>
      <c r="C5" s="502"/>
      <c r="D5" s="502"/>
      <c r="E5" s="502"/>
      <c r="F5" s="502"/>
      <c r="G5" s="502"/>
      <c r="H5" s="502"/>
      <c r="I5" s="502"/>
      <c r="J5" s="502"/>
      <c r="K5" s="34"/>
    </row>
    <row r="6" spans="1:19" ht="31.5" customHeight="1" x14ac:dyDescent="0.25">
      <c r="B6" s="503" t="s">
        <v>68</v>
      </c>
      <c r="C6" s="503"/>
      <c r="D6" s="503"/>
      <c r="E6" s="503"/>
      <c r="F6" s="503"/>
      <c r="G6" s="503"/>
      <c r="H6" s="503"/>
      <c r="I6" s="503"/>
      <c r="J6" s="503"/>
      <c r="K6" s="34"/>
    </row>
    <row r="7" spans="1:19" ht="30" customHeight="1" x14ac:dyDescent="0.25">
      <c r="B7" s="503" t="s">
        <v>69</v>
      </c>
      <c r="C7" s="503"/>
      <c r="D7" s="503"/>
      <c r="E7" s="503"/>
      <c r="F7" s="503"/>
      <c r="G7" s="503"/>
      <c r="H7" s="503"/>
      <c r="I7" s="503"/>
      <c r="J7" s="503"/>
      <c r="K7" s="34"/>
    </row>
    <row r="8" spans="1:19" ht="29.25" customHeight="1" x14ac:dyDescent="0.25">
      <c r="B8" s="503" t="s">
        <v>70</v>
      </c>
      <c r="C8" s="503"/>
      <c r="D8" s="503"/>
      <c r="E8" s="503"/>
      <c r="F8" s="503"/>
      <c r="G8" s="503"/>
      <c r="H8" s="503"/>
      <c r="I8" s="503"/>
      <c r="J8" s="503"/>
      <c r="K8" s="34"/>
    </row>
    <row r="9" spans="1:19" x14ac:dyDescent="0.25">
      <c r="B9" s="503" t="s">
        <v>71</v>
      </c>
      <c r="C9" s="503"/>
      <c r="D9" s="503"/>
      <c r="E9" s="503"/>
      <c r="F9" s="503"/>
      <c r="G9" s="503"/>
      <c r="H9" s="503"/>
      <c r="I9" s="503"/>
      <c r="J9" s="503"/>
      <c r="K9" s="34"/>
    </row>
    <row r="10" spans="1:19" ht="31.5" customHeight="1" x14ac:dyDescent="0.25">
      <c r="B10" s="503" t="s">
        <v>72</v>
      </c>
      <c r="C10" s="503"/>
      <c r="D10" s="503"/>
      <c r="E10" s="503"/>
      <c r="F10" s="503"/>
      <c r="G10" s="503"/>
      <c r="H10" s="503"/>
      <c r="I10" s="503"/>
      <c r="J10" s="503"/>
      <c r="K10" s="34"/>
    </row>
    <row r="11" spans="1:19" x14ac:dyDescent="0.25">
      <c r="B11" s="503" t="s">
        <v>73</v>
      </c>
      <c r="C11" s="503"/>
      <c r="D11" s="503"/>
      <c r="E11" s="503"/>
      <c r="F11" s="503"/>
      <c r="G11" s="503"/>
      <c r="H11" s="503"/>
      <c r="I11" s="503"/>
      <c r="J11" s="503"/>
      <c r="K11" s="34"/>
    </row>
    <row r="12" spans="1:19" x14ac:dyDescent="0.25">
      <c r="B12" s="478" t="s">
        <v>486</v>
      </c>
    </row>
    <row r="17" spans="2:19" ht="18.75" x14ac:dyDescent="0.3">
      <c r="B17" s="252" t="s">
        <v>74</v>
      </c>
      <c r="C17" s="253"/>
      <c r="D17" s="253"/>
      <c r="E17" s="253"/>
      <c r="F17" s="253"/>
      <c r="G17" s="253"/>
      <c r="H17" s="253"/>
      <c r="I17" s="253"/>
      <c r="J17" s="253"/>
      <c r="K17" s="253"/>
      <c r="L17" s="253"/>
      <c r="M17" s="253"/>
      <c r="N17" s="253"/>
      <c r="O17" s="253"/>
      <c r="P17" s="253"/>
      <c r="Q17" s="253"/>
      <c r="R17" s="253"/>
      <c r="S17" s="253"/>
    </row>
    <row r="18" spans="2:19" ht="30" customHeight="1" x14ac:dyDescent="0.25">
      <c r="B18" s="502" t="s">
        <v>75</v>
      </c>
      <c r="C18" s="502"/>
      <c r="D18" s="502"/>
      <c r="E18" s="502"/>
      <c r="F18" s="502"/>
      <c r="G18" s="502"/>
      <c r="H18" s="502"/>
      <c r="I18" s="502"/>
      <c r="J18" s="502"/>
    </row>
    <row r="19" spans="2:19" ht="47.25" customHeight="1" x14ac:dyDescent="0.25">
      <c r="B19" s="503" t="s">
        <v>76</v>
      </c>
      <c r="C19" s="503"/>
      <c r="D19" s="503"/>
      <c r="E19" s="503"/>
      <c r="F19" s="503"/>
      <c r="G19" s="503"/>
      <c r="H19" s="503"/>
      <c r="I19" s="503"/>
      <c r="J19" s="503"/>
    </row>
    <row r="20" spans="2:19" ht="45" customHeight="1" x14ac:dyDescent="0.25">
      <c r="B20" s="503" t="s">
        <v>77</v>
      </c>
      <c r="C20" s="503"/>
      <c r="D20" s="503"/>
      <c r="E20" s="503"/>
      <c r="F20" s="503"/>
      <c r="G20" s="503"/>
      <c r="H20" s="503"/>
      <c r="I20" s="503"/>
      <c r="J20" s="503"/>
    </row>
    <row r="21" spans="2:19" ht="33.75" customHeight="1" x14ac:dyDescent="0.25">
      <c r="B21" s="503" t="s">
        <v>78</v>
      </c>
      <c r="C21" s="503"/>
      <c r="D21" s="503"/>
      <c r="E21" s="503"/>
      <c r="F21" s="503"/>
      <c r="G21" s="503"/>
      <c r="H21" s="503"/>
      <c r="I21" s="503"/>
      <c r="J21" s="503"/>
    </row>
    <row r="22" spans="2:19" ht="51.75" customHeight="1" x14ac:dyDescent="0.25">
      <c r="B22" s="504" t="s">
        <v>79</v>
      </c>
      <c r="C22" s="504"/>
      <c r="D22" s="504"/>
      <c r="E22" s="504"/>
      <c r="F22" s="504"/>
      <c r="G22" s="504"/>
      <c r="H22" s="504"/>
      <c r="I22" s="504"/>
      <c r="J22" s="504"/>
    </row>
  </sheetData>
  <mergeCells count="13">
    <mergeCell ref="B4:G4"/>
    <mergeCell ref="B18:J18"/>
    <mergeCell ref="B19:J19"/>
    <mergeCell ref="B20:J20"/>
    <mergeCell ref="B22:J22"/>
    <mergeCell ref="B21:J21"/>
    <mergeCell ref="B5:J5"/>
    <mergeCell ref="B6:J6"/>
    <mergeCell ref="B7:J7"/>
    <mergeCell ref="B8:J8"/>
    <mergeCell ref="B9:J9"/>
    <mergeCell ref="B10:J10"/>
    <mergeCell ref="B11:J11"/>
  </mergeCells>
  <pageMargins left="0.7" right="0.7" top="0.75" bottom="0.75" header="0.3" footer="0.3"/>
  <pageSetup paperSize="9" orientation="portrait" horizontalDpi="4294967293" r:id="rId1"/>
  <headerFooter>
    <oddHeader>&amp;L&amp;"Calibri"&amp;12&amp;K008000Classification: Public&amp;1#</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FB43D-981A-4D03-9270-C8F439D6EE6F}">
  <sheetPr codeName="Sheet1"/>
  <dimension ref="A1:O62"/>
  <sheetViews>
    <sheetView showGridLines="0" topLeftCell="A14" zoomScale="85" zoomScaleNormal="85" workbookViewId="0">
      <selection activeCell="H31" sqref="H31"/>
    </sheetView>
  </sheetViews>
  <sheetFormatPr defaultRowHeight="15" x14ac:dyDescent="0.25"/>
  <cols>
    <col min="2" max="2" width="11" customWidth="1"/>
    <col min="3" max="3" width="5" customWidth="1"/>
    <col min="4" max="4" width="17.5703125" customWidth="1"/>
    <col min="5" max="5" width="39.140625" customWidth="1"/>
    <col min="6" max="6" width="18.85546875" bestFit="1" customWidth="1"/>
    <col min="7" max="7" width="63.85546875" customWidth="1"/>
    <col min="8" max="8" width="15.42578125" customWidth="1"/>
    <col min="9" max="9" width="21.140625" customWidth="1"/>
    <col min="10" max="10" width="7.85546875" customWidth="1"/>
    <col min="11" max="11" width="6.7109375" customWidth="1"/>
    <col min="13" max="13" width="17.85546875" customWidth="1"/>
    <col min="14" max="14" width="11.140625" customWidth="1"/>
  </cols>
  <sheetData>
    <row r="1" spans="1:15" s="206" customFormat="1" ht="26.25" x14ac:dyDescent="0.4">
      <c r="A1" s="251"/>
      <c r="B1" s="448" t="s">
        <v>80</v>
      </c>
      <c r="C1" s="251"/>
      <c r="D1" s="251"/>
      <c r="E1" s="251"/>
      <c r="F1" s="251"/>
      <c r="G1" s="251"/>
      <c r="H1" s="251"/>
      <c r="I1" s="251"/>
      <c r="J1" s="251"/>
      <c r="K1" s="251"/>
      <c r="L1" s="251"/>
      <c r="M1" s="251"/>
    </row>
    <row r="4" spans="1:15" ht="15.75" thickBot="1" x14ac:dyDescent="0.3">
      <c r="D4" t="s">
        <v>81</v>
      </c>
    </row>
    <row r="5" spans="1:15" ht="15.75" thickBot="1" x14ac:dyDescent="0.3">
      <c r="D5" s="329" t="s">
        <v>82</v>
      </c>
      <c r="E5" s="365" t="s">
        <v>83</v>
      </c>
      <c r="F5" s="363" t="s">
        <v>84</v>
      </c>
      <c r="G5" s="364" t="s">
        <v>85</v>
      </c>
      <c r="I5" s="429"/>
      <c r="J5" s="429"/>
      <c r="K5" s="429"/>
      <c r="L5" s="429"/>
      <c r="M5" s="429"/>
    </row>
    <row r="6" spans="1:15" ht="45" x14ac:dyDescent="0.25">
      <c r="D6" s="369">
        <v>2</v>
      </c>
      <c r="E6" s="366" t="s">
        <v>86</v>
      </c>
      <c r="F6" s="359" t="s">
        <v>87</v>
      </c>
      <c r="G6" s="259" t="s">
        <v>88</v>
      </c>
      <c r="I6" s="331"/>
      <c r="J6" s="272"/>
      <c r="K6" s="429"/>
      <c r="L6" s="429"/>
      <c r="M6" s="429"/>
    </row>
    <row r="7" spans="1:15" x14ac:dyDescent="0.25">
      <c r="D7" s="369">
        <v>120828</v>
      </c>
      <c r="E7" s="366" t="s">
        <v>89</v>
      </c>
      <c r="F7" s="360">
        <v>3</v>
      </c>
      <c r="G7" s="259" t="s">
        <v>90</v>
      </c>
      <c r="I7" s="331"/>
      <c r="J7" s="430"/>
      <c r="K7" s="429"/>
      <c r="L7" s="429"/>
      <c r="M7" s="429"/>
    </row>
    <row r="8" spans="1:15" ht="30" x14ac:dyDescent="0.25">
      <c r="D8" s="419">
        <v>817</v>
      </c>
      <c r="E8" s="366" t="s">
        <v>91</v>
      </c>
      <c r="F8" s="260">
        <v>2</v>
      </c>
      <c r="G8" s="259" t="s">
        <v>92</v>
      </c>
      <c r="I8" s="331"/>
      <c r="J8" s="430"/>
      <c r="K8" s="429"/>
      <c r="L8" s="429"/>
      <c r="M8" s="431"/>
    </row>
    <row r="9" spans="1:15" ht="30" x14ac:dyDescent="0.25">
      <c r="D9" s="419">
        <v>9769</v>
      </c>
      <c r="E9" s="366" t="s">
        <v>93</v>
      </c>
      <c r="F9" s="260">
        <v>2</v>
      </c>
      <c r="G9" s="259" t="s">
        <v>92</v>
      </c>
      <c r="I9" s="432"/>
      <c r="J9" s="433"/>
      <c r="K9" s="434"/>
      <c r="L9" s="429"/>
      <c r="M9" s="431"/>
    </row>
    <row r="10" spans="1:15" ht="30" x14ac:dyDescent="0.25">
      <c r="D10" s="426">
        <f>D8*D6</f>
        <v>1634</v>
      </c>
      <c r="E10" s="366" t="s">
        <v>94</v>
      </c>
      <c r="F10" s="260" t="s">
        <v>95</v>
      </c>
      <c r="G10" s="259" t="s">
        <v>96</v>
      </c>
      <c r="I10" s="429"/>
      <c r="J10" s="429"/>
      <c r="K10" s="429"/>
      <c r="L10" s="429"/>
      <c r="M10" s="429"/>
    </row>
    <row r="11" spans="1:15" ht="30" x14ac:dyDescent="0.25">
      <c r="D11" s="419">
        <v>62267</v>
      </c>
      <c r="E11" s="366" t="s">
        <v>97</v>
      </c>
      <c r="F11" s="260">
        <v>2</v>
      </c>
      <c r="G11" s="259" t="s">
        <v>98</v>
      </c>
      <c r="H11" s="184"/>
      <c r="I11" s="435"/>
      <c r="J11" s="436"/>
      <c r="K11" s="437"/>
      <c r="L11" s="429"/>
      <c r="M11" s="429"/>
    </row>
    <row r="12" spans="1:15" ht="45" x14ac:dyDescent="0.25">
      <c r="D12" s="427">
        <f>2627-D8</f>
        <v>1810</v>
      </c>
      <c r="E12" s="366" t="s">
        <v>99</v>
      </c>
      <c r="F12" s="260">
        <v>2</v>
      </c>
      <c r="G12" s="361" t="s">
        <v>100</v>
      </c>
      <c r="H12" s="249"/>
      <c r="I12" s="428"/>
      <c r="J12" s="429"/>
      <c r="K12" s="429"/>
      <c r="L12" s="429"/>
      <c r="M12" s="429"/>
      <c r="N12" s="429"/>
      <c r="O12" s="429"/>
    </row>
    <row r="13" spans="1:15" ht="30" x14ac:dyDescent="0.25">
      <c r="C13" s="263"/>
      <c r="D13" s="427">
        <f>D11-D9</f>
        <v>52498</v>
      </c>
      <c r="E13" s="366" t="s">
        <v>101</v>
      </c>
      <c r="F13" s="260">
        <v>2</v>
      </c>
      <c r="G13" s="361"/>
      <c r="H13" s="249"/>
      <c r="I13" s="331"/>
      <c r="J13" s="429"/>
      <c r="K13" s="429"/>
      <c r="L13" s="430"/>
      <c r="M13" s="429"/>
      <c r="N13" s="429"/>
      <c r="O13" s="429"/>
    </row>
    <row r="14" spans="1:15" x14ac:dyDescent="0.25">
      <c r="B14" s="263"/>
      <c r="D14" s="368" t="s">
        <v>102</v>
      </c>
      <c r="E14" s="366" t="s">
        <v>103</v>
      </c>
      <c r="F14" s="260" t="s">
        <v>104</v>
      </c>
      <c r="G14" s="259"/>
      <c r="H14" s="249"/>
      <c r="I14" s="429"/>
      <c r="J14" s="429"/>
      <c r="K14" s="429"/>
      <c r="L14" s="429"/>
      <c r="M14" s="429"/>
      <c r="N14" s="429"/>
      <c r="O14" s="429"/>
    </row>
    <row r="15" spans="1:15" ht="45" x14ac:dyDescent="0.25">
      <c r="D15" s="368" t="s">
        <v>102</v>
      </c>
      <c r="E15" s="366" t="s">
        <v>105</v>
      </c>
      <c r="F15" s="260" t="s">
        <v>104</v>
      </c>
      <c r="G15" s="259" t="s">
        <v>106</v>
      </c>
    </row>
    <row r="16" spans="1:15" ht="30" x14ac:dyDescent="0.25">
      <c r="D16" s="369">
        <v>7</v>
      </c>
      <c r="E16" s="366" t="s">
        <v>107</v>
      </c>
      <c r="F16" s="260">
        <v>13</v>
      </c>
      <c r="G16" s="259" t="s">
        <v>108</v>
      </c>
    </row>
    <row r="17" spans="2:9" ht="30.75" thickBot="1" x14ac:dyDescent="0.3">
      <c r="D17" s="420">
        <v>5</v>
      </c>
      <c r="E17" s="366" t="s">
        <v>109</v>
      </c>
      <c r="F17" s="260">
        <v>13</v>
      </c>
      <c r="G17" s="259" t="s">
        <v>108</v>
      </c>
    </row>
    <row r="18" spans="2:9" ht="45" customHeight="1" x14ac:dyDescent="0.25">
      <c r="B18" s="505" t="s">
        <v>110</v>
      </c>
      <c r="C18" s="424">
        <f>Sens_CC_Cap</f>
        <v>0</v>
      </c>
      <c r="D18" s="422">
        <f>(IF(D14="Y",D10,D8)+IF(D15="Y",D12,0)*7/D16)+'Sensitivity Analysis'!N9*(IF(D14="Y",D10,D8)+IF(D15="Y",D12,0)*7/D16)</f>
        <v>3444</v>
      </c>
      <c r="E18" s="366" t="s">
        <v>111</v>
      </c>
      <c r="F18" s="260" t="s">
        <v>104</v>
      </c>
      <c r="G18" s="259" t="s">
        <v>112</v>
      </c>
    </row>
    <row r="19" spans="2:9" ht="30.75" thickBot="1" x14ac:dyDescent="0.3">
      <c r="B19" s="506"/>
      <c r="C19" s="425">
        <f>Sens_Ward_Cap</f>
        <v>0</v>
      </c>
      <c r="D19" s="423">
        <f>(IF(D15="Y",D11,D9)*7/D17)+'Sensitivity Analysis'!N10*(IF(D15="Y",D11,D9)*7/D17)</f>
        <v>87173.8</v>
      </c>
      <c r="E19" s="366" t="s">
        <v>113</v>
      </c>
      <c r="F19" s="260" t="s">
        <v>104</v>
      </c>
      <c r="G19" s="259" t="s">
        <v>114</v>
      </c>
    </row>
    <row r="20" spans="2:9" ht="30" customHeight="1" x14ac:dyDescent="0.25">
      <c r="D20" s="421">
        <f>H31</f>
        <v>9.0229097176215589</v>
      </c>
      <c r="E20" s="366" t="s">
        <v>115</v>
      </c>
      <c r="F20" s="260">
        <v>8</v>
      </c>
      <c r="G20" s="361" t="s">
        <v>116</v>
      </c>
    </row>
    <row r="21" spans="2:9" ht="30" x14ac:dyDescent="0.25">
      <c r="D21" s="370">
        <f>H30</f>
        <v>1.9857754005700945</v>
      </c>
      <c r="E21" s="366" t="s">
        <v>117</v>
      </c>
      <c r="F21" s="260"/>
      <c r="G21" s="361"/>
    </row>
    <row r="22" spans="2:9" ht="30.75" thickBot="1" x14ac:dyDescent="0.3">
      <c r="D22" s="439">
        <f>H28</f>
        <v>3.6930496086718163</v>
      </c>
      <c r="E22" s="367" t="s">
        <v>118</v>
      </c>
      <c r="F22" s="261"/>
      <c r="G22" s="362"/>
    </row>
    <row r="24" spans="2:9" ht="18.75" x14ac:dyDescent="0.3">
      <c r="D24" s="258" t="s">
        <v>481</v>
      </c>
    </row>
    <row r="25" spans="2:9" ht="15.75" thickBot="1" x14ac:dyDescent="0.3">
      <c r="D25" t="s">
        <v>484</v>
      </c>
    </row>
    <row r="26" spans="2:9" ht="15.75" thickBot="1" x14ac:dyDescent="0.3">
      <c r="D26" s="385" t="s">
        <v>119</v>
      </c>
      <c r="E26" s="386" t="s">
        <v>120</v>
      </c>
      <c r="F26" s="386" t="s">
        <v>121</v>
      </c>
      <c r="G26" s="387" t="s">
        <v>122</v>
      </c>
      <c r="H26" s="399" t="s">
        <v>482</v>
      </c>
      <c r="I26" s="394" t="s">
        <v>110</v>
      </c>
    </row>
    <row r="27" spans="2:9" x14ac:dyDescent="0.25">
      <c r="D27" s="382" t="s">
        <v>123</v>
      </c>
      <c r="E27" s="79" t="s">
        <v>124</v>
      </c>
      <c r="F27" s="79" t="s">
        <v>125</v>
      </c>
      <c r="G27" s="390" t="s">
        <v>123</v>
      </c>
      <c r="H27" s="400">
        <v>1</v>
      </c>
      <c r="I27" s="395"/>
    </row>
    <row r="28" spans="2:9" ht="15.75" thickBot="1" x14ac:dyDescent="0.3">
      <c r="D28" s="383" t="s">
        <v>123</v>
      </c>
      <c r="E28" s="80" t="s">
        <v>126</v>
      </c>
      <c r="F28" s="80" t="s">
        <v>125</v>
      </c>
      <c r="G28" s="391" t="s">
        <v>127</v>
      </c>
      <c r="H28" s="401">
        <f>1+('Excess Mortality Model'!X44-1)*(1+I28)</f>
        <v>3.6930496086718163</v>
      </c>
      <c r="I28" s="396">
        <f>Sens_Ward_HR</f>
        <v>0</v>
      </c>
    </row>
    <row r="29" spans="2:9" x14ac:dyDescent="0.25">
      <c r="D29" s="388" t="s">
        <v>128</v>
      </c>
      <c r="E29" s="389" t="s">
        <v>124</v>
      </c>
      <c r="F29" s="389" t="s">
        <v>124</v>
      </c>
      <c r="G29" s="392" t="s">
        <v>128</v>
      </c>
      <c r="H29" s="402">
        <v>1</v>
      </c>
      <c r="I29" s="397"/>
    </row>
    <row r="30" spans="2:9" x14ac:dyDescent="0.25">
      <c r="D30" s="384" t="s">
        <v>128</v>
      </c>
      <c r="E30" s="78" t="s">
        <v>124</v>
      </c>
      <c r="F30" s="78" t="s">
        <v>126</v>
      </c>
      <c r="G30" s="393" t="s">
        <v>123</v>
      </c>
      <c r="H30" s="403">
        <f>1+('Excess Mortality Model'!W40-1)*(1+I30)</f>
        <v>1.9857754005700945</v>
      </c>
      <c r="I30" s="398">
        <f>Sens_CCU_HR_CCU</f>
        <v>0</v>
      </c>
    </row>
    <row r="31" spans="2:9" ht="15.75" thickBot="1" x14ac:dyDescent="0.3">
      <c r="D31" s="383" t="s">
        <v>128</v>
      </c>
      <c r="E31" s="80" t="s">
        <v>126</v>
      </c>
      <c r="F31" s="80" t="s">
        <v>126</v>
      </c>
      <c r="G31" s="391" t="s">
        <v>127</v>
      </c>
      <c r="H31" s="401">
        <f>1+('Excess Mortality Model'!X40-1)*(1+I31)</f>
        <v>9.0229097176215589</v>
      </c>
      <c r="I31" s="396">
        <f>Sens_CCU_HR_Ward</f>
        <v>0</v>
      </c>
    </row>
    <row r="32" spans="2:9" x14ac:dyDescent="0.25">
      <c r="D32" s="11"/>
    </row>
    <row r="33" spans="4:5" ht="18.75" x14ac:dyDescent="0.3">
      <c r="D33" s="258" t="s">
        <v>129</v>
      </c>
    </row>
    <row r="34" spans="4:5" x14ac:dyDescent="0.25">
      <c r="D34">
        <v>1</v>
      </c>
      <c r="E34" t="s">
        <v>130</v>
      </c>
    </row>
    <row r="35" spans="4:5" x14ac:dyDescent="0.25">
      <c r="D35">
        <v>2</v>
      </c>
      <c r="E35" t="s">
        <v>131</v>
      </c>
    </row>
    <row r="36" spans="4:5" x14ac:dyDescent="0.25">
      <c r="D36">
        <v>3</v>
      </c>
      <c r="E36" t="s">
        <v>132</v>
      </c>
    </row>
    <row r="37" spans="4:5" x14ac:dyDescent="0.25">
      <c r="D37">
        <v>4</v>
      </c>
      <c r="E37" t="s">
        <v>130</v>
      </c>
    </row>
    <row r="38" spans="4:5" x14ac:dyDescent="0.25">
      <c r="D38">
        <v>5</v>
      </c>
      <c r="E38" t="s">
        <v>132</v>
      </c>
    </row>
    <row r="39" spans="4:5" x14ac:dyDescent="0.25">
      <c r="D39">
        <v>6</v>
      </c>
      <c r="E39" t="s">
        <v>133</v>
      </c>
    </row>
    <row r="40" spans="4:5" x14ac:dyDescent="0.25">
      <c r="D40">
        <v>7</v>
      </c>
      <c r="E40" t="s">
        <v>134</v>
      </c>
    </row>
    <row r="41" spans="4:5" x14ac:dyDescent="0.25">
      <c r="D41">
        <v>8</v>
      </c>
      <c r="E41" t="s">
        <v>135</v>
      </c>
    </row>
    <row r="42" spans="4:5" x14ac:dyDescent="0.25">
      <c r="D42">
        <v>9</v>
      </c>
      <c r="E42" t="s">
        <v>136</v>
      </c>
    </row>
    <row r="43" spans="4:5" x14ac:dyDescent="0.25">
      <c r="D43">
        <v>10</v>
      </c>
      <c r="E43" t="s">
        <v>137</v>
      </c>
    </row>
    <row r="44" spans="4:5" x14ac:dyDescent="0.25">
      <c r="D44">
        <v>11</v>
      </c>
      <c r="E44" t="s">
        <v>138</v>
      </c>
    </row>
    <row r="45" spans="4:5" x14ac:dyDescent="0.25">
      <c r="D45">
        <v>12</v>
      </c>
      <c r="E45" t="s">
        <v>139</v>
      </c>
    </row>
    <row r="46" spans="4:5" x14ac:dyDescent="0.25">
      <c r="D46">
        <v>13</v>
      </c>
      <c r="E46" t="s">
        <v>140</v>
      </c>
    </row>
    <row r="51" spans="4:8" ht="18.75" x14ac:dyDescent="0.3">
      <c r="D51" s="252" t="s">
        <v>141</v>
      </c>
      <c r="F51" s="184"/>
      <c r="G51" s="184"/>
      <c r="H51" s="250"/>
    </row>
    <row r="52" spans="4:8" x14ac:dyDescent="0.25">
      <c r="D52" t="s">
        <v>142</v>
      </c>
      <c r="F52" s="184"/>
      <c r="G52" s="184"/>
      <c r="H52" s="250"/>
    </row>
    <row r="53" spans="4:8" x14ac:dyDescent="0.25">
      <c r="F53" s="184"/>
      <c r="G53" s="184"/>
      <c r="H53" s="250"/>
    </row>
    <row r="54" spans="4:8" ht="18.75" x14ac:dyDescent="0.3">
      <c r="D54" s="252" t="s">
        <v>143</v>
      </c>
      <c r="F54" s="184"/>
      <c r="G54" s="184"/>
      <c r="H54" s="250"/>
    </row>
    <row r="55" spans="4:8" x14ac:dyDescent="0.25">
      <c r="D55" t="s">
        <v>144</v>
      </c>
      <c r="F55" s="184"/>
      <c r="G55" s="184"/>
      <c r="H55" s="184"/>
    </row>
    <row r="56" spans="4:8" x14ac:dyDescent="0.25">
      <c r="D56" t="s">
        <v>145</v>
      </c>
      <c r="F56" s="184"/>
      <c r="G56" s="184"/>
      <c r="H56" s="184"/>
    </row>
    <row r="57" spans="4:8" x14ac:dyDescent="0.25">
      <c r="F57" s="184"/>
      <c r="G57" s="184"/>
      <c r="H57" s="184"/>
    </row>
    <row r="58" spans="4:8" x14ac:dyDescent="0.25">
      <c r="F58" s="184"/>
      <c r="G58" s="184"/>
      <c r="H58" s="184"/>
    </row>
    <row r="59" spans="4:8" x14ac:dyDescent="0.25">
      <c r="F59" s="184"/>
      <c r="G59" s="184"/>
      <c r="H59" s="184"/>
    </row>
    <row r="60" spans="4:8" x14ac:dyDescent="0.25">
      <c r="F60" s="184"/>
      <c r="G60" s="184"/>
      <c r="H60" s="184"/>
    </row>
    <row r="61" spans="4:8" x14ac:dyDescent="0.25">
      <c r="F61" s="184"/>
      <c r="G61" s="184"/>
      <c r="H61" s="184"/>
    </row>
    <row r="62" spans="4:8" x14ac:dyDescent="0.25">
      <c r="F62" s="184"/>
      <c r="G62" s="184"/>
      <c r="H62" s="184"/>
    </row>
  </sheetData>
  <mergeCells count="1">
    <mergeCell ref="B18:B19"/>
  </mergeCells>
  <dataValidations disablePrompts="1" count="1">
    <dataValidation type="list" allowBlank="1" showInputMessage="1" showErrorMessage="1" sqref="D14:D15" xr:uid="{E31EAEAA-7446-49AE-8FB9-D27D5FD10B20}">
      <formula1>"Y,N"</formula1>
    </dataValidation>
  </dataValidations>
  <pageMargins left="0.7" right="0.7" top="0.75" bottom="0.75" header="0.3" footer="0.3"/>
  <pageSetup paperSize="9" orientation="portrait" r:id="rId1"/>
  <headerFooter>
    <oddHeader>&amp;L&amp;"Calibri"&amp;12&amp;K008000Classification: Public&amp;1#</oddHeader>
  </headerFooter>
  <extLst>
    <ext xmlns:x14="http://schemas.microsoft.com/office/spreadsheetml/2009/9/main" uri="{CCE6A557-97BC-4b89-ADB6-D9C93CAAB3DF}">
      <x14:dataValidations xmlns:xm="http://schemas.microsoft.com/office/excel/2006/main" disablePrompts="1" count="3">
        <x14:dataValidation type="list" allowBlank="1" showInputMessage="1" showErrorMessage="1" xr:uid="{E012A15F-63A6-48A1-90DA-C125BBF117E0}">
          <x14:formula1>
            <xm:f>'Sensitivity Analysis'!$E$9:$E$10</xm:f>
          </x14:formula1>
          <xm:sqref>I28</xm:sqref>
        </x14:dataValidation>
        <x14:dataValidation type="list" allowBlank="1" showInputMessage="1" showErrorMessage="1" xr:uid="{582EA8D7-E20B-4E3C-966B-0BB2B3F052C9}">
          <x14:formula1>
            <xm:f>'Sensitivity Analysis'!$G$13:$G$14</xm:f>
          </x14:formula1>
          <xm:sqref>I31</xm:sqref>
        </x14:dataValidation>
        <x14:dataValidation type="list" allowBlank="1" showInputMessage="1" showErrorMessage="1" xr:uid="{BA356D54-4485-442D-8CFD-01BE8812F30D}">
          <x14:formula1>
            <xm:f>'Sensitivity Analysis'!$F$11:$F$12</xm:f>
          </x14:formula1>
          <xm:sqref>I30</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58F76B-C3F9-4773-AEE9-A8D4DCB4EEFE}">
  <sheetPr codeName="Sheet17"/>
  <dimension ref="A1:DC99"/>
  <sheetViews>
    <sheetView showGridLines="0" workbookViewId="0">
      <selection activeCell="B8" sqref="B8"/>
    </sheetView>
  </sheetViews>
  <sheetFormatPr defaultRowHeight="15" x14ac:dyDescent="0.25"/>
  <cols>
    <col min="3" max="3" width="11.140625" customWidth="1"/>
    <col min="4" max="4" width="10.5703125" bestFit="1" customWidth="1"/>
    <col min="5" max="5" width="12.28515625" customWidth="1"/>
    <col min="6" max="6" width="12.42578125" customWidth="1"/>
    <col min="7" max="7" width="12.140625" customWidth="1"/>
    <col min="8" max="8" width="14.28515625" bestFit="1" customWidth="1"/>
    <col min="9" max="12" width="10.5703125" bestFit="1" customWidth="1"/>
    <col min="13" max="13" width="7" bestFit="1" customWidth="1"/>
    <col min="14" max="14" width="13" customWidth="1"/>
    <col min="15" max="15" width="10.7109375" bestFit="1" customWidth="1"/>
    <col min="16" max="16" width="12.7109375" bestFit="1" customWidth="1"/>
    <col min="17" max="17" width="9.140625" bestFit="1" customWidth="1"/>
    <col min="18" max="19" width="12.85546875" customWidth="1"/>
    <col min="20" max="20" width="13.5703125" customWidth="1"/>
    <col min="21" max="64" width="11.5703125" bestFit="1" customWidth="1"/>
  </cols>
  <sheetData>
    <row r="1" spans="1:20" ht="23.25" x14ac:dyDescent="0.35">
      <c r="A1" s="253"/>
      <c r="B1" s="283" t="s">
        <v>146</v>
      </c>
      <c r="C1" s="253"/>
      <c r="D1" s="253"/>
      <c r="E1" s="253"/>
      <c r="F1" s="253"/>
      <c r="G1" s="253"/>
      <c r="H1" s="253"/>
      <c r="I1" s="253"/>
      <c r="J1" s="253"/>
      <c r="K1" s="253"/>
      <c r="L1" s="253"/>
      <c r="M1" s="253"/>
      <c r="N1" s="253"/>
      <c r="O1" s="253"/>
      <c r="P1" s="253"/>
      <c r="Q1" s="253"/>
      <c r="R1" s="253"/>
      <c r="S1" s="253"/>
      <c r="T1" s="253"/>
    </row>
    <row r="3" spans="1:20" x14ac:dyDescent="0.25">
      <c r="B3" t="s">
        <v>147</v>
      </c>
      <c r="M3" s="293" t="s">
        <v>148</v>
      </c>
      <c r="N3" s="293"/>
      <c r="O3" s="293"/>
      <c r="P3" s="293"/>
      <c r="Q3" s="293"/>
      <c r="R3" s="293"/>
      <c r="S3" s="293"/>
      <c r="T3" s="293"/>
    </row>
    <row r="4" spans="1:20" ht="30.75" customHeight="1" x14ac:dyDescent="0.25">
      <c r="B4" t="s">
        <v>149</v>
      </c>
      <c r="M4" s="242" t="s">
        <v>150</v>
      </c>
      <c r="N4" s="242" t="s">
        <v>151</v>
      </c>
      <c r="O4" s="243" t="s">
        <v>152</v>
      </c>
      <c r="P4" s="243" t="s">
        <v>153</v>
      </c>
      <c r="Q4" s="242" t="s">
        <v>154</v>
      </c>
      <c r="R4" s="243" t="s">
        <v>155</v>
      </c>
      <c r="S4" s="243" t="s">
        <v>156</v>
      </c>
      <c r="T4" s="242" t="s">
        <v>157</v>
      </c>
    </row>
    <row r="5" spans="1:20" x14ac:dyDescent="0.25">
      <c r="B5" t="s">
        <v>158</v>
      </c>
      <c r="M5" s="130">
        <v>0</v>
      </c>
      <c r="N5" s="307">
        <f t="shared" ref="N5:N10" si="0">$E$14</f>
        <v>33.9</v>
      </c>
      <c r="O5" s="130">
        <v>618858</v>
      </c>
      <c r="P5" s="308">
        <f>N5*O5/100000</f>
        <v>209.79286199999999</v>
      </c>
      <c r="Q5" s="309">
        <f>P5/SUM($P$5:$P$10)</f>
        <v>0.1550727568364815</v>
      </c>
      <c r="R5" s="307">
        <f t="shared" ref="R5:R10" si="1">Q5*$D$14</f>
        <v>212.75982237965263</v>
      </c>
      <c r="S5" s="310">
        <f>R5/SUM($R$5:$R$90)</f>
        <v>1.0310328867571216E-3</v>
      </c>
      <c r="T5" s="245">
        <f>SUM(R23:R69)</f>
        <v>68137.000000000015</v>
      </c>
    </row>
    <row r="6" spans="1:20" x14ac:dyDescent="0.25">
      <c r="B6" t="s">
        <v>159</v>
      </c>
      <c r="M6" s="130">
        <v>1</v>
      </c>
      <c r="N6" s="307">
        <f t="shared" si="0"/>
        <v>33.9</v>
      </c>
      <c r="O6" s="130">
        <v>644056</v>
      </c>
      <c r="P6" s="308">
        <f t="shared" ref="P6:P69" si="2">N6*O6/100000</f>
        <v>218.33498399999999</v>
      </c>
      <c r="Q6" s="309">
        <f t="shared" ref="Q6:Q10" si="3">P6/SUM($P$5:$P$10)</f>
        <v>0.16138684395624994</v>
      </c>
      <c r="R6" s="307">
        <f t="shared" si="1"/>
        <v>221.42274990797492</v>
      </c>
      <c r="S6" s="310">
        <f t="shared" ref="S6:S69" si="4">R6/SUM($R$5:$R$90)</f>
        <v>1.0730133841903064E-3</v>
      </c>
      <c r="T6" s="244">
        <f>$D$16</f>
        <v>68137</v>
      </c>
    </row>
    <row r="7" spans="1:20" x14ac:dyDescent="0.25">
      <c r="B7" t="s">
        <v>160</v>
      </c>
      <c r="M7" s="130">
        <v>2</v>
      </c>
      <c r="N7" s="307">
        <f t="shared" si="0"/>
        <v>33.9</v>
      </c>
      <c r="O7" s="130">
        <v>665596</v>
      </c>
      <c r="P7" s="308">
        <f t="shared" si="2"/>
        <v>225.63704399999997</v>
      </c>
      <c r="Q7" s="309">
        <f t="shared" si="3"/>
        <v>0.16678431346017136</v>
      </c>
      <c r="R7" s="307">
        <f t="shared" si="1"/>
        <v>228.82807806735511</v>
      </c>
      <c r="S7" s="310">
        <f t="shared" si="4"/>
        <v>1.1088995622485173E-3</v>
      </c>
      <c r="T7" s="17">
        <f>T5/T6</f>
        <v>1.0000000000000002</v>
      </c>
    </row>
    <row r="8" spans="1:20" x14ac:dyDescent="0.25">
      <c r="B8" t="s">
        <v>161</v>
      </c>
      <c r="M8" s="130">
        <v>3</v>
      </c>
      <c r="N8" s="307">
        <f t="shared" si="0"/>
        <v>33.9</v>
      </c>
      <c r="O8" s="130">
        <v>686135</v>
      </c>
      <c r="P8" s="308">
        <f t="shared" si="2"/>
        <v>232.59976499999999</v>
      </c>
      <c r="Q8" s="309">
        <f t="shared" si="3"/>
        <v>0.17193095348528942</v>
      </c>
      <c r="R8" s="307">
        <f t="shared" si="1"/>
        <v>235.88926818181707</v>
      </c>
      <c r="S8" s="310">
        <f t="shared" si="4"/>
        <v>1.1431180493022591E-3</v>
      </c>
      <c r="T8" s="463"/>
    </row>
    <row r="9" spans="1:20" x14ac:dyDescent="0.25">
      <c r="B9" t="s">
        <v>162</v>
      </c>
      <c r="M9" s="130">
        <v>4</v>
      </c>
      <c r="N9" s="307">
        <f t="shared" si="0"/>
        <v>33.9</v>
      </c>
      <c r="O9" s="130">
        <v>684992</v>
      </c>
      <c r="P9" s="308">
        <f t="shared" si="2"/>
        <v>232.212288</v>
      </c>
      <c r="Q9" s="309">
        <f t="shared" si="3"/>
        <v>0.17164454180269972</v>
      </c>
      <c r="R9" s="307">
        <f t="shared" si="1"/>
        <v>235.49631135330401</v>
      </c>
      <c r="S9" s="310">
        <f t="shared" si="4"/>
        <v>1.1412137827507024E-3</v>
      </c>
      <c r="T9" s="463"/>
    </row>
    <row r="10" spans="1:20" x14ac:dyDescent="0.25">
      <c r="L10" s="312"/>
      <c r="M10" s="130">
        <v>5</v>
      </c>
      <c r="N10" s="307">
        <f t="shared" si="0"/>
        <v>33.9</v>
      </c>
      <c r="O10" s="130">
        <v>691122</v>
      </c>
      <c r="P10" s="308">
        <f t="shared" si="2"/>
        <v>234.290358</v>
      </c>
      <c r="Q10" s="309">
        <f t="shared" si="3"/>
        <v>0.17318059045910819</v>
      </c>
      <c r="R10" s="307">
        <f t="shared" si="1"/>
        <v>237.60377010989643</v>
      </c>
      <c r="S10" s="310">
        <f t="shared" si="4"/>
        <v>1.1514265158749752E-3</v>
      </c>
      <c r="T10" s="463"/>
    </row>
    <row r="11" spans="1:20" x14ac:dyDescent="0.25">
      <c r="C11" s="241" t="s">
        <v>163</v>
      </c>
      <c r="M11" s="276">
        <v>6</v>
      </c>
      <c r="N11" s="299">
        <f t="shared" ref="N11:N22" si="5">$E$15</f>
        <v>17.899999999999999</v>
      </c>
      <c r="O11" s="300">
        <v>706742</v>
      </c>
      <c r="P11" s="305">
        <f t="shared" si="2"/>
        <v>126.506818</v>
      </c>
      <c r="Q11" s="302">
        <f>P11/SUM($P$11:$P$22)</f>
        <v>8.7981925127312233E-2</v>
      </c>
      <c r="R11" s="299">
        <f t="shared" ref="R11:R22" si="6">Q11*$D$15</f>
        <v>124.49442405514681</v>
      </c>
      <c r="S11" s="301">
        <f t="shared" si="4"/>
        <v>6.0329926949130033E-4</v>
      </c>
      <c r="T11" s="463"/>
    </row>
    <row r="12" spans="1:20" x14ac:dyDescent="0.25">
      <c r="C12" s="14" t="s">
        <v>164</v>
      </c>
      <c r="M12" s="276">
        <v>7</v>
      </c>
      <c r="N12" s="299">
        <f t="shared" si="5"/>
        <v>17.899999999999999</v>
      </c>
      <c r="O12" s="300">
        <v>727938</v>
      </c>
      <c r="P12" s="305">
        <f t="shared" si="2"/>
        <v>130.30090199999998</v>
      </c>
      <c r="Q12" s="302">
        <f t="shared" ref="Q12:Q22" si="7">P12/SUM($P$11:$P$22)</f>
        <v>9.062060357715461E-2</v>
      </c>
      <c r="R12" s="299">
        <f t="shared" si="6"/>
        <v>128.22815406167376</v>
      </c>
      <c r="S12" s="301">
        <f t="shared" si="4"/>
        <v>6.21392903824816E-4</v>
      </c>
      <c r="T12" s="463"/>
    </row>
    <row r="13" spans="1:20" x14ac:dyDescent="0.25">
      <c r="C13" s="133" t="s">
        <v>165</v>
      </c>
      <c r="D13" s="133" t="s">
        <v>166</v>
      </c>
      <c r="E13" s="133" t="s">
        <v>167</v>
      </c>
      <c r="F13" s="133" t="s">
        <v>157</v>
      </c>
      <c r="G13" s="272"/>
      <c r="H13" s="272"/>
      <c r="J13" s="273"/>
      <c r="M13" s="276">
        <v>8</v>
      </c>
      <c r="N13" s="299">
        <f t="shared" si="5"/>
        <v>17.899999999999999</v>
      </c>
      <c r="O13" s="300">
        <v>712204</v>
      </c>
      <c r="P13" s="305">
        <f t="shared" si="2"/>
        <v>127.484516</v>
      </c>
      <c r="Q13" s="302">
        <f t="shared" si="7"/>
        <v>8.866188652064301E-2</v>
      </c>
      <c r="R13" s="299">
        <f t="shared" si="6"/>
        <v>125.45656942670986</v>
      </c>
      <c r="S13" s="301">
        <f t="shared" si="4"/>
        <v>6.0796182047873494E-4</v>
      </c>
      <c r="T13" s="463"/>
    </row>
    <row r="14" spans="1:20" x14ac:dyDescent="0.25">
      <c r="C14" s="133" t="s">
        <v>168</v>
      </c>
      <c r="D14" s="131">
        <v>1372</v>
      </c>
      <c r="E14" s="130">
        <v>33.9</v>
      </c>
      <c r="F14" s="130">
        <f>SUM(R5:R10)</f>
        <v>1372.0000000000002</v>
      </c>
      <c r="G14" s="273"/>
      <c r="H14" s="274"/>
      <c r="J14" s="273"/>
      <c r="M14" s="276">
        <v>9</v>
      </c>
      <c r="N14" s="299">
        <f t="shared" si="5"/>
        <v>17.899999999999999</v>
      </c>
      <c r="O14" s="300">
        <v>700200</v>
      </c>
      <c r="P14" s="305">
        <f t="shared" si="2"/>
        <v>125.33579999999998</v>
      </c>
      <c r="Q14" s="302">
        <f t="shared" si="7"/>
        <v>8.7167515124534869E-2</v>
      </c>
      <c r="R14" s="299">
        <f t="shared" si="6"/>
        <v>123.34203390121684</v>
      </c>
      <c r="S14" s="301">
        <f t="shared" si="4"/>
        <v>5.9771479337269963E-4</v>
      </c>
      <c r="T14" s="463"/>
    </row>
    <row r="15" spans="1:20" x14ac:dyDescent="0.25">
      <c r="C15" s="269" t="s">
        <v>169</v>
      </c>
      <c r="D15" s="131">
        <v>1415</v>
      </c>
      <c r="E15" s="130">
        <v>17.899999999999999</v>
      </c>
      <c r="F15" s="130">
        <f>SUM(R11:R22)</f>
        <v>1414.9999999999998</v>
      </c>
      <c r="G15" s="273"/>
      <c r="H15" s="28" t="s">
        <v>150</v>
      </c>
      <c r="I15" s="28" t="s">
        <v>167</v>
      </c>
      <c r="J15" s="273"/>
      <c r="M15" s="276">
        <v>10</v>
      </c>
      <c r="N15" s="299">
        <f t="shared" si="5"/>
        <v>17.899999999999999</v>
      </c>
      <c r="O15" s="300">
        <v>689733</v>
      </c>
      <c r="P15" s="305">
        <f t="shared" si="2"/>
        <v>123.46220699999999</v>
      </c>
      <c r="Q15" s="302">
        <f t="shared" si="7"/>
        <v>8.5864484017981732E-2</v>
      </c>
      <c r="R15" s="299">
        <f t="shared" si="6"/>
        <v>121.49824488544415</v>
      </c>
      <c r="S15" s="301">
        <f t="shared" si="4"/>
        <v>5.8877980230981472E-4</v>
      </c>
      <c r="T15" s="463"/>
    </row>
    <row r="16" spans="1:20" x14ac:dyDescent="0.25">
      <c r="C16" s="133" t="s">
        <v>170</v>
      </c>
      <c r="D16" s="131">
        <v>68137</v>
      </c>
      <c r="E16" s="130">
        <v>201.3</v>
      </c>
      <c r="F16" s="130">
        <f>SUM(R23:R69)</f>
        <v>68137.000000000015</v>
      </c>
      <c r="G16" s="273"/>
      <c r="H16" s="296">
        <f>AVERAGE(18,64)</f>
        <v>41</v>
      </c>
      <c r="I16" s="296">
        <f>E16</f>
        <v>201.3</v>
      </c>
      <c r="J16" s="297"/>
      <c r="M16" s="276">
        <v>11</v>
      </c>
      <c r="N16" s="299">
        <f t="shared" si="5"/>
        <v>17.899999999999999</v>
      </c>
      <c r="O16" s="300">
        <v>695753</v>
      </c>
      <c r="P16" s="305">
        <f t="shared" si="2"/>
        <v>124.53978699999999</v>
      </c>
      <c r="Q16" s="302">
        <f t="shared" si="7"/>
        <v>8.6613910526193244E-2</v>
      </c>
      <c r="R16" s="299">
        <f t="shared" si="6"/>
        <v>122.55868339456345</v>
      </c>
      <c r="S16" s="301">
        <f t="shared" si="4"/>
        <v>5.9391868128168507E-4</v>
      </c>
      <c r="T16" s="463"/>
    </row>
    <row r="17" spans="3:20" x14ac:dyDescent="0.25">
      <c r="C17" s="133" t="s">
        <v>171</v>
      </c>
      <c r="D17" s="131">
        <v>89461</v>
      </c>
      <c r="E17" s="130">
        <v>1015</v>
      </c>
      <c r="F17" s="130">
        <f>SUM(R70:R89)</f>
        <v>89461.000000000015</v>
      </c>
      <c r="G17" s="273"/>
      <c r="H17" s="296">
        <f>AVERAGE(65,84)</f>
        <v>74.5</v>
      </c>
      <c r="I17" s="296">
        <f>E17</f>
        <v>1015</v>
      </c>
      <c r="J17" s="297"/>
      <c r="M17" s="276">
        <v>12</v>
      </c>
      <c r="N17" s="299">
        <f t="shared" si="5"/>
        <v>17.899999999999999</v>
      </c>
      <c r="O17" s="300">
        <v>673789</v>
      </c>
      <c r="P17" s="305">
        <f t="shared" si="2"/>
        <v>120.60823099999999</v>
      </c>
      <c r="Q17" s="302">
        <f t="shared" si="7"/>
        <v>8.3879624176299947E-2</v>
      </c>
      <c r="R17" s="299">
        <f t="shared" si="6"/>
        <v>118.68966820946443</v>
      </c>
      <c r="S17" s="301">
        <f t="shared" si="4"/>
        <v>5.7516945574378456E-4</v>
      </c>
      <c r="T17" s="463"/>
    </row>
    <row r="18" spans="3:20" x14ac:dyDescent="0.25">
      <c r="C18" s="133" t="s">
        <v>172</v>
      </c>
      <c r="D18" s="131">
        <v>45971</v>
      </c>
      <c r="E18" s="237">
        <v>3367.9</v>
      </c>
      <c r="F18" s="237">
        <f>R90</f>
        <v>45971</v>
      </c>
      <c r="G18" s="273"/>
      <c r="H18" s="296">
        <v>88</v>
      </c>
      <c r="I18" s="296">
        <f>E18</f>
        <v>3367.9</v>
      </c>
      <c r="J18" s="297"/>
      <c r="M18" s="276">
        <v>13</v>
      </c>
      <c r="N18" s="299">
        <f t="shared" si="5"/>
        <v>17.899999999999999</v>
      </c>
      <c r="O18" s="300">
        <v>660928</v>
      </c>
      <c r="P18" s="305">
        <f t="shared" si="2"/>
        <v>118.306112</v>
      </c>
      <c r="Q18" s="302">
        <f t="shared" si="7"/>
        <v>8.2278565318806896E-2</v>
      </c>
      <c r="R18" s="299">
        <f t="shared" si="6"/>
        <v>116.42416992611176</v>
      </c>
      <c r="S18" s="301">
        <f t="shared" si="4"/>
        <v>5.6419086397348141E-4</v>
      </c>
      <c r="T18" s="463"/>
    </row>
    <row r="19" spans="3:20" x14ac:dyDescent="0.25">
      <c r="C19" s="133" t="s">
        <v>173</v>
      </c>
      <c r="D19" s="131">
        <f>SUM(D14:D18)</f>
        <v>206356</v>
      </c>
      <c r="E19" s="237"/>
      <c r="F19" s="237"/>
      <c r="G19" s="273"/>
      <c r="H19" s="275"/>
      <c r="M19" s="276">
        <v>14</v>
      </c>
      <c r="N19" s="299">
        <f t="shared" si="5"/>
        <v>17.899999999999999</v>
      </c>
      <c r="O19" s="300">
        <v>634043</v>
      </c>
      <c r="P19" s="305">
        <f t="shared" si="2"/>
        <v>113.493697</v>
      </c>
      <c r="Q19" s="302">
        <f t="shared" si="7"/>
        <v>7.8931666369759304E-2</v>
      </c>
      <c r="R19" s="299">
        <f t="shared" si="6"/>
        <v>111.68830791320941</v>
      </c>
      <c r="S19" s="301">
        <f t="shared" si="4"/>
        <v>5.4124090364811002E-4</v>
      </c>
      <c r="T19" s="463"/>
    </row>
    <row r="20" spans="3:20" x14ac:dyDescent="0.25">
      <c r="C20" s="133" t="s">
        <v>174</v>
      </c>
      <c r="D20" s="270">
        <f>SUM(D16:D18)/D19</f>
        <v>0.98649421388280445</v>
      </c>
      <c r="E20" s="237"/>
      <c r="F20" s="237"/>
      <c r="G20" s="274"/>
      <c r="H20" s="275"/>
      <c r="M20" s="276">
        <v>15</v>
      </c>
      <c r="N20" s="299">
        <f t="shared" si="5"/>
        <v>17.899999999999999</v>
      </c>
      <c r="O20" s="300">
        <v>624590</v>
      </c>
      <c r="P20" s="305">
        <f t="shared" si="2"/>
        <v>111.80161</v>
      </c>
      <c r="Q20" s="302">
        <f t="shared" si="7"/>
        <v>7.7754867568742128E-2</v>
      </c>
      <c r="R20" s="299">
        <f t="shared" si="6"/>
        <v>110.02313760977012</v>
      </c>
      <c r="S20" s="301">
        <f t="shared" si="4"/>
        <v>5.3317149784726432E-4</v>
      </c>
      <c r="T20" s="463"/>
    </row>
    <row r="21" spans="3:20" x14ac:dyDescent="0.25">
      <c r="M21" s="276">
        <v>16</v>
      </c>
      <c r="N21" s="299">
        <f t="shared" si="5"/>
        <v>17.899999999999999</v>
      </c>
      <c r="O21" s="300">
        <v>607496</v>
      </c>
      <c r="P21" s="305">
        <f t="shared" si="2"/>
        <v>108.74178399999998</v>
      </c>
      <c r="Q21" s="302">
        <f t="shared" si="7"/>
        <v>7.5626844855890357E-2</v>
      </c>
      <c r="R21" s="299">
        <f t="shared" si="6"/>
        <v>107.01198547108486</v>
      </c>
      <c r="S21" s="301">
        <f t="shared" si="4"/>
        <v>5.1857947174341833E-4</v>
      </c>
      <c r="T21" s="463"/>
    </row>
    <row r="22" spans="3:20" x14ac:dyDescent="0.25">
      <c r="D22" s="284" t="s">
        <v>157</v>
      </c>
      <c r="E22" s="304" t="s">
        <v>175</v>
      </c>
      <c r="L22" s="298"/>
      <c r="M22" s="276">
        <v>17</v>
      </c>
      <c r="N22" s="299">
        <f t="shared" si="5"/>
        <v>17.899999999999999</v>
      </c>
      <c r="O22" s="300">
        <v>599393</v>
      </c>
      <c r="P22" s="305">
        <f t="shared" si="2"/>
        <v>107.29134699999999</v>
      </c>
      <c r="Q22" s="302">
        <f t="shared" si="7"/>
        <v>7.461810681668142E-2</v>
      </c>
      <c r="R22" s="299">
        <f t="shared" si="6"/>
        <v>105.58462114560422</v>
      </c>
      <c r="S22" s="301">
        <f t="shared" si="4"/>
        <v>5.1166247235653038E-4</v>
      </c>
      <c r="T22" s="463"/>
    </row>
    <row r="23" spans="3:20" x14ac:dyDescent="0.25">
      <c r="D23" s="277">
        <f>SUM(R5:R90)</f>
        <v>206356.00000000006</v>
      </c>
      <c r="E23" s="285">
        <f>(D19-D23)/D19</f>
        <v>-2.8207399306764719E-16</v>
      </c>
      <c r="M23" s="313">
        <v>18</v>
      </c>
      <c r="N23" s="244">
        <f xml:space="preserve"> 16.312 * EXP(0.0573 * M23)</f>
        <v>45.754998073934736</v>
      </c>
      <c r="O23" s="313">
        <v>618873</v>
      </c>
      <c r="P23" s="314">
        <f t="shared" si="2"/>
        <v>283.16532923010209</v>
      </c>
      <c r="Q23" s="315">
        <f>P23/SUM($P$23:$P$69)</f>
        <v>3.7401210166822228E-3</v>
      </c>
      <c r="R23" s="244">
        <f t="shared" ref="R23:R69" si="8">Q23*$D$16</f>
        <v>254.84062571367662</v>
      </c>
      <c r="S23" s="316">
        <f t="shared" si="4"/>
        <v>1.2349562198999619E-3</v>
      </c>
      <c r="T23" s="463"/>
    </row>
    <row r="24" spans="3:20" x14ac:dyDescent="0.25">
      <c r="M24" s="313">
        <v>19</v>
      </c>
      <c r="N24" s="244">
        <f t="shared" ref="N24:N87" si="9" xml:space="preserve"> 16.312 * EXP(0.0573 * M24)</f>
        <v>48.453328383939358</v>
      </c>
      <c r="O24" s="313">
        <v>639880</v>
      </c>
      <c r="P24" s="314">
        <f t="shared" si="2"/>
        <v>310.04315766315119</v>
      </c>
      <c r="Q24" s="315">
        <f t="shared" ref="Q24:Q69" si="10">P24/SUM($P$23:$P$69)</f>
        <v>4.095130336779944E-3</v>
      </c>
      <c r="R24" s="244">
        <f t="shared" si="8"/>
        <v>279.02989575717504</v>
      </c>
      <c r="S24" s="316">
        <f t="shared" si="4"/>
        <v>1.3521772846787831E-3</v>
      </c>
      <c r="T24" s="463"/>
    </row>
    <row r="25" spans="3:20" x14ac:dyDescent="0.25">
      <c r="M25" s="313">
        <v>20</v>
      </c>
      <c r="N25" s="244">
        <f t="shared" si="9"/>
        <v>51.310788554470342</v>
      </c>
      <c r="O25" s="313">
        <v>668129</v>
      </c>
      <c r="P25" s="314">
        <f t="shared" si="2"/>
        <v>342.82225846109719</v>
      </c>
      <c r="Q25" s="315">
        <f t="shared" si="10"/>
        <v>4.5280851908776334E-3</v>
      </c>
      <c r="R25" s="244">
        <f t="shared" si="8"/>
        <v>308.53014065082931</v>
      </c>
      <c r="S25" s="316">
        <f t="shared" si="4"/>
        <v>1.4951353033148017E-3</v>
      </c>
      <c r="T25" s="463"/>
    </row>
    <row r="26" spans="3:20" x14ac:dyDescent="0.25">
      <c r="M26" s="313">
        <v>21</v>
      </c>
      <c r="N26" s="244">
        <f t="shared" si="9"/>
        <v>54.336763023162064</v>
      </c>
      <c r="O26" s="313">
        <v>679576</v>
      </c>
      <c r="P26" s="314">
        <f t="shared" si="2"/>
        <v>369.25960068228386</v>
      </c>
      <c r="Q26" s="315">
        <f t="shared" si="10"/>
        <v>4.877276454990094E-3</v>
      </c>
      <c r="R26" s="244">
        <f t="shared" si="8"/>
        <v>332.32298581366001</v>
      </c>
      <c r="S26" s="316">
        <f t="shared" si="4"/>
        <v>1.6104352953810886E-3</v>
      </c>
      <c r="T26" s="463"/>
    </row>
    <row r="27" spans="3:20" x14ac:dyDescent="0.25">
      <c r="M27" s="313">
        <v>22</v>
      </c>
      <c r="N27" s="244">
        <f t="shared" si="9"/>
        <v>57.541189660357361</v>
      </c>
      <c r="O27" s="313">
        <v>706968</v>
      </c>
      <c r="P27" s="314">
        <f t="shared" si="2"/>
        <v>406.79779771803521</v>
      </c>
      <c r="Q27" s="315">
        <f t="shared" si="10"/>
        <v>5.3730906849436631E-3</v>
      </c>
      <c r="R27" s="244">
        <f t="shared" si="8"/>
        <v>366.10628000000639</v>
      </c>
      <c r="S27" s="316">
        <f t="shared" si="4"/>
        <v>1.7741489464808695E-3</v>
      </c>
      <c r="T27" s="463"/>
    </row>
    <row r="28" spans="3:20" x14ac:dyDescent="0.25">
      <c r="M28" s="313">
        <v>23</v>
      </c>
      <c r="N28" s="244">
        <f t="shared" si="9"/>
        <v>60.9345924069464</v>
      </c>
      <c r="O28" s="313">
        <v>715442</v>
      </c>
      <c r="P28" s="314">
        <f t="shared" si="2"/>
        <v>435.95166660810543</v>
      </c>
      <c r="Q28" s="315">
        <f t="shared" si="10"/>
        <v>5.7581625369596415E-3</v>
      </c>
      <c r="R28" s="244">
        <f t="shared" si="8"/>
        <v>392.34392078081908</v>
      </c>
      <c r="S28" s="316">
        <f t="shared" si="4"/>
        <v>1.9012964041792773E-3</v>
      </c>
      <c r="T28" s="463"/>
    </row>
    <row r="29" spans="3:20" x14ac:dyDescent="0.25">
      <c r="M29" s="313">
        <v>24</v>
      </c>
      <c r="N29" s="244">
        <f t="shared" si="9"/>
        <v>64.528115836971565</v>
      </c>
      <c r="O29" s="313">
        <v>717748</v>
      </c>
      <c r="P29" s="314">
        <f t="shared" si="2"/>
        <v>463.14926085754672</v>
      </c>
      <c r="Q29" s="315">
        <f t="shared" si="10"/>
        <v>6.1173954067890923E-3</v>
      </c>
      <c r="R29" s="244">
        <f t="shared" si="8"/>
        <v>416.82097083238835</v>
      </c>
      <c r="S29" s="316">
        <f t="shared" si="4"/>
        <v>2.0199120492371834E-3</v>
      </c>
      <c r="T29" s="463"/>
    </row>
    <row r="30" spans="3:20" x14ac:dyDescent="0.25">
      <c r="I30" s="184"/>
      <c r="J30" s="184"/>
      <c r="M30" s="313">
        <v>25</v>
      </c>
      <c r="N30" s="244">
        <f t="shared" si="9"/>
        <v>68.33356175850858</v>
      </c>
      <c r="O30" s="313">
        <v>740656</v>
      </c>
      <c r="P30" s="314">
        <f t="shared" si="2"/>
        <v>506.1166251780993</v>
      </c>
      <c r="Q30" s="315">
        <f t="shared" si="10"/>
        <v>6.6849194845555199E-3</v>
      </c>
      <c r="R30" s="244">
        <f t="shared" si="8"/>
        <v>455.49035891915946</v>
      </c>
      <c r="S30" s="316">
        <f t="shared" si="4"/>
        <v>2.2073036835331141E-3</v>
      </c>
      <c r="T30" s="463"/>
    </row>
    <row r="31" spans="3:20" x14ac:dyDescent="0.25">
      <c r="I31" s="184"/>
      <c r="J31" s="184"/>
      <c r="M31" s="313">
        <v>26</v>
      </c>
      <c r="N31" s="244">
        <f t="shared" si="9"/>
        <v>72.363427973028138</v>
      </c>
      <c r="O31" s="313">
        <v>742735</v>
      </c>
      <c r="P31" s="314">
        <f t="shared" si="2"/>
        <v>537.46850675547057</v>
      </c>
      <c r="Q31" s="315">
        <f t="shared" si="10"/>
        <v>7.0990232574957889E-3</v>
      </c>
      <c r="R31" s="244">
        <f t="shared" si="8"/>
        <v>483.70614769599058</v>
      </c>
      <c r="S31" s="316">
        <f t="shared" si="4"/>
        <v>2.3440372351469811E-3</v>
      </c>
      <c r="T31" s="463"/>
    </row>
    <row r="32" spans="3:20" x14ac:dyDescent="0.25">
      <c r="I32" s="184"/>
      <c r="J32" s="184"/>
      <c r="M32" s="313">
        <v>27</v>
      </c>
      <c r="N32" s="244">
        <f t="shared" si="9"/>
        <v>76.630949320530732</v>
      </c>
      <c r="O32" s="313">
        <v>765411</v>
      </c>
      <c r="P32" s="314">
        <f t="shared" si="2"/>
        <v>586.54171550376748</v>
      </c>
      <c r="Q32" s="315">
        <f t="shared" si="10"/>
        <v>7.7471949100584988E-3</v>
      </c>
      <c r="R32" s="244">
        <f t="shared" si="8"/>
        <v>527.87061958665595</v>
      </c>
      <c r="S32" s="316">
        <f t="shared" si="4"/>
        <v>2.5580580142407091E-3</v>
      </c>
      <c r="T32" s="247"/>
    </row>
    <row r="33" spans="4:20" x14ac:dyDescent="0.25">
      <c r="I33" s="184"/>
      <c r="J33" s="184"/>
      <c r="M33" s="313">
        <v>28</v>
      </c>
      <c r="N33" s="244">
        <f t="shared" si="9"/>
        <v>81.150141145255333</v>
      </c>
      <c r="O33" s="313">
        <v>782363</v>
      </c>
      <c r="P33" s="314">
        <f t="shared" si="2"/>
        <v>634.88867876825395</v>
      </c>
      <c r="Q33" s="315">
        <f t="shared" si="10"/>
        <v>8.3857741241519408E-3</v>
      </c>
      <c r="R33" s="244">
        <f t="shared" si="8"/>
        <v>571.38149149734079</v>
      </c>
      <c r="S33" s="316">
        <f t="shared" si="4"/>
        <v>2.7689114515562457E-3</v>
      </c>
      <c r="T33" s="463"/>
    </row>
    <row r="34" spans="4:20" x14ac:dyDescent="0.25">
      <c r="I34" s="184"/>
      <c r="J34" s="184"/>
      <c r="M34" s="313">
        <v>29</v>
      </c>
      <c r="N34" s="244">
        <f t="shared" si="9"/>
        <v>85.935845324710556</v>
      </c>
      <c r="O34" s="313">
        <v>770244</v>
      </c>
      <c r="P34" s="314">
        <f t="shared" si="2"/>
        <v>661.9156924628636</v>
      </c>
      <c r="Q34" s="315">
        <f t="shared" si="10"/>
        <v>8.7427539218277572E-3</v>
      </c>
      <c r="R34" s="244">
        <f t="shared" si="8"/>
        <v>595.70502397157793</v>
      </c>
      <c r="S34" s="316">
        <f t="shared" si="4"/>
        <v>2.8867831513092797E-3</v>
      </c>
      <c r="T34" s="463"/>
    </row>
    <row r="35" spans="4:20" x14ac:dyDescent="0.25">
      <c r="I35" s="184"/>
      <c r="J35" s="184"/>
      <c r="M35" s="313">
        <v>30</v>
      </c>
      <c r="N35" s="244">
        <f t="shared" si="9"/>
        <v>91.003779013197189</v>
      </c>
      <c r="O35" s="313">
        <v>762666</v>
      </c>
      <c r="P35" s="314">
        <f t="shared" si="2"/>
        <v>694.05488124879048</v>
      </c>
      <c r="Q35" s="315">
        <f t="shared" si="10"/>
        <v>9.1672566523145239E-3</v>
      </c>
      <c r="R35" s="244">
        <f t="shared" si="8"/>
        <v>624.62936651875475</v>
      </c>
      <c r="S35" s="316">
        <f t="shared" si="4"/>
        <v>3.0269503504562725E-3</v>
      </c>
      <c r="T35" s="463"/>
    </row>
    <row r="36" spans="4:20" ht="23.25" x14ac:dyDescent="0.35">
      <c r="D36" s="295" t="s">
        <v>176</v>
      </c>
      <c r="E36" s="184"/>
      <c r="I36" s="184"/>
      <c r="J36" s="184"/>
      <c r="M36" s="313">
        <v>31</v>
      </c>
      <c r="N36" s="244">
        <f t="shared" si="9"/>
        <v>96.370586259904528</v>
      </c>
      <c r="O36" s="313">
        <v>771667</v>
      </c>
      <c r="P36" s="314">
        <f t="shared" si="2"/>
        <v>743.6600118742175</v>
      </c>
      <c r="Q36" s="315">
        <f t="shared" si="10"/>
        <v>9.8224540668138977E-3</v>
      </c>
      <c r="R36" s="244">
        <f t="shared" si="8"/>
        <v>669.27255275049856</v>
      </c>
      <c r="S36" s="316">
        <f t="shared" si="4"/>
        <v>3.2432909765187268E-3</v>
      </c>
      <c r="T36" s="463"/>
    </row>
    <row r="37" spans="4:20" x14ac:dyDescent="0.25">
      <c r="D37" s="209" t="s">
        <v>150</v>
      </c>
      <c r="E37" s="271" t="s">
        <v>177</v>
      </c>
      <c r="F37" s="294"/>
      <c r="G37" s="14" t="s">
        <v>178</v>
      </c>
      <c r="M37" s="313">
        <v>32</v>
      </c>
      <c r="N37" s="244">
        <f t="shared" si="9"/>
        <v>102.05389267110402</v>
      </c>
      <c r="O37" s="313">
        <v>752937</v>
      </c>
      <c r="P37" s="314">
        <f t="shared" si="2"/>
        <v>768.40151786103058</v>
      </c>
      <c r="Q37" s="315">
        <f t="shared" si="10"/>
        <v>1.0149246286670915E-2</v>
      </c>
      <c r="R37" s="244">
        <f t="shared" si="8"/>
        <v>691.53919423489617</v>
      </c>
      <c r="S37" s="316">
        <f t="shared" si="4"/>
        <v>3.3511949942569928E-3</v>
      </c>
      <c r="T37" s="463"/>
    </row>
    <row r="38" spans="4:20" x14ac:dyDescent="0.25">
      <c r="D38" s="209" t="s">
        <v>179</v>
      </c>
      <c r="E38" s="154">
        <f>SUM(R5:R9)/SUM($R$5:$R$90)</f>
        <v>5.4972776652489072E-3</v>
      </c>
      <c r="F38" s="294"/>
      <c r="G38" s="326" t="s">
        <v>180</v>
      </c>
      <c r="H38" s="232">
        <f>D14+D15+SUM(R23:R24)</f>
        <v>3320.8705214708516</v>
      </c>
      <c r="I38" s="154">
        <f>H38/H$43</f>
        <v>1.6092919621774272E-2</v>
      </c>
      <c r="J38" s="292" t="s">
        <v>181</v>
      </c>
      <c r="M38" s="313">
        <v>33</v>
      </c>
      <c r="N38" s="244">
        <f t="shared" si="9"/>
        <v>108.07236329596174</v>
      </c>
      <c r="O38" s="313">
        <v>760681</v>
      </c>
      <c r="P38" s="314">
        <f t="shared" si="2"/>
        <v>822.08593384335472</v>
      </c>
      <c r="Q38" s="315">
        <f t="shared" si="10"/>
        <v>1.0858323958819971E-2</v>
      </c>
      <c r="R38" s="244">
        <f t="shared" si="8"/>
        <v>739.85361958211638</v>
      </c>
      <c r="S38" s="316">
        <f t="shared" si="4"/>
        <v>3.58532642415106E-3</v>
      </c>
      <c r="T38" s="463"/>
    </row>
    <row r="39" spans="4:20" x14ac:dyDescent="0.25">
      <c r="D39" s="209" t="s">
        <v>182</v>
      </c>
      <c r="E39" s="154">
        <f>SUM(R10:R14)/SUM($R$5:$R$90)</f>
        <v>3.5817953030425264E-3</v>
      </c>
      <c r="F39" s="294"/>
      <c r="G39" s="327" t="s">
        <v>183</v>
      </c>
      <c r="H39" s="232">
        <f>SUM(R25:R44)</f>
        <v>12541.6985230558</v>
      </c>
      <c r="I39" s="154">
        <f>H39/H$43</f>
        <v>6.0776999568976912E-2</v>
      </c>
      <c r="J39" s="150">
        <f>SUM(I39:I42)</f>
        <v>0.98390708037822572</v>
      </c>
      <c r="M39" s="313">
        <v>34</v>
      </c>
      <c r="N39" s="244">
        <f t="shared" si="9"/>
        <v>114.44576392607669</v>
      </c>
      <c r="O39" s="313">
        <v>760003</v>
      </c>
      <c r="P39" s="314">
        <f t="shared" si="2"/>
        <v>869.79123921110067</v>
      </c>
      <c r="Q39" s="315">
        <f t="shared" si="10"/>
        <v>1.1488427989204854E-2</v>
      </c>
      <c r="R39" s="244">
        <f t="shared" si="8"/>
        <v>782.78701790045113</v>
      </c>
      <c r="S39" s="316">
        <f t="shared" si="4"/>
        <v>3.793381427729026E-3</v>
      </c>
      <c r="T39" s="463"/>
    </row>
    <row r="40" spans="4:20" x14ac:dyDescent="0.25">
      <c r="D40" s="209" t="s">
        <v>184</v>
      </c>
      <c r="E40" s="154">
        <f>SUM(R15:R19)/SUM($R$5:$R$90)</f>
        <v>2.8632997069568756E-3</v>
      </c>
      <c r="G40" s="327" t="s">
        <v>185</v>
      </c>
      <c r="H40" s="232">
        <f>SUM(R45:R64)</f>
        <v>39130.60843851672</v>
      </c>
      <c r="I40" s="154">
        <f>H40/H$43</f>
        <v>0.18962670549204635</v>
      </c>
      <c r="J40" s="472"/>
      <c r="M40" s="313">
        <v>35</v>
      </c>
      <c r="N40" s="244">
        <f t="shared" si="9"/>
        <v>121.19502601006502</v>
      </c>
      <c r="O40" s="313">
        <v>741443</v>
      </c>
      <c r="P40" s="314">
        <f t="shared" si="2"/>
        <v>898.5920366998065</v>
      </c>
      <c r="Q40" s="315">
        <f t="shared" si="10"/>
        <v>1.1868836382695657E-2</v>
      </c>
      <c r="R40" s="244">
        <f t="shared" si="8"/>
        <v>808.70690460773403</v>
      </c>
      <c r="S40" s="316">
        <f t="shared" si="4"/>
        <v>3.9189890509979545E-3</v>
      </c>
      <c r="T40" s="463"/>
    </row>
    <row r="41" spans="4:20" x14ac:dyDescent="0.25">
      <c r="D41" s="209" t="s">
        <v>186</v>
      </c>
      <c r="E41" s="154">
        <f>SUM(R20:R24)/SUM($R$5:$R$90)</f>
        <v>4.1505469465259581E-3</v>
      </c>
      <c r="G41" s="327" t="s">
        <v>187</v>
      </c>
      <c r="H41" s="232">
        <f>SUM(R65:R84)</f>
        <v>82630.604530085693</v>
      </c>
      <c r="I41" s="154">
        <f>H41/H$43</f>
        <v>0.40042743865012742</v>
      </c>
      <c r="J41" s="472"/>
      <c r="M41" s="313">
        <v>36</v>
      </c>
      <c r="N41" s="244">
        <f t="shared" si="9"/>
        <v>128.34231539638125</v>
      </c>
      <c r="O41" s="313">
        <v>746952</v>
      </c>
      <c r="P41" s="314">
        <f t="shared" si="2"/>
        <v>958.65549169957774</v>
      </c>
      <c r="Q41" s="315">
        <f t="shared" si="10"/>
        <v>1.2662170054547282E-2</v>
      </c>
      <c r="R41" s="244">
        <f t="shared" si="8"/>
        <v>862.76228100668811</v>
      </c>
      <c r="S41" s="316">
        <f t="shared" si="4"/>
        <v>4.1809410969716795E-3</v>
      </c>
      <c r="T41" s="463"/>
    </row>
    <row r="42" spans="4:20" x14ac:dyDescent="0.25">
      <c r="D42" s="209" t="s">
        <v>188</v>
      </c>
      <c r="E42" s="154">
        <f>SUM(R25:R29)/SUM($R$5:$R$90)</f>
        <v>8.8009279985932221E-3</v>
      </c>
      <c r="G42" s="327" t="s">
        <v>189</v>
      </c>
      <c r="H42" s="232">
        <f>SUM(D18,R85:R89)</f>
        <v>68732.217986870935</v>
      </c>
      <c r="I42" s="154">
        <f>H42/H$43</f>
        <v>0.33307593666707502</v>
      </c>
      <c r="J42" s="472"/>
      <c r="M42" s="313">
        <v>37</v>
      </c>
      <c r="N42" s="244">
        <f t="shared" si="9"/>
        <v>135.91110513014178</v>
      </c>
      <c r="O42" s="313">
        <v>745065</v>
      </c>
      <c r="P42" s="314">
        <f t="shared" si="2"/>
        <v>1012.6260754378909</v>
      </c>
      <c r="Q42" s="315">
        <f t="shared" si="10"/>
        <v>1.3375027504543368E-2</v>
      </c>
      <c r="R42" s="244">
        <f t="shared" si="8"/>
        <v>911.33424907707149</v>
      </c>
      <c r="S42" s="316">
        <f t="shared" si="4"/>
        <v>4.4163205774344879E-3</v>
      </c>
      <c r="T42" s="463"/>
    </row>
    <row r="43" spans="4:20" x14ac:dyDescent="0.25">
      <c r="D43" s="209" t="s">
        <v>190</v>
      </c>
      <c r="E43" s="154">
        <f>SUM(R30:R34)/SUM($R$5:$R$90)</f>
        <v>1.2765093535786332E-2</v>
      </c>
      <c r="G43" s="238" t="s">
        <v>157</v>
      </c>
      <c r="H43" s="155">
        <f>SUM(H38:H42)</f>
        <v>206356</v>
      </c>
      <c r="I43" s="285" t="str">
        <f>IF(D19=H43,"OK","Something's wrong")</f>
        <v>OK</v>
      </c>
      <c r="M43" s="313">
        <v>38</v>
      </c>
      <c r="N43" s="244">
        <f t="shared" si="9"/>
        <v>143.92625254302743</v>
      </c>
      <c r="O43" s="313">
        <v>749311</v>
      </c>
      <c r="P43" s="314">
        <f t="shared" si="2"/>
        <v>1078.4552421926842</v>
      </c>
      <c r="Q43" s="315">
        <f t="shared" si="10"/>
        <v>1.4244516190745521E-2</v>
      </c>
      <c r="R43" s="244">
        <f t="shared" si="8"/>
        <v>970.57859968882758</v>
      </c>
      <c r="S43" s="316">
        <f t="shared" si="4"/>
        <v>4.7034183628720623E-3</v>
      </c>
      <c r="T43" s="463"/>
    </row>
    <row r="44" spans="4:20" x14ac:dyDescent="0.25">
      <c r="D44" s="209" t="s">
        <v>191</v>
      </c>
      <c r="E44" s="154">
        <f>SUM(R35:R39)/SUM($R$5:$R$90)</f>
        <v>1.7000144173112082E-2</v>
      </c>
      <c r="M44" s="313">
        <v>39</v>
      </c>
      <c r="N44" s="244">
        <f t="shared" si="9"/>
        <v>152.41408088944505</v>
      </c>
      <c r="O44" s="313">
        <v>750871</v>
      </c>
      <c r="P44" s="314">
        <f t="shared" si="2"/>
        <v>1144.433133315385</v>
      </c>
      <c r="Q44" s="315">
        <f t="shared" si="10"/>
        <v>1.5115969266923013E-2</v>
      </c>
      <c r="R44" s="244">
        <f t="shared" si="8"/>
        <v>1029.9567979403334</v>
      </c>
      <c r="S44" s="316">
        <f t="shared" si="4"/>
        <v>4.9911647732090812E-3</v>
      </c>
      <c r="T44" s="472"/>
    </row>
    <row r="45" spans="4:20" x14ac:dyDescent="0.25">
      <c r="D45" s="209" t="s">
        <v>192</v>
      </c>
      <c r="E45" s="154">
        <f>SUM(R40:R44)/SUM($R$5:$R$90)</f>
        <v>2.2210833861485264E-2</v>
      </c>
      <c r="M45" s="313">
        <v>40</v>
      </c>
      <c r="N45" s="244">
        <f t="shared" si="9"/>
        <v>161.40246579705519</v>
      </c>
      <c r="O45" s="313">
        <v>721254</v>
      </c>
      <c r="P45" s="314">
        <f t="shared" si="2"/>
        <v>1164.1217406598923</v>
      </c>
      <c r="Q45" s="315">
        <f t="shared" si="10"/>
        <v>1.5376021492661981E-2</v>
      </c>
      <c r="R45" s="244">
        <f t="shared" si="8"/>
        <v>1047.6759764455094</v>
      </c>
      <c r="S45" s="316">
        <f t="shared" si="4"/>
        <v>5.0770318112655271E-3</v>
      </c>
      <c r="T45" s="472"/>
    </row>
    <row r="46" spans="4:20" x14ac:dyDescent="0.25">
      <c r="D46" s="209" t="s">
        <v>193</v>
      </c>
      <c r="E46" s="154">
        <f>SUM(R45:R49)/SUM($R$5:$R$90)</f>
        <v>2.7010475354457865E-2</v>
      </c>
      <c r="M46" s="313">
        <v>41</v>
      </c>
      <c r="N46" s="244">
        <f t="shared" si="9"/>
        <v>170.92092681558552</v>
      </c>
      <c r="O46" s="313">
        <v>672514</v>
      </c>
      <c r="P46" s="314">
        <f t="shared" si="2"/>
        <v>1149.4671617645668</v>
      </c>
      <c r="Q46" s="315">
        <f t="shared" si="10"/>
        <v>1.5182460018642341E-2</v>
      </c>
      <c r="R46" s="244">
        <f t="shared" si="8"/>
        <v>1034.4872782902332</v>
      </c>
      <c r="S46" s="316">
        <f t="shared" si="4"/>
        <v>5.0131194551659899E-3</v>
      </c>
      <c r="T46" s="247"/>
    </row>
    <row r="47" spans="4:20" x14ac:dyDescent="0.25">
      <c r="D47" s="209" t="s">
        <v>194</v>
      </c>
      <c r="E47" s="154">
        <f>SUM(R50:R54)/SUM($R$5:$R$90)</f>
        <v>3.9298343200717636E-2</v>
      </c>
      <c r="M47" s="313">
        <v>42</v>
      </c>
      <c r="N47" s="244">
        <f t="shared" si="9"/>
        <v>181.0007243645949</v>
      </c>
      <c r="O47" s="313">
        <v>661799</v>
      </c>
      <c r="P47" s="314">
        <f t="shared" si="2"/>
        <v>1197.8609838376453</v>
      </c>
      <c r="Q47" s="315">
        <f t="shared" si="10"/>
        <v>1.5821658156017489E-2</v>
      </c>
      <c r="R47" s="244">
        <f t="shared" si="8"/>
        <v>1078.0403217765636</v>
      </c>
      <c r="S47" s="316">
        <f t="shared" si="4"/>
        <v>5.2241772556967728E-3</v>
      </c>
      <c r="T47" s="247"/>
    </row>
    <row r="48" spans="4:20" x14ac:dyDescent="0.25">
      <c r="D48" s="209" t="s">
        <v>195</v>
      </c>
      <c r="E48" s="154">
        <f>SUM(R55:R59)/SUM($R$5:$R$90)</f>
        <v>5.4908516186649048E-2</v>
      </c>
      <c r="G48" s="14" t="s">
        <v>196</v>
      </c>
      <c r="M48" s="313">
        <v>43</v>
      </c>
      <c r="N48" s="244">
        <f t="shared" si="9"/>
        <v>191.67496239858141</v>
      </c>
      <c r="O48" s="313">
        <v>673246</v>
      </c>
      <c r="P48" s="314">
        <f t="shared" si="2"/>
        <v>1290.4440173499534</v>
      </c>
      <c r="Q48" s="315">
        <f t="shared" si="10"/>
        <v>1.7044518844397154E-2</v>
      </c>
      <c r="R48" s="244">
        <f t="shared" si="8"/>
        <v>1161.3623805006889</v>
      </c>
      <c r="S48" s="316">
        <f t="shared" si="4"/>
        <v>5.6279554774306953E-3</v>
      </c>
      <c r="T48" s="247"/>
    </row>
    <row r="49" spans="4:20" x14ac:dyDescent="0.25">
      <c r="D49" s="209" t="s">
        <v>197</v>
      </c>
      <c r="E49" s="154">
        <f>SUM(R60:R64)/SUM($R$5:$R$90)</f>
        <v>6.8409370750221785E-2</v>
      </c>
      <c r="G49" s="199" t="s">
        <v>198</v>
      </c>
      <c r="H49" s="153">
        <f>SUM(R21:R34)</f>
        <v>5196.7450678359692</v>
      </c>
      <c r="I49" s="154">
        <f t="shared" ref="I49:I55" si="11">H49/SUM(adm_AgeDist2)</f>
        <v>2.5501542604300279E-2</v>
      </c>
      <c r="M49" s="313">
        <v>44</v>
      </c>
      <c r="N49" s="244">
        <f t="shared" si="9"/>
        <v>202.97869712660722</v>
      </c>
      <c r="O49" s="313">
        <v>685484</v>
      </c>
      <c r="P49" s="314">
        <f t="shared" si="2"/>
        <v>1391.3864922113523</v>
      </c>
      <c r="Q49" s="315">
        <f t="shared" si="10"/>
        <v>1.8377793199458634E-2</v>
      </c>
      <c r="R49" s="244">
        <f t="shared" si="8"/>
        <v>1252.2076952315128</v>
      </c>
      <c r="S49" s="316">
        <f t="shared" si="4"/>
        <v>6.0681913548988765E-3</v>
      </c>
      <c r="T49" s="247"/>
    </row>
    <row r="50" spans="4:20" x14ac:dyDescent="0.25">
      <c r="D50" s="209" t="s">
        <v>199</v>
      </c>
      <c r="E50" s="154">
        <f>SUM(R65:R69)/SUM($R$5:$R$90)</f>
        <v>7.7200675129177887E-2</v>
      </c>
      <c r="G50" s="199" t="s">
        <v>200</v>
      </c>
      <c r="H50" s="153">
        <f>SUM(R35:R44)</f>
        <v>8091.4205833073729</v>
      </c>
      <c r="I50" s="154">
        <f t="shared" si="11"/>
        <v>3.9706336185633004E-2</v>
      </c>
      <c r="M50" s="313">
        <v>45</v>
      </c>
      <c r="N50" s="244">
        <f t="shared" si="9"/>
        <v>214.94905214349404</v>
      </c>
      <c r="O50" s="313">
        <v>696569</v>
      </c>
      <c r="P50" s="314">
        <f t="shared" si="2"/>
        <v>1497.268463025415</v>
      </c>
      <c r="Q50" s="315">
        <f t="shared" si="10"/>
        <v>1.9776309696538711E-2</v>
      </c>
      <c r="R50" s="244">
        <f t="shared" si="8"/>
        <v>1347.4984137930583</v>
      </c>
      <c r="S50" s="316">
        <f t="shared" si="4"/>
        <v>6.5299696339968689E-3</v>
      </c>
      <c r="T50" s="247"/>
    </row>
    <row r="51" spans="4:20" x14ac:dyDescent="0.25">
      <c r="D51" s="209" t="s">
        <v>201</v>
      </c>
      <c r="E51" s="154">
        <f>SUM(R70:R74)/SUM($R$5:$R$90)</f>
        <v>9.1411954579816476E-2</v>
      </c>
      <c r="G51" s="199" t="s">
        <v>202</v>
      </c>
      <c r="H51" s="153">
        <f>SUM(R45:R54)</f>
        <v>13683.2225617718</v>
      </c>
      <c r="I51" s="154">
        <f t="shared" si="11"/>
        <v>6.7146507779042061E-2</v>
      </c>
      <c r="M51" s="313">
        <v>46</v>
      </c>
      <c r="N51" s="244">
        <f t="shared" si="9"/>
        <v>227.62534035070436</v>
      </c>
      <c r="O51" s="313">
        <v>725600</v>
      </c>
      <c r="P51" s="314">
        <f t="shared" si="2"/>
        <v>1651.6494695847109</v>
      </c>
      <c r="Q51" s="315">
        <f t="shared" si="10"/>
        <v>2.1815414020429212E-2</v>
      </c>
      <c r="R51" s="244">
        <f t="shared" si="8"/>
        <v>1486.4368651099853</v>
      </c>
      <c r="S51" s="316">
        <f t="shared" si="4"/>
        <v>7.203264577283844E-3</v>
      </c>
      <c r="T51" s="247"/>
    </row>
    <row r="52" spans="4:20" x14ac:dyDescent="0.25">
      <c r="D52" s="209" t="s">
        <v>203</v>
      </c>
      <c r="E52" s="154">
        <f>SUM(R75:R79)/SUM($R$5:$R$90)</f>
        <v>0.12034447808651452</v>
      </c>
      <c r="G52" s="199" t="s">
        <v>204</v>
      </c>
      <c r="H52" s="153">
        <f>SUM(R55:R64)</f>
        <v>25447.38587674492</v>
      </c>
      <c r="I52" s="154">
        <f t="shared" si="11"/>
        <v>0.12487578024952353</v>
      </c>
      <c r="M52" s="313">
        <v>47</v>
      </c>
      <c r="N52" s="244">
        <f t="shared" si="9"/>
        <v>241.04919306731762</v>
      </c>
      <c r="O52" s="313">
        <v>755206</v>
      </c>
      <c r="P52" s="314">
        <f t="shared" si="2"/>
        <v>1820.4179689959667</v>
      </c>
      <c r="Q52" s="315">
        <f t="shared" si="10"/>
        <v>2.4044552076695379E-2</v>
      </c>
      <c r="R52" s="244">
        <f t="shared" si="8"/>
        <v>1638.323644849793</v>
      </c>
      <c r="S52" s="316">
        <f t="shared" si="4"/>
        <v>7.9393070463170089E-3</v>
      </c>
      <c r="T52" s="247"/>
    </row>
    <row r="53" spans="4:20" x14ac:dyDescent="0.25">
      <c r="D53" s="209" t="s">
        <v>205</v>
      </c>
      <c r="E53" s="154">
        <f>SUM(R80:R84)/SUM($R$5:$R$90)</f>
        <v>0.11147033085461851</v>
      </c>
      <c r="G53" s="199" t="s">
        <v>206</v>
      </c>
      <c r="H53" s="153">
        <f>SUM(R65:R74)</f>
        <v>34794.22781622925</v>
      </c>
      <c r="I53" s="154">
        <f t="shared" si="11"/>
        <v>0.17074273828267519</v>
      </c>
      <c r="M53" s="313">
        <v>48</v>
      </c>
      <c r="N53" s="244">
        <f t="shared" si="9"/>
        <v>255.26469675512632</v>
      </c>
      <c r="O53" s="313">
        <v>778729</v>
      </c>
      <c r="P53" s="314">
        <f t="shared" si="2"/>
        <v>1987.8202203942278</v>
      </c>
      <c r="Q53" s="315">
        <f t="shared" si="10"/>
        <v>2.6255644375307193E-2</v>
      </c>
      <c r="R53" s="244">
        <f t="shared" si="8"/>
        <v>1788.9808408003062</v>
      </c>
      <c r="S53" s="316">
        <f t="shared" si="4"/>
        <v>8.6693909593145123E-3</v>
      </c>
      <c r="T53" s="247"/>
    </row>
    <row r="54" spans="4:20" x14ac:dyDescent="0.25">
      <c r="D54" s="209" t="s">
        <v>189</v>
      </c>
      <c r="E54" s="154">
        <f>SUM(R85:R89)/SUM($R$5:$R$90)+S90</f>
        <v>0.33307593666707491</v>
      </c>
      <c r="G54" s="199" t="s">
        <v>207</v>
      </c>
      <c r="H54" s="153">
        <f>SUM(R75:R84)</f>
        <v>47836.376713856458</v>
      </c>
      <c r="I54" s="154">
        <f t="shared" si="11"/>
        <v>0.23474336009939392</v>
      </c>
      <c r="M54" s="313">
        <v>49</v>
      </c>
      <c r="N54" s="244">
        <f t="shared" si="9"/>
        <v>270.31853780688397</v>
      </c>
      <c r="O54" s="313">
        <v>759708</v>
      </c>
      <c r="P54" s="314">
        <f t="shared" si="2"/>
        <v>2053.6315572019221</v>
      </c>
      <c r="Q54" s="315">
        <f t="shared" si="10"/>
        <v>2.7124897558949576E-2</v>
      </c>
      <c r="R54" s="244">
        <f t="shared" si="8"/>
        <v>1848.2091449741472</v>
      </c>
      <c r="S54" s="316">
        <f t="shared" si="4"/>
        <v>8.956410983805398E-3</v>
      </c>
      <c r="T54" s="247"/>
    </row>
    <row r="55" spans="4:20" x14ac:dyDescent="0.25">
      <c r="D55" s="209" t="s">
        <v>173</v>
      </c>
      <c r="E55" s="154">
        <f>SUM(E38:E54)</f>
        <v>0.99999999999999989</v>
      </c>
      <c r="G55" s="199" t="s">
        <v>189</v>
      </c>
      <c r="H55" s="153">
        <f>SUM(R85:R90)</f>
        <v>68732.217986870935</v>
      </c>
      <c r="I55" s="154">
        <f t="shared" si="11"/>
        <v>0.33728373479943197</v>
      </c>
      <c r="M55" s="313">
        <v>50</v>
      </c>
      <c r="N55" s="244">
        <f t="shared" si="9"/>
        <v>286.26015587321643</v>
      </c>
      <c r="O55" s="313">
        <v>776578</v>
      </c>
      <c r="P55" s="314">
        <f t="shared" si="2"/>
        <v>2223.0333932771064</v>
      </c>
      <c r="Q55" s="315">
        <f t="shared" si="10"/>
        <v>2.9362400889925876E-2</v>
      </c>
      <c r="R55" s="244">
        <f t="shared" si="8"/>
        <v>2000.6659094368795</v>
      </c>
      <c r="S55" s="316">
        <f t="shared" si="4"/>
        <v>9.6952155955575756E-3</v>
      </c>
      <c r="T55" s="247"/>
    </row>
    <row r="56" spans="4:20" x14ac:dyDescent="0.25">
      <c r="M56" s="313">
        <v>51</v>
      </c>
      <c r="N56" s="244">
        <f t="shared" si="9"/>
        <v>303.14190623174994</v>
      </c>
      <c r="O56" s="313">
        <v>775173</v>
      </c>
      <c r="P56" s="314">
        <f t="shared" si="2"/>
        <v>2349.8742087938431</v>
      </c>
      <c r="Q56" s="315">
        <f t="shared" si="10"/>
        <v>3.1037747236800705E-2</v>
      </c>
      <c r="R56" s="244">
        <f t="shared" si="8"/>
        <v>2114.8189834738896</v>
      </c>
      <c r="S56" s="316">
        <f t="shared" si="4"/>
        <v>1.0248400741795194E-2</v>
      </c>
      <c r="T56" s="247"/>
    </row>
    <row r="57" spans="4:20" x14ac:dyDescent="0.25">
      <c r="M57" s="313">
        <v>52</v>
      </c>
      <c r="N57" s="244">
        <f t="shared" si="9"/>
        <v>321.01923173170854</v>
      </c>
      <c r="O57" s="313">
        <v>785471</v>
      </c>
      <c r="P57" s="314">
        <f t="shared" si="2"/>
        <v>2521.5129696753684</v>
      </c>
      <c r="Q57" s="315">
        <f t="shared" si="10"/>
        <v>3.3304796450048961E-2</v>
      </c>
      <c r="R57" s="244">
        <f t="shared" si="8"/>
        <v>2269.2889157169861</v>
      </c>
      <c r="S57" s="316">
        <f t="shared" si="4"/>
        <v>1.0996961153138196E-2</v>
      </c>
      <c r="T57" s="247"/>
    </row>
    <row r="58" spans="4:20" x14ac:dyDescent="0.25">
      <c r="M58" s="313">
        <v>53</v>
      </c>
      <c r="N58" s="244">
        <f t="shared" si="9"/>
        <v>339.95084487867791</v>
      </c>
      <c r="O58" s="313">
        <v>784074</v>
      </c>
      <c r="P58" s="314">
        <f t="shared" si="2"/>
        <v>2665.466187474045</v>
      </c>
      <c r="Q58" s="315">
        <f t="shared" si="10"/>
        <v>3.5206167838882918E-2</v>
      </c>
      <c r="R58" s="244">
        <f t="shared" si="8"/>
        <v>2398.8426580379655</v>
      </c>
      <c r="S58" s="316">
        <f t="shared" si="4"/>
        <v>1.1624777850113226E-2</v>
      </c>
      <c r="T58" s="247"/>
    </row>
    <row r="59" spans="4:20" x14ac:dyDescent="0.25">
      <c r="M59" s="313">
        <v>54</v>
      </c>
      <c r="N59" s="244">
        <f t="shared" si="9"/>
        <v>359.99892065753738</v>
      </c>
      <c r="O59" s="313">
        <v>786165</v>
      </c>
      <c r="P59" s="314">
        <f t="shared" si="2"/>
        <v>2830.1855145873292</v>
      </c>
      <c r="Q59" s="315">
        <f t="shared" si="10"/>
        <v>3.7381823378581869E-2</v>
      </c>
      <c r="R59" s="244">
        <f t="shared" si="8"/>
        <v>2547.0852995464329</v>
      </c>
      <c r="S59" s="316">
        <f t="shared" si="4"/>
        <v>1.2343160846044856E-2</v>
      </c>
      <c r="T59" s="247"/>
    </row>
    <row r="60" spans="4:20" x14ac:dyDescent="0.25">
      <c r="M60" s="313">
        <v>55</v>
      </c>
      <c r="N60" s="244">
        <f t="shared" si="9"/>
        <v>381.22930072682561</v>
      </c>
      <c r="O60" s="313">
        <v>777616</v>
      </c>
      <c r="P60" s="314">
        <f t="shared" si="2"/>
        <v>2964.5000391399121</v>
      </c>
      <c r="Q60" s="315">
        <f t="shared" si="10"/>
        <v>3.9155884410314257E-2</v>
      </c>
      <c r="R60" s="244">
        <f t="shared" si="8"/>
        <v>2667.9644960655824</v>
      </c>
      <c r="S60" s="316">
        <f t="shared" si="4"/>
        <v>1.2928940743499494E-2</v>
      </c>
      <c r="T60" s="247"/>
    </row>
    <row r="61" spans="4:20" x14ac:dyDescent="0.25">
      <c r="F61" s="126"/>
      <c r="M61" s="313">
        <v>56</v>
      </c>
      <c r="N61" s="244">
        <f t="shared" si="9"/>
        <v>403.71170965515341</v>
      </c>
      <c r="O61" s="313">
        <v>758665</v>
      </c>
      <c r="P61" s="314">
        <f t="shared" si="2"/>
        <v>3062.8194420552695</v>
      </c>
      <c r="Q61" s="315">
        <f t="shared" si="10"/>
        <v>4.0454512551659057E-2</v>
      </c>
      <c r="R61" s="244">
        <f t="shared" si="8"/>
        <v>2756.449121732393</v>
      </c>
      <c r="S61" s="316">
        <f t="shared" si="4"/>
        <v>1.3357736735216771E-2</v>
      </c>
      <c r="T61" s="247"/>
    </row>
    <row r="62" spans="4:20" x14ac:dyDescent="0.25">
      <c r="M62" s="313">
        <v>57</v>
      </c>
      <c r="N62" s="244">
        <f t="shared" si="9"/>
        <v>427.51998390982664</v>
      </c>
      <c r="O62" s="313">
        <v>740085</v>
      </c>
      <c r="P62" s="314">
        <f t="shared" si="2"/>
        <v>3164.0112729190405</v>
      </c>
      <c r="Q62" s="315">
        <f t="shared" si="10"/>
        <v>4.1791080465390457E-2</v>
      </c>
      <c r="R62" s="244">
        <f t="shared" si="8"/>
        <v>2847.5188496703095</v>
      </c>
      <c r="S62" s="316">
        <f t="shared" si="4"/>
        <v>1.3799060117807618E-2</v>
      </c>
      <c r="T62" s="247"/>
    </row>
    <row r="63" spans="4:20" x14ac:dyDescent="0.25">
      <c r="M63" s="313">
        <v>58</v>
      </c>
      <c r="N63" s="244">
        <f t="shared" si="9"/>
        <v>452.73231434971666</v>
      </c>
      <c r="O63" s="313">
        <v>712624</v>
      </c>
      <c r="P63" s="314">
        <f t="shared" si="2"/>
        <v>3226.2791278115251</v>
      </c>
      <c r="Q63" s="315">
        <f t="shared" si="10"/>
        <v>4.2613530422029929E-2</v>
      </c>
      <c r="R63" s="244">
        <f t="shared" si="8"/>
        <v>2903.5581223658533</v>
      </c>
      <c r="S63" s="316">
        <f t="shared" si="4"/>
        <v>1.4070626113928611E-2</v>
      </c>
      <c r="T63" s="247"/>
    </row>
    <row r="64" spans="4:20" x14ac:dyDescent="0.25">
      <c r="M64" s="313">
        <v>59</v>
      </c>
      <c r="N64" s="244">
        <f t="shared" si="9"/>
        <v>479.43150301877472</v>
      </c>
      <c r="O64" s="313">
        <v>681661</v>
      </c>
      <c r="P64" s="314">
        <f t="shared" si="2"/>
        <v>3268.0975777928102</v>
      </c>
      <c r="Q64" s="315">
        <f t="shared" si="10"/>
        <v>4.3165879341600454E-2</v>
      </c>
      <c r="R64" s="244">
        <f t="shared" si="8"/>
        <v>2941.19352069863</v>
      </c>
      <c r="S64" s="316">
        <f t="shared" si="4"/>
        <v>1.4253007039769278E-2</v>
      </c>
      <c r="T64" s="247"/>
    </row>
    <row r="65" spans="3:64" x14ac:dyDescent="0.25">
      <c r="M65" s="313">
        <v>60</v>
      </c>
      <c r="N65" s="244">
        <f t="shared" si="9"/>
        <v>507.70523508354768</v>
      </c>
      <c r="O65" s="313">
        <v>664457</v>
      </c>
      <c r="P65" s="314">
        <f t="shared" si="2"/>
        <v>3373.4829738790881</v>
      </c>
      <c r="Q65" s="315">
        <f t="shared" si="10"/>
        <v>4.4557836951048382E-2</v>
      </c>
      <c r="R65" s="244">
        <f t="shared" si="8"/>
        <v>3036.0373363335834</v>
      </c>
      <c r="S65" s="316">
        <f t="shared" si="4"/>
        <v>1.4712619629831857E-2</v>
      </c>
      <c r="T65" s="247"/>
    </row>
    <row r="66" spans="3:64" x14ac:dyDescent="0.25">
      <c r="M66" s="313">
        <v>61</v>
      </c>
      <c r="N66" s="244">
        <f t="shared" si="9"/>
        <v>537.64636680778619</v>
      </c>
      <c r="O66" s="313">
        <v>649021</v>
      </c>
      <c r="P66" s="314">
        <f t="shared" si="2"/>
        <v>3489.4378263195622</v>
      </c>
      <c r="Q66" s="315">
        <f t="shared" si="10"/>
        <v>4.6089398677824925E-2</v>
      </c>
      <c r="R66" s="244">
        <f t="shared" si="8"/>
        <v>3140.3933577109569</v>
      </c>
      <c r="S66" s="316">
        <f t="shared" si="4"/>
        <v>1.5218328314713194E-2</v>
      </c>
      <c r="T66" s="247"/>
    </row>
    <row r="67" spans="3:64" x14ac:dyDescent="0.25">
      <c r="M67" s="313">
        <v>62</v>
      </c>
      <c r="N67" s="244">
        <f t="shared" si="9"/>
        <v>569.35323050991269</v>
      </c>
      <c r="O67" s="313">
        <v>622905</v>
      </c>
      <c r="P67" s="314">
        <f t="shared" si="2"/>
        <v>3546.5297405077713</v>
      </c>
      <c r="Q67" s="315">
        <f t="shared" si="10"/>
        <v>4.6843483468920318E-2</v>
      </c>
      <c r="R67" s="244">
        <f t="shared" si="8"/>
        <v>3191.7744331218237</v>
      </c>
      <c r="S67" s="316">
        <f t="shared" si="4"/>
        <v>1.5467320713339195E-2</v>
      </c>
      <c r="T67" s="247"/>
    </row>
    <row r="68" spans="3:64" x14ac:dyDescent="0.25">
      <c r="M68" s="313">
        <v>63</v>
      </c>
      <c r="N68" s="244">
        <f t="shared" si="9"/>
        <v>602.92995750488387</v>
      </c>
      <c r="O68" s="313">
        <v>599252</v>
      </c>
      <c r="P68" s="314">
        <f t="shared" si="2"/>
        <v>3613.069828947167</v>
      </c>
      <c r="Q68" s="315">
        <f t="shared" si="10"/>
        <v>4.7722362192882478E-2</v>
      </c>
      <c r="R68" s="244">
        <f t="shared" si="8"/>
        <v>3251.6585927364335</v>
      </c>
      <c r="S68" s="316">
        <f t="shared" si="4"/>
        <v>1.5757519009558397E-2</v>
      </c>
      <c r="T68" s="247"/>
    </row>
    <row r="69" spans="3:64" x14ac:dyDescent="0.25">
      <c r="L69" s="312"/>
      <c r="M69" s="313">
        <v>64</v>
      </c>
      <c r="N69" s="244">
        <f t="shared" si="9"/>
        <v>638.48682009105062</v>
      </c>
      <c r="O69" s="313">
        <v>576200</v>
      </c>
      <c r="P69" s="314">
        <f t="shared" si="2"/>
        <v>3678.9610573646337</v>
      </c>
      <c r="Q69" s="315">
        <f t="shared" si="10"/>
        <v>4.8592670605601032E-2</v>
      </c>
      <c r="R69" s="244">
        <f t="shared" si="8"/>
        <v>3310.9587970538373</v>
      </c>
      <c r="S69" s="316">
        <f t="shared" si="4"/>
        <v>1.6044887461735238E-2</v>
      </c>
      <c r="T69" s="247"/>
    </row>
    <row r="70" spans="3:64" x14ac:dyDescent="0.25">
      <c r="M70" s="317">
        <v>65</v>
      </c>
      <c r="N70" s="318">
        <f t="shared" si="9"/>
        <v>676.14059370516441</v>
      </c>
      <c r="O70" s="317">
        <v>575744</v>
      </c>
      <c r="P70" s="319">
        <f t="shared" ref="P70:P90" si="12">N70*O70/100000</f>
        <v>3892.838899821862</v>
      </c>
      <c r="Q70" s="320">
        <f>P70/SUM($P$70:$P$89)</f>
        <v>3.8620795094010417E-2</v>
      </c>
      <c r="R70" s="318">
        <f t="shared" ref="R70:R89" si="13">Q70*$D$17</f>
        <v>3455.0549499052659</v>
      </c>
      <c r="S70" s="321">
        <f t="shared" ref="S70:S90" si="14">R70/SUM($R$5:$R$90)</f>
        <v>1.6743176597265236E-2</v>
      </c>
      <c r="T70" s="472"/>
    </row>
    <row r="71" spans="3:64" x14ac:dyDescent="0.25">
      <c r="M71" s="317">
        <v>66</v>
      </c>
      <c r="N71" s="318">
        <f t="shared" si="9"/>
        <v>716.01494043491516</v>
      </c>
      <c r="O71" s="317">
        <v>566050</v>
      </c>
      <c r="P71" s="319">
        <f t="shared" si="12"/>
        <v>4053.0025703318374</v>
      </c>
      <c r="Q71" s="320">
        <f t="shared" ref="Q71:Q89" si="15">P71/SUM($P$70:$P$89)</f>
        <v>4.0209776415727434E-2</v>
      </c>
      <c r="R71" s="318">
        <f t="shared" si="13"/>
        <v>3597.2068079273922</v>
      </c>
      <c r="S71" s="321">
        <f t="shared" si="14"/>
        <v>1.7432043691132756E-2</v>
      </c>
      <c r="T71" s="472"/>
    </row>
    <row r="72" spans="3:64" x14ac:dyDescent="0.25">
      <c r="M72" s="317">
        <v>67</v>
      </c>
      <c r="N72" s="318">
        <f t="shared" si="9"/>
        <v>758.2408151485306</v>
      </c>
      <c r="O72" s="317">
        <v>547827</v>
      </c>
      <c r="P72" s="319">
        <f t="shared" si="12"/>
        <v>4153.8479104037406</v>
      </c>
      <c r="Q72" s="320">
        <f t="shared" si="15"/>
        <v>4.1210261489815908E-2</v>
      </c>
      <c r="R72" s="318">
        <f t="shared" si="13"/>
        <v>3686.7112031404208</v>
      </c>
      <c r="S72" s="321">
        <f t="shared" si="14"/>
        <v>1.7865781480259454E-2</v>
      </c>
    </row>
    <row r="73" spans="3:64" x14ac:dyDescent="0.25">
      <c r="C73" s="184"/>
      <c r="D73" s="184"/>
      <c r="E73" s="184"/>
      <c r="F73" s="184"/>
      <c r="G73" s="184"/>
      <c r="H73" s="184"/>
      <c r="I73" s="184"/>
      <c r="J73" s="184"/>
      <c r="K73" s="184"/>
      <c r="L73" s="184"/>
      <c r="M73" s="317">
        <v>68</v>
      </c>
      <c r="N73" s="318">
        <f t="shared" si="9"/>
        <v>802.9568955752377</v>
      </c>
      <c r="O73" s="317">
        <v>549233</v>
      </c>
      <c r="P73" s="319">
        <f t="shared" si="12"/>
        <v>4410.1042462747455</v>
      </c>
      <c r="Q73" s="320">
        <f t="shared" si="15"/>
        <v>4.375257667261704E-2</v>
      </c>
      <c r="R73" s="318">
        <f t="shared" si="13"/>
        <v>3914.149261708993</v>
      </c>
      <c r="S73" s="321">
        <f t="shared" si="14"/>
        <v>1.8967945015938435E-2</v>
      </c>
    </row>
    <row r="74" spans="3:64" x14ac:dyDescent="0.25">
      <c r="C74" s="184"/>
      <c r="D74" s="184"/>
      <c r="E74" s="184"/>
      <c r="F74" s="184"/>
      <c r="G74" s="184"/>
      <c r="H74" s="184"/>
      <c r="I74" s="184"/>
      <c r="J74" s="184"/>
      <c r="K74" s="184"/>
      <c r="L74" s="184"/>
      <c r="M74" s="317">
        <v>69</v>
      </c>
      <c r="N74" s="318">
        <f t="shared" si="9"/>
        <v>850.31003774905741</v>
      </c>
      <c r="O74" s="317">
        <v>557886</v>
      </c>
      <c r="P74" s="319">
        <f t="shared" si="12"/>
        <v>4743.7606571967062</v>
      </c>
      <c r="Q74" s="320">
        <f t="shared" si="15"/>
        <v>4.7062776814372112E-2</v>
      </c>
      <c r="R74" s="318">
        <f t="shared" si="13"/>
        <v>4210.2830765905437</v>
      </c>
      <c r="S74" s="321">
        <f t="shared" si="14"/>
        <v>2.0403007795220602E-2</v>
      </c>
    </row>
    <row r="75" spans="3:64" x14ac:dyDescent="0.25">
      <c r="C75" s="184"/>
      <c r="D75" s="184"/>
      <c r="E75" s="184"/>
      <c r="F75" s="184"/>
      <c r="G75" s="184"/>
      <c r="H75" s="184"/>
      <c r="I75" s="184"/>
      <c r="J75" s="184"/>
      <c r="K75" s="184"/>
      <c r="L75" s="184"/>
      <c r="M75" s="317">
        <v>70</v>
      </c>
      <c r="N75" s="318">
        <f t="shared" si="9"/>
        <v>900.45575831169288</v>
      </c>
      <c r="O75" s="317">
        <v>569617</v>
      </c>
      <c r="P75" s="319">
        <f t="shared" si="12"/>
        <v>5129.1490768223157</v>
      </c>
      <c r="Q75" s="320">
        <f t="shared" si="15"/>
        <v>5.088620942203699E-2</v>
      </c>
      <c r="R75" s="318">
        <f t="shared" si="13"/>
        <v>4552.3311811048516</v>
      </c>
      <c r="S75" s="321">
        <f t="shared" si="14"/>
        <v>2.2060570960402655E-2</v>
      </c>
      <c r="T75" s="184"/>
      <c r="U75" s="184"/>
      <c r="V75" s="184"/>
      <c r="X75" s="184"/>
      <c r="Y75" s="184"/>
      <c r="Z75" s="184"/>
      <c r="AA75" s="184"/>
      <c r="AB75" s="184"/>
      <c r="AC75" s="184"/>
      <c r="AD75" s="184"/>
      <c r="AE75" s="184"/>
      <c r="AF75" s="184"/>
      <c r="AG75" s="184"/>
      <c r="AH75" s="184"/>
      <c r="AI75" s="184"/>
      <c r="AJ75" s="184"/>
      <c r="AK75" s="184"/>
      <c r="AL75" s="184"/>
      <c r="AM75" s="184"/>
      <c r="AN75" s="184"/>
      <c r="AO75" s="184"/>
      <c r="AP75" s="184"/>
      <c r="AQ75" s="184"/>
      <c r="AR75" s="184"/>
      <c r="AS75" s="184"/>
      <c r="AT75" s="184"/>
      <c r="AU75" s="184"/>
      <c r="AV75" s="184"/>
      <c r="AW75" s="184"/>
      <c r="AX75" s="184"/>
      <c r="AY75" s="184"/>
      <c r="AZ75" s="184"/>
      <c r="BA75" s="184"/>
      <c r="BB75" s="184"/>
      <c r="BC75" s="184"/>
      <c r="BD75" s="184"/>
      <c r="BE75" s="184"/>
      <c r="BF75" s="184"/>
      <c r="BG75" s="184"/>
      <c r="BH75" s="184"/>
      <c r="BI75" s="184"/>
      <c r="BJ75" s="184"/>
      <c r="BK75" s="184"/>
      <c r="BL75" s="184"/>
    </row>
    <row r="76" spans="3:64" x14ac:dyDescent="0.25">
      <c r="C76" s="278"/>
      <c r="D76" s="185"/>
      <c r="E76" s="185"/>
      <c r="F76" s="185"/>
      <c r="G76" s="185"/>
      <c r="H76" s="185"/>
      <c r="I76" s="185"/>
      <c r="J76" s="185"/>
      <c r="K76" s="185"/>
      <c r="L76" s="185"/>
      <c r="M76" s="317">
        <v>71</v>
      </c>
      <c r="N76" s="318">
        <f t="shared" si="9"/>
        <v>953.55874525848424</v>
      </c>
      <c r="O76" s="317">
        <v>598038</v>
      </c>
      <c r="P76" s="319">
        <f t="shared" si="12"/>
        <v>5702.643648968934</v>
      </c>
      <c r="Q76" s="320">
        <f t="shared" si="15"/>
        <v>5.6575840287422983E-2</v>
      </c>
      <c r="R76" s="318">
        <f t="shared" si="13"/>
        <v>5061.3312479531478</v>
      </c>
      <c r="S76" s="321">
        <f t="shared" si="14"/>
        <v>2.4527182383614465E-2</v>
      </c>
      <c r="T76" s="185"/>
      <c r="U76" s="185"/>
      <c r="V76" s="185"/>
      <c r="X76" s="185"/>
      <c r="Y76" s="185"/>
      <c r="Z76" s="185"/>
      <c r="AA76" s="185"/>
      <c r="AB76" s="185"/>
      <c r="AC76" s="185"/>
      <c r="AD76" s="185"/>
      <c r="AE76" s="185"/>
      <c r="AF76" s="185"/>
      <c r="AG76" s="185"/>
      <c r="AH76" s="185"/>
      <c r="AI76" s="185"/>
      <c r="AJ76" s="185"/>
      <c r="AK76" s="185"/>
      <c r="AL76" s="185"/>
      <c r="AM76" s="185"/>
      <c r="AN76" s="185"/>
      <c r="AO76" s="185"/>
      <c r="AP76" s="185"/>
      <c r="AQ76" s="185"/>
      <c r="AR76" s="185"/>
      <c r="AS76" s="185"/>
      <c r="AT76" s="185"/>
      <c r="AU76" s="185"/>
      <c r="AV76" s="185"/>
      <c r="AW76" s="185"/>
      <c r="AX76" s="185"/>
      <c r="AY76" s="185"/>
      <c r="AZ76" s="185"/>
      <c r="BA76" s="185"/>
      <c r="BB76" s="185"/>
      <c r="BC76" s="185"/>
      <c r="BD76" s="185"/>
      <c r="BE76" s="185"/>
      <c r="BF76" s="185"/>
      <c r="BG76" s="185"/>
      <c r="BH76" s="185"/>
      <c r="BI76" s="185"/>
      <c r="BJ76" s="185"/>
      <c r="BK76" s="185"/>
      <c r="BL76" s="184"/>
    </row>
    <row r="77" spans="3:64" x14ac:dyDescent="0.25">
      <c r="C77" s="185"/>
      <c r="D77" s="246"/>
      <c r="E77" s="246"/>
      <c r="F77" s="246"/>
      <c r="G77" s="246"/>
      <c r="H77" s="246"/>
      <c r="I77" s="246"/>
      <c r="J77" s="246"/>
      <c r="K77" s="246"/>
      <c r="L77" s="246"/>
      <c r="M77" s="317">
        <v>72</v>
      </c>
      <c r="N77" s="318">
        <f t="shared" si="9"/>
        <v>1009.7933988048187</v>
      </c>
      <c r="O77" s="317">
        <v>645078</v>
      </c>
      <c r="P77" s="319">
        <f t="shared" si="12"/>
        <v>6513.9550611421491</v>
      </c>
      <c r="Q77" s="320">
        <f t="shared" si="15"/>
        <v>6.4624848379796859E-2</v>
      </c>
      <c r="R77" s="318">
        <f t="shared" si="13"/>
        <v>5781.403560905007</v>
      </c>
      <c r="S77" s="321">
        <f t="shared" si="14"/>
        <v>2.8016648708566776E-2</v>
      </c>
      <c r="T77" s="246"/>
      <c r="U77" s="246"/>
      <c r="V77" s="246"/>
      <c r="X77" s="246"/>
      <c r="Y77" s="246"/>
      <c r="Z77" s="246"/>
      <c r="AA77" s="246"/>
      <c r="AB77" s="246"/>
      <c r="AC77" s="246"/>
      <c r="AD77" s="246"/>
      <c r="AE77" s="246"/>
      <c r="AF77" s="246"/>
      <c r="AG77" s="246"/>
      <c r="AH77" s="246"/>
      <c r="AI77" s="246"/>
      <c r="AJ77" s="246"/>
      <c r="AK77" s="246"/>
      <c r="AL77" s="246"/>
      <c r="AM77" s="246"/>
      <c r="AN77" s="246"/>
      <c r="AO77" s="246"/>
      <c r="AP77" s="246"/>
      <c r="AQ77" s="246"/>
      <c r="AR77" s="246"/>
      <c r="AS77" s="246"/>
      <c r="AT77" s="246"/>
      <c r="AU77" s="246"/>
      <c r="AV77" s="246"/>
      <c r="AW77" s="246"/>
      <c r="AX77" s="246"/>
      <c r="AY77" s="246"/>
      <c r="AZ77" s="246"/>
      <c r="BA77" s="246"/>
      <c r="BB77" s="246"/>
      <c r="BC77" s="246"/>
      <c r="BD77" s="246"/>
      <c r="BE77" s="246"/>
      <c r="BF77" s="246"/>
      <c r="BG77" s="246"/>
      <c r="BH77" s="246"/>
      <c r="BI77" s="246"/>
      <c r="BJ77" s="246"/>
      <c r="BK77" s="246"/>
      <c r="BL77" s="184"/>
    </row>
    <row r="78" spans="3:64" x14ac:dyDescent="0.25">
      <c r="C78" s="278"/>
      <c r="D78" s="278"/>
      <c r="E78" s="278"/>
      <c r="F78" s="278"/>
      <c r="G78" s="278"/>
      <c r="H78" s="278"/>
      <c r="I78" s="278"/>
      <c r="J78" s="278"/>
      <c r="K78" s="278"/>
      <c r="L78" s="278"/>
      <c r="M78" s="317">
        <v>73</v>
      </c>
      <c r="N78" s="318">
        <f t="shared" si="9"/>
        <v>1069.3444041493008</v>
      </c>
      <c r="O78" s="317">
        <v>493261</v>
      </c>
      <c r="P78" s="319">
        <f t="shared" si="12"/>
        <v>5274.6589013508828</v>
      </c>
      <c r="Q78" s="320">
        <f t="shared" si="15"/>
        <v>5.2329810162242384E-2</v>
      </c>
      <c r="R78" s="318">
        <f t="shared" si="13"/>
        <v>4681.477146924366</v>
      </c>
      <c r="S78" s="321">
        <f t="shared" si="14"/>
        <v>2.268641157477546E-2</v>
      </c>
      <c r="T78" s="278"/>
      <c r="U78" s="278"/>
      <c r="V78" s="278"/>
      <c r="X78" s="278"/>
      <c r="Y78" s="278"/>
      <c r="Z78" s="278"/>
      <c r="AA78" s="278"/>
      <c r="AB78" s="278"/>
      <c r="AC78" s="278"/>
      <c r="AD78" s="278"/>
      <c r="AE78" s="278"/>
      <c r="AF78" s="278"/>
      <c r="AG78" s="278"/>
      <c r="AH78" s="278"/>
      <c r="AI78" s="278"/>
      <c r="AJ78" s="278"/>
      <c r="AK78" s="278"/>
      <c r="AL78" s="278"/>
      <c r="AM78" s="278"/>
      <c r="AN78" s="278"/>
      <c r="AO78" s="278"/>
      <c r="AP78" s="278"/>
      <c r="AQ78" s="278"/>
      <c r="AR78" s="278"/>
      <c r="AS78" s="278"/>
      <c r="AT78" s="278"/>
      <c r="AU78" s="278"/>
      <c r="AV78" s="278"/>
      <c r="AW78" s="278"/>
      <c r="AX78" s="278"/>
      <c r="AY78" s="278"/>
      <c r="AZ78" s="278"/>
      <c r="BA78" s="278"/>
      <c r="BB78" s="278"/>
      <c r="BC78" s="278"/>
      <c r="BD78" s="278"/>
      <c r="BE78" s="278"/>
      <c r="BF78" s="278"/>
      <c r="BG78" s="278"/>
      <c r="BH78" s="278"/>
      <c r="BI78" s="278"/>
      <c r="BJ78" s="278"/>
      <c r="BK78" s="278"/>
      <c r="BL78" s="184"/>
    </row>
    <row r="79" spans="3:64" x14ac:dyDescent="0.25">
      <c r="C79" s="278"/>
      <c r="D79" s="278"/>
      <c r="E79" s="278"/>
      <c r="F79" s="278"/>
      <c r="G79" s="278"/>
      <c r="H79" s="278"/>
      <c r="I79" s="278"/>
      <c r="J79" s="278"/>
      <c r="K79" s="278"/>
      <c r="L79" s="278"/>
      <c r="M79" s="317">
        <v>74</v>
      </c>
      <c r="N79" s="318">
        <f t="shared" si="9"/>
        <v>1132.4073380147404</v>
      </c>
      <c r="O79" s="317">
        <v>473332</v>
      </c>
      <c r="P79" s="319">
        <f t="shared" si="12"/>
        <v>5360.0463011719312</v>
      </c>
      <c r="Q79" s="320">
        <f t="shared" si="15"/>
        <v>5.3176937247889307E-2</v>
      </c>
      <c r="R79" s="318">
        <f t="shared" si="13"/>
        <v>4757.261983133425</v>
      </c>
      <c r="S79" s="321">
        <f t="shared" si="14"/>
        <v>2.3053664459155167E-2</v>
      </c>
      <c r="T79" s="278"/>
      <c r="U79" s="278"/>
      <c r="V79" s="278"/>
      <c r="X79" s="278"/>
      <c r="Y79" s="278"/>
      <c r="Z79" s="278"/>
      <c r="AA79" s="278"/>
      <c r="AB79" s="278"/>
      <c r="AC79" s="278"/>
      <c r="AD79" s="278"/>
      <c r="AE79" s="278"/>
      <c r="AF79" s="278"/>
      <c r="AG79" s="278"/>
      <c r="AH79" s="278"/>
      <c r="AI79" s="278"/>
      <c r="AJ79" s="278"/>
      <c r="AK79" s="278"/>
      <c r="AL79" s="278"/>
      <c r="AM79" s="278"/>
      <c r="AN79" s="278"/>
      <c r="AO79" s="278"/>
      <c r="AP79" s="278"/>
      <c r="AQ79" s="278"/>
      <c r="AR79" s="278"/>
      <c r="AS79" s="278"/>
      <c r="AT79" s="278"/>
      <c r="AU79" s="278"/>
      <c r="AV79" s="278"/>
      <c r="AW79" s="278"/>
      <c r="AX79" s="278"/>
      <c r="AY79" s="278"/>
      <c r="AZ79" s="278"/>
      <c r="BA79" s="278"/>
      <c r="BB79" s="278"/>
      <c r="BC79" s="278"/>
      <c r="BD79" s="278"/>
      <c r="BE79" s="278"/>
      <c r="BF79" s="278"/>
      <c r="BG79" s="278"/>
      <c r="BH79" s="278"/>
      <c r="BI79" s="278"/>
      <c r="BJ79" s="278"/>
      <c r="BK79" s="278"/>
      <c r="BL79" s="184"/>
    </row>
    <row r="80" spans="3:64" x14ac:dyDescent="0.25">
      <c r="C80" s="279"/>
      <c r="D80" s="278"/>
      <c r="E80" s="278"/>
      <c r="F80" s="278"/>
      <c r="G80" s="278"/>
      <c r="H80" s="278"/>
      <c r="I80" s="278"/>
      <c r="J80" s="278"/>
      <c r="K80" s="278"/>
      <c r="L80" s="278"/>
      <c r="M80" s="317">
        <v>75</v>
      </c>
      <c r="N80" s="318">
        <f t="shared" si="9"/>
        <v>1199.1893109589703</v>
      </c>
      <c r="O80" s="317">
        <v>466239</v>
      </c>
      <c r="P80" s="319">
        <f t="shared" si="12"/>
        <v>5591.0882515219937</v>
      </c>
      <c r="Q80" s="320">
        <f t="shared" si="15"/>
        <v>5.5469100898175118E-2</v>
      </c>
      <c r="R80" s="318">
        <f t="shared" si="13"/>
        <v>4962.3212354516445</v>
      </c>
      <c r="S80" s="321">
        <f t="shared" si="14"/>
        <v>2.4047380427279282E-2</v>
      </c>
      <c r="T80" s="278"/>
      <c r="U80" s="278"/>
      <c r="V80" s="278"/>
      <c r="X80" s="278"/>
      <c r="Y80" s="278"/>
      <c r="Z80" s="278"/>
      <c r="AA80" s="278"/>
      <c r="AB80" s="278"/>
      <c r="AC80" s="278"/>
      <c r="AD80" s="278"/>
      <c r="AE80" s="278"/>
      <c r="AF80" s="278"/>
      <c r="AG80" s="278"/>
      <c r="AH80" s="278"/>
      <c r="AI80" s="278"/>
      <c r="AJ80" s="278"/>
      <c r="AK80" s="278"/>
      <c r="AL80" s="278"/>
      <c r="AM80" s="278"/>
      <c r="AN80" s="278"/>
      <c r="AO80" s="278"/>
      <c r="AP80" s="278"/>
      <c r="AQ80" s="278"/>
      <c r="AR80" s="278"/>
      <c r="AS80" s="278"/>
      <c r="AT80" s="278"/>
      <c r="AU80" s="278"/>
      <c r="AV80" s="278"/>
      <c r="AW80" s="278"/>
      <c r="AX80" s="278"/>
      <c r="AY80" s="278"/>
      <c r="AZ80" s="278"/>
      <c r="BA80" s="278"/>
      <c r="BB80" s="278"/>
      <c r="BC80" s="278"/>
      <c r="BD80" s="278"/>
      <c r="BE80" s="278"/>
      <c r="BF80" s="278"/>
      <c r="BG80" s="278"/>
      <c r="BH80" s="278"/>
      <c r="BI80" s="278"/>
      <c r="BJ80" s="278"/>
      <c r="BK80" s="278"/>
      <c r="BL80" s="184"/>
    </row>
    <row r="81" spans="3:107" x14ac:dyDescent="0.25">
      <c r="C81" s="185"/>
      <c r="D81" s="185"/>
      <c r="E81" s="185"/>
      <c r="F81" s="185"/>
      <c r="G81" s="185"/>
      <c r="H81" s="185"/>
      <c r="I81" s="185"/>
      <c r="J81" s="185"/>
      <c r="K81" s="185"/>
      <c r="L81" s="185"/>
      <c r="M81" s="317">
        <v>76</v>
      </c>
      <c r="N81" s="318">
        <f t="shared" si="9"/>
        <v>1269.9096475649401</v>
      </c>
      <c r="O81" s="317">
        <v>427207</v>
      </c>
      <c r="P81" s="319">
        <f t="shared" si="12"/>
        <v>5425.1429080727539</v>
      </c>
      <c r="Q81" s="320">
        <f t="shared" si="15"/>
        <v>5.3822759687792245E-2</v>
      </c>
      <c r="R81" s="318">
        <f t="shared" si="13"/>
        <v>4815.0379044295823</v>
      </c>
      <c r="S81" s="321">
        <f t="shared" si="14"/>
        <v>2.3333646244497765E-2</v>
      </c>
      <c r="T81" s="185"/>
      <c r="U81" s="185"/>
      <c r="V81" s="185"/>
      <c r="X81" s="185"/>
      <c r="Y81" s="185"/>
      <c r="Z81" s="185"/>
      <c r="AA81" s="185"/>
      <c r="AB81" s="185"/>
      <c r="AC81" s="185"/>
      <c r="AD81" s="185"/>
      <c r="AE81" s="185"/>
      <c r="AF81" s="185"/>
      <c r="AG81" s="185"/>
      <c r="AH81" s="185"/>
      <c r="AI81" s="185"/>
      <c r="AJ81" s="185"/>
      <c r="AK81" s="185"/>
      <c r="AL81" s="185"/>
      <c r="AM81" s="185"/>
      <c r="AN81" s="185"/>
      <c r="AO81" s="185"/>
      <c r="AP81" s="185"/>
      <c r="AQ81" s="185"/>
      <c r="AR81" s="185"/>
      <c r="AS81" s="185"/>
      <c r="AT81" s="185"/>
      <c r="AU81" s="185"/>
      <c r="AV81" s="185"/>
      <c r="AW81" s="185"/>
      <c r="AX81" s="185"/>
      <c r="AY81" s="185"/>
      <c r="AZ81" s="185"/>
      <c r="BA81" s="185"/>
      <c r="BB81" s="185"/>
      <c r="BC81" s="185"/>
      <c r="BD81" s="185"/>
      <c r="BE81" s="185"/>
      <c r="BF81" s="185"/>
      <c r="BG81" s="185"/>
      <c r="BH81" s="185"/>
      <c r="BI81" s="185"/>
      <c r="BJ81" s="185"/>
      <c r="BK81" s="185"/>
      <c r="BL81" s="184"/>
      <c r="BM81" s="281"/>
      <c r="BN81" s="138"/>
      <c r="BO81" s="138"/>
      <c r="BP81" s="138"/>
      <c r="BQ81" s="138"/>
      <c r="BR81" s="138"/>
      <c r="BS81" s="138"/>
      <c r="BT81" s="138"/>
      <c r="BU81" s="138"/>
      <c r="BV81" s="138"/>
      <c r="BW81" s="138"/>
      <c r="BX81" s="138"/>
      <c r="BY81" s="138"/>
      <c r="BZ81" s="138"/>
      <c r="CA81" s="138"/>
      <c r="CB81" s="138"/>
      <c r="CC81" s="138"/>
      <c r="CD81" s="138"/>
      <c r="CE81" s="138"/>
      <c r="CF81" s="138"/>
      <c r="CG81" s="138"/>
      <c r="CH81" s="138"/>
      <c r="CI81" s="138"/>
      <c r="CJ81" s="138"/>
      <c r="CK81" s="138"/>
      <c r="CL81" s="138"/>
      <c r="CM81" s="138"/>
      <c r="CN81" s="138"/>
      <c r="CO81" s="138"/>
      <c r="CP81" s="138"/>
      <c r="CQ81" s="138"/>
      <c r="CR81" s="138"/>
      <c r="CS81" s="138"/>
      <c r="CT81" s="138"/>
      <c r="CU81" s="138"/>
      <c r="CV81" s="138"/>
      <c r="CW81" s="138"/>
      <c r="CX81" s="138"/>
      <c r="CY81" s="138"/>
      <c r="CZ81" s="138"/>
      <c r="DA81" s="138"/>
      <c r="DB81" s="138"/>
      <c r="DC81" s="138"/>
    </row>
    <row r="82" spans="3:107" x14ac:dyDescent="0.25">
      <c r="C82" s="278"/>
      <c r="D82" s="278"/>
      <c r="E82" s="278"/>
      <c r="F82" s="278"/>
      <c r="G82" s="278"/>
      <c r="H82" s="278"/>
      <c r="I82" s="278"/>
      <c r="J82" s="278"/>
      <c r="K82" s="278"/>
      <c r="L82" s="278"/>
      <c r="M82" s="317">
        <v>77</v>
      </c>
      <c r="N82" s="318">
        <f t="shared" si="9"/>
        <v>1344.8006067439721</v>
      </c>
      <c r="O82" s="317">
        <v>375723</v>
      </c>
      <c r="P82" s="319">
        <f t="shared" si="12"/>
        <v>5052.7251836766545</v>
      </c>
      <c r="Q82" s="320">
        <f t="shared" si="15"/>
        <v>5.0128009148812172E-2</v>
      </c>
      <c r="R82" s="318">
        <f t="shared" si="13"/>
        <v>4484.5018264618857</v>
      </c>
      <c r="S82" s="321">
        <f t="shared" si="14"/>
        <v>2.1731870294354826E-2</v>
      </c>
      <c r="T82" s="278"/>
      <c r="U82" s="278"/>
      <c r="V82" s="278"/>
      <c r="X82" s="278"/>
      <c r="Y82" s="278"/>
      <c r="Z82" s="278"/>
      <c r="AA82" s="278"/>
      <c r="AB82" s="278"/>
      <c r="AC82" s="278"/>
      <c r="AD82" s="278"/>
      <c r="AE82" s="278"/>
      <c r="AF82" s="278"/>
      <c r="AG82" s="278"/>
      <c r="AH82" s="278"/>
      <c r="AI82" s="278"/>
      <c r="AJ82" s="278"/>
      <c r="AK82" s="278"/>
      <c r="AL82" s="278"/>
      <c r="AM82" s="278"/>
      <c r="AN82" s="278"/>
      <c r="AO82" s="278"/>
      <c r="AP82" s="278"/>
      <c r="AQ82" s="278"/>
      <c r="AR82" s="278"/>
      <c r="AS82" s="278"/>
      <c r="AT82" s="278"/>
      <c r="AU82" s="278"/>
      <c r="AV82" s="278"/>
      <c r="AW82" s="278"/>
      <c r="AX82" s="278"/>
      <c r="AY82" s="278"/>
      <c r="AZ82" s="278"/>
      <c r="BA82" s="278"/>
      <c r="BB82" s="278"/>
      <c r="BC82" s="278"/>
      <c r="BD82" s="278"/>
      <c r="BE82" s="278"/>
      <c r="BF82" s="278"/>
      <c r="BG82" s="278"/>
      <c r="BH82" s="278"/>
      <c r="BI82" s="278"/>
      <c r="BJ82" s="278"/>
      <c r="BK82" s="278"/>
      <c r="BL82" s="184"/>
      <c r="BM82" s="282"/>
      <c r="BN82" s="128"/>
      <c r="BO82" s="128"/>
      <c r="BP82" s="128"/>
      <c r="BQ82" s="128"/>
      <c r="BR82" s="128"/>
      <c r="BS82" s="128"/>
      <c r="BT82" s="128"/>
      <c r="BU82" s="128"/>
      <c r="BV82" s="128"/>
      <c r="BW82" s="128"/>
      <c r="BX82" s="128"/>
      <c r="BY82" s="128"/>
      <c r="BZ82" s="128"/>
      <c r="CA82" s="128"/>
      <c r="CB82" s="128"/>
      <c r="CC82" s="128"/>
      <c r="CD82" s="128"/>
      <c r="CE82" s="128"/>
      <c r="CF82" s="128"/>
      <c r="CG82" s="128"/>
      <c r="CH82" s="128"/>
      <c r="CI82" s="128"/>
      <c r="CJ82" s="128"/>
      <c r="CK82" s="128"/>
      <c r="CL82" s="128"/>
      <c r="CM82" s="128"/>
      <c r="CN82" s="128"/>
      <c r="CO82" s="128"/>
      <c r="CP82" s="128"/>
      <c r="CQ82" s="128"/>
      <c r="CR82" s="128"/>
      <c r="CS82" s="128"/>
      <c r="CT82" s="128"/>
      <c r="CU82" s="128"/>
      <c r="CV82" s="128"/>
      <c r="CW82" s="128"/>
      <c r="CX82" s="128"/>
      <c r="CY82" s="128"/>
      <c r="CZ82" s="128"/>
      <c r="DA82" s="128"/>
      <c r="DB82" s="128"/>
      <c r="DC82" s="128"/>
    </row>
    <row r="83" spans="3:107" x14ac:dyDescent="0.25">
      <c r="C83" s="278"/>
      <c r="D83" s="278"/>
      <c r="E83" s="278"/>
      <c r="F83" s="278"/>
      <c r="G83" s="278"/>
      <c r="H83" s="278"/>
      <c r="I83" s="278"/>
      <c r="J83" s="278"/>
      <c r="K83" s="278"/>
      <c r="L83" s="278"/>
      <c r="M83" s="317">
        <v>78</v>
      </c>
      <c r="N83" s="318">
        <f t="shared" si="9"/>
        <v>1424.1081445177965</v>
      </c>
      <c r="O83" s="317">
        <v>332047</v>
      </c>
      <c r="P83" s="319">
        <f t="shared" si="12"/>
        <v>4728.7083706270078</v>
      </c>
      <c r="Q83" s="320">
        <f t="shared" si="15"/>
        <v>4.6913443309887441E-2</v>
      </c>
      <c r="R83" s="318">
        <f t="shared" si="13"/>
        <v>4196.9235519458407</v>
      </c>
      <c r="S83" s="321">
        <f t="shared" si="14"/>
        <v>2.0338267614926821E-2</v>
      </c>
      <c r="T83" s="278"/>
      <c r="U83" s="278"/>
      <c r="V83" s="278"/>
      <c r="X83" s="278"/>
      <c r="Y83" s="278"/>
      <c r="Z83" s="278"/>
      <c r="AA83" s="278"/>
      <c r="AB83" s="278"/>
      <c r="AC83" s="278"/>
      <c r="AD83" s="278"/>
      <c r="AE83" s="278"/>
      <c r="AF83" s="278"/>
      <c r="AG83" s="278"/>
      <c r="AH83" s="278"/>
      <c r="AI83" s="278"/>
      <c r="AJ83" s="278"/>
      <c r="AK83" s="278"/>
      <c r="AL83" s="278"/>
      <c r="AM83" s="278"/>
      <c r="AN83" s="278"/>
      <c r="AO83" s="278"/>
      <c r="AP83" s="278"/>
      <c r="AQ83" s="278"/>
      <c r="AR83" s="278"/>
      <c r="AS83" s="278"/>
      <c r="AT83" s="278"/>
      <c r="AU83" s="278"/>
      <c r="AV83" s="278"/>
      <c r="AW83" s="278"/>
      <c r="AX83" s="278"/>
      <c r="AY83" s="278"/>
      <c r="AZ83" s="278"/>
      <c r="BA83" s="278"/>
      <c r="BB83" s="278"/>
      <c r="BC83" s="278"/>
      <c r="BD83" s="278"/>
      <c r="BE83" s="278"/>
      <c r="BF83" s="278"/>
      <c r="BG83" s="278"/>
      <c r="BH83" s="278"/>
      <c r="BI83" s="278"/>
      <c r="BJ83" s="278"/>
      <c r="BK83" s="278"/>
      <c r="BL83" s="184"/>
      <c r="BM83" s="282"/>
      <c r="BN83" s="128"/>
      <c r="BO83" s="128"/>
      <c r="BP83" s="128"/>
      <c r="BQ83" s="128"/>
      <c r="BR83" s="128"/>
      <c r="BS83" s="128"/>
      <c r="BT83" s="128"/>
      <c r="BU83" s="128"/>
      <c r="BV83" s="128"/>
      <c r="BW83" s="128"/>
      <c r="BX83" s="128"/>
      <c r="BY83" s="128"/>
      <c r="BZ83" s="128"/>
      <c r="CA83" s="128"/>
      <c r="CB83" s="128"/>
      <c r="CC83" s="128"/>
      <c r="CD83" s="128"/>
      <c r="CE83" s="128"/>
      <c r="CF83" s="128"/>
      <c r="CG83" s="128"/>
      <c r="CH83" s="128"/>
      <c r="CI83" s="128"/>
      <c r="CJ83" s="128"/>
      <c r="CK83" s="128"/>
      <c r="CL83" s="128"/>
      <c r="CM83" s="128"/>
      <c r="CN83" s="128"/>
      <c r="CO83" s="128"/>
      <c r="CP83" s="128"/>
      <c r="CQ83" s="128"/>
      <c r="CR83" s="128"/>
      <c r="CS83" s="128"/>
      <c r="CT83" s="128"/>
      <c r="CU83" s="128"/>
      <c r="CV83" s="128"/>
      <c r="CW83" s="128"/>
      <c r="CX83" s="128"/>
      <c r="CY83" s="128"/>
      <c r="CZ83" s="128"/>
      <c r="DA83" s="128"/>
      <c r="DB83" s="128"/>
      <c r="DC83" s="128"/>
    </row>
    <row r="84" spans="3:107" x14ac:dyDescent="0.25">
      <c r="C84" s="280"/>
      <c r="D84" s="278"/>
      <c r="E84" s="184"/>
      <c r="F84" s="184"/>
      <c r="G84" s="184"/>
      <c r="H84" s="184"/>
      <c r="I84" s="184"/>
      <c r="J84" s="184"/>
      <c r="K84" s="184"/>
      <c r="L84" s="184"/>
      <c r="M84" s="317">
        <v>79</v>
      </c>
      <c r="N84" s="318">
        <f t="shared" si="9"/>
        <v>1508.0927217844696</v>
      </c>
      <c r="O84" s="317">
        <v>339470</v>
      </c>
      <c r="P84" s="319">
        <f t="shared" si="12"/>
        <v>5119.5223626417392</v>
      </c>
      <c r="Q84" s="320">
        <f t="shared" si="15"/>
        <v>5.0790702938115023E-2</v>
      </c>
      <c r="R84" s="318">
        <f t="shared" si="13"/>
        <v>4543.7870755467084</v>
      </c>
      <c r="S84" s="321">
        <f t="shared" si="14"/>
        <v>2.2019166273559806E-2</v>
      </c>
      <c r="T84" s="184"/>
      <c r="U84" s="184"/>
      <c r="V84" s="184"/>
      <c r="X84" s="184"/>
      <c r="Y84" s="184"/>
      <c r="Z84" s="184"/>
      <c r="AA84" s="184"/>
      <c r="AB84" s="184"/>
      <c r="AC84" s="184"/>
      <c r="AD84" s="184"/>
      <c r="AE84" s="184"/>
      <c r="AF84" s="184"/>
      <c r="AG84" s="184"/>
      <c r="AH84" s="184"/>
      <c r="AI84" s="184"/>
      <c r="AJ84" s="184"/>
      <c r="AK84" s="184"/>
      <c r="AL84" s="184"/>
      <c r="AM84" s="184"/>
      <c r="AN84" s="184"/>
      <c r="AO84" s="184"/>
      <c r="AP84" s="184"/>
      <c r="AQ84" s="184"/>
      <c r="AR84" s="184"/>
      <c r="AS84" s="184"/>
      <c r="AT84" s="184"/>
      <c r="AU84" s="184"/>
      <c r="AV84" s="184"/>
      <c r="AW84" s="184"/>
      <c r="AX84" s="184"/>
      <c r="AY84" s="184"/>
      <c r="AZ84" s="184"/>
      <c r="BA84" s="184"/>
      <c r="BB84" s="184"/>
      <c r="BC84" s="184"/>
      <c r="BD84" s="184"/>
      <c r="BE84" s="184"/>
      <c r="BF84" s="184"/>
      <c r="BG84" s="184"/>
      <c r="BH84" s="184"/>
      <c r="BI84" s="184"/>
      <c r="BJ84" s="184"/>
      <c r="BK84" s="184"/>
      <c r="BL84" s="184"/>
    </row>
    <row r="85" spans="3:107" x14ac:dyDescent="0.25">
      <c r="C85" s="184"/>
      <c r="D85" s="184"/>
      <c r="E85" s="184"/>
      <c r="F85" s="184"/>
      <c r="G85" s="184"/>
      <c r="H85" s="184"/>
      <c r="I85" s="184"/>
      <c r="J85" s="184"/>
      <c r="K85" s="184"/>
      <c r="L85" s="184"/>
      <c r="M85" s="317">
        <v>80</v>
      </c>
      <c r="N85" s="318">
        <f t="shared" si="9"/>
        <v>1597.0301597210378</v>
      </c>
      <c r="O85" s="317">
        <v>329713</v>
      </c>
      <c r="P85" s="319">
        <f t="shared" si="12"/>
        <v>5265.6160505210255</v>
      </c>
      <c r="Q85" s="320">
        <f t="shared" si="15"/>
        <v>5.2240096177679191E-2</v>
      </c>
      <c r="R85" s="318">
        <f t="shared" si="13"/>
        <v>4673.451244151358</v>
      </c>
      <c r="S85" s="321">
        <f t="shared" si="14"/>
        <v>2.2647518095676195E-2</v>
      </c>
    </row>
    <row r="86" spans="3:107" x14ac:dyDescent="0.25">
      <c r="C86" s="184"/>
      <c r="D86" s="184"/>
      <c r="E86" s="184"/>
      <c r="F86" s="184"/>
      <c r="G86" s="184"/>
      <c r="H86" s="184"/>
      <c r="I86" s="184"/>
      <c r="J86" s="184"/>
      <c r="K86" s="184"/>
      <c r="L86" s="184"/>
      <c r="M86" s="317">
        <v>81</v>
      </c>
      <c r="N86" s="318">
        <f t="shared" si="9"/>
        <v>1691.2125456322647</v>
      </c>
      <c r="O86" s="317">
        <v>312737</v>
      </c>
      <c r="P86" s="319">
        <f t="shared" si="12"/>
        <v>5289.0473788339759</v>
      </c>
      <c r="Q86" s="320">
        <f t="shared" si="15"/>
        <v>5.2472558026947176E-2</v>
      </c>
      <c r="R86" s="318">
        <f t="shared" si="13"/>
        <v>4694.247513648721</v>
      </c>
      <c r="S86" s="321">
        <f t="shared" si="14"/>
        <v>2.2748296699144778E-2</v>
      </c>
    </row>
    <row r="87" spans="3:107" x14ac:dyDescent="0.25">
      <c r="C87" s="184"/>
      <c r="D87" s="184"/>
      <c r="E87" s="184"/>
      <c r="F87" s="184"/>
      <c r="G87" s="184"/>
      <c r="H87" s="184"/>
      <c r="I87" s="184"/>
      <c r="J87" s="184"/>
      <c r="K87" s="184"/>
      <c r="L87" s="184"/>
      <c r="M87" s="317">
        <v>82</v>
      </c>
      <c r="N87" s="318">
        <f t="shared" si="9"/>
        <v>1790.949192220374</v>
      </c>
      <c r="O87" s="317">
        <v>289092</v>
      </c>
      <c r="P87" s="319">
        <f t="shared" si="12"/>
        <v>5177.4908387737241</v>
      </c>
      <c r="Q87" s="320">
        <f t="shared" si="15"/>
        <v>5.1365807301850155E-2</v>
      </c>
      <c r="R87" s="318">
        <f t="shared" si="13"/>
        <v>4595.2364870308165</v>
      </c>
      <c r="S87" s="321">
        <f t="shared" si="14"/>
        <v>2.2268489828407293E-2</v>
      </c>
    </row>
    <row r="88" spans="3:107" x14ac:dyDescent="0.25">
      <c r="C88" s="184"/>
      <c r="D88" s="184"/>
      <c r="E88" s="184"/>
      <c r="F88" s="184"/>
      <c r="G88" s="184"/>
      <c r="H88" s="184"/>
      <c r="I88" s="184"/>
      <c r="J88" s="184"/>
      <c r="K88" s="184"/>
      <c r="L88" s="184"/>
      <c r="M88" s="317">
        <v>83</v>
      </c>
      <c r="N88" s="318">
        <f t="shared" ref="N88:N90" si="16" xml:space="preserve"> 16.312 * EXP(0.0573 * M88)</f>
        <v>1896.5676534262432</v>
      </c>
      <c r="O88" s="317">
        <v>265631</v>
      </c>
      <c r="P88" s="319">
        <f t="shared" si="12"/>
        <v>5037.8716234726635</v>
      </c>
      <c r="Q88" s="320">
        <f t="shared" si="15"/>
        <v>4.9980647205557567E-2</v>
      </c>
      <c r="R88" s="318">
        <f t="shared" si="13"/>
        <v>4471.3186796563859</v>
      </c>
      <c r="S88" s="321">
        <f t="shared" si="14"/>
        <v>2.1667984840064668E-2</v>
      </c>
    </row>
    <row r="89" spans="3:107" x14ac:dyDescent="0.25">
      <c r="C89" s="184"/>
      <c r="D89" s="184"/>
      <c r="E89" s="184"/>
      <c r="F89" s="184"/>
      <c r="G89" s="184"/>
      <c r="H89" s="184"/>
      <c r="I89" s="184"/>
      <c r="J89" s="184"/>
      <c r="K89" s="184"/>
      <c r="L89" s="184"/>
      <c r="M89" s="317">
        <v>84</v>
      </c>
      <c r="N89" s="318">
        <f t="shared" si="16"/>
        <v>2008.4148001782771</v>
      </c>
      <c r="O89" s="317">
        <v>242740</v>
      </c>
      <c r="P89" s="319">
        <f t="shared" si="12"/>
        <v>4875.2260859527496</v>
      </c>
      <c r="Q89" s="320">
        <f t="shared" si="15"/>
        <v>4.8367043319252581E-2</v>
      </c>
      <c r="R89" s="318">
        <f t="shared" si="13"/>
        <v>4326.9640623836549</v>
      </c>
      <c r="S89" s="321">
        <f t="shared" si="14"/>
        <v>2.0968443187421998E-2</v>
      </c>
    </row>
    <row r="90" spans="3:107" x14ac:dyDescent="0.25">
      <c r="C90" s="184"/>
      <c r="D90" s="184"/>
      <c r="E90" s="184"/>
      <c r="F90" s="184"/>
      <c r="G90" s="184"/>
      <c r="H90" s="184"/>
      <c r="I90" s="184"/>
      <c r="J90" s="184"/>
      <c r="K90" s="184"/>
      <c r="L90" s="184"/>
      <c r="M90" s="268">
        <v>88</v>
      </c>
      <c r="N90" s="322">
        <f t="shared" si="16"/>
        <v>2525.769463414354</v>
      </c>
      <c r="O90" s="268">
        <v>1397051</v>
      </c>
      <c r="P90" s="323">
        <f t="shared" si="12"/>
        <v>35286.287546324871</v>
      </c>
      <c r="Q90" s="324">
        <f>P90/P90</f>
        <v>1</v>
      </c>
      <c r="R90" s="322">
        <f>Q90*$D$18</f>
        <v>45971</v>
      </c>
      <c r="S90" s="325">
        <f t="shared" si="14"/>
        <v>0.22277520401636</v>
      </c>
    </row>
    <row r="91" spans="3:107" x14ac:dyDescent="0.25">
      <c r="C91" s="184"/>
      <c r="D91" s="184"/>
      <c r="E91" s="184"/>
      <c r="F91" s="184"/>
      <c r="G91" s="184"/>
      <c r="H91" s="184"/>
      <c r="I91" s="184"/>
      <c r="J91" s="184"/>
      <c r="K91" s="184"/>
      <c r="L91" s="184"/>
      <c r="P91" s="303"/>
      <c r="Q91" s="293"/>
      <c r="R91" s="306"/>
      <c r="S91" s="311"/>
    </row>
    <row r="94" spans="3:107" ht="18.75" x14ac:dyDescent="0.3">
      <c r="C94" s="252" t="s">
        <v>141</v>
      </c>
      <c r="D94" s="253"/>
      <c r="E94" s="253"/>
      <c r="F94" s="253"/>
      <c r="G94" s="253"/>
      <c r="H94" s="253"/>
      <c r="I94" s="253"/>
      <c r="J94" s="253"/>
      <c r="K94" s="253"/>
      <c r="L94" s="253"/>
      <c r="M94" s="253"/>
      <c r="N94" s="253"/>
      <c r="O94" s="253"/>
      <c r="P94" s="253"/>
      <c r="Q94" s="253"/>
      <c r="R94" s="253"/>
    </row>
    <row r="95" spans="3:107" x14ac:dyDescent="0.25">
      <c r="C95" t="s">
        <v>208</v>
      </c>
      <c r="D95" s="463"/>
      <c r="E95" s="463"/>
      <c r="F95" s="463"/>
      <c r="G95" s="463"/>
      <c r="H95" s="463"/>
      <c r="I95" s="463"/>
      <c r="J95" s="463"/>
      <c r="K95" s="463"/>
      <c r="L95" s="463"/>
      <c r="M95" s="463"/>
      <c r="N95" s="463"/>
      <c r="O95" s="463"/>
      <c r="P95" s="463"/>
      <c r="Q95" s="463"/>
      <c r="R95" s="463"/>
    </row>
    <row r="96" spans="3:107" x14ac:dyDescent="0.25">
      <c r="C96" t="s">
        <v>209</v>
      </c>
      <c r="D96" s="463"/>
      <c r="E96" s="463"/>
      <c r="F96" s="463"/>
      <c r="G96" s="463"/>
      <c r="H96" s="463"/>
      <c r="I96" s="463"/>
      <c r="J96" s="463"/>
      <c r="K96" s="463"/>
      <c r="L96" s="463"/>
      <c r="M96" s="463"/>
      <c r="N96" s="463"/>
      <c r="O96" s="463"/>
      <c r="P96" s="463"/>
      <c r="Q96" s="463"/>
      <c r="R96" s="463"/>
    </row>
    <row r="97" spans="3:18" x14ac:dyDescent="0.25">
      <c r="D97" s="463"/>
      <c r="E97" s="463"/>
      <c r="F97" s="463"/>
      <c r="G97" s="463"/>
      <c r="H97" s="463"/>
      <c r="I97" s="463"/>
      <c r="J97" s="463"/>
      <c r="K97" s="463"/>
      <c r="L97" s="463"/>
      <c r="M97" s="463"/>
      <c r="N97" s="463"/>
      <c r="O97" s="463"/>
      <c r="P97" s="463"/>
      <c r="Q97" s="463"/>
      <c r="R97" s="463"/>
    </row>
    <row r="98" spans="3:18" ht="18.75" x14ac:dyDescent="0.3">
      <c r="C98" s="252" t="s">
        <v>143</v>
      </c>
      <c r="D98" s="253"/>
      <c r="E98" s="253"/>
      <c r="F98" s="253"/>
      <c r="G98" s="253"/>
      <c r="H98" s="253"/>
      <c r="I98" s="253"/>
      <c r="J98" s="253"/>
      <c r="K98" s="253"/>
      <c r="L98" s="253"/>
      <c r="M98" s="253"/>
      <c r="N98" s="253"/>
      <c r="O98" s="253"/>
      <c r="P98" s="253"/>
      <c r="Q98" s="253"/>
      <c r="R98" s="253"/>
    </row>
    <row r="99" spans="3:18" x14ac:dyDescent="0.25">
      <c r="C99" t="s">
        <v>210</v>
      </c>
    </row>
  </sheetData>
  <conditionalFormatting sqref="I43">
    <cfRule type="cellIs" dxfId="1" priority="4" operator="notEqual">
      <formula>"OK"</formula>
    </cfRule>
    <cfRule type="cellIs" dxfId="0" priority="5" operator="equal">
      <formula>"OK"</formula>
    </cfRule>
  </conditionalFormatting>
  <conditionalFormatting sqref="E23">
    <cfRule type="colorScale" priority="1">
      <colorScale>
        <cfvo type="num" val="0"/>
        <cfvo type="num" val="1"/>
        <color theme="9" tint="0.59999389629810485"/>
        <color rgb="FFFF0000"/>
      </colorScale>
    </cfRule>
  </conditionalFormatting>
  <pageMargins left="0.7" right="0.7" top="0.75" bottom="0.75" header="0.3" footer="0.3"/>
  <pageSetup paperSize="9" orientation="portrait" r:id="rId1"/>
  <headerFooter>
    <oddHeader>&amp;L&amp;"Calibri"&amp;12&amp;K008000Classification: Public&amp;1#</oddHeader>
  </headerFooter>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71163-B9BE-48DC-AC09-33DB687A8059}">
  <sheetPr codeName="Sheet16"/>
  <dimension ref="A1:Y50"/>
  <sheetViews>
    <sheetView showGridLines="0" topLeftCell="A4" workbookViewId="0">
      <selection activeCell="W34" sqref="W34"/>
    </sheetView>
  </sheetViews>
  <sheetFormatPr defaultRowHeight="15" x14ac:dyDescent="0.25"/>
  <cols>
    <col min="2" max="2" width="14" customWidth="1"/>
    <col min="3" max="3" width="10.140625" style="1" bestFit="1" customWidth="1"/>
    <col min="4" max="4" width="9" style="1" bestFit="1" customWidth="1"/>
    <col min="5" max="5" width="10.85546875" style="1" bestFit="1" customWidth="1"/>
    <col min="7" max="7" width="10.7109375" style="1" bestFit="1" customWidth="1"/>
    <col min="8" max="8" width="9.140625" style="1"/>
    <col min="9" max="9" width="10.7109375" style="1" bestFit="1" customWidth="1"/>
    <col min="24" max="24" width="12.7109375" customWidth="1"/>
  </cols>
  <sheetData>
    <row r="1" spans="1:25" ht="21" x14ac:dyDescent="0.35">
      <c r="A1" s="253"/>
      <c r="B1" s="378" t="s">
        <v>211</v>
      </c>
      <c r="C1" s="255"/>
      <c r="D1" s="255"/>
      <c r="E1" s="255"/>
      <c r="F1" s="253"/>
      <c r="G1" s="255"/>
      <c r="H1" s="255"/>
      <c r="I1" s="255"/>
      <c r="J1" s="253"/>
      <c r="K1" s="253"/>
      <c r="L1" s="253"/>
      <c r="M1" s="253"/>
      <c r="N1" s="253"/>
      <c r="O1" s="253"/>
      <c r="P1" s="253"/>
      <c r="Q1" s="253"/>
      <c r="R1" s="253"/>
      <c r="S1" s="253"/>
      <c r="T1" s="253"/>
      <c r="U1" s="253"/>
      <c r="V1" s="253"/>
      <c r="W1" s="253"/>
    </row>
    <row r="2" spans="1:25" x14ac:dyDescent="0.25">
      <c r="B2" t="s">
        <v>212</v>
      </c>
      <c r="C2" s="463"/>
      <c r="D2" s="463"/>
      <c r="E2" s="463"/>
      <c r="G2" s="463"/>
      <c r="H2" s="463"/>
      <c r="I2" s="463"/>
    </row>
    <row r="4" spans="1:25" ht="18.75" x14ac:dyDescent="0.3">
      <c r="B4" s="258" t="s">
        <v>26</v>
      </c>
      <c r="C4" s="463"/>
      <c r="D4" s="463"/>
      <c r="E4" s="463"/>
      <c r="G4" s="463"/>
      <c r="H4" s="463"/>
      <c r="I4" s="463"/>
    </row>
    <row r="5" spans="1:25" x14ac:dyDescent="0.25">
      <c r="B5" s="128"/>
      <c r="C5" s="292" t="s">
        <v>213</v>
      </c>
      <c r="D5" s="292" t="s">
        <v>214</v>
      </c>
      <c r="E5" s="292" t="s">
        <v>215</v>
      </c>
      <c r="F5" s="488" t="s">
        <v>497</v>
      </c>
      <c r="G5" s="507" t="s">
        <v>216</v>
      </c>
      <c r="H5" s="508"/>
      <c r="I5" s="509"/>
      <c r="X5" s="139">
        <v>44104</v>
      </c>
      <c r="Y5" s="268">
        <v>2833</v>
      </c>
    </row>
    <row r="6" spans="1:25" x14ac:dyDescent="0.25">
      <c r="B6" s="139">
        <v>44104</v>
      </c>
      <c r="C6" s="268">
        <v>2927</v>
      </c>
      <c r="D6" s="268">
        <v>2927</v>
      </c>
      <c r="E6" s="268">
        <v>2927</v>
      </c>
      <c r="F6" s="268">
        <v>2833</v>
      </c>
      <c r="G6" s="292" t="s">
        <v>213</v>
      </c>
      <c r="H6" s="292" t="s">
        <v>214</v>
      </c>
      <c r="I6" s="292" t="s">
        <v>215</v>
      </c>
      <c r="X6" s="139">
        <v>44111</v>
      </c>
      <c r="Y6" s="268">
        <v>4242</v>
      </c>
    </row>
    <row r="7" spans="1:25" x14ac:dyDescent="0.25">
      <c r="B7" s="139">
        <v>44111</v>
      </c>
      <c r="C7" s="268">
        <v>4119</v>
      </c>
      <c r="D7" s="268">
        <v>4119</v>
      </c>
      <c r="E7" s="268">
        <v>4119</v>
      </c>
      <c r="F7" s="268">
        <v>4242</v>
      </c>
      <c r="G7" s="17">
        <f t="shared" ref="G7:G8" si="0">C7/C6</f>
        <v>1.4072429108302016</v>
      </c>
      <c r="H7" s="17">
        <f t="shared" ref="H7:H9" si="1">D7/D6</f>
        <v>1.4072429108302016</v>
      </c>
      <c r="I7" s="17">
        <f t="shared" ref="I7:I9" si="2">E7/E6</f>
        <v>1.4072429108302016</v>
      </c>
      <c r="X7" s="139">
        <v>44118</v>
      </c>
      <c r="Y7" s="268">
        <v>5843</v>
      </c>
    </row>
    <row r="8" spans="1:25" x14ac:dyDescent="0.25">
      <c r="B8" s="139">
        <v>44118</v>
      </c>
      <c r="C8" s="268">
        <v>5571</v>
      </c>
      <c r="D8" s="268">
        <v>5571</v>
      </c>
      <c r="E8" s="268">
        <v>5571</v>
      </c>
      <c r="F8" s="268">
        <v>5843</v>
      </c>
      <c r="G8" s="17">
        <f t="shared" si="0"/>
        <v>1.3525127458120902</v>
      </c>
      <c r="H8" s="17">
        <f t="shared" si="1"/>
        <v>1.3525127458120902</v>
      </c>
      <c r="I8" s="17">
        <f t="shared" si="2"/>
        <v>1.3525127458120902</v>
      </c>
      <c r="X8" s="139">
        <v>44125</v>
      </c>
      <c r="Y8" s="268">
        <v>7600</v>
      </c>
    </row>
    <row r="9" spans="1:25" x14ac:dyDescent="0.25">
      <c r="B9" s="139">
        <v>44125</v>
      </c>
      <c r="C9" s="268">
        <v>7626</v>
      </c>
      <c r="D9" s="268">
        <v>7626</v>
      </c>
      <c r="E9" s="268">
        <v>7626</v>
      </c>
      <c r="F9" s="268">
        <v>7600</v>
      </c>
      <c r="G9" s="17">
        <f>C9/C8</f>
        <v>1.3688745288099085</v>
      </c>
      <c r="H9" s="17">
        <f t="shared" si="1"/>
        <v>1.3688745288099085</v>
      </c>
      <c r="I9" s="17">
        <f t="shared" si="2"/>
        <v>1.3688745288099085</v>
      </c>
      <c r="X9" s="139">
        <v>44132</v>
      </c>
      <c r="Y9" s="268">
        <v>9743</v>
      </c>
    </row>
    <row r="10" spans="1:25" x14ac:dyDescent="0.25">
      <c r="B10" s="139">
        <v>44132</v>
      </c>
      <c r="C10" s="268">
        <v>8790</v>
      </c>
      <c r="D10" s="268">
        <v>8790</v>
      </c>
      <c r="E10" s="268">
        <v>8790</v>
      </c>
      <c r="F10" s="268">
        <v>9743</v>
      </c>
      <c r="G10" s="17">
        <f t="shared" ref="G10:G15" si="3">C10/C9</f>
        <v>1.1526357199055861</v>
      </c>
      <c r="H10" s="17">
        <f t="shared" ref="H10:H15" si="4">D10/D9</f>
        <v>1.1526357199055861</v>
      </c>
      <c r="I10" s="17">
        <f t="shared" ref="I10:I15" si="5">E10/E9</f>
        <v>1.1526357199055861</v>
      </c>
      <c r="X10" s="139">
        <v>44139</v>
      </c>
      <c r="Y10" s="268">
        <v>10660</v>
      </c>
    </row>
    <row r="11" spans="1:25" x14ac:dyDescent="0.25">
      <c r="B11" s="139">
        <v>44139</v>
      </c>
      <c r="C11" s="268">
        <v>9860</v>
      </c>
      <c r="D11" s="268">
        <v>9860</v>
      </c>
      <c r="E11" s="268">
        <v>9860</v>
      </c>
      <c r="F11" s="268">
        <v>10660</v>
      </c>
      <c r="G11" s="17">
        <f t="shared" si="3"/>
        <v>1.1217292377701935</v>
      </c>
      <c r="H11" s="17">
        <f t="shared" si="4"/>
        <v>1.1217292377701935</v>
      </c>
      <c r="I11" s="17">
        <f t="shared" si="5"/>
        <v>1.1217292377701935</v>
      </c>
      <c r="M11" s="14" t="s">
        <v>217</v>
      </c>
      <c r="X11" s="139">
        <v>44146</v>
      </c>
      <c r="Y11" s="268">
        <v>11820</v>
      </c>
    </row>
    <row r="12" spans="1:25" x14ac:dyDescent="0.25">
      <c r="B12" s="139">
        <v>44146</v>
      </c>
      <c r="C12" s="268">
        <v>10716</v>
      </c>
      <c r="D12" s="268">
        <v>10716</v>
      </c>
      <c r="E12" s="268">
        <v>10716</v>
      </c>
      <c r="F12" s="268">
        <v>11820</v>
      </c>
      <c r="G12" s="17">
        <f t="shared" si="3"/>
        <v>1.0868154158215011</v>
      </c>
      <c r="H12" s="17">
        <f t="shared" si="4"/>
        <v>1.0868154158215011</v>
      </c>
      <c r="I12" s="17">
        <f t="shared" si="5"/>
        <v>1.0868154158215011</v>
      </c>
      <c r="M12" s="128" cm="1">
        <f t="array" ref="M12:N12">LINEST(G14:G16,B14:B16)</f>
        <v>2.2803246499797262E-2</v>
      </c>
      <c r="N12" s="128">
        <v>-1006.0910696983415</v>
      </c>
      <c r="X12" s="139">
        <v>44153</v>
      </c>
      <c r="Y12" s="268">
        <v>12109</v>
      </c>
    </row>
    <row r="13" spans="1:25" x14ac:dyDescent="0.25">
      <c r="B13" s="139">
        <v>44153</v>
      </c>
      <c r="C13" s="268">
        <v>9621</v>
      </c>
      <c r="D13" s="268">
        <v>9621</v>
      </c>
      <c r="E13" s="268">
        <v>9621</v>
      </c>
      <c r="F13" s="268">
        <v>12109</v>
      </c>
      <c r="G13" s="17">
        <f t="shared" si="3"/>
        <v>0.89781634938409849</v>
      </c>
      <c r="H13" s="17">
        <f t="shared" si="4"/>
        <v>0.89781634938409849</v>
      </c>
      <c r="I13" s="17">
        <f t="shared" si="5"/>
        <v>0.89781634938409849</v>
      </c>
      <c r="X13" s="139">
        <v>44160</v>
      </c>
      <c r="Y13" s="268">
        <v>10873</v>
      </c>
    </row>
    <row r="14" spans="1:25" x14ac:dyDescent="0.25">
      <c r="B14" s="139">
        <v>44160</v>
      </c>
      <c r="C14" s="268">
        <v>8435</v>
      </c>
      <c r="D14" s="268">
        <v>8435</v>
      </c>
      <c r="E14" s="268">
        <v>8435</v>
      </c>
      <c r="F14" s="268">
        <v>10873</v>
      </c>
      <c r="G14" s="17">
        <f t="shared" si="3"/>
        <v>0.87672799085334163</v>
      </c>
      <c r="H14" s="17">
        <f t="shared" si="4"/>
        <v>0.87672799085334163</v>
      </c>
      <c r="I14" s="17">
        <f t="shared" si="5"/>
        <v>0.87672799085334163</v>
      </c>
      <c r="X14" s="139">
        <v>44167</v>
      </c>
      <c r="Y14" s="268">
        <v>9685</v>
      </c>
    </row>
    <row r="15" spans="1:25" x14ac:dyDescent="0.25">
      <c r="B15" s="139">
        <v>44167</v>
      </c>
      <c r="C15" s="268">
        <v>9338</v>
      </c>
      <c r="D15" s="268">
        <v>9338</v>
      </c>
      <c r="E15" s="268">
        <v>9338</v>
      </c>
      <c r="F15" s="268">
        <v>9685</v>
      </c>
      <c r="G15" s="17">
        <f t="shared" si="3"/>
        <v>1.1070539419087138</v>
      </c>
      <c r="H15" s="17">
        <f t="shared" si="4"/>
        <v>1.1070539419087138</v>
      </c>
      <c r="I15" s="17">
        <f t="shared" si="5"/>
        <v>1.1070539419087138</v>
      </c>
      <c r="X15" s="139">
        <v>44174</v>
      </c>
      <c r="Y15" s="268">
        <v>10981</v>
      </c>
    </row>
    <row r="16" spans="1:25" x14ac:dyDescent="0.25">
      <c r="B16" s="139">
        <v>44174</v>
      </c>
      <c r="C16" s="268">
        <v>11168</v>
      </c>
      <c r="D16" s="268">
        <v>11168</v>
      </c>
      <c r="E16" s="268">
        <v>11168</v>
      </c>
      <c r="F16" s="268">
        <v>10981</v>
      </c>
      <c r="G16" s="17">
        <f>C16/C15</f>
        <v>1.1959734418505032</v>
      </c>
      <c r="H16" s="17">
        <f t="shared" ref="H16:I16" si="6">D16/D15</f>
        <v>1.1959734418505032</v>
      </c>
      <c r="I16" s="17">
        <f t="shared" si="6"/>
        <v>1.1959734418505032</v>
      </c>
    </row>
    <row r="17" spans="2:9" x14ac:dyDescent="0.25">
      <c r="B17" s="139">
        <v>44181</v>
      </c>
      <c r="C17" s="245">
        <v>11244</v>
      </c>
      <c r="D17" s="245">
        <v>11244</v>
      </c>
      <c r="E17" s="245">
        <v>11244</v>
      </c>
      <c r="F17" s="268">
        <v>12979</v>
      </c>
      <c r="G17" s="17">
        <f>$N$12+$M$12*$B17</f>
        <v>1.3791639092013384</v>
      </c>
      <c r="H17" s="17">
        <f t="shared" ref="H17:I20" si="7">$N$12+$M$12*$B17</f>
        <v>1.3791639092013384</v>
      </c>
      <c r="I17" s="17">
        <f t="shared" si="7"/>
        <v>1.3791639092013384</v>
      </c>
    </row>
    <row r="18" spans="2:9" x14ac:dyDescent="0.25">
      <c r="B18" s="139">
        <v>44188</v>
      </c>
      <c r="C18" s="153">
        <f t="shared" ref="C18:C36" si="8">C17*G17</f>
        <v>15507.318995059848</v>
      </c>
      <c r="D18" s="153">
        <f t="shared" ref="D18:D36" si="9">D17*H17</f>
        <v>15507.318995059848</v>
      </c>
      <c r="E18" s="153">
        <f t="shared" ref="E18:E36" si="10">E17*I17</f>
        <v>15507.318995059848</v>
      </c>
      <c r="F18" s="268">
        <v>15393</v>
      </c>
      <c r="G18" s="17">
        <v>1.2</v>
      </c>
      <c r="H18" s="17">
        <f t="shared" si="7"/>
        <v>1.5387866346999317</v>
      </c>
      <c r="I18" s="17">
        <f t="shared" si="7"/>
        <v>1.5387866346999317</v>
      </c>
    </row>
    <row r="19" spans="2:9" x14ac:dyDescent="0.25">
      <c r="B19" s="139">
        <v>44195</v>
      </c>
      <c r="C19" s="153">
        <f t="shared" si="8"/>
        <v>18608.782794071816</v>
      </c>
      <c r="D19" s="153">
        <f t="shared" si="9"/>
        <v>23862.455209626471</v>
      </c>
      <c r="E19" s="153">
        <f t="shared" si="10"/>
        <v>23862.455209626471</v>
      </c>
      <c r="F19" s="268">
        <v>19322</v>
      </c>
      <c r="G19" s="17">
        <v>1</v>
      </c>
      <c r="H19" s="17">
        <f t="shared" si="7"/>
        <v>1.6984093601985251</v>
      </c>
      <c r="I19" s="17">
        <f t="shared" si="7"/>
        <v>1.6984093601985251</v>
      </c>
    </row>
    <row r="20" spans="2:9" x14ac:dyDescent="0.25">
      <c r="B20" s="139">
        <v>44202</v>
      </c>
      <c r="C20" s="153">
        <f t="shared" si="8"/>
        <v>18608.782794071816</v>
      </c>
      <c r="D20" s="153">
        <f t="shared" si="9"/>
        <v>40528.217285347659</v>
      </c>
      <c r="E20" s="153">
        <f t="shared" si="10"/>
        <v>40528.217285347659</v>
      </c>
      <c r="F20" s="268">
        <v>25818</v>
      </c>
      <c r="G20" s="17">
        <v>0.8</v>
      </c>
      <c r="H20" s="17">
        <f t="shared" ref="H20:H36" si="11">G18</f>
        <v>1.2</v>
      </c>
      <c r="I20" s="17">
        <f t="shared" si="7"/>
        <v>1.8580320856971184</v>
      </c>
    </row>
    <row r="21" spans="2:9" x14ac:dyDescent="0.25">
      <c r="B21" s="139">
        <v>44209</v>
      </c>
      <c r="C21" s="153">
        <f t="shared" si="8"/>
        <v>14887.026235257454</v>
      </c>
      <c r="D21" s="153">
        <f t="shared" si="9"/>
        <v>48633.860742417186</v>
      </c>
      <c r="E21" s="153">
        <f t="shared" si="10"/>
        <v>75302.728092280522</v>
      </c>
      <c r="F21" s="268">
        <v>29447</v>
      </c>
      <c r="G21" s="17">
        <v>0.8</v>
      </c>
      <c r="H21" s="17">
        <f t="shared" si="11"/>
        <v>1</v>
      </c>
      <c r="I21" s="17">
        <f t="shared" ref="I21:I36" si="12">H19</f>
        <v>1.6984093601985251</v>
      </c>
    </row>
    <row r="22" spans="2:9" x14ac:dyDescent="0.25">
      <c r="B22" s="139">
        <v>44216</v>
      </c>
      <c r="C22" s="153">
        <f t="shared" si="8"/>
        <v>11909.620988205963</v>
      </c>
      <c r="D22" s="153">
        <f t="shared" si="9"/>
        <v>48633.860742417186</v>
      </c>
      <c r="E22" s="153">
        <f t="shared" si="10"/>
        <v>127894.85824041367</v>
      </c>
      <c r="F22" s="268">
        <v>27734</v>
      </c>
      <c r="G22" s="17">
        <v>0.8</v>
      </c>
      <c r="H22" s="17">
        <f t="shared" si="11"/>
        <v>0.8</v>
      </c>
      <c r="I22" s="17">
        <f t="shared" si="12"/>
        <v>1.2</v>
      </c>
    </row>
    <row r="23" spans="2:9" x14ac:dyDescent="0.25">
      <c r="B23" s="139">
        <v>44223</v>
      </c>
      <c r="C23" s="153">
        <f t="shared" si="8"/>
        <v>9527.6967905647707</v>
      </c>
      <c r="D23" s="153">
        <f t="shared" si="9"/>
        <v>38907.088593933753</v>
      </c>
      <c r="E23" s="153">
        <f t="shared" si="10"/>
        <v>153473.8298884964</v>
      </c>
      <c r="F23" s="268">
        <v>22365</v>
      </c>
      <c r="G23" s="17">
        <v>0.8</v>
      </c>
      <c r="H23" s="17">
        <f t="shared" si="11"/>
        <v>0.8</v>
      </c>
      <c r="I23" s="17">
        <f t="shared" si="12"/>
        <v>1</v>
      </c>
    </row>
    <row r="24" spans="2:9" x14ac:dyDescent="0.25">
      <c r="B24" s="139">
        <v>44230</v>
      </c>
      <c r="C24" s="153">
        <f t="shared" si="8"/>
        <v>7622.1574324518169</v>
      </c>
      <c r="D24" s="153">
        <f t="shared" si="9"/>
        <v>31125.670875147003</v>
      </c>
      <c r="E24" s="153">
        <f t="shared" si="10"/>
        <v>153473.8298884964</v>
      </c>
      <c r="F24" s="268">
        <v>18010</v>
      </c>
      <c r="G24" s="17">
        <v>0.8</v>
      </c>
      <c r="H24" s="17">
        <f t="shared" si="11"/>
        <v>0.8</v>
      </c>
      <c r="I24" s="17">
        <f t="shared" si="12"/>
        <v>0.8</v>
      </c>
    </row>
    <row r="25" spans="2:9" x14ac:dyDescent="0.25">
      <c r="B25" s="139">
        <v>44237</v>
      </c>
      <c r="C25" s="153">
        <f t="shared" si="8"/>
        <v>6097.7259459614543</v>
      </c>
      <c r="D25" s="153">
        <f t="shared" si="9"/>
        <v>24900.536700117606</v>
      </c>
      <c r="E25" s="153">
        <f t="shared" si="10"/>
        <v>122779.06391079712</v>
      </c>
      <c r="F25" s="489">
        <f>F24*H25</f>
        <v>14408</v>
      </c>
      <c r="G25" s="17">
        <v>0.8</v>
      </c>
      <c r="H25" s="17">
        <f t="shared" si="11"/>
        <v>0.8</v>
      </c>
      <c r="I25" s="17">
        <f t="shared" si="12"/>
        <v>0.8</v>
      </c>
    </row>
    <row r="26" spans="2:9" x14ac:dyDescent="0.25">
      <c r="B26" s="139">
        <v>44244</v>
      </c>
      <c r="C26" s="153">
        <f t="shared" si="8"/>
        <v>4878.180756769164</v>
      </c>
      <c r="D26" s="153">
        <f t="shared" si="9"/>
        <v>19920.429360094087</v>
      </c>
      <c r="E26" s="153">
        <f t="shared" si="10"/>
        <v>98223.251128637698</v>
      </c>
      <c r="F26" s="489">
        <f t="shared" ref="F26:F36" si="13">F25*H26</f>
        <v>11526.400000000001</v>
      </c>
      <c r="G26" s="17">
        <v>0.8</v>
      </c>
      <c r="H26" s="17">
        <f t="shared" si="11"/>
        <v>0.8</v>
      </c>
      <c r="I26" s="17">
        <f t="shared" si="12"/>
        <v>0.8</v>
      </c>
    </row>
    <row r="27" spans="2:9" x14ac:dyDescent="0.25">
      <c r="B27" s="139">
        <v>44251</v>
      </c>
      <c r="C27" s="153">
        <f t="shared" si="8"/>
        <v>3902.5446054153313</v>
      </c>
      <c r="D27" s="153">
        <f t="shared" si="9"/>
        <v>15936.34348807527</v>
      </c>
      <c r="E27" s="153">
        <f t="shared" si="10"/>
        <v>78578.600902910155</v>
      </c>
      <c r="F27" s="489">
        <f t="shared" si="13"/>
        <v>9221.1200000000008</v>
      </c>
      <c r="G27" s="17">
        <v>0.7</v>
      </c>
      <c r="H27" s="17">
        <f t="shared" si="11"/>
        <v>0.8</v>
      </c>
      <c r="I27" s="17">
        <f t="shared" si="12"/>
        <v>0.8</v>
      </c>
    </row>
    <row r="28" spans="2:9" x14ac:dyDescent="0.25">
      <c r="B28" s="139">
        <v>44258</v>
      </c>
      <c r="C28" s="153">
        <f t="shared" si="8"/>
        <v>2731.7812237907319</v>
      </c>
      <c r="D28" s="153">
        <f t="shared" si="9"/>
        <v>12749.074790460218</v>
      </c>
      <c r="E28" s="153">
        <f t="shared" si="10"/>
        <v>62862.880722328126</v>
      </c>
      <c r="F28" s="489">
        <f t="shared" si="13"/>
        <v>7376.8960000000006</v>
      </c>
      <c r="G28" s="17">
        <v>0.7</v>
      </c>
      <c r="H28" s="17">
        <f t="shared" si="11"/>
        <v>0.8</v>
      </c>
      <c r="I28" s="17">
        <f t="shared" si="12"/>
        <v>0.8</v>
      </c>
    </row>
    <row r="29" spans="2:9" x14ac:dyDescent="0.25">
      <c r="B29" s="139">
        <v>44265</v>
      </c>
      <c r="C29" s="153">
        <f t="shared" si="8"/>
        <v>1912.2468566535122</v>
      </c>
      <c r="D29" s="153">
        <f t="shared" si="9"/>
        <v>10199.259832368174</v>
      </c>
      <c r="E29" s="153">
        <f t="shared" si="10"/>
        <v>50290.304577862502</v>
      </c>
      <c r="F29" s="489">
        <f t="shared" si="13"/>
        <v>5163.8271999999997</v>
      </c>
      <c r="G29" s="17">
        <v>0.7</v>
      </c>
      <c r="H29" s="17">
        <f t="shared" si="11"/>
        <v>0.7</v>
      </c>
      <c r="I29" s="17">
        <f t="shared" si="12"/>
        <v>0.8</v>
      </c>
    </row>
    <row r="30" spans="2:9" x14ac:dyDescent="0.25">
      <c r="B30" s="139">
        <v>44272</v>
      </c>
      <c r="C30" s="153">
        <f t="shared" si="8"/>
        <v>1338.5727996574585</v>
      </c>
      <c r="D30" s="153">
        <f t="shared" si="9"/>
        <v>7139.4818826577211</v>
      </c>
      <c r="E30" s="153">
        <f t="shared" si="10"/>
        <v>40232.243662290006</v>
      </c>
      <c r="F30" s="489">
        <f t="shared" si="13"/>
        <v>3614.6790399999995</v>
      </c>
      <c r="G30" s="17">
        <v>0.7</v>
      </c>
      <c r="H30" s="17">
        <f t="shared" si="11"/>
        <v>0.7</v>
      </c>
      <c r="I30" s="17">
        <f t="shared" si="12"/>
        <v>0.8</v>
      </c>
    </row>
    <row r="31" spans="2:9" x14ac:dyDescent="0.25">
      <c r="B31" s="139">
        <v>44279</v>
      </c>
      <c r="C31" s="153">
        <f t="shared" si="8"/>
        <v>937.00095976022089</v>
      </c>
      <c r="D31" s="153">
        <f t="shared" si="9"/>
        <v>4997.6373178604044</v>
      </c>
      <c r="E31" s="153">
        <f t="shared" si="10"/>
        <v>32185.794929832005</v>
      </c>
      <c r="F31" s="489">
        <f t="shared" si="13"/>
        <v>2530.2753279999997</v>
      </c>
      <c r="G31" s="17">
        <v>0.7</v>
      </c>
      <c r="H31" s="17">
        <f t="shared" si="11"/>
        <v>0.7</v>
      </c>
      <c r="I31" s="17">
        <f t="shared" si="12"/>
        <v>0.7</v>
      </c>
    </row>
    <row r="32" spans="2:9" x14ac:dyDescent="0.25">
      <c r="B32" s="139">
        <v>44286</v>
      </c>
      <c r="C32" s="153">
        <f t="shared" si="8"/>
        <v>655.90067183215456</v>
      </c>
      <c r="D32" s="153">
        <f t="shared" si="9"/>
        <v>3498.3461225022829</v>
      </c>
      <c r="E32" s="153">
        <f t="shared" si="10"/>
        <v>22530.056450882403</v>
      </c>
      <c r="F32" s="489">
        <f t="shared" si="13"/>
        <v>1771.1927295999997</v>
      </c>
      <c r="G32" s="17">
        <v>0.7</v>
      </c>
      <c r="H32" s="17">
        <f t="shared" si="11"/>
        <v>0.7</v>
      </c>
      <c r="I32" s="17">
        <f t="shared" si="12"/>
        <v>0.7</v>
      </c>
    </row>
    <row r="33" spans="2:20" x14ac:dyDescent="0.25">
      <c r="B33" s="139">
        <v>44293</v>
      </c>
      <c r="C33" s="153">
        <f t="shared" si="8"/>
        <v>459.13047028250816</v>
      </c>
      <c r="D33" s="153">
        <f t="shared" si="9"/>
        <v>2448.842285751598</v>
      </c>
      <c r="E33" s="153">
        <f t="shared" si="10"/>
        <v>15771.03951561768</v>
      </c>
      <c r="F33" s="489">
        <f t="shared" si="13"/>
        <v>1239.8349107199997</v>
      </c>
      <c r="G33" s="17">
        <v>0.7</v>
      </c>
      <c r="H33" s="17">
        <f t="shared" si="11"/>
        <v>0.7</v>
      </c>
      <c r="I33" s="17">
        <f t="shared" si="12"/>
        <v>0.7</v>
      </c>
    </row>
    <row r="34" spans="2:20" x14ac:dyDescent="0.25">
      <c r="B34" s="139">
        <v>44300</v>
      </c>
      <c r="C34" s="153">
        <f t="shared" si="8"/>
        <v>321.39132919775568</v>
      </c>
      <c r="D34" s="153">
        <f t="shared" si="9"/>
        <v>1714.1896000261186</v>
      </c>
      <c r="E34" s="153">
        <f t="shared" si="10"/>
        <v>11039.727660932376</v>
      </c>
      <c r="F34" s="489">
        <f t="shared" si="13"/>
        <v>867.88443750399972</v>
      </c>
      <c r="G34" s="17">
        <v>0.7</v>
      </c>
      <c r="H34" s="17">
        <f t="shared" si="11"/>
        <v>0.7</v>
      </c>
      <c r="I34" s="17">
        <f t="shared" si="12"/>
        <v>0.7</v>
      </c>
    </row>
    <row r="35" spans="2:20" x14ac:dyDescent="0.25">
      <c r="B35" s="139">
        <v>44307</v>
      </c>
      <c r="C35" s="153">
        <f t="shared" si="8"/>
        <v>224.97393043842897</v>
      </c>
      <c r="D35" s="153">
        <f t="shared" si="9"/>
        <v>1199.9327200182829</v>
      </c>
      <c r="E35" s="153">
        <f t="shared" si="10"/>
        <v>7727.8093626526625</v>
      </c>
      <c r="F35" s="489">
        <f t="shared" si="13"/>
        <v>607.51910625279982</v>
      </c>
      <c r="G35" s="17">
        <v>0.7</v>
      </c>
      <c r="H35" s="17">
        <f t="shared" si="11"/>
        <v>0.7</v>
      </c>
      <c r="I35" s="17">
        <f t="shared" si="12"/>
        <v>0.7</v>
      </c>
    </row>
    <row r="36" spans="2:20" x14ac:dyDescent="0.25">
      <c r="B36" s="139">
        <v>44314</v>
      </c>
      <c r="C36" s="153">
        <f t="shared" si="8"/>
        <v>157.48175130690026</v>
      </c>
      <c r="D36" s="153">
        <f t="shared" si="9"/>
        <v>839.95290401279794</v>
      </c>
      <c r="E36" s="153">
        <f t="shared" si="10"/>
        <v>5409.4665538568634</v>
      </c>
      <c r="F36" s="489">
        <f t="shared" si="13"/>
        <v>425.26337437695986</v>
      </c>
      <c r="G36" s="17">
        <v>0.7</v>
      </c>
      <c r="H36" s="17">
        <f t="shared" si="11"/>
        <v>0.7</v>
      </c>
      <c r="I36" s="17">
        <f t="shared" si="12"/>
        <v>0.7</v>
      </c>
    </row>
    <row r="40" spans="2:20" ht="18.75" x14ac:dyDescent="0.3">
      <c r="C40" s="252" t="s">
        <v>141</v>
      </c>
      <c r="D40" s="253"/>
      <c r="E40" s="253"/>
      <c r="F40" s="253"/>
      <c r="G40" s="253"/>
      <c r="H40" s="253"/>
      <c r="I40" s="253"/>
      <c r="J40" s="253"/>
      <c r="K40" s="253"/>
      <c r="L40" s="253"/>
      <c r="M40" s="253"/>
      <c r="N40" s="253"/>
      <c r="O40" s="253"/>
      <c r="P40" s="253"/>
      <c r="Q40" s="253"/>
      <c r="R40" s="253"/>
      <c r="S40" s="253"/>
      <c r="T40" s="253"/>
    </row>
    <row r="41" spans="2:20" x14ac:dyDescent="0.25">
      <c r="C41" t="s">
        <v>488</v>
      </c>
      <c r="D41" s="463"/>
      <c r="E41" s="463"/>
      <c r="F41" s="463"/>
      <c r="G41" s="463"/>
      <c r="H41" s="463"/>
      <c r="I41" s="463"/>
      <c r="J41" s="463"/>
      <c r="K41" s="463"/>
      <c r="L41" s="463"/>
      <c r="M41" s="463"/>
      <c r="N41" s="463"/>
      <c r="O41" s="463"/>
      <c r="P41" s="463"/>
      <c r="Q41" s="463"/>
      <c r="R41" s="463"/>
      <c r="S41" s="463"/>
      <c r="T41" s="463"/>
    </row>
    <row r="42" spans="2:20" x14ac:dyDescent="0.25">
      <c r="C42"/>
      <c r="D42" s="463"/>
      <c r="E42" s="463"/>
      <c r="F42" s="463"/>
      <c r="G42" s="463"/>
      <c r="H42" s="463"/>
      <c r="I42" s="463"/>
      <c r="J42" s="463"/>
      <c r="K42" s="463"/>
      <c r="L42" s="463"/>
      <c r="M42" s="463"/>
      <c r="N42" s="463"/>
      <c r="O42" s="463"/>
      <c r="P42" s="463"/>
      <c r="Q42" s="463"/>
      <c r="R42" s="463"/>
      <c r="S42" s="463"/>
      <c r="T42" s="463"/>
    </row>
    <row r="43" spans="2:20" x14ac:dyDescent="0.25">
      <c r="C43"/>
      <c r="D43" s="463"/>
      <c r="E43" s="463"/>
      <c r="F43" s="463"/>
      <c r="G43" s="463"/>
      <c r="H43" s="463"/>
      <c r="I43" s="463"/>
      <c r="J43" s="463"/>
      <c r="K43" s="463"/>
      <c r="L43" s="463"/>
      <c r="M43" s="463"/>
      <c r="N43" s="463"/>
      <c r="O43" s="463"/>
      <c r="P43" s="463"/>
      <c r="Q43" s="463"/>
      <c r="R43" s="463"/>
      <c r="S43" s="463"/>
      <c r="T43" s="463"/>
    </row>
    <row r="44" spans="2:20" ht="18.75" x14ac:dyDescent="0.3">
      <c r="C44" s="252" t="s">
        <v>66</v>
      </c>
      <c r="D44" s="255"/>
      <c r="E44" s="255"/>
      <c r="F44" s="255"/>
      <c r="G44" s="255"/>
      <c r="H44" s="255"/>
      <c r="I44" s="255"/>
      <c r="J44" s="255"/>
      <c r="K44" s="255"/>
      <c r="L44" s="255"/>
      <c r="M44" s="255"/>
      <c r="N44" s="255"/>
      <c r="O44" s="255"/>
      <c r="P44" s="255"/>
      <c r="Q44" s="255"/>
      <c r="R44" s="255"/>
      <c r="S44" s="255"/>
      <c r="T44" s="255"/>
    </row>
    <row r="45" spans="2:20" x14ac:dyDescent="0.25">
      <c r="C45"/>
      <c r="D45" s="463"/>
      <c r="E45" s="463"/>
      <c r="F45" s="463"/>
      <c r="G45" s="463"/>
      <c r="H45" s="463"/>
      <c r="I45" s="463"/>
      <c r="J45" s="463"/>
      <c r="K45" s="463"/>
      <c r="L45" s="463"/>
      <c r="M45" s="463"/>
      <c r="N45" s="463"/>
      <c r="O45" s="463"/>
      <c r="P45" s="463"/>
      <c r="Q45" s="463"/>
      <c r="R45" s="463"/>
      <c r="S45" s="463"/>
      <c r="T45" s="463"/>
    </row>
    <row r="46" spans="2:20" x14ac:dyDescent="0.25">
      <c r="C46"/>
      <c r="D46" s="463"/>
      <c r="E46" s="463"/>
      <c r="F46" s="463"/>
      <c r="G46" s="463"/>
      <c r="H46" s="463"/>
      <c r="I46" s="463"/>
      <c r="J46" s="463"/>
      <c r="K46" s="463"/>
      <c r="L46" s="463"/>
      <c r="M46" s="463"/>
      <c r="N46" s="463"/>
      <c r="O46" s="463"/>
      <c r="P46" s="463"/>
      <c r="Q46" s="463"/>
      <c r="R46" s="463"/>
      <c r="S46" s="463"/>
      <c r="T46" s="463"/>
    </row>
    <row r="47" spans="2:20" x14ac:dyDescent="0.25">
      <c r="C47"/>
      <c r="D47" s="463"/>
      <c r="E47" s="463"/>
      <c r="F47" s="463"/>
      <c r="G47" s="463"/>
      <c r="H47" s="463"/>
      <c r="I47" s="463"/>
      <c r="J47" s="463"/>
      <c r="K47" s="463"/>
      <c r="L47" s="463"/>
      <c r="M47" s="463"/>
      <c r="N47" s="463"/>
      <c r="O47" s="463"/>
      <c r="P47" s="463"/>
      <c r="Q47" s="463"/>
      <c r="R47" s="463"/>
      <c r="S47" s="463"/>
      <c r="T47" s="463"/>
    </row>
    <row r="48" spans="2:20" x14ac:dyDescent="0.25">
      <c r="C48"/>
      <c r="D48" s="463"/>
      <c r="E48" s="463"/>
      <c r="F48" s="463"/>
      <c r="G48" s="463"/>
      <c r="H48" s="463"/>
      <c r="I48" s="463"/>
      <c r="J48" s="463"/>
      <c r="K48" s="463"/>
      <c r="L48" s="463"/>
      <c r="M48" s="463"/>
      <c r="N48" s="463"/>
      <c r="O48" s="463"/>
      <c r="P48" s="463"/>
      <c r="Q48" s="463"/>
      <c r="R48" s="463"/>
      <c r="S48" s="463"/>
      <c r="T48" s="463"/>
    </row>
    <row r="49" spans="3:20" ht="18.75" x14ac:dyDescent="0.3">
      <c r="C49" s="252" t="s">
        <v>143</v>
      </c>
      <c r="D49" s="253"/>
      <c r="E49" s="253"/>
      <c r="F49" s="253"/>
      <c r="G49" s="253"/>
      <c r="H49" s="253"/>
      <c r="I49" s="253"/>
      <c r="J49" s="253"/>
      <c r="K49" s="253"/>
      <c r="L49" s="253"/>
      <c r="M49" s="253"/>
      <c r="N49" s="253"/>
      <c r="O49" s="253"/>
      <c r="P49" s="253"/>
      <c r="Q49" s="253"/>
      <c r="R49" s="253"/>
      <c r="S49" s="253"/>
      <c r="T49" s="253"/>
    </row>
    <row r="50" spans="3:20" x14ac:dyDescent="0.25">
      <c r="C50" s="141" t="s">
        <v>489</v>
      </c>
    </row>
  </sheetData>
  <mergeCells count="1">
    <mergeCell ref="G5:I5"/>
  </mergeCells>
  <conditionalFormatting sqref="G7:I36">
    <cfRule type="colorScale" priority="2">
      <colorScale>
        <cfvo type="min"/>
        <cfvo type="percentile" val="50"/>
        <cfvo type="max"/>
        <color rgb="FF63BE7B"/>
        <color rgb="FFFFEB84"/>
        <color rgb="FFF8696B"/>
      </colorScale>
    </cfRule>
  </conditionalFormatting>
  <conditionalFormatting sqref="C17:E36">
    <cfRule type="colorScale" priority="1">
      <colorScale>
        <cfvo type="min"/>
        <cfvo type="percentile" val="50"/>
        <cfvo type="max"/>
        <color rgb="FF63BE7B"/>
        <color rgb="FFFFEB84"/>
        <color rgb="FFF8696B"/>
      </colorScale>
    </cfRule>
  </conditionalFormatting>
  <pageMargins left="0.7" right="0.7" top="0.75" bottom="0.75" header="0.3" footer="0.3"/>
  <pageSetup paperSize="9" orientation="portrait" horizontalDpi="4294967293" r:id="rId1"/>
  <headerFooter>
    <oddHeader>&amp;L&amp;"Calibri"&amp;12&amp;K008000Classification: Public&amp;1#</oddHead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FA610-9053-4457-A214-E8C982CD00AE}">
  <sheetPr codeName="Sheet18"/>
  <dimension ref="A1:X32"/>
  <sheetViews>
    <sheetView showGridLines="0" workbookViewId="0">
      <selection activeCell="M30" sqref="M30"/>
    </sheetView>
  </sheetViews>
  <sheetFormatPr defaultRowHeight="15" x14ac:dyDescent="0.25"/>
  <cols>
    <col min="2" max="2" width="14.28515625" customWidth="1"/>
    <col min="3" max="3" width="10.140625" bestFit="1" customWidth="1"/>
    <col min="4" max="4" width="10.7109375" bestFit="1" customWidth="1"/>
    <col min="6" max="6" width="8.28515625" customWidth="1"/>
    <col min="8" max="8" width="11" customWidth="1"/>
    <col min="9" max="9" width="15" customWidth="1"/>
    <col min="11" max="11" width="11" customWidth="1"/>
    <col min="12" max="12" width="14.28515625" customWidth="1"/>
    <col min="13" max="13" width="18.7109375" customWidth="1"/>
    <col min="14" max="14" width="12.140625" customWidth="1"/>
    <col min="15" max="15" width="11" customWidth="1"/>
    <col min="16" max="16" width="11.140625" customWidth="1"/>
    <col min="17" max="17" width="11.7109375" style="13" customWidth="1"/>
    <col min="18" max="18" width="15.85546875" customWidth="1"/>
    <col min="19" max="19" width="7.28515625" customWidth="1"/>
    <col min="20" max="20" width="8" customWidth="1"/>
    <col min="21" max="21" width="8.140625" customWidth="1"/>
    <col min="22" max="22" width="9.7109375" customWidth="1"/>
    <col min="23" max="23" width="10.28515625" customWidth="1"/>
    <col min="24" max="24" width="7.5703125" customWidth="1"/>
  </cols>
  <sheetData>
    <row r="1" spans="1:22" ht="26.25" x14ac:dyDescent="0.4">
      <c r="A1" s="253"/>
      <c r="B1" s="452" t="s">
        <v>218</v>
      </c>
      <c r="C1" s="379"/>
      <c r="D1" s="379"/>
      <c r="E1" s="380"/>
      <c r="F1" s="380"/>
      <c r="G1" s="380"/>
      <c r="H1" s="380"/>
      <c r="I1" s="380"/>
      <c r="J1" s="380"/>
      <c r="K1" s="380"/>
      <c r="L1" s="380"/>
      <c r="M1" s="380"/>
      <c r="N1" s="380"/>
      <c r="O1" s="380"/>
      <c r="P1" s="380"/>
      <c r="Q1" s="457"/>
      <c r="R1" s="380"/>
      <c r="S1" s="380"/>
      <c r="T1" s="380"/>
      <c r="U1" s="380"/>
    </row>
    <row r="2" spans="1:22" x14ac:dyDescent="0.25">
      <c r="B2" s="183"/>
      <c r="C2" s="463"/>
      <c r="D2" s="463"/>
    </row>
    <row r="3" spans="1:22" ht="48" customHeight="1" x14ac:dyDescent="0.25">
      <c r="B3" s="404" t="s">
        <v>219</v>
      </c>
      <c r="C3" s="404" t="s">
        <v>496</v>
      </c>
      <c r="D3" s="404" t="s">
        <v>220</v>
      </c>
      <c r="E3" s="404" t="s">
        <v>493</v>
      </c>
      <c r="F3" s="404" t="s">
        <v>494</v>
      </c>
      <c r="G3" s="404" t="s">
        <v>495</v>
      </c>
      <c r="H3" s="404" t="s">
        <v>490</v>
      </c>
      <c r="I3" s="405" t="s">
        <v>491</v>
      </c>
      <c r="J3" s="404" t="s">
        <v>222</v>
      </c>
      <c r="K3" s="404" t="s">
        <v>492</v>
      </c>
      <c r="L3" s="34"/>
      <c r="M3" s="242" t="s">
        <v>490</v>
      </c>
      <c r="N3" s="381" t="s">
        <v>221</v>
      </c>
      <c r="O3" s="411" t="s">
        <v>219</v>
      </c>
      <c r="P3" s="34"/>
      <c r="Q3" s="404" t="s">
        <v>223</v>
      </c>
      <c r="R3" s="34"/>
      <c r="S3" s="34"/>
      <c r="T3" s="34"/>
      <c r="U3" s="34"/>
      <c r="V3" s="34"/>
    </row>
    <row r="4" spans="1:22" x14ac:dyDescent="0.25">
      <c r="B4" s="28" t="s">
        <v>214</v>
      </c>
      <c r="C4" s="418">
        <v>-0.2</v>
      </c>
      <c r="D4" s="418" t="s">
        <v>224</v>
      </c>
      <c r="E4" s="418" t="s">
        <v>224</v>
      </c>
      <c r="F4" s="418" t="s">
        <v>224</v>
      </c>
      <c r="G4" s="418" t="s">
        <v>224</v>
      </c>
      <c r="H4" s="480">
        <v>91096.10359239165</v>
      </c>
      <c r="I4" s="481">
        <v>154.44258533900575</v>
      </c>
      <c r="J4" s="482">
        <f>I4+H4</f>
        <v>91250.546177730663</v>
      </c>
      <c r="K4" s="479">
        <f>J4/H4-1</f>
        <v>1.6953808038822071E-3</v>
      </c>
      <c r="M4" s="460">
        <f>'Deaths - In capacity'!F38</f>
        <v>63293.266556051487</v>
      </c>
      <c r="N4" s="461">
        <f>'Deaths - outside capacity'!M42</f>
        <v>0</v>
      </c>
      <c r="O4" s="483" t="s">
        <v>497</v>
      </c>
      <c r="Q4" s="459">
        <v>-0.2</v>
      </c>
    </row>
    <row r="5" spans="1:22" x14ac:dyDescent="0.25">
      <c r="B5" s="28" t="s">
        <v>214</v>
      </c>
      <c r="C5" s="418" t="s">
        <v>224</v>
      </c>
      <c r="D5" s="418" t="s">
        <v>224</v>
      </c>
      <c r="E5" s="418" t="s">
        <v>224</v>
      </c>
      <c r="F5" s="418" t="s">
        <v>224</v>
      </c>
      <c r="G5" s="418" t="s">
        <v>224</v>
      </c>
      <c r="H5" s="480">
        <v>91096.10359239165</v>
      </c>
      <c r="I5" s="481">
        <v>154.44258533900575</v>
      </c>
      <c r="J5" s="482">
        <f t="shared" ref="J5:J7" si="0">I5+H5</f>
        <v>91250.546177730663</v>
      </c>
      <c r="K5" s="479">
        <f t="shared" ref="K5:K27" si="1">J5/H5-1</f>
        <v>1.6953808038822071E-3</v>
      </c>
      <c r="Q5" s="459">
        <v>0</v>
      </c>
    </row>
    <row r="6" spans="1:22" x14ac:dyDescent="0.25">
      <c r="B6" s="28" t="s">
        <v>214</v>
      </c>
      <c r="C6" s="418">
        <v>0.2</v>
      </c>
      <c r="D6" s="418" t="s">
        <v>224</v>
      </c>
      <c r="E6" s="418" t="s">
        <v>224</v>
      </c>
      <c r="F6" s="418" t="s">
        <v>224</v>
      </c>
      <c r="G6" s="418" t="s">
        <v>224</v>
      </c>
      <c r="H6" s="480">
        <v>91096.10359239165</v>
      </c>
      <c r="I6" s="481">
        <v>154.44258533900575</v>
      </c>
      <c r="J6" s="482">
        <f t="shared" si="0"/>
        <v>91250.546177730663</v>
      </c>
      <c r="K6" s="479">
        <f t="shared" si="1"/>
        <v>1.6953808038822071E-3</v>
      </c>
      <c r="Q6" s="459">
        <v>0.2</v>
      </c>
    </row>
    <row r="7" spans="1:22" x14ac:dyDescent="0.25">
      <c r="B7" s="28" t="s">
        <v>214</v>
      </c>
      <c r="C7" s="418" t="s">
        <v>224</v>
      </c>
      <c r="D7" s="418">
        <v>-0.2</v>
      </c>
      <c r="E7" s="418" t="s">
        <v>224</v>
      </c>
      <c r="F7" s="418" t="s">
        <v>224</v>
      </c>
      <c r="G7" s="418" t="s">
        <v>224</v>
      </c>
      <c r="H7" s="480">
        <v>91096.10359239165</v>
      </c>
      <c r="I7" s="481">
        <v>597.2125364820422</v>
      </c>
      <c r="J7" s="482">
        <f t="shared" si="0"/>
        <v>91693.316128873688</v>
      </c>
      <c r="K7" s="479">
        <f>J7/H7-1</f>
        <v>6.5558515999131206E-3</v>
      </c>
    </row>
    <row r="8" spans="1:22" x14ac:dyDescent="0.25">
      <c r="B8" s="28" t="s">
        <v>214</v>
      </c>
      <c r="C8" s="418" t="s">
        <v>224</v>
      </c>
      <c r="D8" s="418">
        <v>0.2</v>
      </c>
      <c r="E8" s="418" t="s">
        <v>224</v>
      </c>
      <c r="F8" s="418" t="s">
        <v>224</v>
      </c>
      <c r="G8" s="418" t="s">
        <v>224</v>
      </c>
      <c r="H8" s="480">
        <v>91096.10359239165</v>
      </c>
      <c r="I8" s="481">
        <v>0</v>
      </c>
      <c r="J8" s="482">
        <f t="shared" ref="J8:J27" si="2">I8+H8</f>
        <v>91096.10359239165</v>
      </c>
      <c r="K8" s="479">
        <f t="shared" si="1"/>
        <v>0</v>
      </c>
      <c r="M8" s="138"/>
      <c r="N8" s="138" t="s">
        <v>225</v>
      </c>
    </row>
    <row r="9" spans="1:22" ht="15" customHeight="1" x14ac:dyDescent="0.25">
      <c r="B9" s="28" t="s">
        <v>214</v>
      </c>
      <c r="C9" s="418" t="s">
        <v>224</v>
      </c>
      <c r="D9" s="418" t="s">
        <v>224</v>
      </c>
      <c r="E9" s="418">
        <v>-0.2</v>
      </c>
      <c r="F9" s="418" t="s">
        <v>224</v>
      </c>
      <c r="G9" s="418" t="s">
        <v>224</v>
      </c>
      <c r="H9" s="480">
        <v>91096.10359239165</v>
      </c>
      <c r="I9" s="481">
        <v>154.44258533900575</v>
      </c>
      <c r="J9" s="482">
        <f t="shared" si="2"/>
        <v>91250.546177730663</v>
      </c>
      <c r="K9" s="479">
        <f t="shared" si="1"/>
        <v>1.6953808038822071E-3</v>
      </c>
      <c r="M9" s="238" t="s">
        <v>226</v>
      </c>
      <c r="N9" s="456">
        <v>0</v>
      </c>
    </row>
    <row r="10" spans="1:22" x14ac:dyDescent="0.25">
      <c r="B10" s="28" t="s">
        <v>214</v>
      </c>
      <c r="C10" s="418" t="s">
        <v>224</v>
      </c>
      <c r="D10" s="418" t="s">
        <v>224</v>
      </c>
      <c r="E10" s="418">
        <v>0.2</v>
      </c>
      <c r="F10" s="418" t="s">
        <v>224</v>
      </c>
      <c r="G10" s="418" t="s">
        <v>224</v>
      </c>
      <c r="H10" s="480">
        <v>91096.10359239165</v>
      </c>
      <c r="I10" s="481">
        <v>154.44258533900575</v>
      </c>
      <c r="J10" s="482">
        <f t="shared" si="2"/>
        <v>91250.546177730663</v>
      </c>
      <c r="K10" s="479">
        <f t="shared" si="1"/>
        <v>1.6953808038822071E-3</v>
      </c>
      <c r="M10" s="238" t="s">
        <v>227</v>
      </c>
      <c r="N10" s="456">
        <v>0</v>
      </c>
    </row>
    <row r="11" spans="1:22" x14ac:dyDescent="0.25">
      <c r="B11" s="28" t="s">
        <v>214</v>
      </c>
      <c r="C11" s="418" t="s">
        <v>224</v>
      </c>
      <c r="D11" s="418" t="s">
        <v>224</v>
      </c>
      <c r="E11" s="418" t="s">
        <v>224</v>
      </c>
      <c r="F11" s="418">
        <v>-0.2</v>
      </c>
      <c r="G11" s="418" t="s">
        <v>224</v>
      </c>
      <c r="H11" s="480">
        <v>91096.10359239165</v>
      </c>
      <c r="I11" s="481">
        <v>130.04378129320685</v>
      </c>
      <c r="J11" s="482">
        <f t="shared" si="2"/>
        <v>91226.147373684857</v>
      </c>
      <c r="K11" s="479">
        <f t="shared" si="1"/>
        <v>1.4275449351279779E-3</v>
      </c>
      <c r="M11" s="238" t="s">
        <v>493</v>
      </c>
      <c r="N11" s="456">
        <v>0</v>
      </c>
      <c r="T11" s="14" t="str">
        <f>R17 &amp; CHAR(10) &amp; "Scenario: " &amp; R16</f>
        <v>No ICU or Ward HR 
Scenario: Historical</v>
      </c>
    </row>
    <row r="12" spans="1:22" x14ac:dyDescent="0.25">
      <c r="B12" s="28" t="s">
        <v>214</v>
      </c>
      <c r="C12" s="418" t="s">
        <v>224</v>
      </c>
      <c r="D12" s="418" t="s">
        <v>224</v>
      </c>
      <c r="E12" s="418" t="s">
        <v>224</v>
      </c>
      <c r="F12" s="418">
        <v>0.2</v>
      </c>
      <c r="G12" s="418" t="s">
        <v>224</v>
      </c>
      <c r="H12" s="480">
        <v>91096.10359239165</v>
      </c>
      <c r="I12" s="481">
        <v>176.38480607507518</v>
      </c>
      <c r="J12" s="482">
        <f t="shared" si="2"/>
        <v>91272.488398466725</v>
      </c>
      <c r="K12" s="479">
        <f t="shared" si="1"/>
        <v>1.9362497309907134E-3</v>
      </c>
      <c r="M12" s="238" t="s">
        <v>494</v>
      </c>
      <c r="N12" s="456">
        <v>0</v>
      </c>
    </row>
    <row r="13" spans="1:22" x14ac:dyDescent="0.25">
      <c r="B13" s="28" t="s">
        <v>214</v>
      </c>
      <c r="C13" s="418" t="s">
        <v>224</v>
      </c>
      <c r="D13" s="418" t="s">
        <v>224</v>
      </c>
      <c r="E13" s="418" t="s">
        <v>224</v>
      </c>
      <c r="F13" s="418" t="s">
        <v>224</v>
      </c>
      <c r="G13" s="418">
        <v>-0.2</v>
      </c>
      <c r="H13" s="480">
        <v>91096.10359239165</v>
      </c>
      <c r="I13" s="481">
        <v>154.44258533900575</v>
      </c>
      <c r="J13" s="482">
        <f t="shared" si="2"/>
        <v>91250.546177730663</v>
      </c>
      <c r="K13" s="479">
        <f t="shared" si="1"/>
        <v>1.6953808038822071E-3</v>
      </c>
      <c r="M13" s="238" t="s">
        <v>495</v>
      </c>
      <c r="N13" s="456">
        <v>0</v>
      </c>
    </row>
    <row r="14" spans="1:22" x14ac:dyDescent="0.25">
      <c r="B14" s="28" t="s">
        <v>214</v>
      </c>
      <c r="C14" s="418" t="s">
        <v>224</v>
      </c>
      <c r="D14" s="418" t="s">
        <v>224</v>
      </c>
      <c r="E14" s="418" t="s">
        <v>224</v>
      </c>
      <c r="F14" s="418" t="s">
        <v>224</v>
      </c>
      <c r="G14" s="418">
        <v>0.2</v>
      </c>
      <c r="H14" s="480">
        <v>91096.10359239165</v>
      </c>
      <c r="I14" s="481">
        <v>154.44258533900575</v>
      </c>
      <c r="J14" s="482">
        <f t="shared" si="2"/>
        <v>91250.546177730663</v>
      </c>
      <c r="K14" s="479">
        <f t="shared" si="1"/>
        <v>1.6953808038822071E-3</v>
      </c>
      <c r="M14" s="183"/>
    </row>
    <row r="15" spans="1:22" x14ac:dyDescent="0.25">
      <c r="B15" s="28" t="s">
        <v>213</v>
      </c>
      <c r="C15" s="418" t="s">
        <v>224</v>
      </c>
      <c r="D15" s="418" t="s">
        <v>224</v>
      </c>
      <c r="E15" s="418" t="s">
        <v>224</v>
      </c>
      <c r="F15" s="418" t="s">
        <v>224</v>
      </c>
      <c r="G15" s="418" t="s">
        <v>224</v>
      </c>
      <c r="H15" s="480">
        <v>42925.146274435763</v>
      </c>
      <c r="I15" s="481">
        <v>0</v>
      </c>
      <c r="J15" s="482">
        <f t="shared" si="2"/>
        <v>42925.146274435763</v>
      </c>
      <c r="K15" s="479">
        <f t="shared" si="1"/>
        <v>0</v>
      </c>
    </row>
    <row r="16" spans="1:22" x14ac:dyDescent="0.25">
      <c r="B16" s="28" t="s">
        <v>215</v>
      </c>
      <c r="C16" s="418">
        <v>-0.2</v>
      </c>
      <c r="D16" s="418" t="s">
        <v>224</v>
      </c>
      <c r="E16" s="418" t="s">
        <v>224</v>
      </c>
      <c r="F16" s="418" t="s">
        <v>224</v>
      </c>
      <c r="G16" s="418" t="s">
        <v>224</v>
      </c>
      <c r="H16" s="480">
        <v>253755.58457821835</v>
      </c>
      <c r="I16" s="481">
        <v>103844.69287565298</v>
      </c>
      <c r="J16" s="482">
        <f t="shared" si="2"/>
        <v>357600.27745387133</v>
      </c>
      <c r="K16" s="479">
        <f t="shared" si="1"/>
        <v>0.40923116253090219</v>
      </c>
      <c r="Q16" s="292" t="s">
        <v>219</v>
      </c>
      <c r="R16" s="292" t="str">
        <f>Scenario</f>
        <v>Historical</v>
      </c>
    </row>
    <row r="17" spans="2:24" x14ac:dyDescent="0.25">
      <c r="B17" s="28" t="s">
        <v>215</v>
      </c>
      <c r="C17" s="418" t="s">
        <v>224</v>
      </c>
      <c r="D17" s="418" t="s">
        <v>224</v>
      </c>
      <c r="E17" s="418" t="s">
        <v>224</v>
      </c>
      <c r="F17" s="418" t="s">
        <v>224</v>
      </c>
      <c r="G17" s="418" t="s">
        <v>224</v>
      </c>
      <c r="H17" s="480">
        <v>253755.58457821835</v>
      </c>
      <c r="I17" s="481">
        <v>73782.746351766167</v>
      </c>
      <c r="J17" s="482">
        <f t="shared" si="2"/>
        <v>327538.33092998451</v>
      </c>
      <c r="K17" s="479">
        <f t="shared" si="1"/>
        <v>0.29076304458246582</v>
      </c>
      <c r="L17" s="298"/>
      <c r="Q17" s="292" t="s">
        <v>228</v>
      </c>
      <c r="R17" s="485" t="s">
        <v>495</v>
      </c>
    </row>
    <row r="18" spans="2:24" x14ac:dyDescent="0.25">
      <c r="B18" s="28" t="s">
        <v>215</v>
      </c>
      <c r="C18" s="418">
        <v>0.2</v>
      </c>
      <c r="D18" s="418" t="s">
        <v>224</v>
      </c>
      <c r="E18" s="418" t="s">
        <v>224</v>
      </c>
      <c r="F18" s="418" t="s">
        <v>224</v>
      </c>
      <c r="G18" s="418" t="s">
        <v>224</v>
      </c>
      <c r="H18" s="480">
        <v>253755.58457821835</v>
      </c>
      <c r="I18" s="481">
        <v>49219.00297722168</v>
      </c>
      <c r="J18" s="482">
        <f t="shared" si="2"/>
        <v>302974.58755544003</v>
      </c>
      <c r="K18" s="479">
        <f t="shared" si="1"/>
        <v>0.19396224543799256</v>
      </c>
      <c r="Q18" s="418">
        <v>-0.2</v>
      </c>
      <c r="R18" s="153">
        <f ca="1">IFERROR(OFFSET($I$3,MATCH($R$16,$B$4:$B$26,0)+MATCH($Q18,OFFSET($B$3,MATCH($R$16,$B$4:$B$26,0),MATCH($R$17,$C$3:$G$3,0),COUNTIF(B4:B26,$R$16)),0)-1,0),0)</f>
        <v>0</v>
      </c>
    </row>
    <row r="19" spans="2:24" x14ac:dyDescent="0.25">
      <c r="B19" s="28" t="s">
        <v>215</v>
      </c>
      <c r="C19" s="418" t="s">
        <v>224</v>
      </c>
      <c r="D19" s="418">
        <v>-0.2</v>
      </c>
      <c r="E19" s="418" t="s">
        <v>224</v>
      </c>
      <c r="F19" s="418" t="s">
        <v>224</v>
      </c>
      <c r="G19" s="418" t="s">
        <v>224</v>
      </c>
      <c r="H19" s="480">
        <v>253755.58457821835</v>
      </c>
      <c r="I19" s="481">
        <v>76454.13926464587</v>
      </c>
      <c r="J19" s="482">
        <f t="shared" si="2"/>
        <v>330209.72384286422</v>
      </c>
      <c r="K19" s="479">
        <f t="shared" si="1"/>
        <v>0.30129046969241946</v>
      </c>
      <c r="P19" s="412"/>
      <c r="Q19" s="418" t="s">
        <v>224</v>
      </c>
      <c r="R19" s="153">
        <f>IF(Scenario="Optimistic",I15,IF(Scenario="Middling",I5,I17))</f>
        <v>73782.746351766167</v>
      </c>
      <c r="S19" s="413"/>
      <c r="T19" s="413"/>
      <c r="U19" s="413"/>
      <c r="V19" s="413"/>
      <c r="W19" s="414"/>
      <c r="X19" s="413"/>
    </row>
    <row r="20" spans="2:24" x14ac:dyDescent="0.25">
      <c r="B20" s="28" t="s">
        <v>215</v>
      </c>
      <c r="C20" s="418" t="s">
        <v>224</v>
      </c>
      <c r="D20" s="418">
        <v>0.2</v>
      </c>
      <c r="E20" s="418" t="s">
        <v>224</v>
      </c>
      <c r="F20" s="418" t="s">
        <v>224</v>
      </c>
      <c r="G20" s="418" t="s">
        <v>224</v>
      </c>
      <c r="H20" s="480">
        <v>253755.58457821835</v>
      </c>
      <c r="I20" s="481">
        <v>71325.256153196868</v>
      </c>
      <c r="J20" s="482">
        <f t="shared" si="2"/>
        <v>325080.8407314152</v>
      </c>
      <c r="K20" s="479">
        <f t="shared" si="1"/>
        <v>0.28107856728257086</v>
      </c>
      <c r="L20" s="298"/>
      <c r="Q20" s="418">
        <v>0.2</v>
      </c>
      <c r="R20" s="153">
        <f ca="1">IFERROR(OFFSET($I$3, MATCH($R$16, $B$4:$B$26, 0)+MATCH($Q20, OFFSET($B$3, MATCH($R$16, $B$4:$B$26, 0), MATCH($R$17, $C$3:$G$3, 0), COUNTIF(B4:B26, $R$16)), 0)-1, 0), 0)</f>
        <v>0</v>
      </c>
      <c r="S20" s="415"/>
      <c r="T20" s="415"/>
      <c r="U20" s="415"/>
      <c r="V20" s="416"/>
      <c r="W20" s="417"/>
      <c r="X20" s="246"/>
    </row>
    <row r="21" spans="2:24" x14ac:dyDescent="0.25">
      <c r="B21" s="28" t="s">
        <v>215</v>
      </c>
      <c r="C21" s="418" t="s">
        <v>224</v>
      </c>
      <c r="D21" s="418" t="s">
        <v>224</v>
      </c>
      <c r="E21" s="418">
        <v>-0.2</v>
      </c>
      <c r="F21" s="418" t="s">
        <v>224</v>
      </c>
      <c r="G21" s="418" t="s">
        <v>224</v>
      </c>
      <c r="H21" s="480">
        <v>253755.58457821835</v>
      </c>
      <c r="I21" s="481">
        <v>65911.821899593939</v>
      </c>
      <c r="J21" s="482">
        <f t="shared" si="2"/>
        <v>319667.40647781227</v>
      </c>
      <c r="K21" s="479">
        <f t="shared" si="1"/>
        <v>0.25974530574036314</v>
      </c>
      <c r="Q21" s="458"/>
      <c r="R21" s="415"/>
      <c r="S21" s="415"/>
      <c r="T21" s="415"/>
      <c r="U21" s="415"/>
      <c r="V21" s="416"/>
      <c r="W21" s="417"/>
      <c r="X21" s="246"/>
    </row>
    <row r="22" spans="2:24" x14ac:dyDescent="0.25">
      <c r="B22" s="28" t="s">
        <v>215</v>
      </c>
      <c r="C22" s="418" t="s">
        <v>224</v>
      </c>
      <c r="D22" s="418" t="s">
        <v>224</v>
      </c>
      <c r="E22" s="418">
        <v>0.2</v>
      </c>
      <c r="F22" s="418" t="s">
        <v>224</v>
      </c>
      <c r="G22" s="418" t="s">
        <v>224</v>
      </c>
      <c r="H22" s="480">
        <v>253755.58457821835</v>
      </c>
      <c r="I22" s="481">
        <v>80661.955713253148</v>
      </c>
      <c r="J22" s="482">
        <f t="shared" si="2"/>
        <v>334417.54029147152</v>
      </c>
      <c r="K22" s="479">
        <f t="shared" si="1"/>
        <v>0.31787263262531162</v>
      </c>
      <c r="R22" s="415"/>
      <c r="S22" s="415"/>
      <c r="T22" s="415"/>
      <c r="U22" s="415"/>
      <c r="V22" s="416"/>
      <c r="W22" s="417"/>
      <c r="X22" s="246"/>
    </row>
    <row r="23" spans="2:24" x14ac:dyDescent="0.25">
      <c r="B23" s="28" t="s">
        <v>215</v>
      </c>
      <c r="C23" s="418" t="s">
        <v>224</v>
      </c>
      <c r="D23" s="418" t="s">
        <v>224</v>
      </c>
      <c r="E23" s="418" t="s">
        <v>224</v>
      </c>
      <c r="F23" s="418">
        <v>-0.2</v>
      </c>
      <c r="G23" s="418" t="s">
        <v>224</v>
      </c>
      <c r="H23" s="480">
        <v>253755.58457821835</v>
      </c>
      <c r="I23" s="481">
        <v>73543.678600970205</v>
      </c>
      <c r="J23" s="482">
        <f t="shared" si="2"/>
        <v>327299.26317918854</v>
      </c>
      <c r="K23" s="479">
        <f t="shared" si="1"/>
        <v>0.28982092639738877</v>
      </c>
      <c r="Q23" s="458"/>
      <c r="R23" s="415"/>
      <c r="S23" s="415"/>
      <c r="T23" s="415"/>
      <c r="U23" s="415"/>
      <c r="V23" s="416"/>
      <c r="W23" s="417"/>
      <c r="X23" s="246"/>
    </row>
    <row r="24" spans="2:24" x14ac:dyDescent="0.25">
      <c r="B24" s="28" t="s">
        <v>215</v>
      </c>
      <c r="C24" s="418" t="s">
        <v>224</v>
      </c>
      <c r="D24" s="418" t="s">
        <v>224</v>
      </c>
      <c r="E24" s="418" t="s">
        <v>224</v>
      </c>
      <c r="F24" s="418">
        <v>0.2</v>
      </c>
      <c r="G24" s="418" t="s">
        <v>224</v>
      </c>
      <c r="H24" s="480">
        <v>253755.58457821835</v>
      </c>
      <c r="I24" s="481">
        <v>73997.743666757262</v>
      </c>
      <c r="J24" s="482">
        <f t="shared" si="2"/>
        <v>327753.32824497559</v>
      </c>
      <c r="K24" s="479">
        <f t="shared" si="1"/>
        <v>0.29161030599485382</v>
      </c>
      <c r="Q24" s="458"/>
      <c r="R24" s="415"/>
      <c r="S24" s="415"/>
      <c r="T24" s="415"/>
      <c r="U24" s="415"/>
      <c r="V24" s="416"/>
      <c r="W24" s="417"/>
      <c r="X24" s="246"/>
    </row>
    <row r="25" spans="2:24" x14ac:dyDescent="0.25">
      <c r="B25" s="28" t="s">
        <v>215</v>
      </c>
      <c r="C25" s="418" t="s">
        <v>224</v>
      </c>
      <c r="D25" s="418" t="s">
        <v>224</v>
      </c>
      <c r="E25" s="418" t="s">
        <v>224</v>
      </c>
      <c r="F25" s="418" t="s">
        <v>224</v>
      </c>
      <c r="G25" s="418">
        <v>-0.2</v>
      </c>
      <c r="H25" s="480">
        <v>253755.58457821835</v>
      </c>
      <c r="I25" s="481">
        <v>73014.634926940285</v>
      </c>
      <c r="J25" s="482">
        <f t="shared" si="2"/>
        <v>326770.2195051586</v>
      </c>
      <c r="K25" s="479">
        <f t="shared" si="1"/>
        <v>0.28773607110283717</v>
      </c>
      <c r="N25" s="298"/>
      <c r="P25" s="280"/>
      <c r="Q25" s="458"/>
      <c r="R25" s="415"/>
      <c r="S25" s="415"/>
      <c r="T25" s="415"/>
      <c r="U25" s="415"/>
      <c r="V25" s="416"/>
      <c r="W25" s="417"/>
      <c r="X25" s="246"/>
    </row>
    <row r="26" spans="2:24" x14ac:dyDescent="0.25">
      <c r="B26" s="28" t="s">
        <v>215</v>
      </c>
      <c r="C26" s="418" t="s">
        <v>224</v>
      </c>
      <c r="D26" s="418" t="s">
        <v>224</v>
      </c>
      <c r="E26" s="418" t="s">
        <v>224</v>
      </c>
      <c r="F26" s="418" t="s">
        <v>224</v>
      </c>
      <c r="G26" s="418">
        <v>0.2</v>
      </c>
      <c r="H26" s="480">
        <v>253755.58457821835</v>
      </c>
      <c r="I26" s="481">
        <v>74268.811971338349</v>
      </c>
      <c r="J26" s="482">
        <f t="shared" si="2"/>
        <v>328024.3965495567</v>
      </c>
      <c r="K26" s="479">
        <f t="shared" si="1"/>
        <v>0.29267853196131544</v>
      </c>
      <c r="P26" s="280"/>
      <c r="Q26" s="458"/>
      <c r="R26" s="415"/>
      <c r="S26" s="415"/>
      <c r="T26" s="415"/>
      <c r="U26" s="415"/>
      <c r="V26" s="416"/>
      <c r="W26" s="417"/>
      <c r="X26" s="246"/>
    </row>
    <row r="27" spans="2:24" x14ac:dyDescent="0.25">
      <c r="B27" s="292" t="s">
        <v>497</v>
      </c>
      <c r="C27" s="418" t="s">
        <v>224</v>
      </c>
      <c r="D27" s="418" t="s">
        <v>224</v>
      </c>
      <c r="E27" s="418" t="s">
        <v>224</v>
      </c>
      <c r="F27" s="418" t="s">
        <v>224</v>
      </c>
      <c r="G27" s="418" t="s">
        <v>224</v>
      </c>
      <c r="H27" s="480">
        <v>63293.266556051487</v>
      </c>
      <c r="I27" s="481">
        <v>0</v>
      </c>
      <c r="J27" s="490">
        <f t="shared" si="2"/>
        <v>63293.266556051487</v>
      </c>
      <c r="K27" s="491">
        <f t="shared" si="1"/>
        <v>0</v>
      </c>
      <c r="P27" s="280"/>
      <c r="Q27" s="458"/>
      <c r="R27" s="415"/>
      <c r="S27" s="415"/>
      <c r="T27" s="415"/>
      <c r="U27" s="415"/>
      <c r="V27" s="416"/>
      <c r="W27" s="417"/>
      <c r="X27" s="246"/>
    </row>
    <row r="28" spans="2:24" ht="18.75" x14ac:dyDescent="0.3">
      <c r="I28" s="484"/>
      <c r="M28" s="453"/>
      <c r="N28" s="184"/>
      <c r="O28" s="184"/>
      <c r="P28" s="280"/>
      <c r="S28" s="415"/>
      <c r="T28" s="415"/>
      <c r="U28" s="415"/>
      <c r="V28" s="416"/>
      <c r="W28" s="417"/>
      <c r="X28" s="246"/>
    </row>
    <row r="29" spans="2:24" x14ac:dyDescent="0.25">
      <c r="I29" s="484"/>
      <c r="M29" s="454"/>
      <c r="N29" s="455"/>
      <c r="O29" s="184"/>
      <c r="P29" s="280"/>
      <c r="S29" s="415"/>
      <c r="T29" s="415"/>
      <c r="U29" s="415"/>
      <c r="V29" s="416"/>
      <c r="W29" s="417"/>
      <c r="X29" s="246"/>
    </row>
    <row r="30" spans="2:24" x14ac:dyDescent="0.25">
      <c r="M30" s="454"/>
      <c r="N30" s="455"/>
      <c r="O30" s="184"/>
      <c r="P30" s="280"/>
      <c r="Q30" s="458"/>
      <c r="R30" s="415"/>
      <c r="S30" s="415"/>
      <c r="T30" s="415"/>
      <c r="U30" s="415"/>
      <c r="V30" s="416"/>
      <c r="W30" s="417"/>
      <c r="X30" s="246"/>
    </row>
    <row r="31" spans="2:24" x14ac:dyDescent="0.25">
      <c r="P31" s="280"/>
      <c r="Q31" s="458"/>
      <c r="R31" s="415"/>
      <c r="S31" s="415"/>
      <c r="T31" s="415"/>
      <c r="U31" s="415"/>
      <c r="V31" s="416"/>
      <c r="W31" s="417"/>
      <c r="X31" s="246"/>
    </row>
    <row r="32" spans="2:24" x14ac:dyDescent="0.25">
      <c r="P32" s="280"/>
      <c r="Q32" s="458"/>
      <c r="R32" s="415"/>
      <c r="S32" s="415"/>
      <c r="T32" s="415"/>
      <c r="U32" s="415"/>
      <c r="V32" s="416"/>
      <c r="W32" s="417"/>
      <c r="X32" s="246"/>
    </row>
  </sheetData>
  <conditionalFormatting sqref="C16:G26">
    <cfRule type="colorScale" priority="16">
      <colorScale>
        <cfvo type="min"/>
        <cfvo type="percentile" val="50"/>
        <cfvo type="max"/>
        <color rgb="FFF8696B"/>
        <color rgb="FFFFEB84"/>
        <color rgb="FF63BE7B"/>
      </colorScale>
    </cfRule>
  </conditionalFormatting>
  <conditionalFormatting sqref="C4:G15">
    <cfRule type="colorScale" priority="20">
      <colorScale>
        <cfvo type="min"/>
        <cfvo type="percentile" val="50"/>
        <cfvo type="max"/>
        <color rgb="FFF8696B"/>
        <color rgb="FFFFEB84"/>
        <color rgb="FF63BE7B"/>
      </colorScale>
    </cfRule>
  </conditionalFormatting>
  <conditionalFormatting sqref="Q23:U27 Q30:U32 S28:U29 R22:U22">
    <cfRule type="colorScale" priority="6">
      <colorScale>
        <cfvo type="min"/>
        <cfvo type="percentile" val="50"/>
        <cfvo type="max"/>
        <color rgb="FFF8696B"/>
        <color rgb="FFFFEB84"/>
        <color rgb="FF63BE7B"/>
      </colorScale>
    </cfRule>
  </conditionalFormatting>
  <conditionalFormatting sqref="Q21:U21 S20:U20">
    <cfRule type="colorScale" priority="5">
      <colorScale>
        <cfvo type="min"/>
        <cfvo type="percentile" val="50"/>
        <cfvo type="max"/>
        <color rgb="FFF8696B"/>
        <color rgb="FFFFEB84"/>
        <color rgb="FF63BE7B"/>
      </colorScale>
    </cfRule>
  </conditionalFormatting>
  <conditionalFormatting sqref="Q18:Q20">
    <cfRule type="colorScale" priority="3">
      <colorScale>
        <cfvo type="min"/>
        <cfvo type="percentile" val="50"/>
        <cfvo type="max"/>
        <color rgb="FFF8696B"/>
        <color rgb="FFFFEB84"/>
        <color rgb="FF63BE7B"/>
      </colorScale>
    </cfRule>
  </conditionalFormatting>
  <conditionalFormatting sqref="C27:F27">
    <cfRule type="colorScale" priority="2">
      <colorScale>
        <cfvo type="min"/>
        <cfvo type="percentile" val="50"/>
        <cfvo type="max"/>
        <color rgb="FFF8696B"/>
        <color rgb="FFFFEB84"/>
        <color rgb="FF63BE7B"/>
      </colorScale>
    </cfRule>
  </conditionalFormatting>
  <conditionalFormatting sqref="G27">
    <cfRule type="colorScale" priority="1">
      <colorScale>
        <cfvo type="min"/>
        <cfvo type="percentile" val="50"/>
        <cfvo type="max"/>
        <color rgb="FFF8696B"/>
        <color rgb="FFFFEB84"/>
        <color rgb="FF63BE7B"/>
      </colorScale>
    </cfRule>
  </conditionalFormatting>
  <dataValidations count="3">
    <dataValidation type="list" allowBlank="1" showInputMessage="1" showErrorMessage="1" sqref="O4" xr:uid="{CF51A8FC-FE5A-4A77-A691-E04C5FA8A52C}">
      <formula1>"Pessimistic,Middling,Optimistic,Historical"</formula1>
    </dataValidation>
    <dataValidation type="list" allowBlank="1" showInputMessage="1" showErrorMessage="1" sqref="N9:N13" xr:uid="{4AE9E58F-3E3D-44C7-B004-8E988F62A413}">
      <formula1>$Q$4:$Q$6</formula1>
    </dataValidation>
    <dataValidation type="list" allowBlank="1" showInputMessage="1" showErrorMessage="1" sqref="R17" xr:uid="{5E2B8201-8F24-4EBF-91E7-EB1596000E96}">
      <formula1>$C$3:$G$3</formula1>
    </dataValidation>
  </dataValidations>
  <pageMargins left="0.7" right="0.7" top="0.75" bottom="0.75" header="0.3" footer="0.3"/>
  <pageSetup paperSize="9" orientation="portrait" horizontalDpi="4294967293" r:id="rId1"/>
  <headerFooter>
    <oddHeader>&amp;L&amp;"Calibri"&amp;12&amp;K008000Classification: Public&amp;1#</oddHead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8E3A3-DAF2-462C-8AB9-ACF0F556574D}">
  <sheetPr codeName="Sheet3">
    <tabColor theme="5" tint="0.79998168889431442"/>
  </sheetPr>
  <dimension ref="A1:AC47"/>
  <sheetViews>
    <sheetView showGridLines="0" zoomScale="80" zoomScaleNormal="80" workbookViewId="0">
      <selection activeCell="C5" sqref="C5"/>
    </sheetView>
  </sheetViews>
  <sheetFormatPr defaultRowHeight="15" x14ac:dyDescent="0.25"/>
  <cols>
    <col min="1" max="1" width="17.28515625" bestFit="1" customWidth="1"/>
    <col min="2" max="2" width="14.28515625" customWidth="1"/>
    <col min="3" max="3" width="11" customWidth="1"/>
    <col min="4" max="20" width="10" style="1" customWidth="1"/>
    <col min="21" max="21" width="4.140625" customWidth="1"/>
    <col min="26" max="26" width="8.5703125" customWidth="1"/>
  </cols>
  <sheetData>
    <row r="1" spans="1:27" ht="26.25" x14ac:dyDescent="0.4">
      <c r="A1" s="253"/>
      <c r="B1" s="448" t="s">
        <v>229</v>
      </c>
      <c r="C1" s="251"/>
      <c r="D1" s="450"/>
      <c r="E1" s="450"/>
      <c r="F1" s="450"/>
      <c r="G1" s="450"/>
      <c r="H1" s="450"/>
      <c r="I1" s="450"/>
      <c r="J1" s="450"/>
      <c r="K1" s="450"/>
      <c r="L1" s="450"/>
      <c r="M1" s="450"/>
      <c r="N1" s="450"/>
      <c r="O1" s="450"/>
      <c r="P1" s="450"/>
      <c r="Q1" s="450"/>
      <c r="R1" s="450"/>
      <c r="S1" s="450"/>
      <c r="T1" s="450"/>
      <c r="U1" s="251"/>
      <c r="V1" s="251"/>
      <c r="W1" s="253"/>
      <c r="X1" s="253"/>
      <c r="Y1" s="253"/>
      <c r="Z1" s="253"/>
      <c r="AA1" s="253"/>
    </row>
    <row r="2" spans="1:27" ht="26.25" x14ac:dyDescent="0.4">
      <c r="B2" s="206"/>
      <c r="C2" s="206"/>
      <c r="D2" s="254"/>
      <c r="E2" s="254"/>
      <c r="F2" s="254"/>
      <c r="G2" s="254"/>
      <c r="H2" s="254"/>
      <c r="I2" s="254"/>
      <c r="J2" s="254"/>
      <c r="K2" s="254"/>
      <c r="L2" s="254"/>
      <c r="M2" s="254"/>
      <c r="N2" s="254"/>
      <c r="O2" s="254"/>
      <c r="P2" s="254"/>
      <c r="Q2" s="254"/>
      <c r="R2" s="254"/>
      <c r="S2" s="254"/>
      <c r="T2" s="254"/>
      <c r="U2" s="206"/>
      <c r="V2" s="206"/>
    </row>
    <row r="3" spans="1:27" x14ac:dyDescent="0.25">
      <c r="A3" t="s">
        <v>230</v>
      </c>
      <c r="D3" s="463"/>
      <c r="E3" s="463"/>
      <c r="F3" s="463"/>
      <c r="G3" s="463"/>
      <c r="H3" s="463"/>
      <c r="I3" s="463"/>
      <c r="J3" s="463"/>
      <c r="K3" s="463"/>
      <c r="L3" s="463"/>
      <c r="M3" s="463"/>
      <c r="N3" s="463"/>
      <c r="O3" s="463"/>
      <c r="P3" s="463"/>
      <c r="Q3" s="463"/>
      <c r="R3" s="463"/>
      <c r="S3" s="463"/>
      <c r="T3" s="463"/>
    </row>
    <row r="4" spans="1:27" x14ac:dyDescent="0.25">
      <c r="A4" s="133" t="s">
        <v>231</v>
      </c>
      <c r="B4" s="133" t="s">
        <v>232</v>
      </c>
      <c r="C4" s="137" t="s">
        <v>82</v>
      </c>
      <c r="D4" s="292" t="s">
        <v>179</v>
      </c>
      <c r="E4" s="292" t="s">
        <v>182</v>
      </c>
      <c r="F4" s="292" t="s">
        <v>184</v>
      </c>
      <c r="G4" s="292" t="s">
        <v>186</v>
      </c>
      <c r="H4" s="292" t="s">
        <v>188</v>
      </c>
      <c r="I4" s="292" t="s">
        <v>190</v>
      </c>
      <c r="J4" s="292" t="s">
        <v>191</v>
      </c>
      <c r="K4" s="292" t="s">
        <v>192</v>
      </c>
      <c r="L4" s="292" t="s">
        <v>193</v>
      </c>
      <c r="M4" s="292" t="s">
        <v>194</v>
      </c>
      <c r="N4" s="292" t="s">
        <v>195</v>
      </c>
      <c r="O4" s="292" t="s">
        <v>197</v>
      </c>
      <c r="P4" s="292" t="s">
        <v>199</v>
      </c>
      <c r="Q4" s="292" t="s">
        <v>201</v>
      </c>
      <c r="R4" s="292" t="s">
        <v>203</v>
      </c>
      <c r="S4" s="292" t="s">
        <v>205</v>
      </c>
      <c r="T4" s="292" t="s">
        <v>189</v>
      </c>
    </row>
    <row r="5" spans="1:27" x14ac:dyDescent="0.25">
      <c r="A5" s="139">
        <v>44104</v>
      </c>
      <c r="B5" s="130" t="s">
        <v>233</v>
      </c>
      <c r="C5" s="262">
        <f t="array" ref="C5:C35">IF(Scenario="Optimistic",Scenarios!$C$6:$C$36,IF(Scenario="Middling",Scenarios!$D$6:$D$36,IF(Scenario="Pessimistic",Scenarios!$E$6:$E$36,Scenarios!$F$6:$F$36)))</f>
        <v>2833</v>
      </c>
      <c r="D5" s="256">
        <f t="shared" ref="D5:M6" si="0">$C5*D$38</f>
        <v>15.573787625650155</v>
      </c>
      <c r="E5" s="256">
        <f t="shared" si="0"/>
        <v>10.147226093519478</v>
      </c>
      <c r="F5" s="256">
        <f t="shared" si="0"/>
        <v>8.1117280698088283</v>
      </c>
      <c r="G5" s="256">
        <f t="shared" si="0"/>
        <v>11.758499499508039</v>
      </c>
      <c r="H5" s="256">
        <f t="shared" si="0"/>
        <v>24.933029020014597</v>
      </c>
      <c r="I5" s="256">
        <f t="shared" si="0"/>
        <v>36.16350998688268</v>
      </c>
      <c r="J5" s="256">
        <f t="shared" si="0"/>
        <v>48.161408442426527</v>
      </c>
      <c r="K5" s="256">
        <f t="shared" si="0"/>
        <v>62.923292329587753</v>
      </c>
      <c r="L5" s="256">
        <f t="shared" si="0"/>
        <v>76.520676679179132</v>
      </c>
      <c r="M5" s="256">
        <f t="shared" si="0"/>
        <v>111.33220628763307</v>
      </c>
      <c r="N5" s="256">
        <f t="shared" ref="N5:T6" si="1">$C5*N$38</f>
        <v>155.55582635677675</v>
      </c>
      <c r="O5" s="256">
        <f t="shared" si="1"/>
        <v>193.80374733537832</v>
      </c>
      <c r="P5" s="256">
        <f t="shared" si="1"/>
        <v>218.70951264096095</v>
      </c>
      <c r="Q5" s="256">
        <f t="shared" si="1"/>
        <v>258.97006732462006</v>
      </c>
      <c r="R5" s="256">
        <f t="shared" si="1"/>
        <v>340.93590641909566</v>
      </c>
      <c r="S5" s="256">
        <f t="shared" si="1"/>
        <v>315.79544731113424</v>
      </c>
      <c r="T5" s="256">
        <f t="shared" si="1"/>
        <v>943.60412857782319</v>
      </c>
    </row>
    <row r="6" spans="1:27" ht="14.45" customHeight="1" x14ac:dyDescent="0.25">
      <c r="A6" s="139">
        <v>44111</v>
      </c>
      <c r="B6" s="130" t="s">
        <v>233</v>
      </c>
      <c r="C6" s="262">
        <v>4242</v>
      </c>
      <c r="D6" s="256">
        <f t="shared" si="0"/>
        <v>23.319451855985864</v>
      </c>
      <c r="E6" s="256">
        <f t="shared" si="0"/>
        <v>15.193975675506397</v>
      </c>
      <c r="F6" s="256">
        <f t="shared" si="0"/>
        <v>12.146117356911066</v>
      </c>
      <c r="G6" s="256">
        <f t="shared" si="0"/>
        <v>17.606620147163113</v>
      </c>
      <c r="H6" s="256">
        <f t="shared" si="0"/>
        <v>37.33353657003245</v>
      </c>
      <c r="I6" s="256">
        <f t="shared" si="0"/>
        <v>54.149526778805622</v>
      </c>
      <c r="J6" s="256">
        <f t="shared" si="0"/>
        <v>72.114611582341453</v>
      </c>
      <c r="K6" s="256">
        <f t="shared" si="0"/>
        <v>94.218357240420488</v>
      </c>
      <c r="L6" s="256">
        <f t="shared" si="0"/>
        <v>114.57843645361027</v>
      </c>
      <c r="M6" s="256">
        <f t="shared" si="0"/>
        <v>166.70357185744422</v>
      </c>
      <c r="N6" s="256">
        <f t="shared" si="1"/>
        <v>232.92192566376525</v>
      </c>
      <c r="O6" s="256">
        <f t="shared" si="1"/>
        <v>290.19255072244079</v>
      </c>
      <c r="P6" s="256">
        <f t="shared" si="1"/>
        <v>327.48526389797257</v>
      </c>
      <c r="Q6" s="256">
        <f t="shared" si="1"/>
        <v>387.76951132758148</v>
      </c>
      <c r="R6" s="256">
        <f t="shared" si="1"/>
        <v>510.50127604299462</v>
      </c>
      <c r="S6" s="256">
        <f t="shared" si="1"/>
        <v>472.85714348529172</v>
      </c>
      <c r="T6" s="256">
        <f t="shared" si="1"/>
        <v>1412.9081233417319</v>
      </c>
      <c r="V6" s="510" t="s">
        <v>234</v>
      </c>
      <c r="W6" s="511"/>
      <c r="X6" s="511"/>
      <c r="Y6" s="511"/>
      <c r="Z6" s="512"/>
    </row>
    <row r="7" spans="1:27" x14ac:dyDescent="0.25">
      <c r="A7" s="139">
        <v>44118</v>
      </c>
      <c r="B7" s="130" t="s">
        <v>233</v>
      </c>
      <c r="C7" s="262">
        <v>5843</v>
      </c>
      <c r="D7" s="256">
        <f t="shared" ref="D7:D35" si="2">$C7*D$38</f>
        <v>32.120593398049365</v>
      </c>
      <c r="E7" s="256">
        <f t="shared" ref="E7:T19" si="3">$C7*E$38</f>
        <v>20.928429955677483</v>
      </c>
      <c r="F7" s="256">
        <f t="shared" si="3"/>
        <v>16.730260187749025</v>
      </c>
      <c r="G7" s="256">
        <f t="shared" si="3"/>
        <v>24.251645808551174</v>
      </c>
      <c r="H7" s="256">
        <f t="shared" si="3"/>
        <v>51.423822295780198</v>
      </c>
      <c r="I7" s="256">
        <f t="shared" si="3"/>
        <v>74.58644152959954</v>
      </c>
      <c r="J7" s="256">
        <f t="shared" si="3"/>
        <v>99.331842403493894</v>
      </c>
      <c r="K7" s="256">
        <f t="shared" si="3"/>
        <v>129.77790225265841</v>
      </c>
      <c r="L7" s="256">
        <f t="shared" si="3"/>
        <v>157.82220749609729</v>
      </c>
      <c r="M7" s="256">
        <f t="shared" si="3"/>
        <v>229.62021932179314</v>
      </c>
      <c r="N7" s="256">
        <f t="shared" si="3"/>
        <v>320.83046007859036</v>
      </c>
      <c r="O7" s="256">
        <f t="shared" si="3"/>
        <v>399.71595329354591</v>
      </c>
      <c r="P7" s="256">
        <f t="shared" si="3"/>
        <v>451.08354477978639</v>
      </c>
      <c r="Q7" s="256">
        <f t="shared" si="3"/>
        <v>534.12005060986769</v>
      </c>
      <c r="R7" s="256">
        <f t="shared" si="3"/>
        <v>703.17278545950433</v>
      </c>
      <c r="S7" s="256">
        <f t="shared" si="3"/>
        <v>651.32114318353592</v>
      </c>
      <c r="T7" s="256">
        <f t="shared" si="3"/>
        <v>1946.1626979457187</v>
      </c>
      <c r="V7" s="513"/>
      <c r="W7" s="514"/>
      <c r="X7" s="514"/>
      <c r="Y7" s="514"/>
      <c r="Z7" s="515"/>
    </row>
    <row r="8" spans="1:27" x14ac:dyDescent="0.25">
      <c r="A8" s="139">
        <v>44125</v>
      </c>
      <c r="B8" s="130" t="s">
        <v>233</v>
      </c>
      <c r="C8" s="262">
        <v>7600</v>
      </c>
      <c r="D8" s="256">
        <f t="shared" si="2"/>
        <v>41.779310255891694</v>
      </c>
      <c r="E8" s="256">
        <f t="shared" si="3"/>
        <v>27.221644303123202</v>
      </c>
      <c r="F8" s="256">
        <f t="shared" si="3"/>
        <v>21.761077772872255</v>
      </c>
      <c r="G8" s="256">
        <f t="shared" si="3"/>
        <v>31.544156793597281</v>
      </c>
      <c r="H8" s="256">
        <f t="shared" si="3"/>
        <v>66.887052789308484</v>
      </c>
      <c r="I8" s="256">
        <f t="shared" si="3"/>
        <v>97.014710871976121</v>
      </c>
      <c r="J8" s="256">
        <f t="shared" si="3"/>
        <v>129.20109571565183</v>
      </c>
      <c r="K8" s="256">
        <f t="shared" si="3"/>
        <v>168.80233734728802</v>
      </c>
      <c r="L8" s="256">
        <f t="shared" si="3"/>
        <v>205.27961269387978</v>
      </c>
      <c r="M8" s="256">
        <f t="shared" si="3"/>
        <v>298.66740832545406</v>
      </c>
      <c r="N8" s="256">
        <f t="shared" si="3"/>
        <v>417.30472301853274</v>
      </c>
      <c r="O8" s="256">
        <f t="shared" si="3"/>
        <v>519.91121770168559</v>
      </c>
      <c r="P8" s="256">
        <f t="shared" si="3"/>
        <v>586.72513098175193</v>
      </c>
      <c r="Q8" s="256">
        <f t="shared" si="3"/>
        <v>694.73085480660518</v>
      </c>
      <c r="R8" s="256">
        <f t="shared" si="3"/>
        <v>914.61803345751036</v>
      </c>
      <c r="S8" s="256">
        <f t="shared" si="3"/>
        <v>847.17451449510065</v>
      </c>
      <c r="T8" s="256">
        <f t="shared" si="3"/>
        <v>2531.3771186697695</v>
      </c>
      <c r="V8" s="513"/>
      <c r="W8" s="514"/>
      <c r="X8" s="514"/>
      <c r="Y8" s="514"/>
      <c r="Z8" s="515"/>
    </row>
    <row r="9" spans="1:27" x14ac:dyDescent="0.25">
      <c r="A9" s="139">
        <v>44132</v>
      </c>
      <c r="B9" s="130" t="s">
        <v>233</v>
      </c>
      <c r="C9" s="262">
        <v>9743</v>
      </c>
      <c r="D9" s="256">
        <f t="shared" si="2"/>
        <v>53.559976292520105</v>
      </c>
      <c r="E9" s="256">
        <f t="shared" si="3"/>
        <v>34.897431637543335</v>
      </c>
      <c r="F9" s="256">
        <f t="shared" si="3"/>
        <v>27.897129044880838</v>
      </c>
      <c r="G9" s="256">
        <f t="shared" si="3"/>
        <v>40.438778900002411</v>
      </c>
      <c r="H9" s="256">
        <f t="shared" si="3"/>
        <v>85.747441490293767</v>
      </c>
      <c r="I9" s="256">
        <f t="shared" si="3"/>
        <v>124.37030631916623</v>
      </c>
      <c r="J9" s="256">
        <f t="shared" si="3"/>
        <v>165.63240467863102</v>
      </c>
      <c r="K9" s="256">
        <f t="shared" si="3"/>
        <v>216.40015431245092</v>
      </c>
      <c r="L9" s="256">
        <f t="shared" si="3"/>
        <v>263.16306137848295</v>
      </c>
      <c r="M9" s="256">
        <f t="shared" si="3"/>
        <v>382.88375780459194</v>
      </c>
      <c r="N9" s="256">
        <f t="shared" si="3"/>
        <v>534.97367320652165</v>
      </c>
      <c r="O9" s="256">
        <f t="shared" si="3"/>
        <v>666.51249921941087</v>
      </c>
      <c r="P9" s="256">
        <f t="shared" si="3"/>
        <v>752.16617778358011</v>
      </c>
      <c r="Q9" s="256">
        <f t="shared" si="3"/>
        <v>890.62667347115189</v>
      </c>
      <c r="R9" s="256">
        <f t="shared" si="3"/>
        <v>1172.516249996911</v>
      </c>
      <c r="S9" s="256">
        <f t="shared" si="3"/>
        <v>1086.0554335165482</v>
      </c>
      <c r="T9" s="256">
        <f t="shared" si="3"/>
        <v>3245.1588509473108</v>
      </c>
      <c r="V9" s="513"/>
      <c r="W9" s="514"/>
      <c r="X9" s="514"/>
      <c r="Y9" s="514"/>
      <c r="Z9" s="515"/>
    </row>
    <row r="10" spans="1:27" x14ac:dyDescent="0.25">
      <c r="A10" s="139">
        <v>44139</v>
      </c>
      <c r="B10" s="130" t="s">
        <v>233</v>
      </c>
      <c r="C10" s="262">
        <v>10660</v>
      </c>
      <c r="D10" s="256">
        <f t="shared" si="2"/>
        <v>58.600979911553353</v>
      </c>
      <c r="E10" s="256">
        <f t="shared" si="3"/>
        <v>38.181937930433335</v>
      </c>
      <c r="F10" s="256">
        <f t="shared" si="3"/>
        <v>30.522774876160295</v>
      </c>
      <c r="G10" s="256">
        <f t="shared" si="3"/>
        <v>44.244830449966713</v>
      </c>
      <c r="H10" s="256">
        <f t="shared" si="3"/>
        <v>93.817892465003752</v>
      </c>
      <c r="I10" s="256">
        <f t="shared" si="3"/>
        <v>136.07589709148229</v>
      </c>
      <c r="J10" s="256">
        <f t="shared" si="3"/>
        <v>181.2215368853748</v>
      </c>
      <c r="K10" s="256">
        <f t="shared" si="3"/>
        <v>236.76748896343292</v>
      </c>
      <c r="L10" s="256">
        <f t="shared" si="3"/>
        <v>287.93166727852082</v>
      </c>
      <c r="M10" s="256">
        <f t="shared" si="3"/>
        <v>418.92033851964999</v>
      </c>
      <c r="N10" s="256">
        <f t="shared" si="3"/>
        <v>585.32478254967884</v>
      </c>
      <c r="O10" s="256">
        <f t="shared" si="3"/>
        <v>729.24389219736418</v>
      </c>
      <c r="P10" s="256">
        <f t="shared" si="3"/>
        <v>822.95919687703622</v>
      </c>
      <c r="Q10" s="256">
        <f t="shared" si="3"/>
        <v>974.45143582084359</v>
      </c>
      <c r="R10" s="256">
        <f t="shared" si="3"/>
        <v>1282.8721364022449</v>
      </c>
      <c r="S10" s="256">
        <f t="shared" si="3"/>
        <v>1188.2737269102333</v>
      </c>
      <c r="T10" s="256">
        <f t="shared" si="3"/>
        <v>3550.5894848710186</v>
      </c>
      <c r="V10" s="513"/>
      <c r="W10" s="514"/>
      <c r="X10" s="514"/>
      <c r="Y10" s="514"/>
      <c r="Z10" s="515"/>
    </row>
    <row r="11" spans="1:27" x14ac:dyDescent="0.25">
      <c r="A11" s="139">
        <v>44146</v>
      </c>
      <c r="B11" s="130" t="s">
        <v>233</v>
      </c>
      <c r="C11" s="262">
        <v>11820</v>
      </c>
      <c r="D11" s="256">
        <f t="shared" si="2"/>
        <v>64.977822003242082</v>
      </c>
      <c r="E11" s="256">
        <f t="shared" si="3"/>
        <v>42.336820481962661</v>
      </c>
      <c r="F11" s="256">
        <f t="shared" si="3"/>
        <v>33.84420253623027</v>
      </c>
      <c r="G11" s="256">
        <f t="shared" si="3"/>
        <v>49.059464907936821</v>
      </c>
      <c r="H11" s="256">
        <f t="shared" si="3"/>
        <v>104.02696894337188</v>
      </c>
      <c r="I11" s="256">
        <f t="shared" si="3"/>
        <v>150.88340559299445</v>
      </c>
      <c r="J11" s="256">
        <f t="shared" si="3"/>
        <v>200.94170412618482</v>
      </c>
      <c r="K11" s="256">
        <f t="shared" si="3"/>
        <v>262.5320562427558</v>
      </c>
      <c r="L11" s="256">
        <f t="shared" si="3"/>
        <v>319.26381868969196</v>
      </c>
      <c r="M11" s="256">
        <f t="shared" si="3"/>
        <v>464.50641663248246</v>
      </c>
      <c r="N11" s="256">
        <f t="shared" si="3"/>
        <v>649.0186613261917</v>
      </c>
      <c r="O11" s="256">
        <f t="shared" si="3"/>
        <v>808.59876226762151</v>
      </c>
      <c r="P11" s="256">
        <f t="shared" si="3"/>
        <v>912.51198002688261</v>
      </c>
      <c r="Q11" s="256">
        <f t="shared" si="3"/>
        <v>1080.4893031334307</v>
      </c>
      <c r="R11" s="256">
        <f t="shared" si="3"/>
        <v>1422.4717309826017</v>
      </c>
      <c r="S11" s="256">
        <f t="shared" si="3"/>
        <v>1317.5793107015907</v>
      </c>
      <c r="T11" s="256">
        <f t="shared" si="3"/>
        <v>3936.9575714048256</v>
      </c>
      <c r="V11" s="513"/>
      <c r="W11" s="514"/>
      <c r="X11" s="514"/>
      <c r="Y11" s="514"/>
      <c r="Z11" s="515"/>
    </row>
    <row r="12" spans="1:27" x14ac:dyDescent="0.25">
      <c r="A12" s="139">
        <v>44153</v>
      </c>
      <c r="B12" s="130" t="s">
        <v>233</v>
      </c>
      <c r="C12" s="262">
        <v>12109</v>
      </c>
      <c r="D12" s="256">
        <f t="shared" si="2"/>
        <v>66.566535248499022</v>
      </c>
      <c r="E12" s="256">
        <f t="shared" si="3"/>
        <v>43.371959324541955</v>
      </c>
      <c r="F12" s="256">
        <f t="shared" si="3"/>
        <v>34.671696151540807</v>
      </c>
      <c r="G12" s="256">
        <f t="shared" si="3"/>
        <v>50.258972975482827</v>
      </c>
      <c r="H12" s="256">
        <f t="shared" si="3"/>
        <v>106.57043713496533</v>
      </c>
      <c r="I12" s="256">
        <f t="shared" si="3"/>
        <v>154.57251762483671</v>
      </c>
      <c r="J12" s="256">
        <f t="shared" si="3"/>
        <v>205.8547457922142</v>
      </c>
      <c r="K12" s="256">
        <f t="shared" si="3"/>
        <v>268.95098722872507</v>
      </c>
      <c r="L12" s="256">
        <f t="shared" si="3"/>
        <v>327.0698460671303</v>
      </c>
      <c r="M12" s="256">
        <f t="shared" si="3"/>
        <v>475.86363781748986</v>
      </c>
      <c r="N12" s="256">
        <f t="shared" si="3"/>
        <v>664.88722250413332</v>
      </c>
      <c r="O12" s="256">
        <f t="shared" si="3"/>
        <v>828.36907041443555</v>
      </c>
      <c r="P12" s="256">
        <f t="shared" si="3"/>
        <v>934.82297513921503</v>
      </c>
      <c r="Q12" s="256">
        <f t="shared" si="3"/>
        <v>1106.9073580069978</v>
      </c>
      <c r="R12" s="256">
        <f t="shared" si="3"/>
        <v>1457.2512851496044</v>
      </c>
      <c r="S12" s="256">
        <f t="shared" si="3"/>
        <v>1349.7942363185755</v>
      </c>
      <c r="T12" s="256">
        <f t="shared" si="3"/>
        <v>4033.21651710161</v>
      </c>
      <c r="V12" s="513"/>
      <c r="W12" s="514"/>
      <c r="X12" s="514"/>
      <c r="Y12" s="514"/>
      <c r="Z12" s="515"/>
    </row>
    <row r="13" spans="1:27" x14ac:dyDescent="0.25">
      <c r="A13" s="139">
        <v>44160</v>
      </c>
      <c r="B13" s="130" t="s">
        <v>233</v>
      </c>
      <c r="C13" s="262">
        <v>10873</v>
      </c>
      <c r="D13" s="256">
        <f t="shared" si="2"/>
        <v>59.771900054251368</v>
      </c>
      <c r="E13" s="256">
        <f t="shared" si="3"/>
        <v>38.944860329981388</v>
      </c>
      <c r="F13" s="256">
        <f t="shared" si="3"/>
        <v>31.132657713742109</v>
      </c>
      <c r="G13" s="256">
        <f t="shared" si="3"/>
        <v>45.128896949576742</v>
      </c>
      <c r="H13" s="256">
        <f t="shared" si="3"/>
        <v>95.692490128704108</v>
      </c>
      <c r="I13" s="256">
        <f t="shared" si="3"/>
        <v>138.79486201460477</v>
      </c>
      <c r="J13" s="256">
        <f t="shared" si="3"/>
        <v>184.84256759424767</v>
      </c>
      <c r="K13" s="256">
        <f t="shared" si="3"/>
        <v>241.49839657592929</v>
      </c>
      <c r="L13" s="256">
        <f t="shared" si="3"/>
        <v>293.68489852902036</v>
      </c>
      <c r="M13" s="256">
        <f t="shared" si="3"/>
        <v>427.29088562140288</v>
      </c>
      <c r="N13" s="256">
        <f t="shared" si="3"/>
        <v>597.02029649743508</v>
      </c>
      <c r="O13" s="256">
        <f t="shared" si="3"/>
        <v>743.81508816716143</v>
      </c>
      <c r="P13" s="256">
        <f t="shared" si="3"/>
        <v>839.40294067955119</v>
      </c>
      <c r="Q13" s="256">
        <f t="shared" si="3"/>
        <v>993.92218214634454</v>
      </c>
      <c r="R13" s="256">
        <f t="shared" si="3"/>
        <v>1308.5055102346723</v>
      </c>
      <c r="S13" s="256">
        <f t="shared" si="3"/>
        <v>1212.0169073822669</v>
      </c>
      <c r="T13" s="256">
        <f t="shared" si="3"/>
        <v>3621.5346593811055</v>
      </c>
      <c r="V13" s="513"/>
      <c r="W13" s="514"/>
      <c r="X13" s="514"/>
      <c r="Y13" s="514"/>
      <c r="Z13" s="515"/>
    </row>
    <row r="14" spans="1:27" x14ac:dyDescent="0.25">
      <c r="A14" s="139">
        <v>44167</v>
      </c>
      <c r="B14" s="130" t="s">
        <v>233</v>
      </c>
      <c r="C14" s="262">
        <v>9685</v>
      </c>
      <c r="D14" s="256">
        <f t="shared" si="2"/>
        <v>53.241134187935664</v>
      </c>
      <c r="E14" s="256">
        <f t="shared" si="3"/>
        <v>34.689687509966866</v>
      </c>
      <c r="F14" s="256">
        <f t="shared" si="3"/>
        <v>27.73105766187734</v>
      </c>
      <c r="G14" s="256">
        <f t="shared" si="3"/>
        <v>40.198047177103902</v>
      </c>
      <c r="H14" s="256">
        <f t="shared" si="3"/>
        <v>85.236987666375356</v>
      </c>
      <c r="I14" s="256">
        <f t="shared" si="3"/>
        <v>123.62993089409062</v>
      </c>
      <c r="J14" s="256">
        <f t="shared" si="3"/>
        <v>164.64639631659051</v>
      </c>
      <c r="K14" s="256">
        <f t="shared" si="3"/>
        <v>215.11192594848478</v>
      </c>
      <c r="L14" s="256">
        <f t="shared" si="3"/>
        <v>261.59645380792443</v>
      </c>
      <c r="M14" s="256">
        <f t="shared" si="3"/>
        <v>380.60445389895028</v>
      </c>
      <c r="N14" s="256">
        <f t="shared" si="3"/>
        <v>531.78897926769605</v>
      </c>
      <c r="O14" s="256">
        <f t="shared" si="3"/>
        <v>662.54475571589796</v>
      </c>
      <c r="P14" s="256">
        <f t="shared" si="3"/>
        <v>747.68853862608785</v>
      </c>
      <c r="Q14" s="256">
        <f t="shared" si="3"/>
        <v>885.32478010552256</v>
      </c>
      <c r="R14" s="256">
        <f t="shared" si="3"/>
        <v>1165.5362702678931</v>
      </c>
      <c r="S14" s="256">
        <f t="shared" si="3"/>
        <v>1079.5901543269802</v>
      </c>
      <c r="T14" s="256">
        <f t="shared" si="3"/>
        <v>3225.8404466206207</v>
      </c>
      <c r="V14" s="513"/>
      <c r="W14" s="514"/>
      <c r="X14" s="514"/>
      <c r="Y14" s="514"/>
      <c r="Z14" s="515"/>
    </row>
    <row r="15" spans="1:27" x14ac:dyDescent="0.25">
      <c r="A15" s="139">
        <v>44174</v>
      </c>
      <c r="B15" s="130" t="s">
        <v>233</v>
      </c>
      <c r="C15" s="262">
        <v>10981</v>
      </c>
      <c r="D15" s="256">
        <f t="shared" si="2"/>
        <v>60.36560604209825</v>
      </c>
      <c r="E15" s="256">
        <f t="shared" si="3"/>
        <v>39.331694222709984</v>
      </c>
      <c r="F15" s="256">
        <f t="shared" si="3"/>
        <v>31.441894082093452</v>
      </c>
      <c r="G15" s="256">
        <f t="shared" si="3"/>
        <v>45.577156019801542</v>
      </c>
      <c r="H15" s="256">
        <f t="shared" si="3"/>
        <v>96.642990352552175</v>
      </c>
      <c r="I15" s="256">
        <f t="shared" si="3"/>
        <v>140.1734921164697</v>
      </c>
      <c r="J15" s="256">
        <f t="shared" si="3"/>
        <v>186.67858316494377</v>
      </c>
      <c r="K15" s="256">
        <f t="shared" si="3"/>
        <v>243.89716663296969</v>
      </c>
      <c r="L15" s="256">
        <f t="shared" si="3"/>
        <v>296.60202986730184</v>
      </c>
      <c r="M15" s="256">
        <f t="shared" si="3"/>
        <v>431.53510668708037</v>
      </c>
      <c r="N15" s="256">
        <f t="shared" si="3"/>
        <v>602.95041624559315</v>
      </c>
      <c r="O15" s="256">
        <f t="shared" si="3"/>
        <v>751.2033002081854</v>
      </c>
      <c r="P15" s="256">
        <f t="shared" si="3"/>
        <v>847.74061359350242</v>
      </c>
      <c r="Q15" s="256">
        <f t="shared" si="3"/>
        <v>1003.7946732409647</v>
      </c>
      <c r="R15" s="256">
        <f t="shared" si="3"/>
        <v>1321.5027138680159</v>
      </c>
      <c r="S15" s="256">
        <f t="shared" si="3"/>
        <v>1224.0557031145659</v>
      </c>
      <c r="T15" s="256">
        <f t="shared" si="3"/>
        <v>3657.5068605411498</v>
      </c>
      <c r="V15" s="513"/>
      <c r="W15" s="514"/>
      <c r="X15" s="514"/>
      <c r="Y15" s="514"/>
      <c r="Z15" s="515"/>
    </row>
    <row r="16" spans="1:27" x14ac:dyDescent="0.25">
      <c r="A16" s="139">
        <v>44181</v>
      </c>
      <c r="B16" s="130" t="s">
        <v>233</v>
      </c>
      <c r="C16" s="134">
        <v>12979</v>
      </c>
      <c r="D16" s="256">
        <f t="shared" si="2"/>
        <v>71.349166817265569</v>
      </c>
      <c r="E16" s="256">
        <f t="shared" si="3"/>
        <v>46.488121238188953</v>
      </c>
      <c r="F16" s="256">
        <f t="shared" si="3"/>
        <v>37.16276689659329</v>
      </c>
      <c r="G16" s="256">
        <f t="shared" si="3"/>
        <v>53.86994881896041</v>
      </c>
      <c r="H16" s="256">
        <f t="shared" si="3"/>
        <v>114.22724449374142</v>
      </c>
      <c r="I16" s="256">
        <f t="shared" si="3"/>
        <v>165.67814900097079</v>
      </c>
      <c r="J16" s="256">
        <f t="shared" si="3"/>
        <v>220.64487122282171</v>
      </c>
      <c r="K16" s="256">
        <f t="shared" si="3"/>
        <v>288.27441268821724</v>
      </c>
      <c r="L16" s="256">
        <f t="shared" si="3"/>
        <v>350.56895962550863</v>
      </c>
      <c r="M16" s="256">
        <f t="shared" si="3"/>
        <v>510.05319640211422</v>
      </c>
      <c r="N16" s="256">
        <f t="shared" si="3"/>
        <v>712.65763158651794</v>
      </c>
      <c r="O16" s="256">
        <f t="shared" si="3"/>
        <v>887.88522296712858</v>
      </c>
      <c r="P16" s="256">
        <f t="shared" si="3"/>
        <v>1001.9875625015998</v>
      </c>
      <c r="Q16" s="256">
        <f t="shared" si="3"/>
        <v>1186.435758491438</v>
      </c>
      <c r="R16" s="256">
        <f t="shared" si="3"/>
        <v>1561.950981084872</v>
      </c>
      <c r="S16" s="256">
        <f t="shared" si="3"/>
        <v>1446.7734241620935</v>
      </c>
      <c r="T16" s="256">
        <f t="shared" si="3"/>
        <v>4322.9925820019653</v>
      </c>
      <c r="V16" s="513"/>
      <c r="W16" s="514"/>
      <c r="X16" s="514"/>
      <c r="Y16" s="514"/>
      <c r="Z16" s="515"/>
    </row>
    <row r="17" spans="1:29" x14ac:dyDescent="0.25">
      <c r="A17" s="139">
        <v>44188</v>
      </c>
      <c r="B17" s="130" t="s">
        <v>233</v>
      </c>
      <c r="C17" s="134">
        <v>15393</v>
      </c>
      <c r="D17" s="256">
        <f t="shared" si="2"/>
        <v>84.619595101176429</v>
      </c>
      <c r="E17" s="256">
        <f t="shared" si="3"/>
        <v>55.13457509973361</v>
      </c>
      <c r="F17" s="256">
        <f t="shared" si="3"/>
        <v>44.074772389187189</v>
      </c>
      <c r="G17" s="256">
        <f t="shared" si="3"/>
        <v>63.889369147874071</v>
      </c>
      <c r="H17" s="256">
        <f t="shared" si="3"/>
        <v>135.47268468234546</v>
      </c>
      <c r="I17" s="256">
        <f t="shared" si="3"/>
        <v>196.493084796359</v>
      </c>
      <c r="J17" s="256">
        <f t="shared" si="3"/>
        <v>261.68321925671427</v>
      </c>
      <c r="K17" s="256">
        <f t="shared" si="3"/>
        <v>341.89136562984265</v>
      </c>
      <c r="L17" s="256">
        <f t="shared" si="3"/>
        <v>415.77224713116993</v>
      </c>
      <c r="M17" s="256">
        <f t="shared" si="3"/>
        <v>604.91939688864659</v>
      </c>
      <c r="N17" s="256">
        <f t="shared" si="3"/>
        <v>845.20678966108881</v>
      </c>
      <c r="O17" s="256">
        <f t="shared" si="3"/>
        <v>1053.025443958164</v>
      </c>
      <c r="P17" s="256">
        <f t="shared" si="3"/>
        <v>1188.3499922634353</v>
      </c>
      <c r="Q17" s="256">
        <f t="shared" si="3"/>
        <v>1407.1042168471149</v>
      </c>
      <c r="R17" s="256">
        <f t="shared" si="3"/>
        <v>1852.462551185718</v>
      </c>
      <c r="S17" s="256">
        <f t="shared" si="3"/>
        <v>1715.8628028451426</v>
      </c>
      <c r="T17" s="256">
        <f t="shared" si="3"/>
        <v>5127.0378931162841</v>
      </c>
      <c r="V17" s="513"/>
      <c r="W17" s="514"/>
      <c r="X17" s="514"/>
      <c r="Y17" s="514"/>
      <c r="Z17" s="515"/>
    </row>
    <row r="18" spans="1:29" x14ac:dyDescent="0.25">
      <c r="A18" s="139">
        <v>44195</v>
      </c>
      <c r="B18" s="130" t="s">
        <v>233</v>
      </c>
      <c r="C18" s="134">
        <v>19322</v>
      </c>
      <c r="D18" s="256">
        <f t="shared" si="2"/>
        <v>106.21839904793939</v>
      </c>
      <c r="E18" s="256">
        <f t="shared" si="3"/>
        <v>69.207448845387702</v>
      </c>
      <c r="F18" s="256">
        <f t="shared" si="3"/>
        <v>55.324676937820747</v>
      </c>
      <c r="G18" s="256">
        <f t="shared" si="3"/>
        <v>80.196868100774566</v>
      </c>
      <c r="H18" s="256">
        <f t="shared" si="3"/>
        <v>170.05153078881824</v>
      </c>
      <c r="I18" s="256">
        <f t="shared" si="3"/>
        <v>246.64713729846349</v>
      </c>
      <c r="J18" s="256">
        <f t="shared" si="3"/>
        <v>328.47678571287167</v>
      </c>
      <c r="K18" s="256">
        <f t="shared" si="3"/>
        <v>429.1577318716183</v>
      </c>
      <c r="L18" s="256">
        <f t="shared" si="3"/>
        <v>521.89640479883485</v>
      </c>
      <c r="M18" s="256">
        <f t="shared" si="3"/>
        <v>759.32258732426612</v>
      </c>
      <c r="N18" s="256">
        <f t="shared" si="3"/>
        <v>1060.942349758433</v>
      </c>
      <c r="O18" s="256">
        <f t="shared" si="3"/>
        <v>1321.8058616357853</v>
      </c>
      <c r="P18" s="256">
        <f t="shared" si="3"/>
        <v>1491.6714448459752</v>
      </c>
      <c r="Q18" s="256">
        <f t="shared" si="3"/>
        <v>1766.2617863912139</v>
      </c>
      <c r="R18" s="256">
        <f t="shared" si="3"/>
        <v>2325.2960055876338</v>
      </c>
      <c r="S18" s="256">
        <f t="shared" si="3"/>
        <v>2153.8297327729388</v>
      </c>
      <c r="T18" s="256">
        <f t="shared" si="3"/>
        <v>6435.6932482812217</v>
      </c>
      <c r="V18" s="513"/>
      <c r="W18" s="514"/>
      <c r="X18" s="514"/>
      <c r="Y18" s="514"/>
      <c r="Z18" s="515"/>
    </row>
    <row r="19" spans="1:29" x14ac:dyDescent="0.25">
      <c r="A19" s="139">
        <v>44202</v>
      </c>
      <c r="B19" s="130" t="s">
        <v>233</v>
      </c>
      <c r="C19" s="134">
        <v>25818</v>
      </c>
      <c r="D19" s="256">
        <f t="shared" si="2"/>
        <v>141.92871476139629</v>
      </c>
      <c r="E19" s="256">
        <f t="shared" si="3"/>
        <v>92.474791133951953</v>
      </c>
      <c r="F19" s="256">
        <f t="shared" si="3"/>
        <v>73.924671834212617</v>
      </c>
      <c r="G19" s="256">
        <f t="shared" si="3"/>
        <v>107.15882106540718</v>
      </c>
      <c r="H19" s="256">
        <f t="shared" si="3"/>
        <v>227.2223590676798</v>
      </c>
      <c r="I19" s="256">
        <f t="shared" si="3"/>
        <v>329.56918490693153</v>
      </c>
      <c r="J19" s="256">
        <f t="shared" si="3"/>
        <v>438.90972226140775</v>
      </c>
      <c r="K19" s="256">
        <f t="shared" si="3"/>
        <v>573.43930863582659</v>
      </c>
      <c r="L19" s="256">
        <f t="shared" si="3"/>
        <v>697.35645270139321</v>
      </c>
      <c r="M19" s="256">
        <f t="shared" si="3"/>
        <v>1014.6046247561279</v>
      </c>
      <c r="N19" s="256">
        <f t="shared" si="3"/>
        <v>1417.6280709069051</v>
      </c>
      <c r="O19" s="256">
        <f t="shared" si="3"/>
        <v>1766.193134029226</v>
      </c>
      <c r="P19" s="256">
        <f t="shared" si="3"/>
        <v>1993.1670304851148</v>
      </c>
      <c r="Q19" s="256">
        <f t="shared" si="3"/>
        <v>2360.0738433417018</v>
      </c>
      <c r="R19" s="256">
        <f t="shared" si="3"/>
        <v>3107.0537352376318</v>
      </c>
      <c r="S19" s="256">
        <f t="shared" si="3"/>
        <v>2877.9410020045407</v>
      </c>
      <c r="T19" s="256">
        <f t="shared" si="3"/>
        <v>8599.3545328705404</v>
      </c>
      <c r="V19" s="513"/>
      <c r="W19" s="514"/>
      <c r="X19" s="514"/>
      <c r="Y19" s="514"/>
      <c r="Z19" s="515"/>
    </row>
    <row r="20" spans="1:29" x14ac:dyDescent="0.25">
      <c r="A20" s="139">
        <v>44209</v>
      </c>
      <c r="B20" s="130" t="s">
        <v>233</v>
      </c>
      <c r="C20" s="134">
        <v>29447</v>
      </c>
      <c r="D20" s="256">
        <f t="shared" si="2"/>
        <v>161.87833540858458</v>
      </c>
      <c r="E20" s="256">
        <f t="shared" ref="E20:S20" si="4">$C20*E$38</f>
        <v>105.47312628869328</v>
      </c>
      <c r="F20" s="256">
        <f t="shared" si="4"/>
        <v>84.315586470759115</v>
      </c>
      <c r="G20" s="256">
        <f t="shared" si="4"/>
        <v>122.22115593434988</v>
      </c>
      <c r="H20" s="256">
        <f t="shared" si="4"/>
        <v>259.16092677457459</v>
      </c>
      <c r="I20" s="256">
        <f t="shared" si="4"/>
        <v>375.89370934830009</v>
      </c>
      <c r="J20" s="256">
        <f t="shared" si="4"/>
        <v>500.60324546563146</v>
      </c>
      <c r="K20" s="256">
        <f t="shared" si="4"/>
        <v>654.04242471915654</v>
      </c>
      <c r="L20" s="256">
        <f t="shared" si="4"/>
        <v>795.3774677627207</v>
      </c>
      <c r="M20" s="256">
        <f t="shared" si="4"/>
        <v>1157.2183122315323</v>
      </c>
      <c r="N20" s="256">
        <f t="shared" si="4"/>
        <v>1616.8910761482546</v>
      </c>
      <c r="O20" s="256">
        <f t="shared" si="4"/>
        <v>2014.4507404817809</v>
      </c>
      <c r="P20" s="256">
        <f t="shared" si="4"/>
        <v>2273.3282805289014</v>
      </c>
      <c r="Q20" s="256">
        <f t="shared" si="4"/>
        <v>2691.8078265118556</v>
      </c>
      <c r="R20" s="256">
        <f t="shared" si="4"/>
        <v>3543.7838462135933</v>
      </c>
      <c r="S20" s="256">
        <f t="shared" si="4"/>
        <v>3282.4668326759511</v>
      </c>
      <c r="T20" s="256">
        <f t="shared" ref="E20:T35" si="5">$C20*T$38</f>
        <v>9808.0871070353551</v>
      </c>
      <c r="V20" s="513"/>
      <c r="W20" s="514"/>
      <c r="X20" s="514"/>
      <c r="Y20" s="514"/>
      <c r="Z20" s="515"/>
    </row>
    <row r="21" spans="1:29" x14ac:dyDescent="0.25">
      <c r="A21" s="139">
        <v>44216</v>
      </c>
      <c r="B21" s="130" t="s">
        <v>233</v>
      </c>
      <c r="C21" s="134">
        <v>27734</v>
      </c>
      <c r="D21" s="256">
        <f t="shared" si="2"/>
        <v>152.4614987680132</v>
      </c>
      <c r="E21" s="256">
        <f t="shared" si="5"/>
        <v>99.337510934581431</v>
      </c>
      <c r="F21" s="256">
        <f t="shared" si="5"/>
        <v>79.41075407274198</v>
      </c>
      <c r="G21" s="256">
        <f t="shared" si="5"/>
        <v>115.11126901495092</v>
      </c>
      <c r="H21" s="256">
        <f t="shared" si="5"/>
        <v>244.08493711298442</v>
      </c>
      <c r="I21" s="256">
        <f t="shared" si="5"/>
        <v>354.02710412149816</v>
      </c>
      <c r="J21" s="256">
        <f t="shared" si="5"/>
        <v>471.4819984970905</v>
      </c>
      <c r="K21" s="256">
        <f t="shared" si="5"/>
        <v>615.99526631443234</v>
      </c>
      <c r="L21" s="256">
        <f t="shared" si="5"/>
        <v>749.10852348053447</v>
      </c>
      <c r="M21" s="256">
        <f t="shared" si="5"/>
        <v>1089.9002503287029</v>
      </c>
      <c r="N21" s="256">
        <f t="shared" si="5"/>
        <v>1522.8327879205247</v>
      </c>
      <c r="O21" s="256">
        <f t="shared" si="5"/>
        <v>1897.265488386651</v>
      </c>
      <c r="P21" s="256">
        <f t="shared" si="5"/>
        <v>2141.0835240326196</v>
      </c>
      <c r="Q21" s="256">
        <f t="shared" si="5"/>
        <v>2535.2191483166303</v>
      </c>
      <c r="R21" s="256">
        <f t="shared" si="5"/>
        <v>3337.6337552513937</v>
      </c>
      <c r="S21" s="256">
        <f t="shared" si="5"/>
        <v>3091.5181559219895</v>
      </c>
      <c r="T21" s="256">
        <f t="shared" si="5"/>
        <v>9237.528027524655</v>
      </c>
      <c r="V21" s="513"/>
      <c r="W21" s="514"/>
      <c r="X21" s="514"/>
      <c r="Y21" s="514"/>
      <c r="Z21" s="515"/>
    </row>
    <row r="22" spans="1:29" x14ac:dyDescent="0.25">
      <c r="A22" s="139">
        <v>44223</v>
      </c>
      <c r="B22" s="130" t="s">
        <v>233</v>
      </c>
      <c r="C22" s="134">
        <v>22365</v>
      </c>
      <c r="D22" s="256">
        <f t="shared" si="2"/>
        <v>122.94661498329181</v>
      </c>
      <c r="E22" s="256">
        <f t="shared" si="5"/>
        <v>80.106851952546108</v>
      </c>
      <c r="F22" s="256">
        <f t="shared" si="5"/>
        <v>64.037697946090518</v>
      </c>
      <c r="G22" s="256">
        <f t="shared" si="5"/>
        <v>92.826982459053056</v>
      </c>
      <c r="H22" s="256">
        <f t="shared" si="5"/>
        <v>196.83275468853742</v>
      </c>
      <c r="I22" s="256">
        <f t="shared" si="5"/>
        <v>285.49131692786131</v>
      </c>
      <c r="J22" s="256">
        <f t="shared" si="5"/>
        <v>380.20822443165173</v>
      </c>
      <c r="K22" s="256">
        <f t="shared" si="5"/>
        <v>496.74529931211794</v>
      </c>
      <c r="L22" s="256">
        <f t="shared" si="5"/>
        <v>604.0892813024501</v>
      </c>
      <c r="M22" s="256">
        <f t="shared" si="5"/>
        <v>878.90744568404989</v>
      </c>
      <c r="N22" s="256">
        <f t="shared" si="5"/>
        <v>1228.028964514406</v>
      </c>
      <c r="O22" s="256">
        <f t="shared" si="5"/>
        <v>1529.9755768287102</v>
      </c>
      <c r="P22" s="256">
        <f t="shared" si="5"/>
        <v>1726.5930992640635</v>
      </c>
      <c r="Q22" s="256">
        <f t="shared" si="5"/>
        <v>2044.4283641775955</v>
      </c>
      <c r="R22" s="256">
        <f t="shared" si="5"/>
        <v>2691.5042524048972</v>
      </c>
      <c r="S22" s="256">
        <f t="shared" si="5"/>
        <v>2493.033949563543</v>
      </c>
      <c r="T22" s="256">
        <f t="shared" si="5"/>
        <v>7449.2433235591307</v>
      </c>
      <c r="V22" s="516"/>
      <c r="W22" s="517"/>
      <c r="X22" s="517"/>
      <c r="Y22" s="517"/>
      <c r="Z22" s="518"/>
    </row>
    <row r="23" spans="1:29" x14ac:dyDescent="0.25">
      <c r="A23" s="139">
        <v>44230</v>
      </c>
      <c r="B23" s="130" t="s">
        <v>233</v>
      </c>
      <c r="C23" s="134">
        <v>18010</v>
      </c>
      <c r="D23" s="256">
        <f t="shared" si="2"/>
        <v>99.005970751132821</v>
      </c>
      <c r="E23" s="256">
        <f t="shared" si="5"/>
        <v>64.508133407795896</v>
      </c>
      <c r="F23" s="256">
        <f t="shared" si="5"/>
        <v>51.56802772229333</v>
      </c>
      <c r="G23" s="256">
        <f t="shared" si="5"/>
        <v>74.751350506932511</v>
      </c>
      <c r="H23" s="256">
        <f t="shared" si="5"/>
        <v>158.50471325466393</v>
      </c>
      <c r="I23" s="256">
        <f t="shared" si="5"/>
        <v>229.89933457951184</v>
      </c>
      <c r="J23" s="256">
        <f t="shared" si="5"/>
        <v>306.17259655774859</v>
      </c>
      <c r="K23" s="256">
        <f t="shared" si="5"/>
        <v>400.01711784534962</v>
      </c>
      <c r="L23" s="256">
        <f t="shared" si="5"/>
        <v>486.45866113378617</v>
      </c>
      <c r="M23" s="256">
        <f t="shared" si="5"/>
        <v>707.76316104492469</v>
      </c>
      <c r="N23" s="256">
        <f t="shared" si="5"/>
        <v>988.9023765215494</v>
      </c>
      <c r="O23" s="256">
        <f t="shared" si="5"/>
        <v>1232.0527672114943</v>
      </c>
      <c r="P23" s="256">
        <f t="shared" si="5"/>
        <v>1390.3841590764937</v>
      </c>
      <c r="Q23" s="256">
        <f t="shared" si="5"/>
        <v>1646.3293019824948</v>
      </c>
      <c r="R23" s="256">
        <f t="shared" si="5"/>
        <v>2167.4040503381266</v>
      </c>
      <c r="S23" s="256">
        <f t="shared" si="5"/>
        <v>2007.5806586916792</v>
      </c>
      <c r="T23" s="256">
        <f t="shared" si="5"/>
        <v>5998.6976193740193</v>
      </c>
    </row>
    <row r="24" spans="1:29" x14ac:dyDescent="0.25">
      <c r="A24" s="139">
        <v>44237</v>
      </c>
      <c r="B24" s="130" t="s">
        <v>233</v>
      </c>
      <c r="C24" s="134">
        <v>14408</v>
      </c>
      <c r="D24" s="256">
        <f t="shared" si="2"/>
        <v>79.204776600906257</v>
      </c>
      <c r="E24" s="256">
        <f t="shared" si="5"/>
        <v>51.606506726236724</v>
      </c>
      <c r="F24" s="256">
        <f t="shared" si="5"/>
        <v>41.254422177834662</v>
      </c>
      <c r="G24" s="256">
        <f t="shared" si="5"/>
        <v>59.801080405546003</v>
      </c>
      <c r="H24" s="256">
        <f t="shared" si="5"/>
        <v>126.80377060373114</v>
      </c>
      <c r="I24" s="256">
        <f t="shared" si="5"/>
        <v>183.91946766360948</v>
      </c>
      <c r="J24" s="256">
        <f t="shared" si="5"/>
        <v>244.93807724619887</v>
      </c>
      <c r="K24" s="256">
        <f t="shared" si="5"/>
        <v>320.01369427627969</v>
      </c>
      <c r="L24" s="256">
        <f t="shared" si="5"/>
        <v>389.16692890702893</v>
      </c>
      <c r="M24" s="256">
        <f t="shared" si="5"/>
        <v>566.21052883593973</v>
      </c>
      <c r="N24" s="256">
        <f t="shared" si="5"/>
        <v>791.1219012172395</v>
      </c>
      <c r="O24" s="256">
        <f t="shared" si="5"/>
        <v>985.64221376919545</v>
      </c>
      <c r="P24" s="256">
        <f t="shared" si="5"/>
        <v>1112.307327261195</v>
      </c>
      <c r="Q24" s="256">
        <f t="shared" si="5"/>
        <v>1317.0634415859959</v>
      </c>
      <c r="R24" s="256">
        <f t="shared" si="5"/>
        <v>1733.9232402705013</v>
      </c>
      <c r="S24" s="256">
        <f t="shared" si="5"/>
        <v>1606.0645269533434</v>
      </c>
      <c r="T24" s="256">
        <f t="shared" si="5"/>
        <v>4798.9580954992152</v>
      </c>
    </row>
    <row r="25" spans="1:29" x14ac:dyDescent="0.25">
      <c r="A25" s="139">
        <v>44244</v>
      </c>
      <c r="B25" s="130" t="s">
        <v>233</v>
      </c>
      <c r="C25" s="134">
        <v>11526.400000000001</v>
      </c>
      <c r="D25" s="256">
        <f t="shared" si="2"/>
        <v>63.363821280725013</v>
      </c>
      <c r="E25" s="256">
        <f t="shared" si="5"/>
        <v>41.285205380989382</v>
      </c>
      <c r="F25" s="256">
        <f t="shared" si="5"/>
        <v>33.003537742267731</v>
      </c>
      <c r="G25" s="256">
        <f t="shared" si="5"/>
        <v>47.840864324436808</v>
      </c>
      <c r="H25" s="256">
        <f t="shared" si="5"/>
        <v>101.44301648298493</v>
      </c>
      <c r="I25" s="256">
        <f t="shared" si="5"/>
        <v>147.13557413088759</v>
      </c>
      <c r="J25" s="256">
        <f t="shared" si="5"/>
        <v>195.95046179695913</v>
      </c>
      <c r="K25" s="256">
        <f t="shared" si="5"/>
        <v>256.01095542102377</v>
      </c>
      <c r="L25" s="256">
        <f t="shared" si="5"/>
        <v>311.33354312562318</v>
      </c>
      <c r="M25" s="256">
        <f t="shared" si="5"/>
        <v>452.9684230687518</v>
      </c>
      <c r="N25" s="256">
        <f t="shared" si="5"/>
        <v>632.89752097379164</v>
      </c>
      <c r="O25" s="256">
        <f t="shared" si="5"/>
        <v>788.5137710153565</v>
      </c>
      <c r="P25" s="256">
        <f t="shared" si="5"/>
        <v>889.8458618089561</v>
      </c>
      <c r="Q25" s="256">
        <f t="shared" si="5"/>
        <v>1053.6507532687967</v>
      </c>
      <c r="R25" s="256">
        <f t="shared" si="5"/>
        <v>1387.1385922164011</v>
      </c>
      <c r="S25" s="256">
        <f t="shared" si="5"/>
        <v>1284.8516215626748</v>
      </c>
      <c r="T25" s="256">
        <f t="shared" si="5"/>
        <v>3839.1664763993726</v>
      </c>
    </row>
    <row r="26" spans="1:29" x14ac:dyDescent="0.25">
      <c r="A26" s="139">
        <v>44251</v>
      </c>
      <c r="B26" s="130" t="s">
        <v>233</v>
      </c>
      <c r="C26" s="134">
        <v>9221.1200000000008</v>
      </c>
      <c r="D26" s="256">
        <f t="shared" si="2"/>
        <v>50.691057024580005</v>
      </c>
      <c r="E26" s="256">
        <f t="shared" si="5"/>
        <v>33.028164304791503</v>
      </c>
      <c r="F26" s="256">
        <f t="shared" si="5"/>
        <v>26.402830193814186</v>
      </c>
      <c r="G26" s="256">
        <f t="shared" si="5"/>
        <v>38.272691459549449</v>
      </c>
      <c r="H26" s="256">
        <f t="shared" si="5"/>
        <v>81.154413186387941</v>
      </c>
      <c r="I26" s="256">
        <f t="shared" si="5"/>
        <v>117.70845930471008</v>
      </c>
      <c r="J26" s="256">
        <f t="shared" si="5"/>
        <v>156.76036943756731</v>
      </c>
      <c r="K26" s="256">
        <f t="shared" si="5"/>
        <v>204.80876433681902</v>
      </c>
      <c r="L26" s="256">
        <f t="shared" si="5"/>
        <v>249.06683450049852</v>
      </c>
      <c r="M26" s="256">
        <f t="shared" si="5"/>
        <v>362.37473845500142</v>
      </c>
      <c r="N26" s="256">
        <f t="shared" si="5"/>
        <v>506.31801677903331</v>
      </c>
      <c r="O26" s="256">
        <f t="shared" si="5"/>
        <v>630.81101681228517</v>
      </c>
      <c r="P26" s="256">
        <f t="shared" si="5"/>
        <v>711.87668944716484</v>
      </c>
      <c r="Q26" s="256">
        <f t="shared" si="5"/>
        <v>842.92060261503741</v>
      </c>
      <c r="R26" s="256">
        <f t="shared" si="5"/>
        <v>1109.710873773121</v>
      </c>
      <c r="S26" s="256">
        <f t="shared" si="5"/>
        <v>1027.8812972501398</v>
      </c>
      <c r="T26" s="256">
        <f t="shared" si="5"/>
        <v>3071.333181119498</v>
      </c>
    </row>
    <row r="27" spans="1:29" x14ac:dyDescent="0.25">
      <c r="A27" s="139">
        <v>44258</v>
      </c>
      <c r="B27" s="130" t="s">
        <v>233</v>
      </c>
      <c r="C27" s="134">
        <v>7376.8960000000006</v>
      </c>
      <c r="D27" s="256">
        <f t="shared" si="2"/>
        <v>40.552845619664005</v>
      </c>
      <c r="E27" s="256">
        <f t="shared" si="5"/>
        <v>26.422531443833204</v>
      </c>
      <c r="F27" s="256">
        <f t="shared" si="5"/>
        <v>21.122264155051351</v>
      </c>
      <c r="G27" s="256">
        <f t="shared" si="5"/>
        <v>30.618153167639555</v>
      </c>
      <c r="H27" s="256">
        <f t="shared" si="5"/>
        <v>64.923530549110353</v>
      </c>
      <c r="I27" s="256">
        <f t="shared" si="5"/>
        <v>94.166767443768052</v>
      </c>
      <c r="J27" s="256">
        <f t="shared" si="5"/>
        <v>125.40829555005384</v>
      </c>
      <c r="K27" s="256">
        <f t="shared" si="5"/>
        <v>163.84701146945523</v>
      </c>
      <c r="L27" s="256">
        <f t="shared" si="5"/>
        <v>199.25346760039884</v>
      </c>
      <c r="M27" s="256">
        <f t="shared" si="5"/>
        <v>289.89979076400118</v>
      </c>
      <c r="N27" s="256">
        <f t="shared" si="5"/>
        <v>405.05441342322666</v>
      </c>
      <c r="O27" s="256">
        <f t="shared" si="5"/>
        <v>504.64881344982814</v>
      </c>
      <c r="P27" s="256">
        <f t="shared" si="5"/>
        <v>569.50135155773194</v>
      </c>
      <c r="Q27" s="256">
        <f t="shared" si="5"/>
        <v>674.33648209202988</v>
      </c>
      <c r="R27" s="256">
        <f t="shared" si="5"/>
        <v>887.7686990184967</v>
      </c>
      <c r="S27" s="256">
        <f t="shared" si="5"/>
        <v>822.3050378001119</v>
      </c>
      <c r="T27" s="256">
        <f t="shared" si="5"/>
        <v>2457.0665448955983</v>
      </c>
    </row>
    <row r="28" spans="1:29" x14ac:dyDescent="0.25">
      <c r="A28" s="139">
        <v>44265</v>
      </c>
      <c r="B28" s="130" t="s">
        <v>233</v>
      </c>
      <c r="C28" s="134">
        <v>5163.8271999999997</v>
      </c>
      <c r="D28" s="256">
        <f t="shared" si="2"/>
        <v>28.386991933764801</v>
      </c>
      <c r="E28" s="256">
        <f t="shared" si="5"/>
        <v>18.49577201068324</v>
      </c>
      <c r="F28" s="256">
        <f t="shared" si="5"/>
        <v>14.785584908535942</v>
      </c>
      <c r="G28" s="256">
        <f t="shared" si="5"/>
        <v>21.432707217347687</v>
      </c>
      <c r="H28" s="256">
        <f t="shared" si="5"/>
        <v>45.44647138437724</v>
      </c>
      <c r="I28" s="256">
        <f t="shared" si="5"/>
        <v>65.916737210637635</v>
      </c>
      <c r="J28" s="256">
        <f t="shared" si="5"/>
        <v>87.785806885037672</v>
      </c>
      <c r="K28" s="256">
        <f t="shared" si="5"/>
        <v>114.69290802861863</v>
      </c>
      <c r="L28" s="256">
        <f t="shared" si="5"/>
        <v>139.47742732027916</v>
      </c>
      <c r="M28" s="256">
        <f t="shared" si="5"/>
        <v>202.92985353480077</v>
      </c>
      <c r="N28" s="256">
        <f t="shared" si="5"/>
        <v>283.53808939625861</v>
      </c>
      <c r="O28" s="256">
        <f t="shared" si="5"/>
        <v>353.25416941487964</v>
      </c>
      <c r="P28" s="256">
        <f t="shared" si="5"/>
        <v>398.65094609041228</v>
      </c>
      <c r="Q28" s="256">
        <f t="shared" si="5"/>
        <v>472.03553746442088</v>
      </c>
      <c r="R28" s="256">
        <f t="shared" si="5"/>
        <v>621.43808931294757</v>
      </c>
      <c r="S28" s="256">
        <f t="shared" si="5"/>
        <v>575.61352646007822</v>
      </c>
      <c r="T28" s="256">
        <f t="shared" si="5"/>
        <v>1719.9465814269188</v>
      </c>
    </row>
    <row r="29" spans="1:29" x14ac:dyDescent="0.25">
      <c r="A29" s="139">
        <v>44272</v>
      </c>
      <c r="B29" s="130" t="s">
        <v>233</v>
      </c>
      <c r="C29" s="134">
        <v>3614.6790399999995</v>
      </c>
      <c r="D29" s="256">
        <f t="shared" si="2"/>
        <v>19.870894353635357</v>
      </c>
      <c r="E29" s="256">
        <f t="shared" si="5"/>
        <v>12.947040407478267</v>
      </c>
      <c r="F29" s="256">
        <f t="shared" si="5"/>
        <v>10.349909435975158</v>
      </c>
      <c r="G29" s="256">
        <f t="shared" si="5"/>
        <v>15.00289505214338</v>
      </c>
      <c r="H29" s="256">
        <f t="shared" si="5"/>
        <v>31.812529969064066</v>
      </c>
      <c r="I29" s="256">
        <f t="shared" si="5"/>
        <v>46.141716047446337</v>
      </c>
      <c r="J29" s="256">
        <f t="shared" si="5"/>
        <v>61.450064819526368</v>
      </c>
      <c r="K29" s="256">
        <f t="shared" si="5"/>
        <v>80.285035620033042</v>
      </c>
      <c r="L29" s="256">
        <f t="shared" si="5"/>
        <v>97.634199124195405</v>
      </c>
      <c r="M29" s="256">
        <f t="shared" si="5"/>
        <v>142.05089747436054</v>
      </c>
      <c r="N29" s="256">
        <f t="shared" si="5"/>
        <v>198.47666257738101</v>
      </c>
      <c r="O29" s="256">
        <f t="shared" si="5"/>
        <v>247.27791859041574</v>
      </c>
      <c r="P29" s="256">
        <f t="shared" si="5"/>
        <v>279.05566226328858</v>
      </c>
      <c r="Q29" s="256">
        <f t="shared" si="5"/>
        <v>330.42487622509458</v>
      </c>
      <c r="R29" s="256">
        <f t="shared" si="5"/>
        <v>435.0066625190633</v>
      </c>
      <c r="S29" s="256">
        <f t="shared" si="5"/>
        <v>402.92946852205478</v>
      </c>
      <c r="T29" s="256">
        <f t="shared" si="5"/>
        <v>1203.9626069988431</v>
      </c>
    </row>
    <row r="30" spans="1:29" x14ac:dyDescent="0.25">
      <c r="A30" s="139">
        <v>44279</v>
      </c>
      <c r="B30" s="130" t="s">
        <v>233</v>
      </c>
      <c r="C30" s="134">
        <v>2530.2753279999997</v>
      </c>
      <c r="D30" s="256">
        <f t="shared" si="2"/>
        <v>13.909626047544752</v>
      </c>
      <c r="E30" s="256">
        <f t="shared" si="5"/>
        <v>9.0629282852347863</v>
      </c>
      <c r="F30" s="256">
        <f t="shared" si="5"/>
        <v>7.2449366051826116</v>
      </c>
      <c r="G30" s="256">
        <f t="shared" si="5"/>
        <v>10.502026536500367</v>
      </c>
      <c r="H30" s="256">
        <f t="shared" si="5"/>
        <v>22.268770978344847</v>
      </c>
      <c r="I30" s="256">
        <f t="shared" si="5"/>
        <v>32.299201233212436</v>
      </c>
      <c r="J30" s="256">
        <f t="shared" si="5"/>
        <v>43.015045373668457</v>
      </c>
      <c r="K30" s="256">
        <f t="shared" si="5"/>
        <v>56.199524934023124</v>
      </c>
      <c r="L30" s="256">
        <f t="shared" si="5"/>
        <v>68.343939386936782</v>
      </c>
      <c r="M30" s="256">
        <f t="shared" si="5"/>
        <v>99.43562823205238</v>
      </c>
      <c r="N30" s="256">
        <f t="shared" si="5"/>
        <v>138.93366380416671</v>
      </c>
      <c r="O30" s="256">
        <f t="shared" si="5"/>
        <v>173.094543013291</v>
      </c>
      <c r="P30" s="256">
        <f t="shared" si="5"/>
        <v>195.33896358430201</v>
      </c>
      <c r="Q30" s="256">
        <f t="shared" si="5"/>
        <v>231.2974133575662</v>
      </c>
      <c r="R30" s="256">
        <f t="shared" si="5"/>
        <v>304.5046637633443</v>
      </c>
      <c r="S30" s="256">
        <f t="shared" si="5"/>
        <v>282.05062796543831</v>
      </c>
      <c r="T30" s="256">
        <f t="shared" si="5"/>
        <v>842.77382489919012</v>
      </c>
    </row>
    <row r="31" spans="1:29" x14ac:dyDescent="0.25">
      <c r="A31" s="139">
        <v>44286</v>
      </c>
      <c r="B31" s="130" t="s">
        <v>233</v>
      </c>
      <c r="C31" s="134">
        <v>1771.1927295999997</v>
      </c>
      <c r="D31" s="256">
        <f t="shared" si="2"/>
        <v>9.7367382332813257</v>
      </c>
      <c r="E31" s="256">
        <f t="shared" si="5"/>
        <v>6.3440497996643508</v>
      </c>
      <c r="F31" s="256">
        <f t="shared" si="5"/>
        <v>5.0714556236278279</v>
      </c>
      <c r="G31" s="256">
        <f t="shared" si="5"/>
        <v>7.3514185755502552</v>
      </c>
      <c r="H31" s="256">
        <f t="shared" si="5"/>
        <v>15.588139684841391</v>
      </c>
      <c r="I31" s="256">
        <f t="shared" si="5"/>
        <v>22.609440863248704</v>
      </c>
      <c r="J31" s="256">
        <f t="shared" si="5"/>
        <v>30.110531761567916</v>
      </c>
      <c r="K31" s="256">
        <f t="shared" si="5"/>
        <v>39.339667453816183</v>
      </c>
      <c r="L31" s="256">
        <f t="shared" si="5"/>
        <v>47.840757570855743</v>
      </c>
      <c r="M31" s="256">
        <f t="shared" si="5"/>
        <v>69.604939762436658</v>
      </c>
      <c r="N31" s="256">
        <f t="shared" si="5"/>
        <v>97.253564662916688</v>
      </c>
      <c r="O31" s="256">
        <f t="shared" si="5"/>
        <v>121.1661801093037</v>
      </c>
      <c r="P31" s="256">
        <f t="shared" si="5"/>
        <v>136.7372745090114</v>
      </c>
      <c r="Q31" s="256">
        <f t="shared" si="5"/>
        <v>161.90818935029634</v>
      </c>
      <c r="R31" s="256">
        <f t="shared" si="5"/>
        <v>213.15326463434101</v>
      </c>
      <c r="S31" s="256">
        <f t="shared" si="5"/>
        <v>197.43543957580681</v>
      </c>
      <c r="T31" s="256">
        <f t="shared" si="5"/>
        <v>589.94167742943307</v>
      </c>
      <c r="AC31" s="98"/>
    </row>
    <row r="32" spans="1:29" x14ac:dyDescent="0.25">
      <c r="A32" s="139">
        <v>44293</v>
      </c>
      <c r="B32" s="130" t="s">
        <v>233</v>
      </c>
      <c r="C32" s="134">
        <v>1239.8349107199997</v>
      </c>
      <c r="D32" s="256">
        <f t="shared" si="2"/>
        <v>6.8157167632969271</v>
      </c>
      <c r="E32" s="256">
        <f t="shared" si="5"/>
        <v>4.4408348597650447</v>
      </c>
      <c r="F32" s="256">
        <f t="shared" si="5"/>
        <v>3.550018936539479</v>
      </c>
      <c r="G32" s="256">
        <f t="shared" si="5"/>
        <v>5.1459930028851781</v>
      </c>
      <c r="H32" s="256">
        <f t="shared" si="5"/>
        <v>10.911697779388973</v>
      </c>
      <c r="I32" s="256">
        <f t="shared" si="5"/>
        <v>15.826608604274092</v>
      </c>
      <c r="J32" s="256">
        <f t="shared" si="5"/>
        <v>21.077372233097542</v>
      </c>
      <c r="K32" s="256">
        <f t="shared" si="5"/>
        <v>27.53776721767133</v>
      </c>
      <c r="L32" s="256">
        <f t="shared" si="5"/>
        <v>33.48853029959902</v>
      </c>
      <c r="M32" s="256">
        <f t="shared" si="5"/>
        <v>48.723457833705659</v>
      </c>
      <c r="N32" s="256">
        <f t="shared" si="5"/>
        <v>68.077495264041687</v>
      </c>
      <c r="O32" s="256">
        <f t="shared" si="5"/>
        <v>84.816326076512581</v>
      </c>
      <c r="P32" s="256">
        <f t="shared" si="5"/>
        <v>95.716092156307965</v>
      </c>
      <c r="Q32" s="256">
        <f t="shared" si="5"/>
        <v>113.33573254520743</v>
      </c>
      <c r="R32" s="256">
        <f t="shared" si="5"/>
        <v>149.2072852440387</v>
      </c>
      <c r="S32" s="256">
        <f t="shared" si="5"/>
        <v>138.20480770306477</v>
      </c>
      <c r="T32" s="256">
        <f t="shared" si="5"/>
        <v>412.95917420060312</v>
      </c>
      <c r="AC32" s="98"/>
    </row>
    <row r="33" spans="1:29" x14ac:dyDescent="0.25">
      <c r="A33" s="139">
        <v>44300</v>
      </c>
      <c r="B33" s="130" t="s">
        <v>233</v>
      </c>
      <c r="C33" s="134">
        <v>867.88443750399972</v>
      </c>
      <c r="D33" s="256">
        <f t="shared" si="2"/>
        <v>4.7710017343078484</v>
      </c>
      <c r="E33" s="256">
        <f t="shared" si="5"/>
        <v>3.1085844018355311</v>
      </c>
      <c r="F33" s="256">
        <f t="shared" si="5"/>
        <v>2.485013255577635</v>
      </c>
      <c r="G33" s="256">
        <f t="shared" si="5"/>
        <v>3.6021951020196248</v>
      </c>
      <c r="H33" s="256">
        <f t="shared" si="5"/>
        <v>7.6381884455722808</v>
      </c>
      <c r="I33" s="256">
        <f t="shared" si="5"/>
        <v>11.078626022991864</v>
      </c>
      <c r="J33" s="256">
        <f t="shared" si="5"/>
        <v>14.754160563168277</v>
      </c>
      <c r="K33" s="256">
        <f t="shared" si="5"/>
        <v>19.276437052369928</v>
      </c>
      <c r="L33" s="256">
        <f t="shared" si="5"/>
        <v>23.441971209719313</v>
      </c>
      <c r="M33" s="256">
        <f t="shared" si="5"/>
        <v>34.106420483593958</v>
      </c>
      <c r="N33" s="256">
        <f t="shared" si="5"/>
        <v>47.654246684829175</v>
      </c>
      <c r="O33" s="256">
        <f t="shared" si="5"/>
        <v>59.371428253558804</v>
      </c>
      <c r="P33" s="256">
        <f t="shared" si="5"/>
        <v>67.001264509415577</v>
      </c>
      <c r="Q33" s="256">
        <f t="shared" si="5"/>
        <v>79.33501278164519</v>
      </c>
      <c r="R33" s="256">
        <f t="shared" si="5"/>
        <v>104.44509967082708</v>
      </c>
      <c r="S33" s="256">
        <f t="shared" si="5"/>
        <v>96.743365392145321</v>
      </c>
      <c r="T33" s="256">
        <f t="shared" si="5"/>
        <v>289.07142194042217</v>
      </c>
      <c r="AC33" s="98"/>
    </row>
    <row r="34" spans="1:29" x14ac:dyDescent="0.25">
      <c r="A34" s="139">
        <v>44307</v>
      </c>
      <c r="B34" s="130" t="s">
        <v>233</v>
      </c>
      <c r="C34" s="134">
        <v>607.51910625279982</v>
      </c>
      <c r="D34" s="256">
        <f>$C34*D$38</f>
        <v>3.339701214015494</v>
      </c>
      <c r="E34" s="256">
        <f t="shared" si="5"/>
        <v>2.1760090812848718</v>
      </c>
      <c r="F34" s="256">
        <f t="shared" si="5"/>
        <v>1.7395092789043447</v>
      </c>
      <c r="G34" s="256">
        <f t="shared" si="5"/>
        <v>2.5215365714137374</v>
      </c>
      <c r="H34" s="256">
        <f>$C34*H$38</f>
        <v>5.3467319119005969</v>
      </c>
      <c r="I34" s="256">
        <f t="shared" si="5"/>
        <v>7.755038216094305</v>
      </c>
      <c r="J34" s="256">
        <f t="shared" si="5"/>
        <v>10.327912394217794</v>
      </c>
      <c r="K34" s="256">
        <f t="shared" si="5"/>
        <v>13.49350593665895</v>
      </c>
      <c r="L34" s="256">
        <f t="shared" si="5"/>
        <v>16.409379846803517</v>
      </c>
      <c r="M34" s="256">
        <f t="shared" si="5"/>
        <v>23.87449433851577</v>
      </c>
      <c r="N34" s="256">
        <f t="shared" si="5"/>
        <v>33.357972679380424</v>
      </c>
      <c r="O34" s="256">
        <f t="shared" si="5"/>
        <v>41.559999777491164</v>
      </c>
      <c r="P34" s="256">
        <f t="shared" si="5"/>
        <v>46.900885156590903</v>
      </c>
      <c r="Q34" s="256">
        <f t="shared" si="5"/>
        <v>55.534508947151636</v>
      </c>
      <c r="R34" s="256">
        <f t="shared" si="5"/>
        <v>73.111569769578949</v>
      </c>
      <c r="S34" s="256">
        <f t="shared" si="5"/>
        <v>67.720355774501726</v>
      </c>
      <c r="T34" s="256">
        <f>$C34*T$38</f>
        <v>202.3499953582955</v>
      </c>
      <c r="AC34" s="98"/>
    </row>
    <row r="35" spans="1:29" x14ac:dyDescent="0.25">
      <c r="A35" s="139">
        <v>44314</v>
      </c>
      <c r="B35" s="130" t="s">
        <v>233</v>
      </c>
      <c r="C35" s="134">
        <v>425.26337437695986</v>
      </c>
      <c r="D35" s="256">
        <f t="shared" si="2"/>
        <v>2.3377908498108457</v>
      </c>
      <c r="E35" s="256">
        <f t="shared" si="5"/>
        <v>1.5232063568994103</v>
      </c>
      <c r="F35" s="256">
        <f t="shared" si="5"/>
        <v>1.2176564952330413</v>
      </c>
      <c r="G35" s="256">
        <f t="shared" si="5"/>
        <v>1.7650755999896162</v>
      </c>
      <c r="H35" s="256">
        <f t="shared" si="5"/>
        <v>3.7427123383304175</v>
      </c>
      <c r="I35" s="256">
        <f t="shared" si="5"/>
        <v>5.4285267512660127</v>
      </c>
      <c r="J35" s="256">
        <f t="shared" si="5"/>
        <v>7.2295386759524556</v>
      </c>
      <c r="K35" s="256">
        <f t="shared" si="5"/>
        <v>9.445454155661265</v>
      </c>
      <c r="L35" s="256">
        <f t="shared" si="5"/>
        <v>11.486565892762462</v>
      </c>
      <c r="M35" s="256">
        <f t="shared" si="5"/>
        <v>16.712146036961038</v>
      </c>
      <c r="N35" s="256">
        <f t="shared" si="5"/>
        <v>23.350580875566294</v>
      </c>
      <c r="O35" s="256">
        <f t="shared" si="5"/>
        <v>29.091999844243816</v>
      </c>
      <c r="P35" s="256">
        <f t="shared" si="5"/>
        <v>32.830619609613628</v>
      </c>
      <c r="Q35" s="256">
        <f t="shared" si="5"/>
        <v>38.874156263006142</v>
      </c>
      <c r="R35" s="256">
        <f t="shared" si="5"/>
        <v>51.178098838705267</v>
      </c>
      <c r="S35" s="256">
        <f t="shared" si="5"/>
        <v>47.404249042151207</v>
      </c>
      <c r="T35" s="256">
        <f t="shared" si="5"/>
        <v>141.64499675080685</v>
      </c>
      <c r="AC35" s="98"/>
    </row>
    <row r="36" spans="1:29" x14ac:dyDescent="0.25">
      <c r="D36" s="463"/>
      <c r="E36" s="463"/>
      <c r="F36" s="463"/>
      <c r="G36" s="463"/>
      <c r="H36" s="463"/>
      <c r="I36" s="463"/>
      <c r="J36" s="463"/>
      <c r="K36" s="463"/>
      <c r="L36" s="463"/>
      <c r="M36" s="463"/>
      <c r="N36" s="463"/>
      <c r="O36" s="463"/>
      <c r="P36" s="463"/>
      <c r="Q36" s="463"/>
      <c r="R36" s="463"/>
      <c r="S36" s="463"/>
      <c r="T36" s="463"/>
      <c r="AC36" s="98"/>
    </row>
    <row r="37" spans="1:29" x14ac:dyDescent="0.25">
      <c r="C37" s="132" t="s">
        <v>232</v>
      </c>
      <c r="D37" s="130" t="s">
        <v>179</v>
      </c>
      <c r="E37" s="130" t="s">
        <v>182</v>
      </c>
      <c r="F37" s="130" t="s">
        <v>184</v>
      </c>
      <c r="G37" s="130" t="s">
        <v>186</v>
      </c>
      <c r="H37" s="130" t="s">
        <v>188</v>
      </c>
      <c r="I37" s="130" t="s">
        <v>190</v>
      </c>
      <c r="J37" s="130" t="s">
        <v>191</v>
      </c>
      <c r="K37" s="130" t="s">
        <v>192</v>
      </c>
      <c r="L37" s="130" t="s">
        <v>193</v>
      </c>
      <c r="M37" s="130" t="s">
        <v>194</v>
      </c>
      <c r="N37" s="130" t="s">
        <v>195</v>
      </c>
      <c r="O37" s="130" t="s">
        <v>197</v>
      </c>
      <c r="P37" s="130" t="s">
        <v>199</v>
      </c>
      <c r="Q37" s="130" t="s">
        <v>201</v>
      </c>
      <c r="R37" s="130" t="s">
        <v>203</v>
      </c>
      <c r="S37" s="130" t="s">
        <v>205</v>
      </c>
      <c r="T37" s="130" t="s">
        <v>189</v>
      </c>
      <c r="AC37" s="98"/>
    </row>
    <row r="38" spans="1:29" x14ac:dyDescent="0.25">
      <c r="C38" s="132" t="s">
        <v>235</v>
      </c>
      <c r="D38" s="140">
        <f t="array" ref="D38:T38">TRANSPOSE(adm_AgeDist)</f>
        <v>5.4972776652489072E-3</v>
      </c>
      <c r="E38" s="140">
        <v>3.5817953030425264E-3</v>
      </c>
      <c r="F38" s="140">
        <v>2.8632997069568756E-3</v>
      </c>
      <c r="G38" s="140">
        <v>4.1505469465259581E-3</v>
      </c>
      <c r="H38" s="140">
        <v>8.8009279985932221E-3</v>
      </c>
      <c r="I38" s="140">
        <v>1.2765093535786332E-2</v>
      </c>
      <c r="J38" s="140">
        <v>1.7000144173112082E-2</v>
      </c>
      <c r="K38" s="140">
        <v>2.2210833861485264E-2</v>
      </c>
      <c r="L38" s="140">
        <v>2.7010475354457865E-2</v>
      </c>
      <c r="M38" s="140">
        <v>3.9298343200717636E-2</v>
      </c>
      <c r="N38" s="140">
        <v>5.4908516186649048E-2</v>
      </c>
      <c r="O38" s="140">
        <v>6.8409370750221785E-2</v>
      </c>
      <c r="P38" s="140">
        <v>7.7200675129177887E-2</v>
      </c>
      <c r="Q38" s="140">
        <v>9.1411954579816476E-2</v>
      </c>
      <c r="R38" s="140">
        <v>0.12034447808651452</v>
      </c>
      <c r="S38" s="140">
        <v>0.11147033085461851</v>
      </c>
      <c r="T38" s="140">
        <v>0.33307593666707491</v>
      </c>
      <c r="V38" s="107"/>
      <c r="AC38" s="98"/>
    </row>
    <row r="39" spans="1:29" x14ac:dyDescent="0.25">
      <c r="D39" s="248"/>
      <c r="E39" s="248"/>
      <c r="F39" s="248"/>
      <c r="G39" s="248"/>
      <c r="H39" s="248"/>
      <c r="I39" s="248"/>
      <c r="J39" s="248"/>
      <c r="K39" s="248"/>
      <c r="L39" s="248"/>
      <c r="M39" s="248"/>
      <c r="N39" s="248"/>
      <c r="O39" s="248"/>
      <c r="P39" s="248"/>
      <c r="Q39" s="248"/>
      <c r="R39" s="248"/>
      <c r="S39" s="248"/>
      <c r="T39" s="248"/>
      <c r="AC39" s="98"/>
    </row>
    <row r="40" spans="1:29" ht="18.75" x14ac:dyDescent="0.3">
      <c r="C40" s="252" t="s">
        <v>141</v>
      </c>
      <c r="D40" s="253"/>
      <c r="E40" s="253"/>
      <c r="F40" s="253"/>
      <c r="G40" s="253"/>
      <c r="H40" s="253"/>
      <c r="I40" s="253"/>
      <c r="J40" s="253"/>
      <c r="K40" s="253"/>
      <c r="L40" s="253"/>
      <c r="M40" s="253"/>
      <c r="N40" s="253"/>
      <c r="O40" s="253"/>
      <c r="P40" s="253"/>
      <c r="Q40" s="253"/>
      <c r="R40" s="253"/>
      <c r="S40" s="253"/>
      <c r="T40" s="253"/>
      <c r="AC40" s="98"/>
    </row>
    <row r="41" spans="1:29" x14ac:dyDescent="0.25">
      <c r="C41" t="s">
        <v>236</v>
      </c>
      <c r="D41" s="463"/>
      <c r="E41" s="463"/>
      <c r="F41" s="463"/>
      <c r="G41" s="463"/>
      <c r="H41" s="463"/>
      <c r="I41" s="463"/>
      <c r="J41" s="463"/>
      <c r="K41" s="463"/>
      <c r="L41" s="463"/>
      <c r="M41" s="463"/>
      <c r="N41" s="463"/>
      <c r="O41" s="463"/>
      <c r="P41" s="463"/>
      <c r="Q41" s="463"/>
      <c r="R41" s="463"/>
      <c r="S41" s="463"/>
      <c r="T41" s="463"/>
      <c r="AC41" s="98"/>
    </row>
    <row r="42" spans="1:29" x14ac:dyDescent="0.25">
      <c r="C42" t="s">
        <v>237</v>
      </c>
      <c r="D42" s="463"/>
      <c r="E42" s="463"/>
      <c r="F42" s="463"/>
      <c r="G42" s="463"/>
      <c r="H42" s="463"/>
      <c r="I42" s="463"/>
      <c r="J42" s="463"/>
      <c r="K42" s="463"/>
      <c r="L42" s="463"/>
      <c r="M42" s="463"/>
      <c r="N42" s="463"/>
      <c r="O42" s="463"/>
      <c r="P42" s="463"/>
      <c r="Q42" s="463"/>
      <c r="R42" s="463"/>
      <c r="S42" s="463"/>
      <c r="T42" s="463"/>
      <c r="AC42" s="98"/>
    </row>
    <row r="43" spans="1:29" x14ac:dyDescent="0.25">
      <c r="D43" s="463"/>
      <c r="E43" s="463"/>
      <c r="F43" s="463"/>
      <c r="G43" s="463"/>
      <c r="H43" s="463"/>
      <c r="I43" s="463"/>
      <c r="J43" s="463"/>
      <c r="K43" s="463"/>
      <c r="L43" s="463"/>
      <c r="M43" s="463"/>
      <c r="N43" s="463"/>
      <c r="O43" s="463"/>
      <c r="P43" s="463"/>
      <c r="Q43" s="463"/>
      <c r="R43" s="463"/>
      <c r="S43" s="463"/>
      <c r="T43" s="463"/>
      <c r="AC43" s="98"/>
    </row>
    <row r="44" spans="1:29" ht="18.75" x14ac:dyDescent="0.3">
      <c r="C44" s="252" t="s">
        <v>143</v>
      </c>
      <c r="D44" s="255"/>
      <c r="E44" s="255"/>
      <c r="F44" s="255"/>
      <c r="G44" s="255"/>
      <c r="H44" s="255"/>
      <c r="I44" s="255"/>
      <c r="J44" s="255"/>
      <c r="K44" s="255"/>
      <c r="L44" s="255"/>
      <c r="M44" s="255"/>
      <c r="N44" s="255"/>
      <c r="O44" s="255"/>
      <c r="P44" s="255"/>
      <c r="Q44" s="255"/>
      <c r="R44" s="255"/>
      <c r="S44" s="255"/>
      <c r="T44" s="255"/>
      <c r="AC44" s="98"/>
    </row>
    <row r="45" spans="1:29" x14ac:dyDescent="0.25">
      <c r="C45" t="s">
        <v>238</v>
      </c>
      <c r="D45" s="463"/>
      <c r="E45" s="463"/>
      <c r="F45" s="463"/>
      <c r="G45" s="463"/>
      <c r="H45" s="463"/>
      <c r="I45" s="463"/>
      <c r="J45" s="463"/>
      <c r="K45" s="463"/>
      <c r="L45" s="463"/>
      <c r="M45" s="463"/>
      <c r="N45" s="463"/>
      <c r="O45" s="463"/>
      <c r="P45" s="463"/>
      <c r="Q45" s="463"/>
      <c r="R45" s="463"/>
      <c r="S45" s="463"/>
      <c r="T45" s="463"/>
      <c r="AC45" s="98"/>
    </row>
    <row r="46" spans="1:29" x14ac:dyDescent="0.25">
      <c r="D46" s="463"/>
      <c r="E46" s="463"/>
      <c r="F46" s="463"/>
      <c r="G46" s="463"/>
      <c r="H46" s="463"/>
      <c r="I46" s="463"/>
      <c r="J46" s="463"/>
      <c r="K46" s="463"/>
      <c r="L46" s="463"/>
      <c r="M46" s="463"/>
      <c r="N46" s="463"/>
      <c r="O46" s="463"/>
      <c r="P46" s="463"/>
      <c r="Q46" s="463"/>
      <c r="R46" s="463"/>
      <c r="S46" s="463"/>
      <c r="T46" s="463"/>
      <c r="AC46" s="98"/>
    </row>
    <row r="47" spans="1:29" x14ac:dyDescent="0.25">
      <c r="D47" s="463"/>
      <c r="E47" s="463"/>
      <c r="F47" s="463"/>
      <c r="G47" s="463"/>
      <c r="H47" s="463"/>
      <c r="I47" s="463"/>
      <c r="J47" s="463"/>
      <c r="K47" s="463"/>
      <c r="L47" s="463"/>
      <c r="M47" s="463"/>
      <c r="N47" s="463"/>
      <c r="O47" s="463"/>
      <c r="P47" s="463"/>
      <c r="Q47" s="463"/>
      <c r="R47" s="463"/>
      <c r="S47" s="463"/>
      <c r="T47" s="463"/>
      <c r="AC47" s="98"/>
    </row>
  </sheetData>
  <mergeCells count="1">
    <mergeCell ref="V6:Z22"/>
  </mergeCells>
  <pageMargins left="0.7" right="0.7" top="0.75" bottom="0.75" header="0.3" footer="0.3"/>
  <pageSetup paperSize="9" orientation="portrait" r:id="rId1"/>
  <headerFooter>
    <oddHeader>&amp;L&amp;"Calibri"&amp;12&amp;K008000Classification: Public&amp;1#</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8D66C-5A9B-46F5-915D-24C6183F4447}">
  <sheetPr codeName="Sheet4">
    <tabColor theme="5" tint="0.79998168889431442"/>
  </sheetPr>
  <dimension ref="A1:T35"/>
  <sheetViews>
    <sheetView workbookViewId="0">
      <selection activeCell="K39" sqref="K39"/>
    </sheetView>
  </sheetViews>
  <sheetFormatPr defaultRowHeight="15" x14ac:dyDescent="0.25"/>
  <cols>
    <col min="1" max="1" width="17.28515625" bestFit="1" customWidth="1"/>
    <col min="2" max="3" width="12.5703125" customWidth="1"/>
  </cols>
  <sheetData>
    <row r="1" spans="1:20" x14ac:dyDescent="0.25">
      <c r="A1" s="3" t="s">
        <v>231</v>
      </c>
      <c r="B1" s="3" t="s">
        <v>232</v>
      </c>
      <c r="C1" s="8" t="s">
        <v>82</v>
      </c>
      <c r="D1" s="463" t="s">
        <v>179</v>
      </c>
      <c r="E1" t="s">
        <v>182</v>
      </c>
      <c r="F1" t="s">
        <v>184</v>
      </c>
      <c r="G1" t="s">
        <v>186</v>
      </c>
      <c r="H1" t="s">
        <v>188</v>
      </c>
      <c r="I1" t="s">
        <v>190</v>
      </c>
      <c r="J1" t="s">
        <v>191</v>
      </c>
      <c r="K1" t="s">
        <v>192</v>
      </c>
      <c r="L1" t="s">
        <v>193</v>
      </c>
      <c r="M1" t="s">
        <v>194</v>
      </c>
      <c r="N1" t="s">
        <v>195</v>
      </c>
      <c r="O1" t="s">
        <v>197</v>
      </c>
      <c r="P1" t="s">
        <v>199</v>
      </c>
      <c r="Q1" t="s">
        <v>201</v>
      </c>
      <c r="R1" t="s">
        <v>203</v>
      </c>
      <c r="S1" t="s">
        <v>205</v>
      </c>
      <c r="T1" t="s">
        <v>189</v>
      </c>
    </row>
    <row r="2" spans="1:20" x14ac:dyDescent="0.25">
      <c r="A2" s="4">
        <v>44104</v>
      </c>
      <c r="B2" s="3" t="s">
        <v>235</v>
      </c>
      <c r="C2" s="8">
        <v>5076</v>
      </c>
      <c r="D2" s="2">
        <f>$C2*D$35</f>
        <v>4.5683999999999996</v>
      </c>
      <c r="E2" s="2">
        <f t="shared" ref="E2:T17" si="0">$C2*E$35</f>
        <v>6.5987999999999998</v>
      </c>
      <c r="F2" s="2">
        <f t="shared" si="0"/>
        <v>11.674799999999999</v>
      </c>
      <c r="G2" s="2">
        <f t="shared" si="0"/>
        <v>23.857200000000002</v>
      </c>
      <c r="H2" s="2">
        <f t="shared" si="0"/>
        <v>47.206799999999994</v>
      </c>
      <c r="I2" s="2">
        <f t="shared" si="0"/>
        <v>101.0124</v>
      </c>
      <c r="J2" s="2">
        <f t="shared" si="0"/>
        <v>156.3408</v>
      </c>
      <c r="K2" s="2">
        <f t="shared" si="0"/>
        <v>251.7696</v>
      </c>
      <c r="L2" s="2">
        <f t="shared" si="0"/>
        <v>310.65119999999996</v>
      </c>
      <c r="M2" s="2">
        <f t="shared" si="0"/>
        <v>443.64240000000001</v>
      </c>
      <c r="N2" s="2">
        <f t="shared" si="0"/>
        <v>571.55759999999998</v>
      </c>
      <c r="O2" s="2">
        <f t="shared" si="0"/>
        <v>618.2568</v>
      </c>
      <c r="P2" s="2">
        <f t="shared" si="0"/>
        <v>656.32679999999993</v>
      </c>
      <c r="Q2" s="2">
        <f t="shared" si="0"/>
        <v>571.55759999999998</v>
      </c>
      <c r="R2" s="2">
        <f t="shared" si="0"/>
        <v>470.0376</v>
      </c>
      <c r="S2" s="2">
        <f t="shared" si="0"/>
        <v>353.79719999999998</v>
      </c>
      <c r="T2" s="2">
        <f t="shared" si="0"/>
        <v>476.63639999999998</v>
      </c>
    </row>
    <row r="3" spans="1:20" x14ac:dyDescent="0.25">
      <c r="A3" s="4">
        <v>44111</v>
      </c>
      <c r="B3" s="3" t="s">
        <v>235</v>
      </c>
      <c r="C3" s="8">
        <v>6649</v>
      </c>
      <c r="D3" s="2">
        <f t="shared" ref="D3:D32" si="1">$C3*D$35</f>
        <v>5.9840999999999998</v>
      </c>
      <c r="E3" s="2">
        <f t="shared" si="0"/>
        <v>8.6436999999999991</v>
      </c>
      <c r="F3" s="2">
        <f t="shared" si="0"/>
        <v>15.2927</v>
      </c>
      <c r="G3" s="2">
        <f t="shared" si="0"/>
        <v>31.250300000000003</v>
      </c>
      <c r="H3" s="2">
        <f t="shared" si="0"/>
        <v>61.835699999999996</v>
      </c>
      <c r="I3" s="2">
        <f t="shared" si="0"/>
        <v>132.3151</v>
      </c>
      <c r="J3" s="2">
        <f t="shared" si="0"/>
        <v>204.78919999999999</v>
      </c>
      <c r="K3" s="2">
        <f t="shared" si="0"/>
        <v>329.79039999999998</v>
      </c>
      <c r="L3" s="2">
        <f t="shared" si="0"/>
        <v>406.91879999999998</v>
      </c>
      <c r="M3" s="2">
        <f t="shared" si="0"/>
        <v>581.12260000000003</v>
      </c>
      <c r="N3" s="2">
        <f t="shared" si="0"/>
        <v>748.67740000000003</v>
      </c>
      <c r="O3" s="2">
        <f t="shared" si="0"/>
        <v>809.84820000000002</v>
      </c>
      <c r="P3" s="2">
        <f t="shared" si="0"/>
        <v>859.71569999999997</v>
      </c>
      <c r="Q3" s="2">
        <f t="shared" si="0"/>
        <v>748.67740000000003</v>
      </c>
      <c r="R3" s="2">
        <f t="shared" si="0"/>
        <v>615.69740000000002</v>
      </c>
      <c r="S3" s="2">
        <f t="shared" si="0"/>
        <v>463.43529999999998</v>
      </c>
      <c r="T3" s="2">
        <f t="shared" si="0"/>
        <v>624.34109999999998</v>
      </c>
    </row>
    <row r="4" spans="1:20" x14ac:dyDescent="0.25">
      <c r="A4" s="4">
        <v>44118</v>
      </c>
      <c r="B4" s="3" t="s">
        <v>235</v>
      </c>
      <c r="C4" s="8">
        <v>8544</v>
      </c>
      <c r="D4" s="2">
        <f t="shared" si="1"/>
        <v>7.6895999999999995</v>
      </c>
      <c r="E4" s="2">
        <f t="shared" si="0"/>
        <v>11.107199999999999</v>
      </c>
      <c r="F4" s="2">
        <f t="shared" si="0"/>
        <v>19.651199999999999</v>
      </c>
      <c r="G4" s="2">
        <f t="shared" si="0"/>
        <v>40.156800000000004</v>
      </c>
      <c r="H4" s="2">
        <f t="shared" si="0"/>
        <v>79.459199999999996</v>
      </c>
      <c r="I4" s="2">
        <f t="shared" si="0"/>
        <v>170.0256</v>
      </c>
      <c r="J4" s="2">
        <f t="shared" si="0"/>
        <v>263.15520000000004</v>
      </c>
      <c r="K4" s="2">
        <f t="shared" si="0"/>
        <v>423.7824</v>
      </c>
      <c r="L4" s="2">
        <f t="shared" si="0"/>
        <v>522.89279999999997</v>
      </c>
      <c r="M4" s="2">
        <f t="shared" si="0"/>
        <v>746.74560000000008</v>
      </c>
      <c r="N4" s="2">
        <f t="shared" si="0"/>
        <v>962.0544000000001</v>
      </c>
      <c r="O4" s="2">
        <f t="shared" si="0"/>
        <v>1040.6592000000001</v>
      </c>
      <c r="P4" s="2">
        <f t="shared" si="0"/>
        <v>1104.7392</v>
      </c>
      <c r="Q4" s="2">
        <f t="shared" si="0"/>
        <v>962.0544000000001</v>
      </c>
      <c r="R4" s="2">
        <f t="shared" si="0"/>
        <v>791.17439999999999</v>
      </c>
      <c r="S4" s="2">
        <f t="shared" si="0"/>
        <v>595.51679999999999</v>
      </c>
      <c r="T4" s="2">
        <f t="shared" si="0"/>
        <v>802.28160000000003</v>
      </c>
    </row>
    <row r="5" spans="1:20" x14ac:dyDescent="0.25">
      <c r="A5" s="4">
        <v>44125</v>
      </c>
      <c r="B5" s="3" t="s">
        <v>235</v>
      </c>
      <c r="C5" s="8">
        <v>10681</v>
      </c>
      <c r="D5" s="2">
        <f t="shared" si="1"/>
        <v>9.6128999999999998</v>
      </c>
      <c r="E5" s="2">
        <f t="shared" si="0"/>
        <v>13.885299999999999</v>
      </c>
      <c r="F5" s="2">
        <f t="shared" si="0"/>
        <v>24.566299999999998</v>
      </c>
      <c r="G5" s="2">
        <f t="shared" si="0"/>
        <v>50.200700000000005</v>
      </c>
      <c r="H5" s="2">
        <f t="shared" si="0"/>
        <v>99.333299999999994</v>
      </c>
      <c r="I5" s="2">
        <f t="shared" si="0"/>
        <v>212.55190000000002</v>
      </c>
      <c r="J5" s="2">
        <f t="shared" si="0"/>
        <v>328.97480000000002</v>
      </c>
      <c r="K5" s="2">
        <f t="shared" si="0"/>
        <v>529.77760000000001</v>
      </c>
      <c r="L5" s="2">
        <f t="shared" si="0"/>
        <v>653.67719999999997</v>
      </c>
      <c r="M5" s="2">
        <f t="shared" si="0"/>
        <v>933.51940000000002</v>
      </c>
      <c r="N5" s="2">
        <f t="shared" si="0"/>
        <v>1202.6806000000001</v>
      </c>
      <c r="O5" s="2">
        <f t="shared" si="0"/>
        <v>1300.9458</v>
      </c>
      <c r="P5" s="2">
        <f t="shared" si="0"/>
        <v>1381.0533</v>
      </c>
      <c r="Q5" s="2">
        <f t="shared" si="0"/>
        <v>1202.6806000000001</v>
      </c>
      <c r="R5" s="2">
        <f t="shared" si="0"/>
        <v>989.06060000000002</v>
      </c>
      <c r="S5" s="2">
        <f t="shared" si="0"/>
        <v>744.46569999999997</v>
      </c>
      <c r="T5" s="2">
        <f t="shared" si="0"/>
        <v>1002.9458999999999</v>
      </c>
    </row>
    <row r="6" spans="1:20" x14ac:dyDescent="0.25">
      <c r="A6" s="4">
        <v>44132</v>
      </c>
      <c r="B6" s="3" t="s">
        <v>235</v>
      </c>
      <c r="C6" s="8">
        <v>12940</v>
      </c>
      <c r="D6" s="2">
        <f t="shared" si="1"/>
        <v>11.645999999999999</v>
      </c>
      <c r="E6" s="2">
        <f t="shared" si="0"/>
        <v>16.821999999999999</v>
      </c>
      <c r="F6" s="2">
        <f t="shared" si="0"/>
        <v>29.762</v>
      </c>
      <c r="G6" s="2">
        <f t="shared" si="0"/>
        <v>60.818000000000005</v>
      </c>
      <c r="H6" s="2">
        <f t="shared" si="0"/>
        <v>120.34199999999998</v>
      </c>
      <c r="I6" s="2">
        <f t="shared" si="0"/>
        <v>257.50600000000003</v>
      </c>
      <c r="J6" s="2">
        <f t="shared" si="0"/>
        <v>398.55200000000002</v>
      </c>
      <c r="K6" s="2">
        <f t="shared" si="0"/>
        <v>641.82399999999996</v>
      </c>
      <c r="L6" s="2">
        <f t="shared" si="0"/>
        <v>791.928</v>
      </c>
      <c r="M6" s="2">
        <f t="shared" si="0"/>
        <v>1130.9560000000001</v>
      </c>
      <c r="N6" s="2">
        <f t="shared" si="0"/>
        <v>1457.0440000000001</v>
      </c>
      <c r="O6" s="2">
        <f t="shared" si="0"/>
        <v>1576.0920000000001</v>
      </c>
      <c r="P6" s="2">
        <f t="shared" si="0"/>
        <v>1673.1420000000001</v>
      </c>
      <c r="Q6" s="2">
        <f t="shared" si="0"/>
        <v>1457.0440000000001</v>
      </c>
      <c r="R6" s="2">
        <f t="shared" si="0"/>
        <v>1198.2439999999999</v>
      </c>
      <c r="S6" s="2">
        <f t="shared" si="0"/>
        <v>901.91800000000001</v>
      </c>
      <c r="T6" s="2">
        <f t="shared" si="0"/>
        <v>1215.066</v>
      </c>
    </row>
    <row r="7" spans="1:20" x14ac:dyDescent="0.25">
      <c r="A7" s="4">
        <v>44139</v>
      </c>
      <c r="B7" s="3" t="s">
        <v>235</v>
      </c>
      <c r="C7" s="8">
        <v>15186</v>
      </c>
      <c r="D7" s="2">
        <f t="shared" si="1"/>
        <v>13.667399999999999</v>
      </c>
      <c r="E7" s="2">
        <f t="shared" si="0"/>
        <v>19.741799999999998</v>
      </c>
      <c r="F7" s="2">
        <f t="shared" si="0"/>
        <v>34.927799999999998</v>
      </c>
      <c r="G7" s="2">
        <f t="shared" si="0"/>
        <v>71.374200000000002</v>
      </c>
      <c r="H7" s="2">
        <f t="shared" si="0"/>
        <v>141.22979999999998</v>
      </c>
      <c r="I7" s="2">
        <f t="shared" si="0"/>
        <v>302.20140000000004</v>
      </c>
      <c r="J7" s="2">
        <f t="shared" si="0"/>
        <v>467.72880000000004</v>
      </c>
      <c r="K7" s="2">
        <f t="shared" si="0"/>
        <v>753.22559999999999</v>
      </c>
      <c r="L7" s="2">
        <f t="shared" si="0"/>
        <v>929.38319999999999</v>
      </c>
      <c r="M7" s="2">
        <f t="shared" si="0"/>
        <v>1327.2564</v>
      </c>
      <c r="N7" s="2">
        <f t="shared" si="0"/>
        <v>1709.9436000000001</v>
      </c>
      <c r="O7" s="2">
        <f t="shared" si="0"/>
        <v>1849.6548</v>
      </c>
      <c r="P7" s="2">
        <f t="shared" si="0"/>
        <v>1963.5498</v>
      </c>
      <c r="Q7" s="2">
        <f t="shared" si="0"/>
        <v>1709.9436000000001</v>
      </c>
      <c r="R7" s="2">
        <f t="shared" si="0"/>
        <v>1406.2236</v>
      </c>
      <c r="S7" s="2">
        <f t="shared" si="0"/>
        <v>1058.4641999999999</v>
      </c>
      <c r="T7" s="2">
        <f t="shared" si="0"/>
        <v>1425.9654</v>
      </c>
    </row>
    <row r="8" spans="1:20" x14ac:dyDescent="0.25">
      <c r="A8" s="4">
        <v>44146</v>
      </c>
      <c r="B8" s="3" t="s">
        <v>235</v>
      </c>
      <c r="C8" s="8">
        <v>17282</v>
      </c>
      <c r="D8" s="2">
        <f t="shared" si="1"/>
        <v>15.553799999999999</v>
      </c>
      <c r="E8" s="2">
        <f t="shared" si="0"/>
        <v>22.4666</v>
      </c>
      <c r="F8" s="2">
        <f t="shared" si="0"/>
        <v>39.748599999999996</v>
      </c>
      <c r="G8" s="2">
        <f t="shared" si="0"/>
        <v>81.225400000000008</v>
      </c>
      <c r="H8" s="2">
        <f t="shared" si="0"/>
        <v>160.7226</v>
      </c>
      <c r="I8" s="2">
        <f t="shared" si="0"/>
        <v>343.91180000000003</v>
      </c>
      <c r="J8" s="2">
        <f t="shared" si="0"/>
        <v>532.28560000000004</v>
      </c>
      <c r="K8" s="2">
        <f t="shared" si="0"/>
        <v>857.18719999999996</v>
      </c>
      <c r="L8" s="2">
        <f t="shared" si="0"/>
        <v>1057.6584</v>
      </c>
      <c r="M8" s="2">
        <f t="shared" si="0"/>
        <v>1510.4468000000002</v>
      </c>
      <c r="N8" s="2">
        <f t="shared" si="0"/>
        <v>1945.9532000000002</v>
      </c>
      <c r="O8" s="2">
        <f t="shared" si="0"/>
        <v>2104.9476</v>
      </c>
      <c r="P8" s="2">
        <f t="shared" si="0"/>
        <v>2234.5625999999997</v>
      </c>
      <c r="Q8" s="2">
        <f t="shared" si="0"/>
        <v>1945.9532000000002</v>
      </c>
      <c r="R8" s="2">
        <f t="shared" si="0"/>
        <v>1600.3132000000001</v>
      </c>
      <c r="S8" s="2">
        <f t="shared" si="0"/>
        <v>1204.5554</v>
      </c>
      <c r="T8" s="2">
        <f t="shared" si="0"/>
        <v>1622.7798</v>
      </c>
    </row>
    <row r="9" spans="1:20" x14ac:dyDescent="0.25">
      <c r="A9" s="4">
        <v>44153</v>
      </c>
      <c r="B9" s="3" t="s">
        <v>235</v>
      </c>
      <c r="C9" s="8">
        <v>19147</v>
      </c>
      <c r="D9" s="2">
        <f t="shared" si="1"/>
        <v>17.232299999999999</v>
      </c>
      <c r="E9" s="2">
        <f t="shared" si="0"/>
        <v>24.891099999999998</v>
      </c>
      <c r="F9" s="2">
        <f t="shared" si="0"/>
        <v>44.0381</v>
      </c>
      <c r="G9" s="2">
        <f t="shared" si="0"/>
        <v>89.990900000000011</v>
      </c>
      <c r="H9" s="2">
        <f t="shared" si="0"/>
        <v>178.06709999999998</v>
      </c>
      <c r="I9" s="2">
        <f t="shared" si="0"/>
        <v>381.02530000000002</v>
      </c>
      <c r="J9" s="2">
        <f t="shared" si="0"/>
        <v>589.72760000000005</v>
      </c>
      <c r="K9" s="2">
        <f t="shared" si="0"/>
        <v>949.69119999999998</v>
      </c>
      <c r="L9" s="2">
        <f t="shared" si="0"/>
        <v>1171.7963999999999</v>
      </c>
      <c r="M9" s="2">
        <f t="shared" si="0"/>
        <v>1673.4478000000001</v>
      </c>
      <c r="N9" s="2">
        <f t="shared" si="0"/>
        <v>2155.9522000000002</v>
      </c>
      <c r="O9" s="2">
        <f t="shared" si="0"/>
        <v>2332.1046000000001</v>
      </c>
      <c r="P9" s="2">
        <f t="shared" si="0"/>
        <v>2475.7071000000001</v>
      </c>
      <c r="Q9" s="2">
        <f t="shared" si="0"/>
        <v>2155.9522000000002</v>
      </c>
      <c r="R9" s="2">
        <f t="shared" si="0"/>
        <v>1773.0122000000001</v>
      </c>
      <c r="S9" s="2">
        <f t="shared" si="0"/>
        <v>1334.5459000000001</v>
      </c>
      <c r="T9" s="2">
        <f t="shared" si="0"/>
        <v>1797.9032999999999</v>
      </c>
    </row>
    <row r="10" spans="1:20" x14ac:dyDescent="0.25">
      <c r="A10" s="4">
        <v>44160</v>
      </c>
      <c r="B10" s="3" t="s">
        <v>235</v>
      </c>
      <c r="C10" s="8">
        <v>20714</v>
      </c>
      <c r="D10" s="2">
        <f t="shared" si="1"/>
        <v>18.642599999999998</v>
      </c>
      <c r="E10" s="2">
        <f t="shared" si="0"/>
        <v>26.9282</v>
      </c>
      <c r="F10" s="2">
        <f t="shared" si="0"/>
        <v>47.642200000000003</v>
      </c>
      <c r="G10" s="2">
        <f t="shared" si="0"/>
        <v>97.355800000000002</v>
      </c>
      <c r="H10" s="2">
        <f t="shared" si="0"/>
        <v>192.64019999999999</v>
      </c>
      <c r="I10" s="2">
        <f t="shared" si="0"/>
        <v>412.20860000000005</v>
      </c>
      <c r="J10" s="2">
        <f t="shared" si="0"/>
        <v>637.99120000000005</v>
      </c>
      <c r="K10" s="2">
        <f t="shared" si="0"/>
        <v>1027.4143999999999</v>
      </c>
      <c r="L10" s="2">
        <f t="shared" si="0"/>
        <v>1267.6967999999999</v>
      </c>
      <c r="M10" s="2">
        <f t="shared" si="0"/>
        <v>1810.4036000000001</v>
      </c>
      <c r="N10" s="2">
        <f t="shared" si="0"/>
        <v>2332.3964000000001</v>
      </c>
      <c r="O10" s="2">
        <f t="shared" si="0"/>
        <v>2522.9652000000001</v>
      </c>
      <c r="P10" s="2">
        <f t="shared" si="0"/>
        <v>2678.3202000000001</v>
      </c>
      <c r="Q10" s="2">
        <f t="shared" si="0"/>
        <v>2332.3964000000001</v>
      </c>
      <c r="R10" s="2">
        <f t="shared" si="0"/>
        <v>1918.1164000000001</v>
      </c>
      <c r="S10" s="2">
        <f t="shared" si="0"/>
        <v>1443.7657999999999</v>
      </c>
      <c r="T10" s="2">
        <f t="shared" si="0"/>
        <v>1945.0445999999999</v>
      </c>
    </row>
    <row r="11" spans="1:20" x14ac:dyDescent="0.25">
      <c r="A11" s="4">
        <v>44167</v>
      </c>
      <c r="B11" s="3" t="s">
        <v>235</v>
      </c>
      <c r="C11" s="8">
        <v>21960</v>
      </c>
      <c r="D11" s="2">
        <f t="shared" si="1"/>
        <v>19.763999999999999</v>
      </c>
      <c r="E11" s="2">
        <f t="shared" si="0"/>
        <v>28.547999999999998</v>
      </c>
      <c r="F11" s="2">
        <f t="shared" si="0"/>
        <v>50.508000000000003</v>
      </c>
      <c r="G11" s="2">
        <f t="shared" si="0"/>
        <v>103.212</v>
      </c>
      <c r="H11" s="2">
        <f t="shared" si="0"/>
        <v>204.22799999999998</v>
      </c>
      <c r="I11" s="2">
        <f t="shared" si="0"/>
        <v>437.00400000000002</v>
      </c>
      <c r="J11" s="2">
        <f t="shared" si="0"/>
        <v>676.36800000000005</v>
      </c>
      <c r="K11" s="2">
        <f t="shared" si="0"/>
        <v>1089.2159999999999</v>
      </c>
      <c r="L11" s="2">
        <f t="shared" si="0"/>
        <v>1343.952</v>
      </c>
      <c r="M11" s="2">
        <f t="shared" si="0"/>
        <v>1919.3040000000001</v>
      </c>
      <c r="N11" s="2">
        <f t="shared" si="0"/>
        <v>2472.6959999999999</v>
      </c>
      <c r="O11" s="2">
        <f t="shared" si="0"/>
        <v>2674.7280000000001</v>
      </c>
      <c r="P11" s="2">
        <f t="shared" si="0"/>
        <v>2839.4279999999999</v>
      </c>
      <c r="Q11" s="2">
        <f t="shared" si="0"/>
        <v>2472.6959999999999</v>
      </c>
      <c r="R11" s="2">
        <f t="shared" si="0"/>
        <v>2033.4960000000001</v>
      </c>
      <c r="S11" s="2">
        <f t="shared" si="0"/>
        <v>1530.6119999999999</v>
      </c>
      <c r="T11" s="2">
        <f t="shared" si="0"/>
        <v>2062.0439999999999</v>
      </c>
    </row>
    <row r="12" spans="1:20" x14ac:dyDescent="0.25">
      <c r="A12" s="4">
        <v>44174</v>
      </c>
      <c r="B12" s="3" t="s">
        <v>235</v>
      </c>
      <c r="C12" s="8">
        <v>22914</v>
      </c>
      <c r="D12" s="2">
        <f t="shared" si="1"/>
        <v>20.622599999999998</v>
      </c>
      <c r="E12" s="2">
        <f t="shared" si="0"/>
        <v>29.7882</v>
      </c>
      <c r="F12" s="2">
        <f t="shared" si="0"/>
        <v>52.702199999999998</v>
      </c>
      <c r="G12" s="2">
        <f t="shared" si="0"/>
        <v>107.69580000000001</v>
      </c>
      <c r="H12" s="2">
        <f t="shared" si="0"/>
        <v>213.10019999999997</v>
      </c>
      <c r="I12" s="2">
        <f t="shared" si="0"/>
        <v>455.98860000000002</v>
      </c>
      <c r="J12" s="2">
        <f t="shared" si="0"/>
        <v>705.75120000000004</v>
      </c>
      <c r="K12" s="2">
        <f t="shared" si="0"/>
        <v>1136.5344</v>
      </c>
      <c r="L12" s="2">
        <f t="shared" si="0"/>
        <v>1402.3368</v>
      </c>
      <c r="M12" s="2">
        <f t="shared" si="0"/>
        <v>2002.6836000000001</v>
      </c>
      <c r="N12" s="2">
        <f t="shared" si="0"/>
        <v>2580.1164000000003</v>
      </c>
      <c r="O12" s="2">
        <f t="shared" si="0"/>
        <v>2790.9252000000001</v>
      </c>
      <c r="P12" s="2">
        <f t="shared" si="0"/>
        <v>2962.7802000000001</v>
      </c>
      <c r="Q12" s="2">
        <f t="shared" si="0"/>
        <v>2580.1164000000003</v>
      </c>
      <c r="R12" s="2">
        <f t="shared" si="0"/>
        <v>2121.8364000000001</v>
      </c>
      <c r="S12" s="2">
        <f t="shared" si="0"/>
        <v>1597.1058</v>
      </c>
      <c r="T12" s="2">
        <f t="shared" si="0"/>
        <v>2151.6246000000001</v>
      </c>
    </row>
    <row r="13" spans="1:20" x14ac:dyDescent="0.25">
      <c r="A13" s="4">
        <v>44181</v>
      </c>
      <c r="B13" s="3" t="s">
        <v>235</v>
      </c>
      <c r="C13" s="8">
        <v>23582</v>
      </c>
      <c r="D13" s="2">
        <f t="shared" si="1"/>
        <v>21.223800000000001</v>
      </c>
      <c r="E13" s="2">
        <f t="shared" si="0"/>
        <v>30.656599999999997</v>
      </c>
      <c r="F13" s="2">
        <f t="shared" si="0"/>
        <v>54.238599999999998</v>
      </c>
      <c r="G13" s="2">
        <f t="shared" si="0"/>
        <v>110.83540000000001</v>
      </c>
      <c r="H13" s="2">
        <f t="shared" si="0"/>
        <v>219.31259999999997</v>
      </c>
      <c r="I13" s="2">
        <f t="shared" si="0"/>
        <v>469.28180000000003</v>
      </c>
      <c r="J13" s="2">
        <f t="shared" si="0"/>
        <v>726.32560000000001</v>
      </c>
      <c r="K13" s="2">
        <f t="shared" si="0"/>
        <v>1169.6671999999999</v>
      </c>
      <c r="L13" s="2">
        <f t="shared" si="0"/>
        <v>1443.2184</v>
      </c>
      <c r="M13" s="2">
        <f t="shared" si="0"/>
        <v>2061.0668000000001</v>
      </c>
      <c r="N13" s="2">
        <f t="shared" si="0"/>
        <v>2655.3332</v>
      </c>
      <c r="O13" s="2">
        <f t="shared" si="0"/>
        <v>2872.2876000000001</v>
      </c>
      <c r="P13" s="2">
        <f t="shared" si="0"/>
        <v>3049.1525999999999</v>
      </c>
      <c r="Q13" s="2">
        <f t="shared" si="0"/>
        <v>2655.3332</v>
      </c>
      <c r="R13" s="2">
        <f t="shared" si="0"/>
        <v>2183.6932000000002</v>
      </c>
      <c r="S13" s="2">
        <f t="shared" si="0"/>
        <v>1643.6653999999999</v>
      </c>
      <c r="T13" s="2">
        <f t="shared" si="0"/>
        <v>2214.3498</v>
      </c>
    </row>
    <row r="14" spans="1:20" x14ac:dyDescent="0.25">
      <c r="A14" s="4">
        <v>44188</v>
      </c>
      <c r="B14" s="3" t="s">
        <v>235</v>
      </c>
      <c r="C14" s="8">
        <v>23985</v>
      </c>
      <c r="D14" s="2">
        <f t="shared" si="1"/>
        <v>21.586500000000001</v>
      </c>
      <c r="E14" s="2">
        <f t="shared" si="0"/>
        <v>31.180499999999999</v>
      </c>
      <c r="F14" s="2">
        <f t="shared" si="0"/>
        <v>55.165500000000002</v>
      </c>
      <c r="G14" s="2">
        <f t="shared" si="0"/>
        <v>112.7295</v>
      </c>
      <c r="H14" s="2">
        <f t="shared" si="0"/>
        <v>223.06049999999999</v>
      </c>
      <c r="I14" s="2">
        <f t="shared" si="0"/>
        <v>477.30150000000003</v>
      </c>
      <c r="J14" s="2">
        <f t="shared" si="0"/>
        <v>738.73800000000006</v>
      </c>
      <c r="K14" s="2">
        <f t="shared" si="0"/>
        <v>1189.6559999999999</v>
      </c>
      <c r="L14" s="2">
        <f t="shared" si="0"/>
        <v>1467.8819999999998</v>
      </c>
      <c r="M14" s="2">
        <f t="shared" si="0"/>
        <v>2096.2890000000002</v>
      </c>
      <c r="N14" s="2">
        <f t="shared" si="0"/>
        <v>2700.7110000000002</v>
      </c>
      <c r="O14" s="2">
        <f t="shared" si="0"/>
        <v>2921.373</v>
      </c>
      <c r="P14" s="2">
        <f t="shared" si="0"/>
        <v>3101.2604999999999</v>
      </c>
      <c r="Q14" s="2">
        <f t="shared" si="0"/>
        <v>2700.7110000000002</v>
      </c>
      <c r="R14" s="2">
        <f t="shared" si="0"/>
        <v>2221.011</v>
      </c>
      <c r="S14" s="2">
        <f t="shared" si="0"/>
        <v>1671.7545</v>
      </c>
      <c r="T14" s="2">
        <f t="shared" si="0"/>
        <v>2252.1914999999999</v>
      </c>
    </row>
    <row r="15" spans="1:20" x14ac:dyDescent="0.25">
      <c r="A15" s="4">
        <v>44195</v>
      </c>
      <c r="B15" s="3" t="s">
        <v>235</v>
      </c>
      <c r="C15" s="8">
        <v>24162</v>
      </c>
      <c r="D15" s="2">
        <f t="shared" si="1"/>
        <v>21.745799999999999</v>
      </c>
      <c r="E15" s="2">
        <f t="shared" si="0"/>
        <v>31.410599999999999</v>
      </c>
      <c r="F15" s="2">
        <f t="shared" si="0"/>
        <v>55.572600000000001</v>
      </c>
      <c r="G15" s="2">
        <f t="shared" si="0"/>
        <v>113.56140000000001</v>
      </c>
      <c r="H15" s="2">
        <f t="shared" si="0"/>
        <v>224.70659999999998</v>
      </c>
      <c r="I15" s="2">
        <f t="shared" si="0"/>
        <v>480.82380000000001</v>
      </c>
      <c r="J15" s="2">
        <f t="shared" si="0"/>
        <v>744.18960000000004</v>
      </c>
      <c r="K15" s="2">
        <f t="shared" si="0"/>
        <v>1198.4351999999999</v>
      </c>
      <c r="L15" s="2">
        <f t="shared" si="0"/>
        <v>1478.7143999999998</v>
      </c>
      <c r="M15" s="2">
        <f t="shared" si="0"/>
        <v>2111.7588000000001</v>
      </c>
      <c r="N15" s="2">
        <f t="shared" si="0"/>
        <v>2720.6412</v>
      </c>
      <c r="O15" s="2">
        <f t="shared" si="0"/>
        <v>2942.9316000000003</v>
      </c>
      <c r="P15" s="2">
        <f t="shared" si="0"/>
        <v>3124.1466</v>
      </c>
      <c r="Q15" s="2">
        <f t="shared" si="0"/>
        <v>2720.6412</v>
      </c>
      <c r="R15" s="2">
        <f t="shared" si="0"/>
        <v>2237.4012000000002</v>
      </c>
      <c r="S15" s="2">
        <f t="shared" si="0"/>
        <v>1684.0914</v>
      </c>
      <c r="T15" s="2">
        <f t="shared" si="0"/>
        <v>2268.8117999999999</v>
      </c>
    </row>
    <row r="16" spans="1:20" x14ac:dyDescent="0.25">
      <c r="A16" s="4">
        <v>44202</v>
      </c>
      <c r="B16" s="3" t="s">
        <v>235</v>
      </c>
      <c r="C16" s="8">
        <v>24109</v>
      </c>
      <c r="D16" s="2">
        <f t="shared" si="1"/>
        <v>21.6981</v>
      </c>
      <c r="E16" s="2">
        <f t="shared" si="0"/>
        <v>31.341699999999999</v>
      </c>
      <c r="F16" s="2">
        <f t="shared" si="0"/>
        <v>55.450699999999998</v>
      </c>
      <c r="G16" s="2">
        <f t="shared" si="0"/>
        <v>113.31230000000001</v>
      </c>
      <c r="H16" s="2">
        <f t="shared" si="0"/>
        <v>224.21369999999999</v>
      </c>
      <c r="I16" s="2">
        <f t="shared" si="0"/>
        <v>479.76910000000004</v>
      </c>
      <c r="J16" s="2">
        <f t="shared" si="0"/>
        <v>742.55720000000008</v>
      </c>
      <c r="K16" s="2">
        <f t="shared" si="0"/>
        <v>1195.8063999999999</v>
      </c>
      <c r="L16" s="2">
        <f t="shared" si="0"/>
        <v>1475.4707999999998</v>
      </c>
      <c r="M16" s="2">
        <f t="shared" si="0"/>
        <v>2107.1266000000001</v>
      </c>
      <c r="N16" s="2">
        <f t="shared" si="0"/>
        <v>2714.6734000000001</v>
      </c>
      <c r="O16" s="2">
        <f t="shared" si="0"/>
        <v>2936.4762000000001</v>
      </c>
      <c r="P16" s="2">
        <f t="shared" si="0"/>
        <v>3117.2937000000002</v>
      </c>
      <c r="Q16" s="2">
        <f t="shared" si="0"/>
        <v>2714.6734000000001</v>
      </c>
      <c r="R16" s="2">
        <f t="shared" si="0"/>
        <v>2232.4933999999998</v>
      </c>
      <c r="S16" s="2">
        <f t="shared" si="0"/>
        <v>1680.3972999999999</v>
      </c>
      <c r="T16" s="2">
        <f t="shared" si="0"/>
        <v>2263.8350999999998</v>
      </c>
    </row>
    <row r="17" spans="1:20" x14ac:dyDescent="0.25">
      <c r="A17" s="4">
        <v>44209</v>
      </c>
      <c r="B17" s="3" t="s">
        <v>235</v>
      </c>
      <c r="C17" s="8">
        <v>23847</v>
      </c>
      <c r="D17" s="2">
        <f t="shared" si="1"/>
        <v>21.462299999999999</v>
      </c>
      <c r="E17" s="2">
        <f t="shared" si="0"/>
        <v>31.001099999999997</v>
      </c>
      <c r="F17" s="2">
        <f t="shared" si="0"/>
        <v>54.848100000000002</v>
      </c>
      <c r="G17" s="2">
        <f t="shared" si="0"/>
        <v>112.0809</v>
      </c>
      <c r="H17" s="2">
        <f t="shared" si="0"/>
        <v>221.77709999999999</v>
      </c>
      <c r="I17" s="2">
        <f t="shared" si="0"/>
        <v>474.55530000000005</v>
      </c>
      <c r="J17" s="2">
        <f t="shared" si="0"/>
        <v>734.48760000000004</v>
      </c>
      <c r="K17" s="2">
        <f t="shared" si="0"/>
        <v>1182.8111999999999</v>
      </c>
      <c r="L17" s="2">
        <f t="shared" si="0"/>
        <v>1459.4364</v>
      </c>
      <c r="M17" s="2">
        <f t="shared" si="0"/>
        <v>2084.2278000000001</v>
      </c>
      <c r="N17" s="2">
        <f t="shared" si="0"/>
        <v>2685.1722</v>
      </c>
      <c r="O17" s="2">
        <f t="shared" si="0"/>
        <v>2904.5646000000002</v>
      </c>
      <c r="P17" s="2">
        <f t="shared" si="0"/>
        <v>3083.4171000000001</v>
      </c>
      <c r="Q17" s="2">
        <f t="shared" si="0"/>
        <v>2685.1722</v>
      </c>
      <c r="R17" s="2">
        <f t="shared" si="0"/>
        <v>2208.2321999999999</v>
      </c>
      <c r="S17" s="2">
        <f t="shared" si="0"/>
        <v>1662.1359</v>
      </c>
      <c r="T17" s="2">
        <f t="shared" ref="E17:T32" si="2">$C17*T$35</f>
        <v>2239.2332999999999</v>
      </c>
    </row>
    <row r="18" spans="1:20" x14ac:dyDescent="0.25">
      <c r="A18" s="4">
        <v>44216</v>
      </c>
      <c r="B18" s="3" t="s">
        <v>235</v>
      </c>
      <c r="C18" s="8">
        <v>23393</v>
      </c>
      <c r="D18" s="2">
        <f t="shared" si="1"/>
        <v>21.053699999999999</v>
      </c>
      <c r="E18" s="2">
        <f t="shared" si="2"/>
        <v>30.410899999999998</v>
      </c>
      <c r="F18" s="2">
        <f t="shared" si="2"/>
        <v>53.803899999999999</v>
      </c>
      <c r="G18" s="2">
        <f t="shared" si="2"/>
        <v>109.94710000000001</v>
      </c>
      <c r="H18" s="2">
        <f t="shared" si="2"/>
        <v>217.55489999999998</v>
      </c>
      <c r="I18" s="2">
        <f t="shared" si="2"/>
        <v>465.52070000000003</v>
      </c>
      <c r="J18" s="2">
        <f t="shared" si="2"/>
        <v>720.50440000000003</v>
      </c>
      <c r="K18" s="2">
        <f t="shared" si="2"/>
        <v>1160.2927999999999</v>
      </c>
      <c r="L18" s="2">
        <f t="shared" si="2"/>
        <v>1431.6515999999999</v>
      </c>
      <c r="M18" s="2">
        <f t="shared" si="2"/>
        <v>2044.5482000000002</v>
      </c>
      <c r="N18" s="2">
        <f t="shared" si="2"/>
        <v>2634.0518000000002</v>
      </c>
      <c r="O18" s="2">
        <f t="shared" si="2"/>
        <v>2849.2674000000002</v>
      </c>
      <c r="P18" s="2">
        <f t="shared" si="2"/>
        <v>3024.7148999999999</v>
      </c>
      <c r="Q18" s="2">
        <f t="shared" si="2"/>
        <v>2634.0518000000002</v>
      </c>
      <c r="R18" s="2">
        <f t="shared" si="2"/>
        <v>2166.1918000000001</v>
      </c>
      <c r="S18" s="2">
        <f t="shared" si="2"/>
        <v>1630.4920999999999</v>
      </c>
      <c r="T18" s="2">
        <f t="shared" si="2"/>
        <v>2196.6026999999999</v>
      </c>
    </row>
    <row r="19" spans="1:20" x14ac:dyDescent="0.25">
      <c r="A19" s="4">
        <v>44223</v>
      </c>
      <c r="B19" s="3" t="s">
        <v>235</v>
      </c>
      <c r="C19" s="8">
        <v>22767</v>
      </c>
      <c r="D19" s="2">
        <f t="shared" si="1"/>
        <v>20.490299999999998</v>
      </c>
      <c r="E19" s="2">
        <f t="shared" si="2"/>
        <v>29.597099999999998</v>
      </c>
      <c r="F19" s="2">
        <f t="shared" si="2"/>
        <v>52.364100000000001</v>
      </c>
      <c r="G19" s="2">
        <f t="shared" si="2"/>
        <v>107.00490000000001</v>
      </c>
      <c r="H19" s="2">
        <f t="shared" si="2"/>
        <v>211.73309999999998</v>
      </c>
      <c r="I19" s="2">
        <f t="shared" si="2"/>
        <v>453.06330000000003</v>
      </c>
      <c r="J19" s="2">
        <f t="shared" si="2"/>
        <v>701.22360000000003</v>
      </c>
      <c r="K19" s="2">
        <f t="shared" si="2"/>
        <v>1129.2431999999999</v>
      </c>
      <c r="L19" s="2">
        <f t="shared" si="2"/>
        <v>1393.3404</v>
      </c>
      <c r="M19" s="2">
        <f t="shared" si="2"/>
        <v>1989.8358000000001</v>
      </c>
      <c r="N19" s="2">
        <f t="shared" si="2"/>
        <v>2563.5642000000003</v>
      </c>
      <c r="O19" s="2">
        <f t="shared" si="2"/>
        <v>2773.0206000000003</v>
      </c>
      <c r="P19" s="2">
        <f t="shared" si="2"/>
        <v>2943.7730999999999</v>
      </c>
      <c r="Q19" s="2">
        <f t="shared" si="2"/>
        <v>2563.5642000000003</v>
      </c>
      <c r="R19" s="2">
        <f t="shared" si="2"/>
        <v>2108.2242000000001</v>
      </c>
      <c r="S19" s="2">
        <f t="shared" si="2"/>
        <v>1586.8598999999999</v>
      </c>
      <c r="T19" s="2">
        <f t="shared" si="2"/>
        <v>2137.8213000000001</v>
      </c>
    </row>
    <row r="20" spans="1:20" x14ac:dyDescent="0.25">
      <c r="A20" s="4">
        <v>44230</v>
      </c>
      <c r="B20" s="3" t="s">
        <v>235</v>
      </c>
      <c r="C20" s="8">
        <v>21999</v>
      </c>
      <c r="D20" s="2">
        <f t="shared" si="1"/>
        <v>19.799099999999999</v>
      </c>
      <c r="E20" s="2">
        <f t="shared" si="2"/>
        <v>28.598699999999997</v>
      </c>
      <c r="F20" s="2">
        <f t="shared" si="2"/>
        <v>50.597699999999996</v>
      </c>
      <c r="G20" s="2">
        <f t="shared" si="2"/>
        <v>103.39530000000001</v>
      </c>
      <c r="H20" s="2">
        <f t="shared" si="2"/>
        <v>204.59069999999997</v>
      </c>
      <c r="I20" s="2">
        <f t="shared" si="2"/>
        <v>437.7801</v>
      </c>
      <c r="J20" s="2">
        <f t="shared" si="2"/>
        <v>677.56920000000002</v>
      </c>
      <c r="K20" s="2">
        <f t="shared" si="2"/>
        <v>1091.1504</v>
      </c>
      <c r="L20" s="2">
        <f t="shared" si="2"/>
        <v>1346.3388</v>
      </c>
      <c r="M20" s="2">
        <f t="shared" si="2"/>
        <v>1922.7126000000001</v>
      </c>
      <c r="N20" s="2">
        <f t="shared" si="2"/>
        <v>2477.0874000000003</v>
      </c>
      <c r="O20" s="2">
        <f t="shared" si="2"/>
        <v>2679.4782</v>
      </c>
      <c r="P20" s="2">
        <f t="shared" si="2"/>
        <v>2844.4706999999999</v>
      </c>
      <c r="Q20" s="2">
        <f t="shared" si="2"/>
        <v>2477.0874000000003</v>
      </c>
      <c r="R20" s="2">
        <f t="shared" si="2"/>
        <v>2037.1074000000001</v>
      </c>
      <c r="S20" s="2">
        <f t="shared" si="2"/>
        <v>1533.3302999999999</v>
      </c>
      <c r="T20" s="2">
        <f t="shared" si="2"/>
        <v>2065.7060999999999</v>
      </c>
    </row>
    <row r="21" spans="1:20" x14ac:dyDescent="0.25">
      <c r="A21" s="4">
        <v>44237</v>
      </c>
      <c r="B21" s="3" t="s">
        <v>235</v>
      </c>
      <c r="C21" s="8">
        <v>21118</v>
      </c>
      <c r="D21" s="2">
        <f t="shared" si="1"/>
        <v>19.0062</v>
      </c>
      <c r="E21" s="2">
        <f t="shared" si="2"/>
        <v>27.453399999999998</v>
      </c>
      <c r="F21" s="2">
        <f t="shared" si="2"/>
        <v>48.571399999999997</v>
      </c>
      <c r="G21" s="2">
        <f t="shared" si="2"/>
        <v>99.254600000000011</v>
      </c>
      <c r="H21" s="2">
        <f t="shared" si="2"/>
        <v>196.39739999999998</v>
      </c>
      <c r="I21" s="2">
        <f t="shared" si="2"/>
        <v>420.2482</v>
      </c>
      <c r="J21" s="2">
        <f t="shared" si="2"/>
        <v>650.43439999999998</v>
      </c>
      <c r="K21" s="2">
        <f t="shared" si="2"/>
        <v>1047.4528</v>
      </c>
      <c r="L21" s="2">
        <f t="shared" si="2"/>
        <v>1292.4215999999999</v>
      </c>
      <c r="M21" s="2">
        <f t="shared" si="2"/>
        <v>1845.7132000000001</v>
      </c>
      <c r="N21" s="2">
        <f t="shared" si="2"/>
        <v>2377.8868000000002</v>
      </c>
      <c r="O21" s="2">
        <f t="shared" si="2"/>
        <v>2572.1723999999999</v>
      </c>
      <c r="P21" s="2">
        <f t="shared" si="2"/>
        <v>2730.5574000000001</v>
      </c>
      <c r="Q21" s="2">
        <f t="shared" si="2"/>
        <v>2377.8868000000002</v>
      </c>
      <c r="R21" s="2">
        <f t="shared" si="2"/>
        <v>1955.5268000000001</v>
      </c>
      <c r="S21" s="2">
        <f t="shared" si="2"/>
        <v>1471.9246000000001</v>
      </c>
      <c r="T21" s="2">
        <f t="shared" si="2"/>
        <v>1982.9802</v>
      </c>
    </row>
    <row r="22" spans="1:20" x14ac:dyDescent="0.25">
      <c r="A22" s="4">
        <v>44244</v>
      </c>
      <c r="B22" s="3" t="s">
        <v>235</v>
      </c>
      <c r="C22" s="8">
        <v>20154</v>
      </c>
      <c r="D22" s="2">
        <f t="shared" si="1"/>
        <v>18.1386</v>
      </c>
      <c r="E22" s="2">
        <f t="shared" si="2"/>
        <v>26.200199999999999</v>
      </c>
      <c r="F22" s="2">
        <f t="shared" si="2"/>
        <v>46.354199999999999</v>
      </c>
      <c r="G22" s="2">
        <f t="shared" si="2"/>
        <v>94.723799999999997</v>
      </c>
      <c r="H22" s="2">
        <f t="shared" si="2"/>
        <v>187.43219999999999</v>
      </c>
      <c r="I22" s="2">
        <f t="shared" si="2"/>
        <v>401.06460000000004</v>
      </c>
      <c r="J22" s="2">
        <f t="shared" si="2"/>
        <v>620.7432</v>
      </c>
      <c r="K22" s="2">
        <f t="shared" si="2"/>
        <v>999.63839999999993</v>
      </c>
      <c r="L22" s="2">
        <f t="shared" si="2"/>
        <v>1233.4248</v>
      </c>
      <c r="M22" s="2">
        <f t="shared" si="2"/>
        <v>1761.4596000000001</v>
      </c>
      <c r="N22" s="2">
        <f t="shared" si="2"/>
        <v>2269.3404</v>
      </c>
      <c r="O22" s="2">
        <f t="shared" si="2"/>
        <v>2454.7572</v>
      </c>
      <c r="P22" s="2">
        <f t="shared" si="2"/>
        <v>2605.9121999999998</v>
      </c>
      <c r="Q22" s="2">
        <f t="shared" si="2"/>
        <v>2269.3404</v>
      </c>
      <c r="R22" s="2">
        <f t="shared" si="2"/>
        <v>1866.2604000000001</v>
      </c>
      <c r="S22" s="2">
        <f t="shared" si="2"/>
        <v>1404.7338</v>
      </c>
      <c r="T22" s="2">
        <f t="shared" si="2"/>
        <v>1892.4605999999999</v>
      </c>
    </row>
    <row r="23" spans="1:20" x14ac:dyDescent="0.25">
      <c r="A23" s="4">
        <v>44251</v>
      </c>
      <c r="B23" s="3" t="s">
        <v>235</v>
      </c>
      <c r="C23" s="8">
        <v>19142</v>
      </c>
      <c r="D23" s="2">
        <f t="shared" si="1"/>
        <v>17.227799999999998</v>
      </c>
      <c r="E23" s="2">
        <f t="shared" si="2"/>
        <v>24.884599999999999</v>
      </c>
      <c r="F23" s="2">
        <f t="shared" si="2"/>
        <v>44.026600000000002</v>
      </c>
      <c r="G23" s="2">
        <f t="shared" si="2"/>
        <v>89.967399999999998</v>
      </c>
      <c r="H23" s="2">
        <f t="shared" si="2"/>
        <v>178.02059999999997</v>
      </c>
      <c r="I23" s="2">
        <f t="shared" si="2"/>
        <v>380.92580000000004</v>
      </c>
      <c r="J23" s="2">
        <f t="shared" si="2"/>
        <v>589.57360000000006</v>
      </c>
      <c r="K23" s="2">
        <f t="shared" si="2"/>
        <v>949.44319999999993</v>
      </c>
      <c r="L23" s="2">
        <f t="shared" si="2"/>
        <v>1171.4903999999999</v>
      </c>
      <c r="M23" s="2">
        <f t="shared" si="2"/>
        <v>1673.0108</v>
      </c>
      <c r="N23" s="2">
        <f t="shared" si="2"/>
        <v>2155.3892000000001</v>
      </c>
      <c r="O23" s="2">
        <f t="shared" si="2"/>
        <v>2331.4956000000002</v>
      </c>
      <c r="P23" s="2">
        <f t="shared" si="2"/>
        <v>2475.0605999999998</v>
      </c>
      <c r="Q23" s="2">
        <f t="shared" si="2"/>
        <v>2155.3892000000001</v>
      </c>
      <c r="R23" s="2">
        <f t="shared" si="2"/>
        <v>1772.5491999999999</v>
      </c>
      <c r="S23" s="2">
        <f t="shared" si="2"/>
        <v>1334.1974</v>
      </c>
      <c r="T23" s="2">
        <f t="shared" si="2"/>
        <v>1797.4338</v>
      </c>
    </row>
    <row r="24" spans="1:20" x14ac:dyDescent="0.25">
      <c r="A24" s="4">
        <v>44258</v>
      </c>
      <c r="B24" s="3" t="s">
        <v>235</v>
      </c>
      <c r="C24" s="8">
        <v>18109</v>
      </c>
      <c r="D24" s="2">
        <f t="shared" si="1"/>
        <v>16.298099999999998</v>
      </c>
      <c r="E24" s="2">
        <f t="shared" si="2"/>
        <v>23.541699999999999</v>
      </c>
      <c r="F24" s="2">
        <f t="shared" si="2"/>
        <v>41.650700000000001</v>
      </c>
      <c r="G24" s="2">
        <f t="shared" si="2"/>
        <v>85.112300000000005</v>
      </c>
      <c r="H24" s="2">
        <f t="shared" si="2"/>
        <v>168.41369999999998</v>
      </c>
      <c r="I24" s="2">
        <f t="shared" si="2"/>
        <v>360.3691</v>
      </c>
      <c r="J24" s="2">
        <f t="shared" si="2"/>
        <v>557.75720000000001</v>
      </c>
      <c r="K24" s="2">
        <f t="shared" si="2"/>
        <v>898.20639999999992</v>
      </c>
      <c r="L24" s="2">
        <f t="shared" si="2"/>
        <v>1108.2708</v>
      </c>
      <c r="M24" s="2">
        <f t="shared" si="2"/>
        <v>1582.7266000000002</v>
      </c>
      <c r="N24" s="2">
        <f t="shared" si="2"/>
        <v>2039.0734</v>
      </c>
      <c r="O24" s="2">
        <f t="shared" si="2"/>
        <v>2205.6761999999999</v>
      </c>
      <c r="P24" s="2">
        <f t="shared" si="2"/>
        <v>2341.4937</v>
      </c>
      <c r="Q24" s="2">
        <f t="shared" si="2"/>
        <v>2039.0734</v>
      </c>
      <c r="R24" s="2">
        <f t="shared" si="2"/>
        <v>1676.8933999999999</v>
      </c>
      <c r="S24" s="2">
        <f t="shared" si="2"/>
        <v>1262.1973</v>
      </c>
      <c r="T24" s="2">
        <f t="shared" si="2"/>
        <v>1700.4350999999999</v>
      </c>
    </row>
    <row r="25" spans="1:20" x14ac:dyDescent="0.25">
      <c r="A25" s="4">
        <v>44265</v>
      </c>
      <c r="B25" s="3" t="s">
        <v>235</v>
      </c>
      <c r="C25" s="8">
        <v>17077</v>
      </c>
      <c r="D25" s="2">
        <f t="shared" si="1"/>
        <v>15.369299999999999</v>
      </c>
      <c r="E25" s="2">
        <f t="shared" si="2"/>
        <v>22.200099999999999</v>
      </c>
      <c r="F25" s="2">
        <f t="shared" si="2"/>
        <v>39.277099999999997</v>
      </c>
      <c r="G25" s="2">
        <f t="shared" si="2"/>
        <v>80.261899999999997</v>
      </c>
      <c r="H25" s="2">
        <f t="shared" si="2"/>
        <v>158.81609999999998</v>
      </c>
      <c r="I25" s="2">
        <f t="shared" si="2"/>
        <v>339.83230000000003</v>
      </c>
      <c r="J25" s="2">
        <f t="shared" si="2"/>
        <v>525.97159999999997</v>
      </c>
      <c r="K25" s="2">
        <f t="shared" si="2"/>
        <v>847.01919999999996</v>
      </c>
      <c r="L25" s="2">
        <f t="shared" si="2"/>
        <v>1045.1124</v>
      </c>
      <c r="M25" s="2">
        <f t="shared" si="2"/>
        <v>1492.5298</v>
      </c>
      <c r="N25" s="2">
        <f t="shared" si="2"/>
        <v>1922.8702000000001</v>
      </c>
      <c r="O25" s="2">
        <f t="shared" si="2"/>
        <v>2079.9785999999999</v>
      </c>
      <c r="P25" s="2">
        <f t="shared" si="2"/>
        <v>2208.0560999999998</v>
      </c>
      <c r="Q25" s="2">
        <f t="shared" si="2"/>
        <v>1922.8702000000001</v>
      </c>
      <c r="R25" s="2">
        <f t="shared" si="2"/>
        <v>1581.3302000000001</v>
      </c>
      <c r="S25" s="2">
        <f t="shared" si="2"/>
        <v>1190.2669000000001</v>
      </c>
      <c r="T25" s="2">
        <f t="shared" si="2"/>
        <v>1603.5302999999999</v>
      </c>
    </row>
    <row r="26" spans="1:20" x14ac:dyDescent="0.25">
      <c r="A26" s="4">
        <v>44272</v>
      </c>
      <c r="B26" s="3" t="s">
        <v>235</v>
      </c>
      <c r="C26" s="8">
        <v>16057</v>
      </c>
      <c r="D26" s="2">
        <f t="shared" si="1"/>
        <v>14.4513</v>
      </c>
      <c r="E26" s="2">
        <f t="shared" si="2"/>
        <v>20.874099999999999</v>
      </c>
      <c r="F26" s="2">
        <f t="shared" si="2"/>
        <v>36.931100000000001</v>
      </c>
      <c r="G26" s="2">
        <f t="shared" si="2"/>
        <v>75.4679</v>
      </c>
      <c r="H26" s="2">
        <f t="shared" si="2"/>
        <v>149.33009999999999</v>
      </c>
      <c r="I26" s="2">
        <f t="shared" si="2"/>
        <v>319.53430000000003</v>
      </c>
      <c r="J26" s="2">
        <f t="shared" si="2"/>
        <v>494.55560000000003</v>
      </c>
      <c r="K26" s="2">
        <f t="shared" si="2"/>
        <v>796.42719999999997</v>
      </c>
      <c r="L26" s="2">
        <f t="shared" si="2"/>
        <v>982.6884</v>
      </c>
      <c r="M26" s="2">
        <f t="shared" si="2"/>
        <v>1403.3818000000001</v>
      </c>
      <c r="N26" s="2">
        <f t="shared" si="2"/>
        <v>1808.0182</v>
      </c>
      <c r="O26" s="2">
        <f t="shared" si="2"/>
        <v>1955.7426</v>
      </c>
      <c r="P26" s="2">
        <f t="shared" si="2"/>
        <v>2076.1700999999998</v>
      </c>
      <c r="Q26" s="2">
        <f t="shared" si="2"/>
        <v>1808.0182</v>
      </c>
      <c r="R26" s="2">
        <f t="shared" si="2"/>
        <v>1486.8782000000001</v>
      </c>
      <c r="S26" s="2">
        <f t="shared" si="2"/>
        <v>1119.1729</v>
      </c>
      <c r="T26" s="2">
        <f t="shared" si="2"/>
        <v>1507.7522999999999</v>
      </c>
    </row>
    <row r="27" spans="1:20" x14ac:dyDescent="0.25">
      <c r="A27" s="4">
        <v>44279</v>
      </c>
      <c r="B27" s="3" t="s">
        <v>235</v>
      </c>
      <c r="C27" s="8">
        <v>15063</v>
      </c>
      <c r="D27" s="2">
        <f t="shared" si="1"/>
        <v>13.556699999999999</v>
      </c>
      <c r="E27" s="2">
        <f t="shared" si="2"/>
        <v>19.581899999999997</v>
      </c>
      <c r="F27" s="2">
        <f t="shared" si="2"/>
        <v>34.6449</v>
      </c>
      <c r="G27" s="2">
        <f t="shared" si="2"/>
        <v>70.79610000000001</v>
      </c>
      <c r="H27" s="2">
        <f t="shared" si="2"/>
        <v>140.08589999999998</v>
      </c>
      <c r="I27" s="2">
        <f t="shared" si="2"/>
        <v>299.75370000000004</v>
      </c>
      <c r="J27" s="2">
        <f t="shared" si="2"/>
        <v>463.94040000000001</v>
      </c>
      <c r="K27" s="2">
        <f t="shared" si="2"/>
        <v>747.12479999999994</v>
      </c>
      <c r="L27" s="2">
        <f t="shared" si="2"/>
        <v>921.85559999999998</v>
      </c>
      <c r="M27" s="2">
        <f t="shared" si="2"/>
        <v>1316.5062</v>
      </c>
      <c r="N27" s="2">
        <f t="shared" si="2"/>
        <v>1696.0938000000001</v>
      </c>
      <c r="O27" s="2">
        <f t="shared" si="2"/>
        <v>1834.6734000000001</v>
      </c>
      <c r="P27" s="2">
        <f t="shared" si="2"/>
        <v>1947.6459</v>
      </c>
      <c r="Q27" s="2">
        <f t="shared" si="2"/>
        <v>1696.0938000000001</v>
      </c>
      <c r="R27" s="2">
        <f t="shared" si="2"/>
        <v>1394.8338000000001</v>
      </c>
      <c r="S27" s="2">
        <f t="shared" si="2"/>
        <v>1049.8911000000001</v>
      </c>
      <c r="T27" s="2">
        <f t="shared" si="2"/>
        <v>1414.4157</v>
      </c>
    </row>
    <row r="28" spans="1:20" x14ac:dyDescent="0.25">
      <c r="A28" s="4">
        <v>44286</v>
      </c>
      <c r="B28" s="3" t="s">
        <v>235</v>
      </c>
      <c r="C28" s="8">
        <v>14092</v>
      </c>
      <c r="D28" s="2">
        <f t="shared" si="1"/>
        <v>12.6828</v>
      </c>
      <c r="E28" s="2">
        <f t="shared" si="2"/>
        <v>18.319599999999998</v>
      </c>
      <c r="F28" s="2">
        <f t="shared" si="2"/>
        <v>32.4116</v>
      </c>
      <c r="G28" s="2">
        <f t="shared" si="2"/>
        <v>66.232399999999998</v>
      </c>
      <c r="H28" s="2">
        <f t="shared" si="2"/>
        <v>131.0556</v>
      </c>
      <c r="I28" s="2">
        <f t="shared" si="2"/>
        <v>280.43080000000003</v>
      </c>
      <c r="J28" s="2">
        <f t="shared" si="2"/>
        <v>434.03360000000004</v>
      </c>
      <c r="K28" s="2">
        <f t="shared" si="2"/>
        <v>698.96320000000003</v>
      </c>
      <c r="L28" s="2">
        <f t="shared" si="2"/>
        <v>862.43039999999996</v>
      </c>
      <c r="M28" s="2">
        <f t="shared" si="2"/>
        <v>1231.6408000000001</v>
      </c>
      <c r="N28" s="2">
        <f t="shared" si="2"/>
        <v>1586.7592000000002</v>
      </c>
      <c r="O28" s="2">
        <f t="shared" si="2"/>
        <v>1716.4056</v>
      </c>
      <c r="P28" s="2">
        <f t="shared" si="2"/>
        <v>1822.0955999999999</v>
      </c>
      <c r="Q28" s="2">
        <f t="shared" si="2"/>
        <v>1586.7592000000002</v>
      </c>
      <c r="R28" s="2">
        <f t="shared" si="2"/>
        <v>1304.9192</v>
      </c>
      <c r="S28" s="2">
        <f t="shared" si="2"/>
        <v>982.2124</v>
      </c>
      <c r="T28" s="2">
        <f t="shared" si="2"/>
        <v>1323.2387999999999</v>
      </c>
    </row>
    <row r="29" spans="1:20" x14ac:dyDescent="0.25">
      <c r="A29" s="4">
        <v>44293</v>
      </c>
      <c r="B29" s="3" t="s">
        <v>235</v>
      </c>
      <c r="C29" s="8">
        <v>13152</v>
      </c>
      <c r="D29" s="2">
        <f t="shared" si="1"/>
        <v>11.8368</v>
      </c>
      <c r="E29" s="2">
        <f t="shared" si="2"/>
        <v>17.0976</v>
      </c>
      <c r="F29" s="2">
        <f t="shared" si="2"/>
        <v>30.249600000000001</v>
      </c>
      <c r="G29" s="2">
        <f t="shared" si="2"/>
        <v>61.814399999999999</v>
      </c>
      <c r="H29" s="2">
        <f t="shared" si="2"/>
        <v>122.31359999999999</v>
      </c>
      <c r="I29" s="2">
        <f t="shared" si="2"/>
        <v>261.72480000000002</v>
      </c>
      <c r="J29" s="2">
        <f t="shared" si="2"/>
        <v>405.08160000000004</v>
      </c>
      <c r="K29" s="2">
        <f t="shared" si="2"/>
        <v>652.33920000000001</v>
      </c>
      <c r="L29" s="2">
        <f t="shared" si="2"/>
        <v>804.90239999999994</v>
      </c>
      <c r="M29" s="2">
        <f t="shared" si="2"/>
        <v>1149.4848000000002</v>
      </c>
      <c r="N29" s="2">
        <f t="shared" si="2"/>
        <v>1480.9152000000001</v>
      </c>
      <c r="O29" s="2">
        <f t="shared" si="2"/>
        <v>1601.9136000000001</v>
      </c>
      <c r="P29" s="2">
        <f t="shared" si="2"/>
        <v>1700.5536</v>
      </c>
      <c r="Q29" s="2">
        <f t="shared" si="2"/>
        <v>1480.9152000000001</v>
      </c>
      <c r="R29" s="2">
        <f t="shared" si="2"/>
        <v>1217.8751999999999</v>
      </c>
      <c r="S29" s="2">
        <f t="shared" si="2"/>
        <v>916.69439999999997</v>
      </c>
      <c r="T29" s="2">
        <f t="shared" si="2"/>
        <v>1234.9728</v>
      </c>
    </row>
    <row r="30" spans="1:20" x14ac:dyDescent="0.25">
      <c r="A30" s="4">
        <v>44300</v>
      </c>
      <c r="B30" s="3" t="s">
        <v>235</v>
      </c>
      <c r="C30" s="8">
        <v>12249</v>
      </c>
      <c r="D30" s="2">
        <f t="shared" si="1"/>
        <v>11.024099999999999</v>
      </c>
      <c r="E30" s="2">
        <f t="shared" si="2"/>
        <v>15.923699999999998</v>
      </c>
      <c r="F30" s="2">
        <f t="shared" si="2"/>
        <v>28.172699999999999</v>
      </c>
      <c r="G30" s="2">
        <f t="shared" si="2"/>
        <v>57.570300000000003</v>
      </c>
      <c r="H30" s="2">
        <f t="shared" si="2"/>
        <v>113.91569999999999</v>
      </c>
      <c r="I30" s="2">
        <f t="shared" si="2"/>
        <v>243.7551</v>
      </c>
      <c r="J30" s="2">
        <f t="shared" si="2"/>
        <v>377.26920000000001</v>
      </c>
      <c r="K30" s="2">
        <f t="shared" si="2"/>
        <v>607.55039999999997</v>
      </c>
      <c r="L30" s="2">
        <f t="shared" si="2"/>
        <v>749.63879999999995</v>
      </c>
      <c r="M30" s="2">
        <f t="shared" si="2"/>
        <v>1070.5626</v>
      </c>
      <c r="N30" s="2">
        <f t="shared" si="2"/>
        <v>1379.2374</v>
      </c>
      <c r="O30" s="2">
        <f t="shared" si="2"/>
        <v>1491.9282000000001</v>
      </c>
      <c r="P30" s="2">
        <f t="shared" si="2"/>
        <v>1583.7956999999999</v>
      </c>
      <c r="Q30" s="2">
        <f t="shared" si="2"/>
        <v>1379.2374</v>
      </c>
      <c r="R30" s="2">
        <f t="shared" si="2"/>
        <v>1134.2574</v>
      </c>
      <c r="S30" s="2">
        <f t="shared" si="2"/>
        <v>853.75529999999992</v>
      </c>
      <c r="T30" s="2">
        <f t="shared" si="2"/>
        <v>1150.1811</v>
      </c>
    </row>
    <row r="31" spans="1:20" x14ac:dyDescent="0.25">
      <c r="A31" s="4">
        <v>44307</v>
      </c>
      <c r="B31" s="3" t="s">
        <v>235</v>
      </c>
      <c r="C31" s="8">
        <v>11389</v>
      </c>
      <c r="D31" s="2">
        <f t="shared" si="1"/>
        <v>10.2501</v>
      </c>
      <c r="E31" s="2">
        <f t="shared" si="2"/>
        <v>14.8057</v>
      </c>
      <c r="F31" s="2">
        <f t="shared" si="2"/>
        <v>26.194700000000001</v>
      </c>
      <c r="G31" s="2">
        <f t="shared" si="2"/>
        <v>53.528300000000002</v>
      </c>
      <c r="H31" s="2">
        <f t="shared" si="2"/>
        <v>105.9177</v>
      </c>
      <c r="I31" s="2">
        <f t="shared" si="2"/>
        <v>226.64110000000002</v>
      </c>
      <c r="J31" s="2">
        <f t="shared" si="2"/>
        <v>350.78120000000001</v>
      </c>
      <c r="K31" s="2">
        <f t="shared" si="2"/>
        <v>564.89440000000002</v>
      </c>
      <c r="L31" s="2">
        <f t="shared" si="2"/>
        <v>697.0068</v>
      </c>
      <c r="M31" s="2">
        <f t="shared" si="2"/>
        <v>995.3986000000001</v>
      </c>
      <c r="N31" s="2">
        <f t="shared" si="2"/>
        <v>1282.4014</v>
      </c>
      <c r="O31" s="2">
        <f t="shared" si="2"/>
        <v>1387.1802</v>
      </c>
      <c r="P31" s="2">
        <f t="shared" si="2"/>
        <v>1472.5977</v>
      </c>
      <c r="Q31" s="2">
        <f t="shared" si="2"/>
        <v>1282.4014</v>
      </c>
      <c r="R31" s="2">
        <f t="shared" si="2"/>
        <v>1054.6214</v>
      </c>
      <c r="S31" s="2">
        <f t="shared" si="2"/>
        <v>793.81330000000003</v>
      </c>
      <c r="T31" s="2">
        <f t="shared" si="2"/>
        <v>1069.4270999999999</v>
      </c>
    </row>
    <row r="32" spans="1:20" x14ac:dyDescent="0.25">
      <c r="A32" s="4">
        <v>44314</v>
      </c>
      <c r="B32" s="3" t="s">
        <v>235</v>
      </c>
      <c r="C32" s="8">
        <v>10570</v>
      </c>
      <c r="D32" s="2">
        <f t="shared" si="1"/>
        <v>9.5129999999999999</v>
      </c>
      <c r="E32" s="2">
        <f t="shared" si="2"/>
        <v>13.741</v>
      </c>
      <c r="F32" s="2">
        <f t="shared" si="2"/>
        <v>24.311</v>
      </c>
      <c r="G32" s="2">
        <f t="shared" si="2"/>
        <v>49.679000000000002</v>
      </c>
      <c r="H32" s="2">
        <f t="shared" si="2"/>
        <v>98.300999999999988</v>
      </c>
      <c r="I32" s="2">
        <f t="shared" si="2"/>
        <v>210.34300000000002</v>
      </c>
      <c r="J32" s="2">
        <f t="shared" si="2"/>
        <v>325.55599999999998</v>
      </c>
      <c r="K32" s="2">
        <f t="shared" si="2"/>
        <v>524.27199999999993</v>
      </c>
      <c r="L32" s="2">
        <f t="shared" si="2"/>
        <v>646.88400000000001</v>
      </c>
      <c r="M32" s="2">
        <f t="shared" si="2"/>
        <v>923.8180000000001</v>
      </c>
      <c r="N32" s="2">
        <f t="shared" si="2"/>
        <v>1190.182</v>
      </c>
      <c r="O32" s="2">
        <f t="shared" si="2"/>
        <v>1287.4260000000002</v>
      </c>
      <c r="P32" s="2">
        <f t="shared" si="2"/>
        <v>1366.701</v>
      </c>
      <c r="Q32" s="2">
        <f t="shared" si="2"/>
        <v>1190.182</v>
      </c>
      <c r="R32" s="2">
        <f t="shared" si="2"/>
        <v>978.78200000000004</v>
      </c>
      <c r="S32" s="2">
        <f t="shared" si="2"/>
        <v>736.72899999999993</v>
      </c>
      <c r="T32" s="2">
        <f t="shared" si="2"/>
        <v>992.52300000000002</v>
      </c>
    </row>
    <row r="34" spans="3:20" x14ac:dyDescent="0.25">
      <c r="C34" s="5" t="s">
        <v>232</v>
      </c>
      <c r="D34" s="5" t="s">
        <v>179</v>
      </c>
      <c r="E34" s="5" t="s">
        <v>182</v>
      </c>
      <c r="F34" s="5" t="s">
        <v>184</v>
      </c>
      <c r="G34" s="5" t="s">
        <v>186</v>
      </c>
      <c r="H34" s="5" t="s">
        <v>188</v>
      </c>
      <c r="I34" s="5" t="s">
        <v>190</v>
      </c>
      <c r="J34" s="5" t="s">
        <v>191</v>
      </c>
      <c r="K34" s="5" t="s">
        <v>192</v>
      </c>
      <c r="L34" s="5" t="s">
        <v>193</v>
      </c>
      <c r="M34" s="5" t="s">
        <v>194</v>
      </c>
      <c r="N34" s="5" t="s">
        <v>195</v>
      </c>
      <c r="O34" s="5" t="s">
        <v>197</v>
      </c>
      <c r="P34" s="5" t="s">
        <v>199</v>
      </c>
      <c r="Q34" s="5" t="s">
        <v>201</v>
      </c>
      <c r="R34" s="5" t="s">
        <v>203</v>
      </c>
      <c r="S34" s="5" t="s">
        <v>205</v>
      </c>
      <c r="T34" s="5" t="s">
        <v>189</v>
      </c>
    </row>
    <row r="35" spans="3:20" x14ac:dyDescent="0.25">
      <c r="C35" s="5" t="s">
        <v>235</v>
      </c>
      <c r="D35" s="9">
        <v>8.9999999999999998E-4</v>
      </c>
      <c r="E35" s="9">
        <v>1.2999999999999999E-3</v>
      </c>
      <c r="F35" s="9">
        <v>2.3E-3</v>
      </c>
      <c r="G35" s="9">
        <v>4.7000000000000002E-3</v>
      </c>
      <c r="H35" s="9">
        <v>9.2999999999999992E-3</v>
      </c>
      <c r="I35" s="9">
        <v>1.9900000000000001E-2</v>
      </c>
      <c r="J35" s="9">
        <v>3.0800000000000001E-2</v>
      </c>
      <c r="K35" s="9">
        <v>4.9599999999999998E-2</v>
      </c>
      <c r="L35" s="9">
        <v>6.1199999999999997E-2</v>
      </c>
      <c r="M35" s="9">
        <v>8.7400000000000005E-2</v>
      </c>
      <c r="N35" s="9">
        <v>0.11260000000000001</v>
      </c>
      <c r="O35" s="9">
        <v>0.12180000000000001</v>
      </c>
      <c r="P35" s="9">
        <v>0.1293</v>
      </c>
      <c r="Q35" s="9">
        <v>0.11260000000000001</v>
      </c>
      <c r="R35" s="9">
        <v>9.2600000000000002E-2</v>
      </c>
      <c r="S35" s="9">
        <v>6.9699999999999998E-2</v>
      </c>
      <c r="T35" s="9">
        <v>9.3899999999999997E-2</v>
      </c>
    </row>
  </sheetData>
  <pageMargins left="0.7" right="0.7" top="0.75" bottom="0.75" header="0.3" footer="0.3"/>
  <pageSetup paperSize="9" orientation="portrait" r:id="rId1"/>
  <headerFooter>
    <oddHeader>&amp;L&amp;"Calibri"&amp;12&amp;K008000Classification: Public&amp;1#</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02A45-A4DC-4D4B-9D3B-02CB54B5311C}">
  <sheetPr codeName="Sheet5">
    <tabColor theme="5" tint="0.79998168889431442"/>
  </sheetPr>
  <dimension ref="A1:T35"/>
  <sheetViews>
    <sheetView workbookViewId="0">
      <selection activeCell="K39" sqref="K39"/>
    </sheetView>
  </sheetViews>
  <sheetFormatPr defaultRowHeight="15" x14ac:dyDescent="0.25"/>
  <cols>
    <col min="1" max="1" width="17.28515625" bestFit="1" customWidth="1"/>
  </cols>
  <sheetData>
    <row r="1" spans="1:20" x14ac:dyDescent="0.25">
      <c r="A1" s="5" t="s">
        <v>231</v>
      </c>
      <c r="B1" s="5" t="s">
        <v>232</v>
      </c>
      <c r="C1" s="6" t="s">
        <v>82</v>
      </c>
      <c r="D1" s="463" t="s">
        <v>179</v>
      </c>
      <c r="E1" t="s">
        <v>182</v>
      </c>
      <c r="F1" t="s">
        <v>184</v>
      </c>
      <c r="G1" t="s">
        <v>186</v>
      </c>
      <c r="H1" t="s">
        <v>188</v>
      </c>
      <c r="I1" t="s">
        <v>190</v>
      </c>
      <c r="J1" t="s">
        <v>191</v>
      </c>
      <c r="K1" t="s">
        <v>192</v>
      </c>
      <c r="L1" t="s">
        <v>193</v>
      </c>
      <c r="M1" t="s">
        <v>194</v>
      </c>
      <c r="N1" t="s">
        <v>195</v>
      </c>
      <c r="O1" t="s">
        <v>197</v>
      </c>
      <c r="P1" t="s">
        <v>199</v>
      </c>
      <c r="Q1" t="s">
        <v>201</v>
      </c>
      <c r="R1" t="s">
        <v>203</v>
      </c>
      <c r="S1" t="s">
        <v>205</v>
      </c>
      <c r="T1" t="s">
        <v>189</v>
      </c>
    </row>
    <row r="2" spans="1:20" x14ac:dyDescent="0.25">
      <c r="A2" s="7">
        <v>44104</v>
      </c>
      <c r="B2" s="5" t="s">
        <v>235</v>
      </c>
      <c r="C2" s="6">
        <v>1066</v>
      </c>
      <c r="D2" s="2">
        <f>$C2*D$35</f>
        <v>0.31979999999999997</v>
      </c>
      <c r="E2" s="2">
        <f t="shared" ref="E2:T17" si="0">$C2*E$35</f>
        <v>0.4264</v>
      </c>
      <c r="F2" s="2">
        <f t="shared" si="0"/>
        <v>0.74619999999999997</v>
      </c>
      <c r="G2" s="2">
        <f t="shared" si="0"/>
        <v>1.599</v>
      </c>
      <c r="H2" s="2">
        <f t="shared" si="0"/>
        <v>3.4112</v>
      </c>
      <c r="I2" s="2">
        <f t="shared" si="0"/>
        <v>9.5939999999999994</v>
      </c>
      <c r="J2" s="2">
        <f t="shared" si="0"/>
        <v>18.868200000000002</v>
      </c>
      <c r="K2" s="2">
        <f t="shared" si="0"/>
        <v>42.4268</v>
      </c>
      <c r="L2" s="2">
        <f t="shared" si="0"/>
        <v>70.462600000000009</v>
      </c>
      <c r="M2" s="2">
        <f t="shared" si="0"/>
        <v>121.8438</v>
      </c>
      <c r="N2" s="2">
        <f t="shared" si="0"/>
        <v>174.61080000000001</v>
      </c>
      <c r="O2" s="2">
        <f t="shared" si="0"/>
        <v>194.012</v>
      </c>
      <c r="P2" s="2">
        <f t="shared" si="0"/>
        <v>192.51960000000003</v>
      </c>
      <c r="Q2" s="2">
        <f t="shared" si="0"/>
        <v>134.1028</v>
      </c>
      <c r="R2" s="2">
        <f t="shared" si="0"/>
        <v>68.117400000000004</v>
      </c>
      <c r="S2" s="2">
        <f t="shared" si="0"/>
        <v>24.837800000000001</v>
      </c>
      <c r="T2" s="2">
        <f t="shared" si="0"/>
        <v>8.1015999999999995</v>
      </c>
    </row>
    <row r="3" spans="1:20" x14ac:dyDescent="0.25">
      <c r="A3" s="7">
        <v>44111</v>
      </c>
      <c r="B3" s="5" t="s">
        <v>235</v>
      </c>
      <c r="C3" s="6">
        <v>1397</v>
      </c>
      <c r="D3" s="2">
        <f t="shared" ref="D3:D32" si="1">$C3*D$35</f>
        <v>0.41909999999999997</v>
      </c>
      <c r="E3" s="2">
        <f t="shared" si="0"/>
        <v>0.55880000000000007</v>
      </c>
      <c r="F3" s="2">
        <f t="shared" si="0"/>
        <v>0.97789999999999999</v>
      </c>
      <c r="G3" s="2">
        <f t="shared" si="0"/>
        <v>2.0954999999999999</v>
      </c>
      <c r="H3" s="2">
        <f t="shared" si="0"/>
        <v>4.4704000000000006</v>
      </c>
      <c r="I3" s="2">
        <f t="shared" si="0"/>
        <v>12.572999999999999</v>
      </c>
      <c r="J3" s="2">
        <f t="shared" si="0"/>
        <v>24.726900000000001</v>
      </c>
      <c r="K3" s="2">
        <f t="shared" si="0"/>
        <v>55.6006</v>
      </c>
      <c r="L3" s="2">
        <f t="shared" si="0"/>
        <v>92.341700000000003</v>
      </c>
      <c r="M3" s="2">
        <f t="shared" si="0"/>
        <v>159.6771</v>
      </c>
      <c r="N3" s="2">
        <f t="shared" si="0"/>
        <v>228.82859999999999</v>
      </c>
      <c r="O3" s="2">
        <f t="shared" si="0"/>
        <v>254.25399999999999</v>
      </c>
      <c r="P3" s="2">
        <f t="shared" si="0"/>
        <v>252.29820000000001</v>
      </c>
      <c r="Q3" s="2">
        <f t="shared" si="0"/>
        <v>175.74259999999998</v>
      </c>
      <c r="R3" s="2">
        <f t="shared" si="0"/>
        <v>89.268299999999996</v>
      </c>
      <c r="S3" s="2">
        <f t="shared" si="0"/>
        <v>32.5501</v>
      </c>
      <c r="T3" s="2">
        <f t="shared" si="0"/>
        <v>10.6172</v>
      </c>
    </row>
    <row r="4" spans="1:20" x14ac:dyDescent="0.25">
      <c r="A4" s="7">
        <v>44118</v>
      </c>
      <c r="B4" s="5" t="s">
        <v>235</v>
      </c>
      <c r="C4" s="6">
        <v>1803</v>
      </c>
      <c r="D4" s="2">
        <f t="shared" si="1"/>
        <v>0.54089999999999994</v>
      </c>
      <c r="E4" s="2">
        <f t="shared" si="0"/>
        <v>0.72120000000000006</v>
      </c>
      <c r="F4" s="2">
        <f t="shared" si="0"/>
        <v>1.2621</v>
      </c>
      <c r="G4" s="2">
        <f t="shared" si="0"/>
        <v>2.7044999999999999</v>
      </c>
      <c r="H4" s="2">
        <f t="shared" si="0"/>
        <v>5.7696000000000005</v>
      </c>
      <c r="I4" s="2">
        <f t="shared" si="0"/>
        <v>16.227</v>
      </c>
      <c r="J4" s="2">
        <f t="shared" si="0"/>
        <v>31.9131</v>
      </c>
      <c r="K4" s="2">
        <f t="shared" si="0"/>
        <v>71.759399999999999</v>
      </c>
      <c r="L4" s="2">
        <f t="shared" si="0"/>
        <v>119.17830000000001</v>
      </c>
      <c r="M4" s="2">
        <f t="shared" si="0"/>
        <v>206.0829</v>
      </c>
      <c r="N4" s="2">
        <f t="shared" si="0"/>
        <v>295.33139999999997</v>
      </c>
      <c r="O4" s="2">
        <f t="shared" si="0"/>
        <v>328.14600000000002</v>
      </c>
      <c r="P4" s="2">
        <f t="shared" si="0"/>
        <v>325.62180000000001</v>
      </c>
      <c r="Q4" s="2">
        <f t="shared" si="0"/>
        <v>226.81739999999999</v>
      </c>
      <c r="R4" s="2">
        <f t="shared" si="0"/>
        <v>115.21169999999999</v>
      </c>
      <c r="S4" s="2">
        <f t="shared" si="0"/>
        <v>42.009900000000002</v>
      </c>
      <c r="T4" s="2">
        <f t="shared" si="0"/>
        <v>13.7028</v>
      </c>
    </row>
    <row r="5" spans="1:20" x14ac:dyDescent="0.25">
      <c r="A5" s="7">
        <v>44125</v>
      </c>
      <c r="B5" s="5" t="s">
        <v>235</v>
      </c>
      <c r="C5" s="6">
        <v>2268</v>
      </c>
      <c r="D5" s="2">
        <f t="shared" si="1"/>
        <v>0.68039999999999989</v>
      </c>
      <c r="E5" s="2">
        <f t="shared" si="0"/>
        <v>0.90720000000000001</v>
      </c>
      <c r="F5" s="2">
        <f t="shared" si="0"/>
        <v>1.5875999999999999</v>
      </c>
      <c r="G5" s="2">
        <f t="shared" si="0"/>
        <v>3.4020000000000001</v>
      </c>
      <c r="H5" s="2">
        <f t="shared" si="0"/>
        <v>7.2576000000000001</v>
      </c>
      <c r="I5" s="2">
        <f t="shared" si="0"/>
        <v>20.411999999999999</v>
      </c>
      <c r="J5" s="2">
        <f t="shared" si="0"/>
        <v>40.143599999999999</v>
      </c>
      <c r="K5" s="2">
        <f t="shared" si="0"/>
        <v>90.266400000000004</v>
      </c>
      <c r="L5" s="2">
        <f t="shared" si="0"/>
        <v>149.91480000000001</v>
      </c>
      <c r="M5" s="2">
        <f t="shared" si="0"/>
        <v>259.23239999999998</v>
      </c>
      <c r="N5" s="2">
        <f t="shared" si="0"/>
        <v>371.4984</v>
      </c>
      <c r="O5" s="2">
        <f t="shared" si="0"/>
        <v>412.77600000000001</v>
      </c>
      <c r="P5" s="2">
        <f t="shared" si="0"/>
        <v>409.60080000000005</v>
      </c>
      <c r="Q5" s="2">
        <f t="shared" si="0"/>
        <v>285.31439999999998</v>
      </c>
      <c r="R5" s="2">
        <f t="shared" si="0"/>
        <v>144.92519999999999</v>
      </c>
      <c r="S5" s="2">
        <f t="shared" si="0"/>
        <v>52.8444</v>
      </c>
      <c r="T5" s="2">
        <f t="shared" si="0"/>
        <v>17.236799999999999</v>
      </c>
    </row>
    <row r="6" spans="1:20" x14ac:dyDescent="0.25">
      <c r="A6" s="7">
        <v>44132</v>
      </c>
      <c r="B6" s="5" t="s">
        <v>235</v>
      </c>
      <c r="C6" s="6">
        <v>2770</v>
      </c>
      <c r="D6" s="2">
        <f t="shared" si="1"/>
        <v>0.83099999999999996</v>
      </c>
      <c r="E6" s="2">
        <f t="shared" si="0"/>
        <v>1.1080000000000001</v>
      </c>
      <c r="F6" s="2">
        <f t="shared" si="0"/>
        <v>1.9390000000000001</v>
      </c>
      <c r="G6" s="2">
        <f t="shared" si="0"/>
        <v>4.1550000000000002</v>
      </c>
      <c r="H6" s="2">
        <f t="shared" si="0"/>
        <v>8.8640000000000008</v>
      </c>
      <c r="I6" s="2">
        <f t="shared" si="0"/>
        <v>24.93</v>
      </c>
      <c r="J6" s="2">
        <f t="shared" si="0"/>
        <v>49.029000000000003</v>
      </c>
      <c r="K6" s="2">
        <f t="shared" si="0"/>
        <v>110.24600000000001</v>
      </c>
      <c r="L6" s="2">
        <f t="shared" si="0"/>
        <v>183.09700000000001</v>
      </c>
      <c r="M6" s="2">
        <f t="shared" si="0"/>
        <v>316.61099999999999</v>
      </c>
      <c r="N6" s="2">
        <f t="shared" si="0"/>
        <v>453.726</v>
      </c>
      <c r="O6" s="2">
        <f t="shared" si="0"/>
        <v>504.14</v>
      </c>
      <c r="P6" s="2">
        <f t="shared" si="0"/>
        <v>500.26200000000006</v>
      </c>
      <c r="Q6" s="2">
        <f t="shared" si="0"/>
        <v>348.46600000000001</v>
      </c>
      <c r="R6" s="2">
        <f t="shared" si="0"/>
        <v>177.00299999999999</v>
      </c>
      <c r="S6" s="2">
        <f t="shared" si="0"/>
        <v>64.540999999999997</v>
      </c>
      <c r="T6" s="2">
        <f t="shared" si="0"/>
        <v>21.052</v>
      </c>
    </row>
    <row r="7" spans="1:20" x14ac:dyDescent="0.25">
      <c r="A7" s="7">
        <v>44139</v>
      </c>
      <c r="B7" s="5" t="s">
        <v>235</v>
      </c>
      <c r="C7" s="6">
        <v>3276</v>
      </c>
      <c r="D7" s="2">
        <f t="shared" si="1"/>
        <v>0.9827999999999999</v>
      </c>
      <c r="E7" s="2">
        <f t="shared" si="0"/>
        <v>1.3104</v>
      </c>
      <c r="F7" s="2">
        <f t="shared" si="0"/>
        <v>2.2932000000000001</v>
      </c>
      <c r="G7" s="2">
        <f t="shared" si="0"/>
        <v>4.9139999999999997</v>
      </c>
      <c r="H7" s="2">
        <f t="shared" si="0"/>
        <v>10.4832</v>
      </c>
      <c r="I7" s="2">
        <f t="shared" si="0"/>
        <v>29.483999999999998</v>
      </c>
      <c r="J7" s="2">
        <f t="shared" si="0"/>
        <v>57.985199999999999</v>
      </c>
      <c r="K7" s="2">
        <f t="shared" si="0"/>
        <v>130.38480000000001</v>
      </c>
      <c r="L7" s="2">
        <f t="shared" si="0"/>
        <v>216.54360000000003</v>
      </c>
      <c r="M7" s="2">
        <f t="shared" si="0"/>
        <v>374.4468</v>
      </c>
      <c r="N7" s="2">
        <f t="shared" si="0"/>
        <v>536.60879999999997</v>
      </c>
      <c r="O7" s="2">
        <f t="shared" si="0"/>
        <v>596.23199999999997</v>
      </c>
      <c r="P7" s="2">
        <f t="shared" si="0"/>
        <v>591.64560000000006</v>
      </c>
      <c r="Q7" s="2">
        <f t="shared" si="0"/>
        <v>412.12079999999997</v>
      </c>
      <c r="R7" s="2">
        <f t="shared" si="0"/>
        <v>209.3364</v>
      </c>
      <c r="S7" s="2">
        <f t="shared" si="0"/>
        <v>76.330800000000011</v>
      </c>
      <c r="T7" s="2">
        <f t="shared" si="0"/>
        <v>24.897600000000001</v>
      </c>
    </row>
    <row r="8" spans="1:20" x14ac:dyDescent="0.25">
      <c r="A8" s="7">
        <v>44146</v>
      </c>
      <c r="B8" s="5" t="s">
        <v>235</v>
      </c>
      <c r="C8" s="6">
        <v>3761</v>
      </c>
      <c r="D8" s="2">
        <f t="shared" si="1"/>
        <v>1.1282999999999999</v>
      </c>
      <c r="E8" s="2">
        <f t="shared" si="0"/>
        <v>1.5044000000000002</v>
      </c>
      <c r="F8" s="2">
        <f t="shared" si="0"/>
        <v>2.6326999999999998</v>
      </c>
      <c r="G8" s="2">
        <f t="shared" si="0"/>
        <v>5.6414999999999997</v>
      </c>
      <c r="H8" s="2">
        <f t="shared" si="0"/>
        <v>12.035200000000001</v>
      </c>
      <c r="I8" s="2">
        <f t="shared" si="0"/>
        <v>33.848999999999997</v>
      </c>
      <c r="J8" s="2">
        <f t="shared" si="0"/>
        <v>66.569699999999997</v>
      </c>
      <c r="K8" s="2">
        <f t="shared" si="0"/>
        <v>149.68780000000001</v>
      </c>
      <c r="L8" s="2">
        <f t="shared" si="0"/>
        <v>248.60210000000004</v>
      </c>
      <c r="M8" s="2">
        <f t="shared" si="0"/>
        <v>429.88229999999999</v>
      </c>
      <c r="N8" s="2">
        <f t="shared" si="0"/>
        <v>616.05179999999996</v>
      </c>
      <c r="O8" s="2">
        <f t="shared" si="0"/>
        <v>684.50199999999995</v>
      </c>
      <c r="P8" s="2">
        <f t="shared" si="0"/>
        <v>679.23660000000007</v>
      </c>
      <c r="Q8" s="2">
        <f t="shared" si="0"/>
        <v>473.13380000000001</v>
      </c>
      <c r="R8" s="2">
        <f t="shared" si="0"/>
        <v>240.3279</v>
      </c>
      <c r="S8" s="2">
        <f t="shared" si="0"/>
        <v>87.63130000000001</v>
      </c>
      <c r="T8" s="2">
        <f t="shared" si="0"/>
        <v>28.583600000000001</v>
      </c>
    </row>
    <row r="9" spans="1:20" x14ac:dyDescent="0.25">
      <c r="A9" s="7">
        <v>44153</v>
      </c>
      <c r="B9" s="5" t="s">
        <v>235</v>
      </c>
      <c r="C9" s="6">
        <v>4200</v>
      </c>
      <c r="D9" s="2">
        <f t="shared" si="1"/>
        <v>1.2599999999999998</v>
      </c>
      <c r="E9" s="2">
        <f t="shared" si="0"/>
        <v>1.6800000000000002</v>
      </c>
      <c r="F9" s="2">
        <f t="shared" si="0"/>
        <v>2.94</v>
      </c>
      <c r="G9" s="2">
        <f t="shared" si="0"/>
        <v>6.3</v>
      </c>
      <c r="H9" s="2">
        <f t="shared" si="0"/>
        <v>13.440000000000001</v>
      </c>
      <c r="I9" s="2">
        <f t="shared" si="0"/>
        <v>37.799999999999997</v>
      </c>
      <c r="J9" s="2">
        <f t="shared" si="0"/>
        <v>74.34</v>
      </c>
      <c r="K9" s="2">
        <f t="shared" si="0"/>
        <v>167.16</v>
      </c>
      <c r="L9" s="2">
        <f t="shared" si="0"/>
        <v>277.62</v>
      </c>
      <c r="M9" s="2">
        <f t="shared" si="0"/>
        <v>480.06</v>
      </c>
      <c r="N9" s="2">
        <f t="shared" si="0"/>
        <v>687.96</v>
      </c>
      <c r="O9" s="2">
        <f t="shared" si="0"/>
        <v>764.4</v>
      </c>
      <c r="P9" s="2">
        <f t="shared" si="0"/>
        <v>758.5200000000001</v>
      </c>
      <c r="Q9" s="2">
        <f t="shared" si="0"/>
        <v>528.36</v>
      </c>
      <c r="R9" s="2">
        <f t="shared" si="0"/>
        <v>268.38</v>
      </c>
      <c r="S9" s="2">
        <f t="shared" si="0"/>
        <v>97.86</v>
      </c>
      <c r="T9" s="2">
        <f t="shared" si="0"/>
        <v>31.92</v>
      </c>
    </row>
    <row r="10" spans="1:20" x14ac:dyDescent="0.25">
      <c r="A10" s="7">
        <v>44160</v>
      </c>
      <c r="B10" s="5" t="s">
        <v>235</v>
      </c>
      <c r="C10" s="6">
        <v>4581</v>
      </c>
      <c r="D10" s="2">
        <f t="shared" si="1"/>
        <v>1.3742999999999999</v>
      </c>
      <c r="E10" s="2">
        <f t="shared" si="0"/>
        <v>1.8324</v>
      </c>
      <c r="F10" s="2">
        <f t="shared" si="0"/>
        <v>3.2067000000000001</v>
      </c>
      <c r="G10" s="2">
        <f t="shared" si="0"/>
        <v>6.8715000000000002</v>
      </c>
      <c r="H10" s="2">
        <f t="shared" si="0"/>
        <v>14.6592</v>
      </c>
      <c r="I10" s="2">
        <f t="shared" si="0"/>
        <v>41.228999999999999</v>
      </c>
      <c r="J10" s="2">
        <f t="shared" si="0"/>
        <v>81.083700000000007</v>
      </c>
      <c r="K10" s="2">
        <f t="shared" si="0"/>
        <v>182.32380000000001</v>
      </c>
      <c r="L10" s="2">
        <f t="shared" si="0"/>
        <v>302.80410000000001</v>
      </c>
      <c r="M10" s="2">
        <f t="shared" si="0"/>
        <v>523.60829999999999</v>
      </c>
      <c r="N10" s="2">
        <f t="shared" si="0"/>
        <v>750.36779999999999</v>
      </c>
      <c r="O10" s="2">
        <f t="shared" si="0"/>
        <v>833.74199999999996</v>
      </c>
      <c r="P10" s="2">
        <f t="shared" si="0"/>
        <v>827.32860000000005</v>
      </c>
      <c r="Q10" s="2">
        <f t="shared" si="0"/>
        <v>576.28980000000001</v>
      </c>
      <c r="R10" s="2">
        <f t="shared" si="0"/>
        <v>292.72589999999997</v>
      </c>
      <c r="S10" s="2">
        <f t="shared" si="0"/>
        <v>106.7373</v>
      </c>
      <c r="T10" s="2">
        <f t="shared" si="0"/>
        <v>34.815600000000003</v>
      </c>
    </row>
    <row r="11" spans="1:20" x14ac:dyDescent="0.25">
      <c r="A11" s="7">
        <v>44167</v>
      </c>
      <c r="B11" s="5" t="s">
        <v>235</v>
      </c>
      <c r="C11" s="6">
        <v>4893</v>
      </c>
      <c r="D11" s="2">
        <f t="shared" si="1"/>
        <v>1.4678999999999998</v>
      </c>
      <c r="E11" s="2">
        <f t="shared" si="0"/>
        <v>1.9572000000000001</v>
      </c>
      <c r="F11" s="2">
        <f t="shared" si="0"/>
        <v>3.4251</v>
      </c>
      <c r="G11" s="2">
        <f t="shared" si="0"/>
        <v>7.3395000000000001</v>
      </c>
      <c r="H11" s="2">
        <f t="shared" si="0"/>
        <v>15.6576</v>
      </c>
      <c r="I11" s="2">
        <f t="shared" si="0"/>
        <v>44.036999999999999</v>
      </c>
      <c r="J11" s="2">
        <f t="shared" si="0"/>
        <v>86.606099999999998</v>
      </c>
      <c r="K11" s="2">
        <f t="shared" si="0"/>
        <v>194.7414</v>
      </c>
      <c r="L11" s="2">
        <f t="shared" si="0"/>
        <v>323.4273</v>
      </c>
      <c r="M11" s="2">
        <f t="shared" si="0"/>
        <v>559.26990000000001</v>
      </c>
      <c r="N11" s="2">
        <f t="shared" si="0"/>
        <v>801.47339999999997</v>
      </c>
      <c r="O11" s="2">
        <f t="shared" si="0"/>
        <v>890.52599999999995</v>
      </c>
      <c r="P11" s="2">
        <f t="shared" si="0"/>
        <v>883.67580000000009</v>
      </c>
      <c r="Q11" s="2">
        <f t="shared" si="0"/>
        <v>615.5394</v>
      </c>
      <c r="R11" s="2">
        <f t="shared" si="0"/>
        <v>312.66269999999997</v>
      </c>
      <c r="S11" s="2">
        <f t="shared" si="0"/>
        <v>114.0069</v>
      </c>
      <c r="T11" s="2">
        <f t="shared" si="0"/>
        <v>37.186799999999998</v>
      </c>
    </row>
    <row r="12" spans="1:20" x14ac:dyDescent="0.25">
      <c r="A12" s="7">
        <v>44174</v>
      </c>
      <c r="B12" s="5" t="s">
        <v>235</v>
      </c>
      <c r="C12" s="6">
        <v>5142</v>
      </c>
      <c r="D12" s="2">
        <f t="shared" si="1"/>
        <v>1.5426</v>
      </c>
      <c r="E12" s="2">
        <f t="shared" si="0"/>
        <v>2.0568</v>
      </c>
      <c r="F12" s="2">
        <f t="shared" si="0"/>
        <v>3.5994000000000002</v>
      </c>
      <c r="G12" s="2">
        <f t="shared" si="0"/>
        <v>7.7130000000000001</v>
      </c>
      <c r="H12" s="2">
        <f t="shared" si="0"/>
        <v>16.4544</v>
      </c>
      <c r="I12" s="2">
        <f t="shared" si="0"/>
        <v>46.277999999999999</v>
      </c>
      <c r="J12" s="2">
        <f t="shared" si="0"/>
        <v>91.013400000000004</v>
      </c>
      <c r="K12" s="2">
        <f t="shared" si="0"/>
        <v>204.6516</v>
      </c>
      <c r="L12" s="2">
        <f t="shared" si="0"/>
        <v>339.88620000000003</v>
      </c>
      <c r="M12" s="2">
        <f t="shared" si="0"/>
        <v>587.73059999999998</v>
      </c>
      <c r="N12" s="2">
        <f t="shared" si="0"/>
        <v>842.25959999999998</v>
      </c>
      <c r="O12" s="2">
        <f t="shared" si="0"/>
        <v>935.84399999999994</v>
      </c>
      <c r="P12" s="2">
        <f t="shared" si="0"/>
        <v>928.64520000000005</v>
      </c>
      <c r="Q12" s="2">
        <f t="shared" si="0"/>
        <v>646.86360000000002</v>
      </c>
      <c r="R12" s="2">
        <f t="shared" si="0"/>
        <v>328.57380000000001</v>
      </c>
      <c r="S12" s="2">
        <f t="shared" si="0"/>
        <v>119.80860000000001</v>
      </c>
      <c r="T12" s="2">
        <f t="shared" si="0"/>
        <v>39.0792</v>
      </c>
    </row>
    <row r="13" spans="1:20" x14ac:dyDescent="0.25">
      <c r="A13" s="7">
        <v>44181</v>
      </c>
      <c r="B13" s="5" t="s">
        <v>235</v>
      </c>
      <c r="C13" s="6">
        <v>5333</v>
      </c>
      <c r="D13" s="2">
        <f t="shared" si="1"/>
        <v>1.5998999999999999</v>
      </c>
      <c r="E13" s="2">
        <f t="shared" si="0"/>
        <v>2.1332</v>
      </c>
      <c r="F13" s="2">
        <f t="shared" si="0"/>
        <v>3.7330999999999999</v>
      </c>
      <c r="G13" s="2">
        <f t="shared" si="0"/>
        <v>7.9995000000000003</v>
      </c>
      <c r="H13" s="2">
        <f t="shared" si="0"/>
        <v>17.0656</v>
      </c>
      <c r="I13" s="2">
        <f t="shared" si="0"/>
        <v>47.997</v>
      </c>
      <c r="J13" s="2">
        <f t="shared" si="0"/>
        <v>94.394100000000009</v>
      </c>
      <c r="K13" s="2">
        <f t="shared" si="0"/>
        <v>212.2534</v>
      </c>
      <c r="L13" s="2">
        <f t="shared" si="0"/>
        <v>352.51130000000001</v>
      </c>
      <c r="M13" s="2">
        <f t="shared" si="0"/>
        <v>609.56190000000004</v>
      </c>
      <c r="N13" s="2">
        <f t="shared" si="0"/>
        <v>873.54539999999997</v>
      </c>
      <c r="O13" s="2">
        <f t="shared" si="0"/>
        <v>970.60599999999999</v>
      </c>
      <c r="P13" s="2">
        <f t="shared" si="0"/>
        <v>963.13980000000004</v>
      </c>
      <c r="Q13" s="2">
        <f t="shared" si="0"/>
        <v>670.89139999999998</v>
      </c>
      <c r="R13" s="2">
        <f t="shared" si="0"/>
        <v>340.77870000000001</v>
      </c>
      <c r="S13" s="2">
        <f t="shared" si="0"/>
        <v>124.25890000000001</v>
      </c>
      <c r="T13" s="2">
        <f t="shared" si="0"/>
        <v>40.530799999999999</v>
      </c>
    </row>
    <row r="14" spans="1:20" x14ac:dyDescent="0.25">
      <c r="A14" s="7">
        <v>44188</v>
      </c>
      <c r="B14" s="5" t="s">
        <v>235</v>
      </c>
      <c r="C14" s="6">
        <v>5464</v>
      </c>
      <c r="D14" s="2">
        <f t="shared" si="1"/>
        <v>1.6391999999999998</v>
      </c>
      <c r="E14" s="2">
        <f t="shared" si="0"/>
        <v>2.1856</v>
      </c>
      <c r="F14" s="2">
        <f t="shared" si="0"/>
        <v>3.8247999999999998</v>
      </c>
      <c r="G14" s="2">
        <f t="shared" si="0"/>
        <v>8.1959999999999997</v>
      </c>
      <c r="H14" s="2">
        <f t="shared" si="0"/>
        <v>17.4848</v>
      </c>
      <c r="I14" s="2">
        <f t="shared" si="0"/>
        <v>49.175999999999995</v>
      </c>
      <c r="J14" s="2">
        <f t="shared" si="0"/>
        <v>96.712800000000001</v>
      </c>
      <c r="K14" s="2">
        <f t="shared" si="0"/>
        <v>217.46720000000002</v>
      </c>
      <c r="L14" s="2">
        <f t="shared" si="0"/>
        <v>361.17040000000003</v>
      </c>
      <c r="M14" s="2">
        <f t="shared" si="0"/>
        <v>624.53520000000003</v>
      </c>
      <c r="N14" s="2">
        <f t="shared" si="0"/>
        <v>895.00319999999999</v>
      </c>
      <c r="O14" s="2">
        <f t="shared" si="0"/>
        <v>994.44799999999998</v>
      </c>
      <c r="P14" s="2">
        <f t="shared" si="0"/>
        <v>986.79840000000002</v>
      </c>
      <c r="Q14" s="2">
        <f t="shared" si="0"/>
        <v>687.37119999999993</v>
      </c>
      <c r="R14" s="2">
        <f t="shared" si="0"/>
        <v>349.14959999999996</v>
      </c>
      <c r="S14" s="2">
        <f t="shared" si="0"/>
        <v>127.31120000000001</v>
      </c>
      <c r="T14" s="2">
        <f t="shared" si="0"/>
        <v>41.526400000000002</v>
      </c>
    </row>
    <row r="15" spans="1:20" x14ac:dyDescent="0.25">
      <c r="A15" s="7">
        <v>44195</v>
      </c>
      <c r="B15" s="5" t="s">
        <v>235</v>
      </c>
      <c r="C15" s="6">
        <v>5543</v>
      </c>
      <c r="D15" s="2">
        <f t="shared" si="1"/>
        <v>1.6628999999999998</v>
      </c>
      <c r="E15" s="2">
        <f t="shared" si="0"/>
        <v>2.2172000000000001</v>
      </c>
      <c r="F15" s="2">
        <f t="shared" si="0"/>
        <v>3.8801000000000001</v>
      </c>
      <c r="G15" s="2">
        <f t="shared" si="0"/>
        <v>8.3145000000000007</v>
      </c>
      <c r="H15" s="2">
        <f t="shared" si="0"/>
        <v>17.7376</v>
      </c>
      <c r="I15" s="2">
        <f t="shared" si="0"/>
        <v>49.886999999999993</v>
      </c>
      <c r="J15" s="2">
        <f t="shared" si="0"/>
        <v>98.111100000000008</v>
      </c>
      <c r="K15" s="2">
        <f t="shared" si="0"/>
        <v>220.6114</v>
      </c>
      <c r="L15" s="2">
        <f t="shared" si="0"/>
        <v>366.39230000000003</v>
      </c>
      <c r="M15" s="2">
        <f t="shared" si="0"/>
        <v>633.56489999999997</v>
      </c>
      <c r="N15" s="2">
        <f t="shared" si="0"/>
        <v>907.9434</v>
      </c>
      <c r="O15" s="2">
        <f t="shared" si="0"/>
        <v>1008.826</v>
      </c>
      <c r="P15" s="2">
        <f t="shared" si="0"/>
        <v>1001.0658000000001</v>
      </c>
      <c r="Q15" s="2">
        <f t="shared" si="0"/>
        <v>697.30939999999998</v>
      </c>
      <c r="R15" s="2">
        <f t="shared" si="0"/>
        <v>354.1977</v>
      </c>
      <c r="S15" s="2">
        <f t="shared" si="0"/>
        <v>129.15190000000001</v>
      </c>
      <c r="T15" s="2">
        <f t="shared" si="0"/>
        <v>42.126800000000003</v>
      </c>
    </row>
    <row r="16" spans="1:20" x14ac:dyDescent="0.25">
      <c r="A16" s="7">
        <v>44202</v>
      </c>
      <c r="B16" s="5" t="s">
        <v>235</v>
      </c>
      <c r="C16" s="6">
        <v>5568</v>
      </c>
      <c r="D16" s="2">
        <f t="shared" si="1"/>
        <v>1.6703999999999999</v>
      </c>
      <c r="E16" s="2">
        <f t="shared" si="0"/>
        <v>2.2272000000000003</v>
      </c>
      <c r="F16" s="2">
        <f t="shared" si="0"/>
        <v>3.8976000000000002</v>
      </c>
      <c r="G16" s="2">
        <f t="shared" si="0"/>
        <v>8.3520000000000003</v>
      </c>
      <c r="H16" s="2">
        <f t="shared" si="0"/>
        <v>17.817600000000002</v>
      </c>
      <c r="I16" s="2">
        <f t="shared" si="0"/>
        <v>50.111999999999995</v>
      </c>
      <c r="J16" s="2">
        <f t="shared" si="0"/>
        <v>98.553600000000003</v>
      </c>
      <c r="K16" s="2">
        <f t="shared" si="0"/>
        <v>221.60640000000001</v>
      </c>
      <c r="L16" s="2">
        <f t="shared" si="0"/>
        <v>368.04480000000001</v>
      </c>
      <c r="M16" s="2">
        <f t="shared" si="0"/>
        <v>636.42240000000004</v>
      </c>
      <c r="N16" s="2">
        <f t="shared" si="0"/>
        <v>912.03840000000002</v>
      </c>
      <c r="O16" s="2">
        <f t="shared" si="0"/>
        <v>1013.376</v>
      </c>
      <c r="P16" s="2">
        <f t="shared" si="0"/>
        <v>1005.5808000000001</v>
      </c>
      <c r="Q16" s="2">
        <f t="shared" si="0"/>
        <v>700.45439999999996</v>
      </c>
      <c r="R16" s="2">
        <f t="shared" si="0"/>
        <v>355.79519999999997</v>
      </c>
      <c r="S16" s="2">
        <f t="shared" si="0"/>
        <v>129.73439999999999</v>
      </c>
      <c r="T16" s="2">
        <f t="shared" si="0"/>
        <v>42.316800000000001</v>
      </c>
    </row>
    <row r="17" spans="1:20" x14ac:dyDescent="0.25">
      <c r="A17" s="7">
        <v>44209</v>
      </c>
      <c r="B17" s="5" t="s">
        <v>235</v>
      </c>
      <c r="C17" s="6">
        <v>5539</v>
      </c>
      <c r="D17" s="2">
        <f t="shared" si="1"/>
        <v>1.6617</v>
      </c>
      <c r="E17" s="2">
        <f t="shared" si="0"/>
        <v>2.2156000000000002</v>
      </c>
      <c r="F17" s="2">
        <f t="shared" si="0"/>
        <v>3.8773</v>
      </c>
      <c r="G17" s="2">
        <f t="shared" si="0"/>
        <v>8.3085000000000004</v>
      </c>
      <c r="H17" s="2">
        <f t="shared" si="0"/>
        <v>17.724800000000002</v>
      </c>
      <c r="I17" s="2">
        <f t="shared" si="0"/>
        <v>49.850999999999999</v>
      </c>
      <c r="J17" s="2">
        <f t="shared" si="0"/>
        <v>98.040300000000002</v>
      </c>
      <c r="K17" s="2">
        <f t="shared" si="0"/>
        <v>220.4522</v>
      </c>
      <c r="L17" s="2">
        <f t="shared" si="0"/>
        <v>366.12790000000001</v>
      </c>
      <c r="M17" s="2">
        <f t="shared" si="0"/>
        <v>633.10770000000002</v>
      </c>
      <c r="N17" s="2">
        <f t="shared" si="0"/>
        <v>907.28819999999996</v>
      </c>
      <c r="O17" s="2">
        <f t="shared" si="0"/>
        <v>1008.098</v>
      </c>
      <c r="P17" s="2">
        <f t="shared" si="0"/>
        <v>1000.3434000000001</v>
      </c>
      <c r="Q17" s="2">
        <f t="shared" si="0"/>
        <v>696.80619999999999</v>
      </c>
      <c r="R17" s="2">
        <f t="shared" si="0"/>
        <v>353.94209999999998</v>
      </c>
      <c r="S17" s="2">
        <f t="shared" si="0"/>
        <v>129.05870000000002</v>
      </c>
      <c r="T17" s="2">
        <f t="shared" ref="E17:T32" si="2">$C17*T$35</f>
        <v>42.096400000000003</v>
      </c>
    </row>
    <row r="18" spans="1:20" x14ac:dyDescent="0.25">
      <c r="A18" s="7">
        <v>44216</v>
      </c>
      <c r="B18" s="5" t="s">
        <v>235</v>
      </c>
      <c r="C18" s="6">
        <v>5460</v>
      </c>
      <c r="D18" s="2">
        <f t="shared" si="1"/>
        <v>1.6379999999999999</v>
      </c>
      <c r="E18" s="2">
        <f t="shared" si="2"/>
        <v>2.1840000000000002</v>
      </c>
      <c r="F18" s="2">
        <f t="shared" si="2"/>
        <v>3.8220000000000001</v>
      </c>
      <c r="G18" s="2">
        <f t="shared" si="2"/>
        <v>8.19</v>
      </c>
      <c r="H18" s="2">
        <f t="shared" si="2"/>
        <v>17.472000000000001</v>
      </c>
      <c r="I18" s="2">
        <f t="shared" si="2"/>
        <v>49.139999999999993</v>
      </c>
      <c r="J18" s="2">
        <f t="shared" si="2"/>
        <v>96.641999999999996</v>
      </c>
      <c r="K18" s="2">
        <f t="shared" si="2"/>
        <v>217.30800000000002</v>
      </c>
      <c r="L18" s="2">
        <f t="shared" si="2"/>
        <v>360.90600000000001</v>
      </c>
      <c r="M18" s="2">
        <f t="shared" si="2"/>
        <v>624.07799999999997</v>
      </c>
      <c r="N18" s="2">
        <f t="shared" si="2"/>
        <v>894.34799999999996</v>
      </c>
      <c r="O18" s="2">
        <f t="shared" si="2"/>
        <v>993.72</v>
      </c>
      <c r="P18" s="2">
        <f t="shared" si="2"/>
        <v>986.07600000000002</v>
      </c>
      <c r="Q18" s="2">
        <f t="shared" si="2"/>
        <v>686.86799999999994</v>
      </c>
      <c r="R18" s="2">
        <f t="shared" si="2"/>
        <v>348.89400000000001</v>
      </c>
      <c r="S18" s="2">
        <f t="shared" si="2"/>
        <v>127.218</v>
      </c>
      <c r="T18" s="2">
        <f t="shared" si="2"/>
        <v>41.496000000000002</v>
      </c>
    </row>
    <row r="19" spans="1:20" x14ac:dyDescent="0.25">
      <c r="A19" s="7">
        <v>44223</v>
      </c>
      <c r="B19" s="5" t="s">
        <v>235</v>
      </c>
      <c r="C19" s="6">
        <v>5337</v>
      </c>
      <c r="D19" s="2">
        <f t="shared" si="1"/>
        <v>1.6011</v>
      </c>
      <c r="E19" s="2">
        <f t="shared" si="2"/>
        <v>2.1348000000000003</v>
      </c>
      <c r="F19" s="2">
        <f t="shared" si="2"/>
        <v>3.7359</v>
      </c>
      <c r="G19" s="2">
        <f t="shared" si="2"/>
        <v>8.0054999999999996</v>
      </c>
      <c r="H19" s="2">
        <f t="shared" si="2"/>
        <v>17.078400000000002</v>
      </c>
      <c r="I19" s="2">
        <f t="shared" si="2"/>
        <v>48.032999999999994</v>
      </c>
      <c r="J19" s="2">
        <f t="shared" si="2"/>
        <v>94.4649</v>
      </c>
      <c r="K19" s="2">
        <f t="shared" si="2"/>
        <v>212.4126</v>
      </c>
      <c r="L19" s="2">
        <f t="shared" si="2"/>
        <v>352.77570000000003</v>
      </c>
      <c r="M19" s="2">
        <f t="shared" si="2"/>
        <v>610.01909999999998</v>
      </c>
      <c r="N19" s="2">
        <f t="shared" si="2"/>
        <v>874.20060000000001</v>
      </c>
      <c r="O19" s="2">
        <f t="shared" si="2"/>
        <v>971.33399999999995</v>
      </c>
      <c r="P19" s="2">
        <f t="shared" si="2"/>
        <v>963.86220000000003</v>
      </c>
      <c r="Q19" s="2">
        <f t="shared" si="2"/>
        <v>671.39459999999997</v>
      </c>
      <c r="R19" s="2">
        <f t="shared" si="2"/>
        <v>341.03429999999997</v>
      </c>
      <c r="S19" s="2">
        <f t="shared" si="2"/>
        <v>124.35210000000001</v>
      </c>
      <c r="T19" s="2">
        <f t="shared" si="2"/>
        <v>40.561199999999999</v>
      </c>
    </row>
    <row r="20" spans="1:20" x14ac:dyDescent="0.25">
      <c r="A20" s="7">
        <v>44230</v>
      </c>
      <c r="B20" s="5" t="s">
        <v>235</v>
      </c>
      <c r="C20" s="6">
        <v>5176</v>
      </c>
      <c r="D20" s="2">
        <f t="shared" si="1"/>
        <v>1.5528</v>
      </c>
      <c r="E20" s="2">
        <f t="shared" si="2"/>
        <v>2.0704000000000002</v>
      </c>
      <c r="F20" s="2">
        <f t="shared" si="2"/>
        <v>3.6231999999999998</v>
      </c>
      <c r="G20" s="2">
        <f t="shared" si="2"/>
        <v>7.7640000000000002</v>
      </c>
      <c r="H20" s="2">
        <f t="shared" si="2"/>
        <v>16.563200000000002</v>
      </c>
      <c r="I20" s="2">
        <f t="shared" si="2"/>
        <v>46.583999999999996</v>
      </c>
      <c r="J20" s="2">
        <f t="shared" si="2"/>
        <v>91.615200000000002</v>
      </c>
      <c r="K20" s="2">
        <f t="shared" si="2"/>
        <v>206.00480000000002</v>
      </c>
      <c r="L20" s="2">
        <f t="shared" si="2"/>
        <v>342.13360000000006</v>
      </c>
      <c r="M20" s="2">
        <f t="shared" si="2"/>
        <v>591.61680000000001</v>
      </c>
      <c r="N20" s="2">
        <f t="shared" si="2"/>
        <v>847.8288</v>
      </c>
      <c r="O20" s="2">
        <f t="shared" si="2"/>
        <v>942.03199999999993</v>
      </c>
      <c r="P20" s="2">
        <f t="shared" si="2"/>
        <v>934.78560000000004</v>
      </c>
      <c r="Q20" s="2">
        <f t="shared" si="2"/>
        <v>651.14080000000001</v>
      </c>
      <c r="R20" s="2">
        <f t="shared" si="2"/>
        <v>330.74639999999999</v>
      </c>
      <c r="S20" s="2">
        <f t="shared" si="2"/>
        <v>120.60080000000001</v>
      </c>
      <c r="T20" s="2">
        <f t="shared" si="2"/>
        <v>39.337600000000002</v>
      </c>
    </row>
    <row r="21" spans="1:20" x14ac:dyDescent="0.25">
      <c r="A21" s="7">
        <v>44237</v>
      </c>
      <c r="B21" s="5" t="s">
        <v>235</v>
      </c>
      <c r="C21" s="6">
        <v>4983</v>
      </c>
      <c r="D21" s="2">
        <f t="shared" si="1"/>
        <v>1.4948999999999999</v>
      </c>
      <c r="E21" s="2">
        <f t="shared" si="2"/>
        <v>1.9932000000000001</v>
      </c>
      <c r="F21" s="2">
        <f t="shared" si="2"/>
        <v>3.4880999999999998</v>
      </c>
      <c r="G21" s="2">
        <f t="shared" si="2"/>
        <v>7.4744999999999999</v>
      </c>
      <c r="H21" s="2">
        <f t="shared" si="2"/>
        <v>15.945600000000001</v>
      </c>
      <c r="I21" s="2">
        <f t="shared" si="2"/>
        <v>44.846999999999994</v>
      </c>
      <c r="J21" s="2">
        <f t="shared" si="2"/>
        <v>88.199100000000001</v>
      </c>
      <c r="K21" s="2">
        <f t="shared" si="2"/>
        <v>198.32340000000002</v>
      </c>
      <c r="L21" s="2">
        <f t="shared" si="2"/>
        <v>329.37630000000001</v>
      </c>
      <c r="M21" s="2">
        <f t="shared" si="2"/>
        <v>569.55690000000004</v>
      </c>
      <c r="N21" s="2">
        <f t="shared" si="2"/>
        <v>816.21540000000005</v>
      </c>
      <c r="O21" s="2">
        <f t="shared" si="2"/>
        <v>906.90599999999995</v>
      </c>
      <c r="P21" s="2">
        <f t="shared" si="2"/>
        <v>899.9298</v>
      </c>
      <c r="Q21" s="2">
        <f t="shared" si="2"/>
        <v>626.8614</v>
      </c>
      <c r="R21" s="2">
        <f t="shared" si="2"/>
        <v>318.41370000000001</v>
      </c>
      <c r="S21" s="2">
        <f t="shared" si="2"/>
        <v>116.10390000000001</v>
      </c>
      <c r="T21" s="2">
        <f t="shared" si="2"/>
        <v>37.870800000000003</v>
      </c>
    </row>
    <row r="22" spans="1:20" x14ac:dyDescent="0.25">
      <c r="A22" s="7">
        <v>44244</v>
      </c>
      <c r="B22" s="5" t="s">
        <v>235</v>
      </c>
      <c r="C22" s="6">
        <v>4770</v>
      </c>
      <c r="D22" s="2">
        <f t="shared" si="1"/>
        <v>1.4309999999999998</v>
      </c>
      <c r="E22" s="2">
        <f t="shared" si="2"/>
        <v>1.9080000000000001</v>
      </c>
      <c r="F22" s="2">
        <f t="shared" si="2"/>
        <v>3.339</v>
      </c>
      <c r="G22" s="2">
        <f t="shared" si="2"/>
        <v>7.1550000000000002</v>
      </c>
      <c r="H22" s="2">
        <f t="shared" si="2"/>
        <v>15.264000000000001</v>
      </c>
      <c r="I22" s="2">
        <f t="shared" si="2"/>
        <v>42.93</v>
      </c>
      <c r="J22" s="2">
        <f t="shared" si="2"/>
        <v>84.429000000000002</v>
      </c>
      <c r="K22" s="2">
        <f t="shared" si="2"/>
        <v>189.846</v>
      </c>
      <c r="L22" s="2">
        <f t="shared" si="2"/>
        <v>315.29700000000003</v>
      </c>
      <c r="M22" s="2">
        <f t="shared" si="2"/>
        <v>545.21100000000001</v>
      </c>
      <c r="N22" s="2">
        <f t="shared" si="2"/>
        <v>781.32600000000002</v>
      </c>
      <c r="O22" s="2">
        <f t="shared" si="2"/>
        <v>868.14</v>
      </c>
      <c r="P22" s="2">
        <f t="shared" si="2"/>
        <v>861.4620000000001</v>
      </c>
      <c r="Q22" s="2">
        <f t="shared" si="2"/>
        <v>600.06600000000003</v>
      </c>
      <c r="R22" s="2">
        <f t="shared" si="2"/>
        <v>304.803</v>
      </c>
      <c r="S22" s="2">
        <f t="shared" si="2"/>
        <v>111.14100000000001</v>
      </c>
      <c r="T22" s="2">
        <f t="shared" si="2"/>
        <v>36.252000000000002</v>
      </c>
    </row>
    <row r="23" spans="1:20" x14ac:dyDescent="0.25">
      <c r="A23" s="7">
        <v>44251</v>
      </c>
      <c r="B23" s="5" t="s">
        <v>235</v>
      </c>
      <c r="C23" s="6">
        <v>4544</v>
      </c>
      <c r="D23" s="2">
        <f t="shared" si="1"/>
        <v>1.3632</v>
      </c>
      <c r="E23" s="2">
        <f t="shared" si="2"/>
        <v>1.8176000000000001</v>
      </c>
      <c r="F23" s="2">
        <f t="shared" si="2"/>
        <v>3.1808000000000001</v>
      </c>
      <c r="G23" s="2">
        <f t="shared" si="2"/>
        <v>6.8159999999999998</v>
      </c>
      <c r="H23" s="2">
        <f t="shared" si="2"/>
        <v>14.540800000000001</v>
      </c>
      <c r="I23" s="2">
        <f t="shared" si="2"/>
        <v>40.895999999999994</v>
      </c>
      <c r="J23" s="2">
        <f t="shared" si="2"/>
        <v>80.428799999999995</v>
      </c>
      <c r="K23" s="2">
        <f t="shared" si="2"/>
        <v>180.85120000000001</v>
      </c>
      <c r="L23" s="2">
        <f t="shared" si="2"/>
        <v>300.35840000000002</v>
      </c>
      <c r="M23" s="2">
        <f t="shared" si="2"/>
        <v>519.37919999999997</v>
      </c>
      <c r="N23" s="2">
        <f t="shared" si="2"/>
        <v>744.30719999999997</v>
      </c>
      <c r="O23" s="2">
        <f t="shared" si="2"/>
        <v>827.00799999999992</v>
      </c>
      <c r="P23" s="2">
        <f t="shared" si="2"/>
        <v>820.64640000000009</v>
      </c>
      <c r="Q23" s="2">
        <f t="shared" si="2"/>
        <v>571.63519999999994</v>
      </c>
      <c r="R23" s="2">
        <f t="shared" si="2"/>
        <v>290.36160000000001</v>
      </c>
      <c r="S23" s="2">
        <f t="shared" si="2"/>
        <v>105.87520000000001</v>
      </c>
      <c r="T23" s="2">
        <f t="shared" si="2"/>
        <v>34.534399999999998</v>
      </c>
    </row>
    <row r="24" spans="1:20" x14ac:dyDescent="0.25">
      <c r="A24" s="7">
        <v>44258</v>
      </c>
      <c r="B24" s="5" t="s">
        <v>235</v>
      </c>
      <c r="C24" s="6">
        <v>4311</v>
      </c>
      <c r="D24" s="2">
        <f t="shared" si="1"/>
        <v>1.2932999999999999</v>
      </c>
      <c r="E24" s="2">
        <f t="shared" si="2"/>
        <v>1.7244000000000002</v>
      </c>
      <c r="F24" s="2">
        <f t="shared" si="2"/>
        <v>3.0177</v>
      </c>
      <c r="G24" s="2">
        <f t="shared" si="2"/>
        <v>6.4664999999999999</v>
      </c>
      <c r="H24" s="2">
        <f t="shared" si="2"/>
        <v>13.795200000000001</v>
      </c>
      <c r="I24" s="2">
        <f t="shared" si="2"/>
        <v>38.798999999999999</v>
      </c>
      <c r="J24" s="2">
        <f t="shared" si="2"/>
        <v>76.304699999999997</v>
      </c>
      <c r="K24" s="2">
        <f t="shared" si="2"/>
        <v>171.5778</v>
      </c>
      <c r="L24" s="2">
        <f t="shared" si="2"/>
        <v>284.95710000000003</v>
      </c>
      <c r="M24" s="2">
        <f t="shared" si="2"/>
        <v>492.7473</v>
      </c>
      <c r="N24" s="2">
        <f t="shared" si="2"/>
        <v>706.14179999999999</v>
      </c>
      <c r="O24" s="2">
        <f t="shared" si="2"/>
        <v>784.60199999999998</v>
      </c>
      <c r="P24" s="2">
        <f t="shared" si="2"/>
        <v>778.56659999999999</v>
      </c>
      <c r="Q24" s="2">
        <f t="shared" si="2"/>
        <v>542.32380000000001</v>
      </c>
      <c r="R24" s="2">
        <f t="shared" si="2"/>
        <v>275.47289999999998</v>
      </c>
      <c r="S24" s="2">
        <f t="shared" si="2"/>
        <v>100.44630000000001</v>
      </c>
      <c r="T24" s="2">
        <f t="shared" si="2"/>
        <v>32.763599999999997</v>
      </c>
    </row>
    <row r="25" spans="1:20" x14ac:dyDescent="0.25">
      <c r="A25" s="7">
        <v>44265</v>
      </c>
      <c r="B25" s="5" t="s">
        <v>235</v>
      </c>
      <c r="C25" s="6">
        <v>4077</v>
      </c>
      <c r="D25" s="2">
        <f t="shared" si="1"/>
        <v>1.2230999999999999</v>
      </c>
      <c r="E25" s="2">
        <f t="shared" si="2"/>
        <v>1.6308</v>
      </c>
      <c r="F25" s="2">
        <f t="shared" si="2"/>
        <v>2.8538999999999999</v>
      </c>
      <c r="G25" s="2">
        <f t="shared" si="2"/>
        <v>6.1154999999999999</v>
      </c>
      <c r="H25" s="2">
        <f t="shared" si="2"/>
        <v>13.0464</v>
      </c>
      <c r="I25" s="2">
        <f t="shared" si="2"/>
        <v>36.692999999999998</v>
      </c>
      <c r="J25" s="2">
        <f t="shared" si="2"/>
        <v>72.162900000000008</v>
      </c>
      <c r="K25" s="2">
        <f t="shared" si="2"/>
        <v>162.2646</v>
      </c>
      <c r="L25" s="2">
        <f t="shared" si="2"/>
        <v>269.48970000000003</v>
      </c>
      <c r="M25" s="2">
        <f t="shared" si="2"/>
        <v>466.00110000000001</v>
      </c>
      <c r="N25" s="2">
        <f t="shared" si="2"/>
        <v>667.81259999999997</v>
      </c>
      <c r="O25" s="2">
        <f t="shared" si="2"/>
        <v>742.01400000000001</v>
      </c>
      <c r="P25" s="2">
        <f t="shared" si="2"/>
        <v>736.30619999999999</v>
      </c>
      <c r="Q25" s="2">
        <f t="shared" si="2"/>
        <v>512.88659999999993</v>
      </c>
      <c r="R25" s="2">
        <f t="shared" si="2"/>
        <v>260.52030000000002</v>
      </c>
      <c r="S25" s="2">
        <f t="shared" si="2"/>
        <v>94.994100000000003</v>
      </c>
      <c r="T25" s="2">
        <f t="shared" si="2"/>
        <v>30.985199999999999</v>
      </c>
    </row>
    <row r="26" spans="1:20" x14ac:dyDescent="0.25">
      <c r="A26" s="7">
        <v>44272</v>
      </c>
      <c r="B26" s="5" t="s">
        <v>235</v>
      </c>
      <c r="C26" s="6">
        <v>3843</v>
      </c>
      <c r="D26" s="2">
        <f t="shared" si="1"/>
        <v>1.1528999999999998</v>
      </c>
      <c r="E26" s="2">
        <f t="shared" si="2"/>
        <v>1.5372000000000001</v>
      </c>
      <c r="F26" s="2">
        <f t="shared" si="2"/>
        <v>2.6901000000000002</v>
      </c>
      <c r="G26" s="2">
        <f t="shared" si="2"/>
        <v>5.7645</v>
      </c>
      <c r="H26" s="2">
        <f t="shared" si="2"/>
        <v>12.297600000000001</v>
      </c>
      <c r="I26" s="2">
        <f t="shared" si="2"/>
        <v>34.586999999999996</v>
      </c>
      <c r="J26" s="2">
        <f t="shared" si="2"/>
        <v>68.021100000000004</v>
      </c>
      <c r="K26" s="2">
        <f t="shared" si="2"/>
        <v>152.95140000000001</v>
      </c>
      <c r="L26" s="2">
        <f t="shared" si="2"/>
        <v>254.02230000000003</v>
      </c>
      <c r="M26" s="2">
        <f t="shared" si="2"/>
        <v>439.25490000000002</v>
      </c>
      <c r="N26" s="2">
        <f t="shared" si="2"/>
        <v>629.48339999999996</v>
      </c>
      <c r="O26" s="2">
        <f t="shared" si="2"/>
        <v>699.42599999999993</v>
      </c>
      <c r="P26" s="2">
        <f t="shared" si="2"/>
        <v>694.04579999999999</v>
      </c>
      <c r="Q26" s="2">
        <f t="shared" si="2"/>
        <v>483.44939999999997</v>
      </c>
      <c r="R26" s="2">
        <f t="shared" si="2"/>
        <v>245.5677</v>
      </c>
      <c r="S26" s="2">
        <f t="shared" si="2"/>
        <v>89.541899999999998</v>
      </c>
      <c r="T26" s="2">
        <f t="shared" si="2"/>
        <v>29.206800000000001</v>
      </c>
    </row>
    <row r="27" spans="1:20" x14ac:dyDescent="0.25">
      <c r="A27" s="7">
        <v>44279</v>
      </c>
      <c r="B27" s="5" t="s">
        <v>235</v>
      </c>
      <c r="C27" s="6">
        <v>3612</v>
      </c>
      <c r="D27" s="2">
        <f t="shared" si="1"/>
        <v>1.0835999999999999</v>
      </c>
      <c r="E27" s="2">
        <f t="shared" si="2"/>
        <v>1.4448000000000001</v>
      </c>
      <c r="F27" s="2">
        <f t="shared" si="2"/>
        <v>2.5284</v>
      </c>
      <c r="G27" s="2">
        <f t="shared" si="2"/>
        <v>5.4180000000000001</v>
      </c>
      <c r="H27" s="2">
        <f t="shared" si="2"/>
        <v>11.558400000000001</v>
      </c>
      <c r="I27" s="2">
        <f t="shared" si="2"/>
        <v>32.507999999999996</v>
      </c>
      <c r="J27" s="2">
        <f t="shared" si="2"/>
        <v>63.932400000000001</v>
      </c>
      <c r="K27" s="2">
        <f t="shared" si="2"/>
        <v>143.7576</v>
      </c>
      <c r="L27" s="2">
        <f t="shared" si="2"/>
        <v>238.75320000000002</v>
      </c>
      <c r="M27" s="2">
        <f t="shared" si="2"/>
        <v>412.85160000000002</v>
      </c>
      <c r="N27" s="2">
        <f t="shared" si="2"/>
        <v>591.64560000000006</v>
      </c>
      <c r="O27" s="2">
        <f t="shared" si="2"/>
        <v>657.38400000000001</v>
      </c>
      <c r="P27" s="2">
        <f t="shared" si="2"/>
        <v>652.32720000000006</v>
      </c>
      <c r="Q27" s="2">
        <f t="shared" si="2"/>
        <v>454.38959999999997</v>
      </c>
      <c r="R27" s="2">
        <f t="shared" si="2"/>
        <v>230.80679999999998</v>
      </c>
      <c r="S27" s="2">
        <f t="shared" si="2"/>
        <v>84.159599999999998</v>
      </c>
      <c r="T27" s="2">
        <f t="shared" si="2"/>
        <v>27.4512</v>
      </c>
    </row>
    <row r="28" spans="1:20" x14ac:dyDescent="0.25">
      <c r="A28" s="7">
        <v>44286</v>
      </c>
      <c r="B28" s="5" t="s">
        <v>235</v>
      </c>
      <c r="C28" s="6">
        <v>3387</v>
      </c>
      <c r="D28" s="2">
        <f t="shared" si="1"/>
        <v>1.0161</v>
      </c>
      <c r="E28" s="2">
        <f t="shared" si="2"/>
        <v>1.3548</v>
      </c>
      <c r="F28" s="2">
        <f t="shared" si="2"/>
        <v>2.3708999999999998</v>
      </c>
      <c r="G28" s="2">
        <f t="shared" si="2"/>
        <v>5.0804999999999998</v>
      </c>
      <c r="H28" s="2">
        <f t="shared" si="2"/>
        <v>10.8384</v>
      </c>
      <c r="I28" s="2">
        <f t="shared" si="2"/>
        <v>30.482999999999997</v>
      </c>
      <c r="J28" s="2">
        <f t="shared" si="2"/>
        <v>59.9499</v>
      </c>
      <c r="K28" s="2">
        <f t="shared" si="2"/>
        <v>134.80260000000001</v>
      </c>
      <c r="L28" s="2">
        <f t="shared" si="2"/>
        <v>223.88070000000002</v>
      </c>
      <c r="M28" s="2">
        <f t="shared" si="2"/>
        <v>387.13409999999999</v>
      </c>
      <c r="N28" s="2">
        <f t="shared" si="2"/>
        <v>554.79060000000004</v>
      </c>
      <c r="O28" s="2">
        <f t="shared" si="2"/>
        <v>616.43399999999997</v>
      </c>
      <c r="P28" s="2">
        <f t="shared" si="2"/>
        <v>611.69220000000007</v>
      </c>
      <c r="Q28" s="2">
        <f t="shared" si="2"/>
        <v>426.08459999999997</v>
      </c>
      <c r="R28" s="2">
        <f t="shared" si="2"/>
        <v>216.42929999999998</v>
      </c>
      <c r="S28" s="2">
        <f t="shared" si="2"/>
        <v>78.917100000000005</v>
      </c>
      <c r="T28" s="2">
        <f t="shared" si="2"/>
        <v>25.741199999999999</v>
      </c>
    </row>
    <row r="29" spans="1:20" x14ac:dyDescent="0.25">
      <c r="A29" s="7">
        <v>44293</v>
      </c>
      <c r="B29" s="5" t="s">
        <v>235</v>
      </c>
      <c r="C29" s="6">
        <v>3170</v>
      </c>
      <c r="D29" s="2">
        <f t="shared" si="1"/>
        <v>0.95099999999999996</v>
      </c>
      <c r="E29" s="2">
        <f t="shared" si="2"/>
        <v>1.268</v>
      </c>
      <c r="F29" s="2">
        <f t="shared" si="2"/>
        <v>2.2189999999999999</v>
      </c>
      <c r="G29" s="2">
        <f t="shared" si="2"/>
        <v>4.7549999999999999</v>
      </c>
      <c r="H29" s="2">
        <f t="shared" si="2"/>
        <v>10.144</v>
      </c>
      <c r="I29" s="2">
        <f t="shared" si="2"/>
        <v>28.529999999999998</v>
      </c>
      <c r="J29" s="2">
        <f t="shared" si="2"/>
        <v>56.109000000000002</v>
      </c>
      <c r="K29" s="2">
        <f t="shared" si="2"/>
        <v>126.16600000000001</v>
      </c>
      <c r="L29" s="2">
        <f t="shared" si="2"/>
        <v>209.53700000000001</v>
      </c>
      <c r="M29" s="2">
        <f t="shared" si="2"/>
        <v>362.33100000000002</v>
      </c>
      <c r="N29" s="2">
        <f t="shared" si="2"/>
        <v>519.24599999999998</v>
      </c>
      <c r="O29" s="2">
        <f t="shared" si="2"/>
        <v>576.93999999999994</v>
      </c>
      <c r="P29" s="2">
        <f t="shared" si="2"/>
        <v>572.50200000000007</v>
      </c>
      <c r="Q29" s="2">
        <f t="shared" si="2"/>
        <v>398.786</v>
      </c>
      <c r="R29" s="2">
        <f t="shared" si="2"/>
        <v>202.56299999999999</v>
      </c>
      <c r="S29" s="2">
        <f t="shared" si="2"/>
        <v>73.861000000000004</v>
      </c>
      <c r="T29" s="2">
        <f t="shared" si="2"/>
        <v>24.091999999999999</v>
      </c>
    </row>
    <row r="30" spans="1:20" x14ac:dyDescent="0.25">
      <c r="A30" s="7">
        <v>44300</v>
      </c>
      <c r="B30" s="5" t="s">
        <v>235</v>
      </c>
      <c r="C30" s="6">
        <v>2962</v>
      </c>
      <c r="D30" s="2">
        <f t="shared" si="1"/>
        <v>0.88859999999999995</v>
      </c>
      <c r="E30" s="2">
        <f t="shared" si="2"/>
        <v>1.1848000000000001</v>
      </c>
      <c r="F30" s="2">
        <f t="shared" si="2"/>
        <v>2.0733999999999999</v>
      </c>
      <c r="G30" s="2">
        <f t="shared" si="2"/>
        <v>4.4430000000000005</v>
      </c>
      <c r="H30" s="2">
        <f t="shared" si="2"/>
        <v>9.4784000000000006</v>
      </c>
      <c r="I30" s="2">
        <f t="shared" si="2"/>
        <v>26.657999999999998</v>
      </c>
      <c r="J30" s="2">
        <f t="shared" si="2"/>
        <v>52.427399999999999</v>
      </c>
      <c r="K30" s="2">
        <f t="shared" si="2"/>
        <v>117.88760000000001</v>
      </c>
      <c r="L30" s="2">
        <f t="shared" si="2"/>
        <v>195.78820000000002</v>
      </c>
      <c r="M30" s="2">
        <f t="shared" si="2"/>
        <v>338.5566</v>
      </c>
      <c r="N30" s="2">
        <f t="shared" si="2"/>
        <v>485.17560000000003</v>
      </c>
      <c r="O30" s="2">
        <f t="shared" si="2"/>
        <v>539.08399999999995</v>
      </c>
      <c r="P30" s="2">
        <f t="shared" si="2"/>
        <v>534.93720000000008</v>
      </c>
      <c r="Q30" s="2">
        <f t="shared" si="2"/>
        <v>372.61959999999999</v>
      </c>
      <c r="R30" s="2">
        <f t="shared" si="2"/>
        <v>189.27179999999998</v>
      </c>
      <c r="S30" s="2">
        <f t="shared" si="2"/>
        <v>69.014600000000002</v>
      </c>
      <c r="T30" s="2">
        <f t="shared" si="2"/>
        <v>22.511199999999999</v>
      </c>
    </row>
    <row r="31" spans="1:20" x14ac:dyDescent="0.25">
      <c r="A31" s="7">
        <v>44307</v>
      </c>
      <c r="B31" s="5" t="s">
        <v>235</v>
      </c>
      <c r="C31" s="6">
        <v>2762</v>
      </c>
      <c r="D31" s="2">
        <f t="shared" si="1"/>
        <v>0.82859999999999989</v>
      </c>
      <c r="E31" s="2">
        <f t="shared" si="2"/>
        <v>1.1048</v>
      </c>
      <c r="F31" s="2">
        <f t="shared" si="2"/>
        <v>1.9334</v>
      </c>
      <c r="G31" s="2">
        <f t="shared" si="2"/>
        <v>4.1429999999999998</v>
      </c>
      <c r="H31" s="2">
        <f t="shared" si="2"/>
        <v>8.8384</v>
      </c>
      <c r="I31" s="2">
        <f t="shared" si="2"/>
        <v>24.857999999999997</v>
      </c>
      <c r="J31" s="2">
        <f t="shared" si="2"/>
        <v>48.8874</v>
      </c>
      <c r="K31" s="2">
        <f t="shared" si="2"/>
        <v>109.92760000000001</v>
      </c>
      <c r="L31" s="2">
        <f t="shared" si="2"/>
        <v>182.56820000000002</v>
      </c>
      <c r="M31" s="2">
        <f t="shared" si="2"/>
        <v>315.69659999999999</v>
      </c>
      <c r="N31" s="2">
        <f t="shared" si="2"/>
        <v>452.41559999999998</v>
      </c>
      <c r="O31" s="2">
        <f t="shared" si="2"/>
        <v>502.68399999999997</v>
      </c>
      <c r="P31" s="2">
        <f t="shared" si="2"/>
        <v>498.81720000000001</v>
      </c>
      <c r="Q31" s="2">
        <f t="shared" si="2"/>
        <v>347.45959999999997</v>
      </c>
      <c r="R31" s="2">
        <f t="shared" si="2"/>
        <v>176.49179999999998</v>
      </c>
      <c r="S31" s="2">
        <f t="shared" si="2"/>
        <v>64.354600000000005</v>
      </c>
      <c r="T31" s="2">
        <f t="shared" si="2"/>
        <v>20.991199999999999</v>
      </c>
    </row>
    <row r="32" spans="1:20" x14ac:dyDescent="0.25">
      <c r="A32" s="7">
        <v>44314</v>
      </c>
      <c r="B32" s="5" t="s">
        <v>235</v>
      </c>
      <c r="C32" s="6">
        <v>2572</v>
      </c>
      <c r="D32" s="2">
        <f t="shared" si="1"/>
        <v>0.77159999999999995</v>
      </c>
      <c r="E32" s="2">
        <f t="shared" si="2"/>
        <v>1.0288000000000002</v>
      </c>
      <c r="F32" s="2">
        <f t="shared" si="2"/>
        <v>1.8004</v>
      </c>
      <c r="G32" s="2">
        <f t="shared" si="2"/>
        <v>3.8580000000000001</v>
      </c>
      <c r="H32" s="2">
        <f t="shared" si="2"/>
        <v>8.2304000000000013</v>
      </c>
      <c r="I32" s="2">
        <f t="shared" si="2"/>
        <v>23.148</v>
      </c>
      <c r="J32" s="2">
        <f t="shared" si="2"/>
        <v>45.5244</v>
      </c>
      <c r="K32" s="2">
        <f t="shared" si="2"/>
        <v>102.3656</v>
      </c>
      <c r="L32" s="2">
        <f t="shared" si="2"/>
        <v>170.00920000000002</v>
      </c>
      <c r="M32" s="2">
        <f t="shared" si="2"/>
        <v>293.9796</v>
      </c>
      <c r="N32" s="2">
        <f t="shared" si="2"/>
        <v>421.29360000000003</v>
      </c>
      <c r="O32" s="2">
        <f t="shared" si="2"/>
        <v>468.10399999999998</v>
      </c>
      <c r="P32" s="2">
        <f t="shared" si="2"/>
        <v>464.50320000000005</v>
      </c>
      <c r="Q32" s="2">
        <f t="shared" si="2"/>
        <v>323.55759999999998</v>
      </c>
      <c r="R32" s="2">
        <f t="shared" si="2"/>
        <v>164.35079999999999</v>
      </c>
      <c r="S32" s="2">
        <f t="shared" si="2"/>
        <v>59.927600000000005</v>
      </c>
      <c r="T32" s="2">
        <f t="shared" si="2"/>
        <v>19.5472</v>
      </c>
    </row>
    <row r="34" spans="3:20" x14ac:dyDescent="0.25">
      <c r="C34" s="5" t="s">
        <v>232</v>
      </c>
      <c r="D34" s="5" t="s">
        <v>179</v>
      </c>
      <c r="E34" s="5" t="s">
        <v>182</v>
      </c>
      <c r="F34" s="5" t="s">
        <v>184</v>
      </c>
      <c r="G34" s="5" t="s">
        <v>186</v>
      </c>
      <c r="H34" s="5" t="s">
        <v>188</v>
      </c>
      <c r="I34" s="5" t="s">
        <v>190</v>
      </c>
      <c r="J34" s="5" t="s">
        <v>191</v>
      </c>
      <c r="K34" s="5" t="s">
        <v>192</v>
      </c>
      <c r="L34" s="5" t="s">
        <v>193</v>
      </c>
      <c r="M34" s="5" t="s">
        <v>194</v>
      </c>
      <c r="N34" s="5" t="s">
        <v>195</v>
      </c>
      <c r="O34" s="5" t="s">
        <v>197</v>
      </c>
      <c r="P34" s="5" t="s">
        <v>199</v>
      </c>
      <c r="Q34" s="5" t="s">
        <v>201</v>
      </c>
      <c r="R34" s="5" t="s">
        <v>203</v>
      </c>
      <c r="S34" s="5" t="s">
        <v>205</v>
      </c>
      <c r="T34" s="5" t="s">
        <v>189</v>
      </c>
    </row>
    <row r="35" spans="3:20" x14ac:dyDescent="0.25">
      <c r="C35" s="5" t="s">
        <v>235</v>
      </c>
      <c r="D35" s="9">
        <v>2.9999999999999997E-4</v>
      </c>
      <c r="E35" s="9">
        <v>4.0000000000000002E-4</v>
      </c>
      <c r="F35" s="9">
        <v>6.9999999999999999E-4</v>
      </c>
      <c r="G35" s="9">
        <v>1.5E-3</v>
      </c>
      <c r="H35" s="9">
        <v>3.2000000000000002E-3</v>
      </c>
      <c r="I35" s="9">
        <v>8.9999999999999993E-3</v>
      </c>
      <c r="J35" s="9">
        <v>1.77E-2</v>
      </c>
      <c r="K35" s="9">
        <v>3.9800000000000002E-2</v>
      </c>
      <c r="L35" s="9">
        <v>6.6100000000000006E-2</v>
      </c>
      <c r="M35" s="9">
        <v>0.1143</v>
      </c>
      <c r="N35" s="9">
        <v>0.1638</v>
      </c>
      <c r="O35" s="9">
        <v>0.182</v>
      </c>
      <c r="P35" s="9">
        <v>0.18060000000000001</v>
      </c>
      <c r="Q35" s="9">
        <v>0.1258</v>
      </c>
      <c r="R35" s="9">
        <v>6.3899999999999998E-2</v>
      </c>
      <c r="S35" s="9">
        <v>2.3300000000000001E-2</v>
      </c>
      <c r="T35" s="9">
        <v>7.6E-3</v>
      </c>
    </row>
  </sheetData>
  <pageMargins left="0.7" right="0.7" top="0.75" bottom="0.75" header="0.3" footer="0.3"/>
  <pageSetup paperSize="9" orientation="portrait" r:id="rId1"/>
  <headerFooter>
    <oddHeader>&amp;L&amp;"Calibri"&amp;12&amp;K008000Classification: Public&amp;1#</oddHead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C1110-DBAF-45A4-9012-5389F1884E9A}">
  <sheetPr codeName="Sheet6"/>
  <dimension ref="A1:Y79"/>
  <sheetViews>
    <sheetView showGridLines="0" workbookViewId="0">
      <selection activeCell="B1" sqref="B1"/>
    </sheetView>
  </sheetViews>
  <sheetFormatPr defaultRowHeight="15" x14ac:dyDescent="0.25"/>
  <cols>
    <col min="2" max="2" width="18.28515625" customWidth="1"/>
    <col min="3" max="3" width="11.7109375" customWidth="1"/>
    <col min="4" max="4" width="11.42578125" customWidth="1"/>
    <col min="5" max="5" width="12.140625" customWidth="1"/>
    <col min="9" max="11" width="14" customWidth="1"/>
    <col min="12" max="13" width="7" customWidth="1"/>
    <col min="14" max="15" width="5.28515625" customWidth="1"/>
    <col min="23" max="23" width="5.85546875" customWidth="1"/>
  </cols>
  <sheetData>
    <row r="1" spans="1:25" s="206" customFormat="1" ht="26.25" x14ac:dyDescent="0.4">
      <c r="A1" s="251"/>
      <c r="B1" s="448" t="s">
        <v>239</v>
      </c>
      <c r="C1" s="251"/>
      <c r="D1" s="251"/>
      <c r="E1" s="251"/>
      <c r="F1" s="251"/>
      <c r="G1" s="251"/>
      <c r="H1" s="251"/>
      <c r="I1" s="251"/>
      <c r="J1" s="251"/>
      <c r="K1" s="251"/>
      <c r="L1" s="251"/>
      <c r="M1" s="251"/>
      <c r="N1" s="251"/>
      <c r="O1" s="251"/>
      <c r="P1" s="251"/>
      <c r="Q1" s="251"/>
      <c r="R1" s="251"/>
      <c r="S1" s="251"/>
      <c r="T1" s="251"/>
      <c r="U1" s="251"/>
      <c r="V1" s="251"/>
      <c r="W1" s="251"/>
      <c r="X1" s="251"/>
      <c r="Y1" s="251"/>
    </row>
    <row r="2" spans="1:25" ht="18.75" x14ac:dyDescent="0.3">
      <c r="B2" s="449" t="s">
        <v>240</v>
      </c>
    </row>
    <row r="3" spans="1:25" ht="18.75" x14ac:dyDescent="0.3">
      <c r="B3" s="449"/>
    </row>
    <row r="4" spans="1:25" x14ac:dyDescent="0.25">
      <c r="B4" s="14" t="s">
        <v>241</v>
      </c>
    </row>
    <row r="5" spans="1:25" x14ac:dyDescent="0.25">
      <c r="B5" s="77" t="s">
        <v>242</v>
      </c>
    </row>
    <row r="6" spans="1:25" ht="15.75" thickBot="1" x14ac:dyDescent="0.3">
      <c r="B6" t="s">
        <v>243</v>
      </c>
      <c r="P6" s="257" t="s">
        <v>141</v>
      </c>
      <c r="Q6" s="253"/>
      <c r="R6" s="253"/>
      <c r="S6" s="253"/>
      <c r="T6" s="253"/>
      <c r="U6" s="253"/>
      <c r="V6" s="253"/>
      <c r="W6" s="253"/>
      <c r="X6" s="253"/>
      <c r="Y6" s="253"/>
    </row>
    <row r="7" spans="1:25" x14ac:dyDescent="0.25">
      <c r="B7" s="527" t="s">
        <v>244</v>
      </c>
      <c r="C7" s="528"/>
      <c r="P7" t="s">
        <v>245</v>
      </c>
    </row>
    <row r="8" spans="1:25" x14ac:dyDescent="0.25">
      <c r="B8" s="195" t="s">
        <v>246</v>
      </c>
      <c r="C8" s="196">
        <v>10935</v>
      </c>
      <c r="P8" t="s">
        <v>247</v>
      </c>
    </row>
    <row r="9" spans="1:25" x14ac:dyDescent="0.25">
      <c r="B9" s="195" t="s">
        <v>248</v>
      </c>
      <c r="C9" s="196">
        <v>7677</v>
      </c>
      <c r="P9" t="s">
        <v>249</v>
      </c>
    </row>
    <row r="10" spans="1:25" ht="15.75" thickBot="1" x14ac:dyDescent="0.3">
      <c r="B10" s="197" t="s">
        <v>250</v>
      </c>
      <c r="C10" s="202">
        <f>C8+C9</f>
        <v>18612</v>
      </c>
      <c r="P10" t="s">
        <v>251</v>
      </c>
    </row>
    <row r="11" spans="1:25" x14ac:dyDescent="0.25">
      <c r="B11" t="s">
        <v>252</v>
      </c>
    </row>
    <row r="13" spans="1:25" ht="15.75" thickBot="1" x14ac:dyDescent="0.3">
      <c r="C13" s="529" t="s">
        <v>253</v>
      </c>
      <c r="D13" s="529"/>
      <c r="E13" s="530" t="s">
        <v>254</v>
      </c>
      <c r="F13" s="530"/>
    </row>
    <row r="14" spans="1:25" ht="30" x14ac:dyDescent="0.25">
      <c r="B14" s="328" t="s">
        <v>255</v>
      </c>
      <c r="C14" s="348" t="s">
        <v>256</v>
      </c>
      <c r="D14" s="329" t="s">
        <v>128</v>
      </c>
      <c r="E14" s="338" t="s">
        <v>256</v>
      </c>
      <c r="F14" s="329" t="s">
        <v>128</v>
      </c>
      <c r="G14" s="333" t="s">
        <v>173</v>
      </c>
      <c r="I14" s="519" t="s">
        <v>257</v>
      </c>
      <c r="J14" s="520"/>
      <c r="K14" s="521"/>
      <c r="P14" s="257" t="s">
        <v>143</v>
      </c>
      <c r="Q14" s="253"/>
      <c r="R14" s="253"/>
      <c r="S14" s="253"/>
      <c r="T14" s="253"/>
      <c r="U14" s="253"/>
      <c r="V14" s="253"/>
      <c r="W14" s="253"/>
      <c r="X14" s="253"/>
    </row>
    <row r="15" spans="1:25" ht="14.45" customHeight="1" x14ac:dyDescent="0.25">
      <c r="B15" s="343" t="s">
        <v>198</v>
      </c>
      <c r="C15" s="349">
        <v>1.2999999999999999E-2</v>
      </c>
      <c r="D15" s="342">
        <f t="shared" ref="D15:D21" si="0">C15*$C$10</f>
        <v>241.95599999999999</v>
      </c>
      <c r="E15" s="339">
        <v>1.3999999999999999E-2</v>
      </c>
      <c r="F15" s="336">
        <f t="shared" ref="F15:F21" si="1">E15*$C$10</f>
        <v>260.56799999999998</v>
      </c>
      <c r="G15" s="334">
        <f>D15+F15</f>
        <v>502.524</v>
      </c>
      <c r="I15" s="522"/>
      <c r="J15" s="514"/>
      <c r="K15" s="523"/>
      <c r="P15" t="s">
        <v>258</v>
      </c>
    </row>
    <row r="16" spans="1:25" x14ac:dyDescent="0.25">
      <c r="B16" s="344" t="s">
        <v>200</v>
      </c>
      <c r="C16" s="350">
        <v>2.3E-2</v>
      </c>
      <c r="D16" s="336">
        <f t="shared" si="0"/>
        <v>428.07599999999996</v>
      </c>
      <c r="E16" s="339">
        <v>2.7999999999999997E-2</v>
      </c>
      <c r="F16" s="336">
        <f t="shared" si="1"/>
        <v>521.13599999999997</v>
      </c>
      <c r="G16" s="334">
        <f t="shared" ref="G16:G21" si="2">D16+F16</f>
        <v>949.21199999999999</v>
      </c>
      <c r="I16" s="522"/>
      <c r="J16" s="514"/>
      <c r="K16" s="523"/>
    </row>
    <row r="17" spans="2:12" x14ac:dyDescent="0.25">
      <c r="B17" s="344" t="s">
        <v>202</v>
      </c>
      <c r="C17" s="350">
        <v>4.2000000000000003E-2</v>
      </c>
      <c r="D17" s="336">
        <f t="shared" si="0"/>
        <v>781.70400000000006</v>
      </c>
      <c r="E17" s="339">
        <v>7.4999999999999997E-2</v>
      </c>
      <c r="F17" s="336">
        <f t="shared" si="1"/>
        <v>1395.8999999999999</v>
      </c>
      <c r="G17" s="334">
        <f t="shared" si="2"/>
        <v>2177.6039999999998</v>
      </c>
      <c r="I17" s="522"/>
      <c r="J17" s="514"/>
      <c r="K17" s="523"/>
    </row>
    <row r="18" spans="2:12" x14ac:dyDescent="0.25">
      <c r="B18" s="344" t="s">
        <v>204</v>
      </c>
      <c r="C18" s="350">
        <v>7.0999999999999994E-2</v>
      </c>
      <c r="D18" s="336">
        <f t="shared" si="0"/>
        <v>1321.4519999999998</v>
      </c>
      <c r="E18" s="339">
        <v>0.156</v>
      </c>
      <c r="F18" s="336">
        <f t="shared" si="1"/>
        <v>2903.4720000000002</v>
      </c>
      <c r="G18" s="334">
        <f t="shared" si="2"/>
        <v>4224.924</v>
      </c>
      <c r="I18" s="522"/>
      <c r="J18" s="514"/>
      <c r="K18" s="523"/>
    </row>
    <row r="19" spans="2:12" x14ac:dyDescent="0.25">
      <c r="B19" s="344" t="s">
        <v>206</v>
      </c>
      <c r="C19" s="350">
        <v>8.6999999999999994E-2</v>
      </c>
      <c r="D19" s="336">
        <f t="shared" si="0"/>
        <v>1619.2439999999999</v>
      </c>
      <c r="E19" s="339">
        <v>0.2</v>
      </c>
      <c r="F19" s="336">
        <f t="shared" si="1"/>
        <v>3722.4</v>
      </c>
      <c r="G19" s="334">
        <f t="shared" si="2"/>
        <v>5341.6440000000002</v>
      </c>
      <c r="I19" s="522"/>
      <c r="J19" s="514"/>
      <c r="K19" s="523"/>
    </row>
    <row r="20" spans="2:12" x14ac:dyDescent="0.25">
      <c r="B20" s="344" t="s">
        <v>207</v>
      </c>
      <c r="C20" s="350">
        <v>6.6000000000000003E-2</v>
      </c>
      <c r="D20" s="336">
        <f t="shared" si="0"/>
        <v>1228.3920000000001</v>
      </c>
      <c r="E20" s="339">
        <v>0.17100000000000001</v>
      </c>
      <c r="F20" s="336">
        <f t="shared" si="1"/>
        <v>3182.652</v>
      </c>
      <c r="G20" s="334">
        <f t="shared" si="2"/>
        <v>4411.0439999999999</v>
      </c>
      <c r="I20" s="522"/>
      <c r="J20" s="514"/>
      <c r="K20" s="523"/>
    </row>
    <row r="21" spans="2:12" ht="15.75" thickBot="1" x14ac:dyDescent="0.3">
      <c r="B21" s="345" t="s">
        <v>189</v>
      </c>
      <c r="C21" s="351">
        <v>1.6E-2</v>
      </c>
      <c r="D21" s="337">
        <f t="shared" si="0"/>
        <v>297.79200000000003</v>
      </c>
      <c r="E21" s="340">
        <v>3.9E-2</v>
      </c>
      <c r="F21" s="337">
        <f t="shared" si="1"/>
        <v>725.86800000000005</v>
      </c>
      <c r="G21" s="335">
        <f t="shared" si="2"/>
        <v>1023.6600000000001</v>
      </c>
      <c r="I21" s="522"/>
      <c r="J21" s="514"/>
      <c r="K21" s="523"/>
    </row>
    <row r="22" spans="2:12" x14ac:dyDescent="0.25">
      <c r="B22" s="346" t="s">
        <v>173</v>
      </c>
      <c r="C22" s="352"/>
      <c r="D22" s="353">
        <f>SUM(D15:D21)</f>
        <v>5918.616</v>
      </c>
      <c r="E22" s="354"/>
      <c r="F22" s="353">
        <f>SUM(F15:F21)</f>
        <v>12711.996000000001</v>
      </c>
      <c r="G22" s="353">
        <f>SUM(G15:G21)</f>
        <v>18630.611999999997</v>
      </c>
      <c r="I22" s="522"/>
      <c r="J22" s="514"/>
      <c r="K22" s="523"/>
    </row>
    <row r="23" spans="2:12" ht="15.75" thickBot="1" x14ac:dyDescent="0.3">
      <c r="B23" s="347" t="s">
        <v>259</v>
      </c>
      <c r="C23" s="332"/>
      <c r="D23" s="332"/>
      <c r="E23" s="341"/>
      <c r="F23" s="332"/>
      <c r="G23" s="355">
        <f>C10</f>
        <v>18612</v>
      </c>
      <c r="I23" s="522"/>
      <c r="J23" s="514"/>
      <c r="K23" s="523"/>
    </row>
    <row r="24" spans="2:12" ht="14.45" customHeight="1" thickBot="1" x14ac:dyDescent="0.3">
      <c r="B24" s="331"/>
      <c r="I24" s="524"/>
      <c r="J24" s="525"/>
      <c r="K24" s="526"/>
    </row>
    <row r="25" spans="2:12" ht="15.75" thickTop="1" x14ac:dyDescent="0.25">
      <c r="B25" s="331"/>
    </row>
    <row r="26" spans="2:12" x14ac:dyDescent="0.25">
      <c r="B26" s="331"/>
    </row>
    <row r="27" spans="2:12" ht="14.45" customHeight="1" x14ac:dyDescent="0.25">
      <c r="B27" s="331"/>
    </row>
    <row r="28" spans="2:12" x14ac:dyDescent="0.25">
      <c r="B28" s="14" t="s">
        <v>260</v>
      </c>
    </row>
    <row r="29" spans="2:12" x14ac:dyDescent="0.25">
      <c r="B29" s="14" t="s">
        <v>261</v>
      </c>
    </row>
    <row r="30" spans="2:12" ht="30" customHeight="1" thickBot="1" x14ac:dyDescent="0.3">
      <c r="B30" t="s">
        <v>262</v>
      </c>
    </row>
    <row r="31" spans="2:12" ht="30.75" customHeight="1" thickTop="1" x14ac:dyDescent="0.25">
      <c r="B31" s="203" t="s">
        <v>263</v>
      </c>
      <c r="C31" s="204" t="s">
        <v>264</v>
      </c>
      <c r="D31" s="289" t="s">
        <v>265</v>
      </c>
      <c r="E31" s="290"/>
      <c r="F31" s="291"/>
      <c r="G31" s="356"/>
      <c r="I31" s="519" t="s">
        <v>266</v>
      </c>
      <c r="J31" s="520"/>
      <c r="K31" s="521"/>
      <c r="L31" s="200"/>
    </row>
    <row r="32" spans="2:12" x14ac:dyDescent="0.25">
      <c r="B32" s="203" t="s">
        <v>233</v>
      </c>
      <c r="C32" s="223">
        <v>212526</v>
      </c>
      <c r="D32" s="534" t="s">
        <v>267</v>
      </c>
      <c r="E32" s="535"/>
      <c r="F32" s="536"/>
      <c r="G32" s="357"/>
      <c r="I32" s="522"/>
      <c r="J32" s="514"/>
      <c r="K32" s="523"/>
    </row>
    <row r="33" spans="2:21" x14ac:dyDescent="0.25">
      <c r="B33" s="203" t="s">
        <v>268</v>
      </c>
      <c r="C33" s="223">
        <v>22583</v>
      </c>
      <c r="D33" s="534" t="s">
        <v>269</v>
      </c>
      <c r="E33" s="535"/>
      <c r="F33" s="536"/>
      <c r="G33" s="357"/>
      <c r="I33" s="522"/>
      <c r="J33" s="514"/>
      <c r="K33" s="523"/>
    </row>
    <row r="34" spans="2:21" x14ac:dyDescent="0.25">
      <c r="B34" s="203" t="s">
        <v>173</v>
      </c>
      <c r="C34" s="224">
        <f>SUM(C32:C33)</f>
        <v>235109</v>
      </c>
      <c r="D34" s="531" t="s">
        <v>270</v>
      </c>
      <c r="E34" s="532"/>
      <c r="F34" s="533"/>
      <c r="G34" s="357"/>
      <c r="I34" s="522"/>
      <c r="J34" s="514"/>
      <c r="K34" s="523"/>
    </row>
    <row r="35" spans="2:21" ht="14.45" customHeight="1" x14ac:dyDescent="0.25">
      <c r="B35" s="203"/>
      <c r="C35" s="286"/>
      <c r="D35" s="287"/>
      <c r="E35" s="287"/>
      <c r="F35" s="288"/>
      <c r="G35" s="358"/>
      <c r="I35" s="522"/>
      <c r="J35" s="514"/>
      <c r="K35" s="523"/>
    </row>
    <row r="36" spans="2:21" ht="30" customHeight="1" x14ac:dyDescent="0.25">
      <c r="G36" s="330"/>
      <c r="I36" s="522"/>
      <c r="J36" s="514"/>
      <c r="K36" s="523"/>
    </row>
    <row r="37" spans="2:21" ht="15.75" thickBot="1" x14ac:dyDescent="0.3">
      <c r="B37" t="s">
        <v>271</v>
      </c>
      <c r="I37" s="524"/>
      <c r="J37" s="525"/>
      <c r="K37" s="526"/>
    </row>
    <row r="38" spans="2:21" ht="15.75" thickTop="1" x14ac:dyDescent="0.25">
      <c r="B38" s="128"/>
      <c r="C38" s="199" t="s">
        <v>272</v>
      </c>
      <c r="D38" s="128"/>
    </row>
    <row r="39" spans="2:21" x14ac:dyDescent="0.25">
      <c r="B39" s="199" t="s">
        <v>198</v>
      </c>
      <c r="C39" s="225">
        <f t="array" ref="C39:C45">adm_AgeDist3</f>
        <v>2.5501542604300279E-2</v>
      </c>
      <c r="D39" s="127">
        <f t="shared" ref="D39:D45" si="3">C39*$C$34</f>
        <v>5995.6421801544338</v>
      </c>
    </row>
    <row r="40" spans="2:21" x14ac:dyDescent="0.25">
      <c r="B40" s="199" t="s">
        <v>200</v>
      </c>
      <c r="C40" s="225">
        <v>3.9706336185633004E-2</v>
      </c>
      <c r="D40" s="127">
        <f t="shared" si="3"/>
        <v>9335.3169942679906</v>
      </c>
    </row>
    <row r="41" spans="2:21" x14ac:dyDescent="0.25">
      <c r="B41" s="199" t="s">
        <v>202</v>
      </c>
      <c r="C41" s="225">
        <v>6.7146507779042061E-2</v>
      </c>
      <c r="D41" s="127">
        <f t="shared" si="3"/>
        <v>15786.748297422801</v>
      </c>
    </row>
    <row r="42" spans="2:21" x14ac:dyDescent="0.25">
      <c r="B42" s="199" t="s">
        <v>204</v>
      </c>
      <c r="C42" s="225">
        <v>0.12487578024952353</v>
      </c>
      <c r="D42" s="127">
        <f t="shared" si="3"/>
        <v>29359.41981868523</v>
      </c>
      <c r="U42" s="126"/>
    </row>
    <row r="43" spans="2:21" x14ac:dyDescent="0.25">
      <c r="B43" s="199" t="s">
        <v>206</v>
      </c>
      <c r="C43" s="225">
        <v>0.17074273828267519</v>
      </c>
      <c r="D43" s="127">
        <f t="shared" si="3"/>
        <v>40143.15445490148</v>
      </c>
    </row>
    <row r="44" spans="2:21" ht="15" customHeight="1" x14ac:dyDescent="0.25">
      <c r="B44" s="199" t="s">
        <v>207</v>
      </c>
      <c r="C44" s="225">
        <v>0.23474336009939392</v>
      </c>
      <c r="D44" s="127">
        <f t="shared" si="3"/>
        <v>55190.276649608408</v>
      </c>
      <c r="M44" s="201"/>
    </row>
    <row r="45" spans="2:21" x14ac:dyDescent="0.25">
      <c r="B45" s="199" t="s">
        <v>189</v>
      </c>
      <c r="C45" s="225">
        <v>0.33728373479943197</v>
      </c>
      <c r="D45" s="127">
        <f t="shared" si="3"/>
        <v>79298.441604959648</v>
      </c>
    </row>
    <row r="46" spans="2:21" x14ac:dyDescent="0.25">
      <c r="B46" s="199" t="s">
        <v>173</v>
      </c>
      <c r="C46" s="229">
        <f>SUM(C39:C45)</f>
        <v>0.99999999999999989</v>
      </c>
      <c r="D46" s="226">
        <f>SUM(D39:D45)</f>
        <v>235109</v>
      </c>
      <c r="E46" s="98"/>
    </row>
    <row r="47" spans="2:21" x14ac:dyDescent="0.25">
      <c r="B47" s="227" t="s">
        <v>259</v>
      </c>
      <c r="C47" s="230">
        <v>1</v>
      </c>
      <c r="D47" s="226">
        <f>C34</f>
        <v>235109</v>
      </c>
      <c r="M47" s="126"/>
    </row>
    <row r="50" spans="2:12" ht="15.75" thickBot="1" x14ac:dyDescent="0.3">
      <c r="B50" t="s">
        <v>273</v>
      </c>
    </row>
    <row r="51" spans="2:12" x14ac:dyDescent="0.25">
      <c r="B51" s="138" t="s">
        <v>274</v>
      </c>
      <c r="C51" s="128"/>
      <c r="I51" s="519" t="s">
        <v>275</v>
      </c>
      <c r="J51" s="520"/>
      <c r="K51" s="521"/>
    </row>
    <row r="52" spans="2:12" x14ac:dyDescent="0.25">
      <c r="B52" s="138" t="s">
        <v>198</v>
      </c>
      <c r="C52" s="231">
        <f>G15/D39</f>
        <v>8.3814875020953333E-2</v>
      </c>
      <c r="I52" s="522"/>
      <c r="J52" s="514"/>
      <c r="K52" s="523"/>
    </row>
    <row r="53" spans="2:12" x14ac:dyDescent="0.25">
      <c r="B53" s="138" t="s">
        <v>200</v>
      </c>
      <c r="C53" s="231">
        <f t="shared" ref="C53:C59" si="4">G16/D40</f>
        <v>0.10167967521433165</v>
      </c>
      <c r="I53" s="522"/>
      <c r="J53" s="514"/>
      <c r="K53" s="523"/>
    </row>
    <row r="54" spans="2:12" x14ac:dyDescent="0.25">
      <c r="B54" s="138" t="s">
        <v>202</v>
      </c>
      <c r="C54" s="231">
        <f t="shared" si="4"/>
        <v>0.13793872930472295</v>
      </c>
      <c r="I54" s="522"/>
      <c r="J54" s="514"/>
      <c r="K54" s="523"/>
    </row>
    <row r="55" spans="2:12" x14ac:dyDescent="0.25">
      <c r="B55" s="138" t="s">
        <v>204</v>
      </c>
      <c r="C55" s="231">
        <f t="shared" si="4"/>
        <v>0.14390352486840116</v>
      </c>
      <c r="I55" s="522"/>
      <c r="J55" s="514"/>
      <c r="K55" s="523"/>
    </row>
    <row r="56" spans="2:12" x14ac:dyDescent="0.25">
      <c r="B56" s="138" t="s">
        <v>206</v>
      </c>
      <c r="C56" s="231">
        <f t="shared" si="4"/>
        <v>0.13306487924363367</v>
      </c>
      <c r="I56" s="522"/>
      <c r="J56" s="514"/>
      <c r="K56" s="523"/>
    </row>
    <row r="57" spans="2:12" x14ac:dyDescent="0.25">
      <c r="B57" s="138" t="s">
        <v>207</v>
      </c>
      <c r="C57" s="231">
        <f t="shared" si="4"/>
        <v>7.9924295868361042E-2</v>
      </c>
      <c r="I57" s="522"/>
      <c r="J57" s="514"/>
      <c r="K57" s="523"/>
    </row>
    <row r="58" spans="2:12" ht="15.75" thickBot="1" x14ac:dyDescent="0.3">
      <c r="B58" s="138" t="s">
        <v>189</v>
      </c>
      <c r="C58" s="231">
        <f t="shared" si="4"/>
        <v>1.290895482031738E-2</v>
      </c>
      <c r="I58" s="524"/>
      <c r="J58" s="525"/>
      <c r="K58" s="526"/>
    </row>
    <row r="59" spans="2:12" ht="15.75" thickTop="1" x14ac:dyDescent="0.25">
      <c r="B59" s="138" t="s">
        <v>276</v>
      </c>
      <c r="C59" s="231">
        <f t="shared" si="4"/>
        <v>7.9242444993598699E-2</v>
      </c>
    </row>
    <row r="61" spans="2:12" x14ac:dyDescent="0.25">
      <c r="B61" t="s">
        <v>277</v>
      </c>
    </row>
    <row r="62" spans="2:12" x14ac:dyDescent="0.25">
      <c r="B62" s="292" t="s">
        <v>150</v>
      </c>
      <c r="C62" s="292" t="s">
        <v>128</v>
      </c>
      <c r="D62" s="292" t="s">
        <v>278</v>
      </c>
    </row>
    <row r="63" spans="2:12" ht="15.75" thickBot="1" x14ac:dyDescent="0.3">
      <c r="B63" s="292" t="s">
        <v>179</v>
      </c>
      <c r="C63" s="205">
        <v>0</v>
      </c>
      <c r="D63" s="205">
        <f t="shared" ref="D63:D79" si="5">1-C63</f>
        <v>1</v>
      </c>
    </row>
    <row r="64" spans="2:12" ht="15" customHeight="1" thickTop="1" x14ac:dyDescent="0.25">
      <c r="B64" s="292" t="s">
        <v>182</v>
      </c>
      <c r="C64" s="205">
        <v>0</v>
      </c>
      <c r="D64" s="205">
        <f t="shared" si="5"/>
        <v>1</v>
      </c>
      <c r="I64" s="519" t="s">
        <v>279</v>
      </c>
      <c r="J64" s="520"/>
      <c r="K64" s="520"/>
      <c r="L64" s="521"/>
    </row>
    <row r="65" spans="2:12" x14ac:dyDescent="0.25">
      <c r="B65" s="292" t="s">
        <v>184</v>
      </c>
      <c r="C65" s="205">
        <v>0</v>
      </c>
      <c r="D65" s="205">
        <f t="shared" si="5"/>
        <v>1</v>
      </c>
      <c r="I65" s="522"/>
      <c r="J65" s="514"/>
      <c r="K65" s="514"/>
      <c r="L65" s="523"/>
    </row>
    <row r="66" spans="2:12" x14ac:dyDescent="0.25">
      <c r="B66" s="292" t="s">
        <v>186</v>
      </c>
      <c r="C66" s="205">
        <f>C52</f>
        <v>8.3814875020953333E-2</v>
      </c>
      <c r="D66" s="205">
        <f t="shared" si="5"/>
        <v>0.91618512497904669</v>
      </c>
      <c r="I66" s="522"/>
      <c r="J66" s="514"/>
      <c r="K66" s="514"/>
      <c r="L66" s="523"/>
    </row>
    <row r="67" spans="2:12" x14ac:dyDescent="0.25">
      <c r="B67" s="292" t="s">
        <v>188</v>
      </c>
      <c r="C67" s="205">
        <f>C52</f>
        <v>8.3814875020953333E-2</v>
      </c>
      <c r="D67" s="205">
        <f t="shared" si="5"/>
        <v>0.91618512497904669</v>
      </c>
      <c r="I67" s="522"/>
      <c r="J67" s="514"/>
      <c r="K67" s="514"/>
      <c r="L67" s="523"/>
    </row>
    <row r="68" spans="2:12" x14ac:dyDescent="0.25">
      <c r="B68" s="292" t="s">
        <v>190</v>
      </c>
      <c r="C68" s="205">
        <f>C52</f>
        <v>8.3814875020953333E-2</v>
      </c>
      <c r="D68" s="205">
        <f t="shared" si="5"/>
        <v>0.91618512497904669</v>
      </c>
      <c r="I68" s="522"/>
      <c r="J68" s="514"/>
      <c r="K68" s="514"/>
      <c r="L68" s="523"/>
    </row>
    <row r="69" spans="2:12" x14ac:dyDescent="0.25">
      <c r="B69" s="292" t="s">
        <v>191</v>
      </c>
      <c r="C69" s="205">
        <f>C53</f>
        <v>0.10167967521433165</v>
      </c>
      <c r="D69" s="205">
        <f t="shared" si="5"/>
        <v>0.89832032478566837</v>
      </c>
      <c r="I69" s="522"/>
      <c r="J69" s="514"/>
      <c r="K69" s="514"/>
      <c r="L69" s="523"/>
    </row>
    <row r="70" spans="2:12" x14ac:dyDescent="0.25">
      <c r="B70" s="292" t="s">
        <v>192</v>
      </c>
      <c r="C70" s="205">
        <f>C53</f>
        <v>0.10167967521433165</v>
      </c>
      <c r="D70" s="205">
        <f t="shared" si="5"/>
        <v>0.89832032478566837</v>
      </c>
      <c r="I70" s="522"/>
      <c r="J70" s="514"/>
      <c r="K70" s="514"/>
      <c r="L70" s="523"/>
    </row>
    <row r="71" spans="2:12" x14ac:dyDescent="0.25">
      <c r="B71" s="292" t="s">
        <v>193</v>
      </c>
      <c r="C71" s="205">
        <f>C54</f>
        <v>0.13793872930472295</v>
      </c>
      <c r="D71" s="205">
        <f t="shared" si="5"/>
        <v>0.86206127069527705</v>
      </c>
      <c r="I71" s="522"/>
      <c r="J71" s="514"/>
      <c r="K71" s="514"/>
      <c r="L71" s="523"/>
    </row>
    <row r="72" spans="2:12" x14ac:dyDescent="0.25">
      <c r="B72" s="292" t="s">
        <v>194</v>
      </c>
      <c r="C72" s="205">
        <f>C54</f>
        <v>0.13793872930472295</v>
      </c>
      <c r="D72" s="205">
        <f t="shared" si="5"/>
        <v>0.86206127069527705</v>
      </c>
      <c r="I72" s="522"/>
      <c r="J72" s="514"/>
      <c r="K72" s="514"/>
      <c r="L72" s="523"/>
    </row>
    <row r="73" spans="2:12" ht="15.75" thickBot="1" x14ac:dyDescent="0.3">
      <c r="B73" s="292" t="s">
        <v>195</v>
      </c>
      <c r="C73" s="205">
        <f>C55</f>
        <v>0.14390352486840116</v>
      </c>
      <c r="D73" s="205">
        <f t="shared" si="5"/>
        <v>0.85609647513159881</v>
      </c>
      <c r="I73" s="524"/>
      <c r="J73" s="525"/>
      <c r="K73" s="525"/>
      <c r="L73" s="526"/>
    </row>
    <row r="74" spans="2:12" ht="15.75" thickTop="1" x14ac:dyDescent="0.25">
      <c r="B74" s="292" t="s">
        <v>197</v>
      </c>
      <c r="C74" s="205">
        <f>C55</f>
        <v>0.14390352486840116</v>
      </c>
      <c r="D74" s="205">
        <f t="shared" si="5"/>
        <v>0.85609647513159881</v>
      </c>
    </row>
    <row r="75" spans="2:12" x14ac:dyDescent="0.25">
      <c r="B75" s="292" t="s">
        <v>199</v>
      </c>
      <c r="C75" s="205">
        <f>C56</f>
        <v>0.13306487924363367</v>
      </c>
      <c r="D75" s="205">
        <f t="shared" si="5"/>
        <v>0.86693512075636636</v>
      </c>
    </row>
    <row r="76" spans="2:12" x14ac:dyDescent="0.25">
      <c r="B76" s="292" t="s">
        <v>201</v>
      </c>
      <c r="C76" s="205">
        <f>C56</f>
        <v>0.13306487924363367</v>
      </c>
      <c r="D76" s="205">
        <f t="shared" si="5"/>
        <v>0.86693512075636636</v>
      </c>
    </row>
    <row r="77" spans="2:12" ht="15.75" customHeight="1" x14ac:dyDescent="0.25">
      <c r="B77" s="292" t="s">
        <v>203</v>
      </c>
      <c r="C77" s="205">
        <f>C57</f>
        <v>7.9924295868361042E-2</v>
      </c>
      <c r="D77" s="205">
        <f t="shared" si="5"/>
        <v>0.92007570413163897</v>
      </c>
    </row>
    <row r="78" spans="2:12" x14ac:dyDescent="0.25">
      <c r="B78" s="292" t="s">
        <v>205</v>
      </c>
      <c r="C78" s="205">
        <f>C57</f>
        <v>7.9924295868361042E-2</v>
      </c>
      <c r="D78" s="205">
        <f t="shared" si="5"/>
        <v>0.92007570413163897</v>
      </c>
    </row>
    <row r="79" spans="2:12" x14ac:dyDescent="0.25">
      <c r="B79" s="292" t="s">
        <v>189</v>
      </c>
      <c r="C79" s="205">
        <f>C58</f>
        <v>1.290895482031738E-2</v>
      </c>
      <c r="D79" s="205">
        <f t="shared" si="5"/>
        <v>0.9870910451796826</v>
      </c>
    </row>
  </sheetData>
  <mergeCells count="10">
    <mergeCell ref="I14:K24"/>
    <mergeCell ref="B7:C7"/>
    <mergeCell ref="C13:D13"/>
    <mergeCell ref="E13:F13"/>
    <mergeCell ref="I64:L73"/>
    <mergeCell ref="D34:F34"/>
    <mergeCell ref="D32:F32"/>
    <mergeCell ref="D33:F33"/>
    <mergeCell ref="I31:K37"/>
    <mergeCell ref="I51:K58"/>
  </mergeCells>
  <hyperlinks>
    <hyperlink ref="B5" r:id="rId1" xr:uid="{E5585EFE-DFF4-4C76-8B93-5CE6461F80B1}"/>
    <hyperlink ref="D32" r:id="rId2" xr:uid="{BFE41D7E-898D-4CA2-A161-2E83BE352B1F}"/>
    <hyperlink ref="D33" r:id="rId3" xr:uid="{CFA5DA5C-190D-4242-8149-ABF1FCC42D6C}"/>
  </hyperlinks>
  <pageMargins left="0.7" right="0.7" top="0.75" bottom="0.75" header="0.3" footer="0.3"/>
  <pageSetup paperSize="9" orientation="portrait" r:id="rId4"/>
  <headerFooter>
    <oddHeader>&amp;L&amp;"Calibri"&amp;12&amp;K008000Classification: Public&amp;1#</oddHeader>
  </headerFooter>
  <legacyDrawing r:id="rId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15351-3CB5-4AEA-8793-965269C2C268}">
  <sheetPr codeName="Sheet7">
    <tabColor theme="5" tint="0.79998168889431442"/>
  </sheetPr>
  <dimension ref="A1:Z125"/>
  <sheetViews>
    <sheetView showGridLines="0" topLeftCell="A64" zoomScale="90" zoomScaleNormal="90" workbookViewId="0">
      <selection activeCell="D20" sqref="D20"/>
    </sheetView>
  </sheetViews>
  <sheetFormatPr defaultRowHeight="15" x14ac:dyDescent="0.25"/>
  <cols>
    <col min="1" max="1" width="17.28515625" bestFit="1" customWidth="1"/>
  </cols>
  <sheetData>
    <row r="1" spans="1:26" ht="26.25" x14ac:dyDescent="0.4">
      <c r="A1" s="448"/>
      <c r="B1" s="448" t="s">
        <v>280</v>
      </c>
      <c r="C1" s="253"/>
      <c r="D1" s="253"/>
      <c r="E1" s="253"/>
      <c r="F1" s="253"/>
      <c r="G1" s="253"/>
      <c r="H1" s="253"/>
      <c r="I1" s="253"/>
      <c r="J1" s="253"/>
      <c r="K1" s="253"/>
      <c r="L1" s="253"/>
      <c r="M1" s="253"/>
      <c r="N1" s="253"/>
      <c r="O1" s="253"/>
      <c r="P1" s="253"/>
      <c r="Q1" s="253"/>
      <c r="R1" s="253"/>
      <c r="S1" s="253"/>
      <c r="T1" s="253"/>
      <c r="U1" s="253"/>
      <c r="V1" s="253"/>
      <c r="W1" s="253"/>
      <c r="X1" s="253"/>
      <c r="Y1" s="253"/>
      <c r="Z1" s="253"/>
    </row>
    <row r="2" spans="1:26" ht="18.75" x14ac:dyDescent="0.3">
      <c r="A2" s="410" t="s">
        <v>281</v>
      </c>
    </row>
    <row r="3" spans="1:26" ht="18.75" x14ac:dyDescent="0.3">
      <c r="A3" s="410" t="s">
        <v>282</v>
      </c>
    </row>
    <row r="4" spans="1:26" ht="18.75" x14ac:dyDescent="0.3">
      <c r="A4" s="410"/>
    </row>
    <row r="5" spans="1:26" x14ac:dyDescent="0.25">
      <c r="A5" t="s">
        <v>283</v>
      </c>
    </row>
    <row r="6" spans="1:26" x14ac:dyDescent="0.25">
      <c r="A6" s="133" t="s">
        <v>231</v>
      </c>
      <c r="B6" s="133" t="s">
        <v>232</v>
      </c>
      <c r="C6" s="137" t="s">
        <v>82</v>
      </c>
      <c r="D6" s="292" t="s">
        <v>179</v>
      </c>
      <c r="E6" s="138" t="s">
        <v>182</v>
      </c>
      <c r="F6" s="138" t="s">
        <v>184</v>
      </c>
      <c r="G6" s="138" t="s">
        <v>186</v>
      </c>
      <c r="H6" s="138" t="s">
        <v>188</v>
      </c>
      <c r="I6" s="138" t="s">
        <v>190</v>
      </c>
      <c r="J6" s="138" t="s">
        <v>191</v>
      </c>
      <c r="K6" s="138" t="s">
        <v>192</v>
      </c>
      <c r="L6" s="138" t="s">
        <v>193</v>
      </c>
      <c r="M6" s="138" t="s">
        <v>194</v>
      </c>
      <c r="N6" s="138" t="s">
        <v>195</v>
      </c>
      <c r="O6" s="138" t="s">
        <v>197</v>
      </c>
      <c r="P6" s="138" t="s">
        <v>199</v>
      </c>
      <c r="Q6" s="138" t="s">
        <v>201</v>
      </c>
      <c r="R6" s="138" t="s">
        <v>203</v>
      </c>
      <c r="S6" s="138" t="s">
        <v>205</v>
      </c>
      <c r="T6" s="138" t="s">
        <v>189</v>
      </c>
    </row>
    <row r="7" spans="1:26" ht="15.75" thickBot="1" x14ac:dyDescent="0.3">
      <c r="A7" s="139">
        <v>44104</v>
      </c>
      <c r="B7" s="130" t="s">
        <v>233</v>
      </c>
      <c r="C7" s="137">
        <f>SUM(D7:T7)</f>
        <v>2611.1802359727544</v>
      </c>
      <c r="D7" s="136">
        <f>'New patients in hospital'!D5*VLOOKUP(D$6,'Splitting Admissions CCU Ward'!$B$62:$D$79,3,FALSE)</f>
        <v>15.573787625650155</v>
      </c>
      <c r="E7" s="136">
        <f>'New patients in hospital'!E5*VLOOKUP(E$6,'Splitting Admissions CCU Ward'!$B$62:$D$79,3,FALSE)</f>
        <v>10.147226093519478</v>
      </c>
      <c r="F7" s="136">
        <f>'New patients in hospital'!F5*VLOOKUP(F$6,'Splitting Admissions CCU Ward'!$B$62:$D$79,3,FALSE)</f>
        <v>8.1117280698088283</v>
      </c>
      <c r="G7" s="136">
        <f>'New patients in hospital'!G5*VLOOKUP(G$6,'Splitting Admissions CCU Ward'!$B$62:$D$79,3,FALSE)</f>
        <v>10.77296233352283</v>
      </c>
      <c r="H7" s="136">
        <f>'New patients in hospital'!H5*VLOOKUP(H$6,'Splitting Admissions CCU Ward'!$B$62:$D$79,3,FALSE)</f>
        <v>22.843270308808272</v>
      </c>
      <c r="I7" s="136">
        <f>'New patients in hospital'!I5*VLOOKUP(I$6,'Splitting Admissions CCU Ward'!$B$62:$D$79,3,FALSE)</f>
        <v>33.132469917013111</v>
      </c>
      <c r="J7" s="136">
        <f>'New patients in hospital'!J5*VLOOKUP(J$6,'Splitting Admissions CCU Ward'!$B$62:$D$79,3,FALSE)</f>
        <v>43.264372074135828</v>
      </c>
      <c r="K7" s="136">
        <f>'New patients in hospital'!K5*VLOOKUP(K$6,'Splitting Admissions CCU Ward'!$B$62:$D$79,3,FALSE)</f>
        <v>56.525272402098828</v>
      </c>
      <c r="L7" s="136">
        <f>'New patients in hospital'!L5*VLOOKUP(L$6,'Splitting Admissions CCU Ward'!$B$62:$D$79,3,FALSE)</f>
        <v>65.965511772515612</v>
      </c>
      <c r="M7" s="136">
        <f>'New patients in hospital'!M5*VLOOKUP(M$6,'Splitting Admissions CCU Ward'!$B$62:$D$79,3,FALSE)</f>
        <v>95.975183221625684</v>
      </c>
      <c r="N7" s="136">
        <f>'New patients in hospital'!N5*VLOOKUP(N$6,'Splitting Admissions CCU Ward'!$B$62:$D$79,3,FALSE)</f>
        <v>133.17079463021963</v>
      </c>
      <c r="O7" s="136">
        <f>'New patients in hospital'!O5*VLOOKUP(O$6,'Splitting Admissions CCU Ward'!$B$62:$D$79,3,FALSE)</f>
        <v>165.91470496111236</v>
      </c>
      <c r="P7" s="136">
        <f>'New patients in hospital'!P5*VLOOKUP(P$6,'Splitting Admissions CCU Ward'!$B$62:$D$79,3,FALSE)</f>
        <v>189.60695775195751</v>
      </c>
      <c r="Q7" s="136">
        <f>'New patients in hospital'!Q5*VLOOKUP(Q$6,'Splitting Admissions CCU Ward'!$B$62:$D$79,3,FALSE)</f>
        <v>224.51024658835382</v>
      </c>
      <c r="R7" s="136">
        <f>'New patients in hospital'!R5*VLOOKUP(R$6,'Splitting Admissions CCU Ward'!$B$62:$D$79,3,FALSE)</f>
        <v>313.68684416230803</v>
      </c>
      <c r="S7" s="136">
        <f>'New patients in hospital'!S5*VLOOKUP(S$6,'Splitting Admissions CCU Ward'!$B$62:$D$79,3,FALSE)</f>
        <v>290.55571854635775</v>
      </c>
      <c r="T7" s="136">
        <f>'New patients in hospital'!T5*VLOOKUP(T$6,'Splitting Admissions CCU Ward'!$B$62:$D$79,3,FALSE)</f>
        <v>931.42318551374706</v>
      </c>
    </row>
    <row r="8" spans="1:26" ht="14.45" customHeight="1" thickTop="1" x14ac:dyDescent="0.25">
      <c r="A8" s="139">
        <v>44111</v>
      </c>
      <c r="B8" s="130" t="s">
        <v>233</v>
      </c>
      <c r="C8" s="137">
        <f t="shared" ref="C8:C37" si="0">SUM(D8:T8)</f>
        <v>3909.8575930096813</v>
      </c>
      <c r="D8" s="136">
        <f>'New patients in hospital'!D6*VLOOKUP(D$6,'Splitting Admissions CCU Ward'!$B$62:$D$79,3,FALSE)</f>
        <v>23.319451855985864</v>
      </c>
      <c r="E8" s="136">
        <f>'New patients in hospital'!E6*VLOOKUP(E$6,'Splitting Admissions CCU Ward'!$B$62:$D$79,3,FALSE)</f>
        <v>15.193975675506397</v>
      </c>
      <c r="F8" s="136">
        <f>'New patients in hospital'!F6*VLOOKUP(F$6,'Splitting Admissions CCU Ward'!$B$62:$D$79,3,FALSE)</f>
        <v>12.146117356911066</v>
      </c>
      <c r="G8" s="136">
        <f>'New patients in hospital'!G6*VLOOKUP(G$6,'Splitting Admissions CCU Ward'!$B$62:$D$79,3,FALSE)</f>
        <v>16.130923479987239</v>
      </c>
      <c r="H8" s="136">
        <f>'New patients in hospital'!H6*VLOOKUP(H$6,'Splitting Admissions CCU Ward'!$B$62:$D$79,3,FALSE)</f>
        <v>34.204430868324991</v>
      </c>
      <c r="I8" s="136">
        <f>'New patients in hospital'!I6*VLOOKUP(I$6,'Splitting Admissions CCU Ward'!$B$62:$D$79,3,FALSE)</f>
        <v>49.610990959396268</v>
      </c>
      <c r="J8" s="136">
        <f>'New patients in hospital'!J6*VLOOKUP(J$6,'Splitting Admissions CCU Ward'!$B$62:$D$79,3,FALSE)</f>
        <v>64.782021298441293</v>
      </c>
      <c r="K8" s="136">
        <f>'New patients in hospital'!K6*VLOOKUP(K$6,'Splitting Admissions CCU Ward'!$B$62:$D$79,3,FALSE)</f>
        <v>84.638265276986658</v>
      </c>
      <c r="L8" s="136">
        <f>'New patients in hospital'!L6*VLOOKUP(L$6,'Splitting Admissions CCU Ward'!$B$62:$D$79,3,FALSE)</f>
        <v>98.773632523477318</v>
      </c>
      <c r="M8" s="136">
        <f>'New patients in hospital'!M6*VLOOKUP(M$6,'Splitting Admissions CCU Ward'!$B$62:$D$79,3,FALSE)</f>
        <v>143.7086929848698</v>
      </c>
      <c r="N8" s="136">
        <f>'New patients in hospital'!N6*VLOOKUP(N$6,'Splitting Admissions CCU Ward'!$B$62:$D$79,3,FALSE)</f>
        <v>199.40363954161373</v>
      </c>
      <c r="O8" s="136">
        <f>'New patients in hospital'!O6*VLOOKUP(O$6,'Splitting Admissions CCU Ward'!$B$62:$D$79,3,FALSE)</f>
        <v>248.43281978292924</v>
      </c>
      <c r="P8" s="136">
        <f>'New patients in hospital'!P6*VLOOKUP(P$6,'Splitting Admissions CCU Ward'!$B$62:$D$79,3,FALSE)</f>
        <v>283.90847680331933</v>
      </c>
      <c r="Q8" s="136">
        <f>'New patients in hospital'!Q6*VLOOKUP(Q$6,'Splitting Admissions CCU Ward'!$B$62:$D$79,3,FALSE)</f>
        <v>336.17100812841403</v>
      </c>
      <c r="R8" s="136">
        <f>'New patients in hospital'!R6*VLOOKUP(R$6,'Splitting Admissions CCU Ward'!$B$62:$D$79,3,FALSE)</f>
        <v>469.69982101535845</v>
      </c>
      <c r="S8" s="136">
        <f>'New patients in hospital'!S6*VLOOKUP(S$6,'Splitting Admissions CCU Ward'!$B$62:$D$79,3,FALSE)</f>
        <v>435.0643692459052</v>
      </c>
      <c r="T8" s="136">
        <f>'New patients in hospital'!T6*VLOOKUP(T$6,'Splitting Admissions CCU Ward'!$B$62:$D$79,3,FALSE)</f>
        <v>1394.668956212254</v>
      </c>
      <c r="V8" s="519" t="s">
        <v>284</v>
      </c>
      <c r="W8" s="520"/>
      <c r="X8" s="520"/>
      <c r="Y8" s="521"/>
    </row>
    <row r="9" spans="1:26" x14ac:dyDescent="0.25">
      <c r="A9" s="139">
        <v>44118</v>
      </c>
      <c r="B9" s="130" t="s">
        <v>233</v>
      </c>
      <c r="C9" s="137">
        <f t="shared" si="0"/>
        <v>5385.5016303525617</v>
      </c>
      <c r="D9" s="136">
        <f>'New patients in hospital'!D7*VLOOKUP(D$6,'Splitting Admissions CCU Ward'!$B$62:$D$79,3,FALSE)</f>
        <v>32.120593398049365</v>
      </c>
      <c r="E9" s="136">
        <f>'New patients in hospital'!E7*VLOOKUP(E$6,'Splitting Admissions CCU Ward'!$B$62:$D$79,3,FALSE)</f>
        <v>20.928429955677483</v>
      </c>
      <c r="F9" s="136">
        <f>'New patients in hospital'!F7*VLOOKUP(F$6,'Splitting Admissions CCU Ward'!$B$62:$D$79,3,FALSE)</f>
        <v>16.730260187749025</v>
      </c>
      <c r="G9" s="136">
        <f>'New patients in hospital'!G7*VLOOKUP(G$6,'Splitting Admissions CCU Ward'!$B$62:$D$79,3,FALSE)</f>
        <v>22.218997146055031</v>
      </c>
      <c r="H9" s="136">
        <f>'New patients in hospital'!H7*VLOOKUP(H$6,'Splitting Admissions CCU Ward'!$B$62:$D$79,3,FALSE)</f>
        <v>47.113741056959668</v>
      </c>
      <c r="I9" s="136">
        <f>'New patients in hospital'!I7*VLOOKUP(I$6,'Splitting Admissions CCU Ward'!$B$62:$D$79,3,FALSE)</f>
        <v>68.334988254538516</v>
      </c>
      <c r="J9" s="136">
        <f>'New patients in hospital'!J7*VLOOKUP(J$6,'Splitting Admissions CCU Ward'!$B$62:$D$79,3,FALSE)</f>
        <v>89.231812929465463</v>
      </c>
      <c r="K9" s="136">
        <f>'New patients in hospital'!K7*VLOOKUP(K$6,'Splitting Admissions CCU Ward'!$B$62:$D$79,3,FALSE)</f>
        <v>116.58212730161083</v>
      </c>
      <c r="L9" s="136">
        <f>'New patients in hospital'!L7*VLOOKUP(L$6,'Splitting Admissions CCU Ward'!$B$62:$D$79,3,FALSE)</f>
        <v>136.05241273801931</v>
      </c>
      <c r="M9" s="136">
        <f>'New patients in hospital'!M7*VLOOKUP(M$6,'Splitting Admissions CCU Ward'!$B$62:$D$79,3,FALSE)</f>
        <v>197.94669804587321</v>
      </c>
      <c r="N9" s="136">
        <f>'New patients in hospital'!N7*VLOOKUP(N$6,'Splitting Admissions CCU Ward'!$B$62:$D$79,3,FALSE)</f>
        <v>274.66182598813032</v>
      </c>
      <c r="O9" s="136">
        <f>'New patients in hospital'!O7*VLOOKUP(O$6,'Splitting Admissions CCU Ward'!$B$62:$D$79,3,FALSE)</f>
        <v>342.19541866847146</v>
      </c>
      <c r="P9" s="136">
        <f>'New patients in hospital'!P7*VLOOKUP(P$6,'Splitting Admissions CCU Ward'!$B$62:$D$79,3,FALSE)</f>
        <v>391.06016736487391</v>
      </c>
      <c r="Q9" s="136">
        <f>'New patients in hospital'!Q7*VLOOKUP(Q$6,'Splitting Admissions CCU Ward'!$B$62:$D$79,3,FALSE)</f>
        <v>463.04743057386219</v>
      </c>
      <c r="R9" s="136">
        <f>'New patients in hospital'!R7*VLOOKUP(R$6,'Splitting Admissions CCU Ward'!$B$62:$D$79,3,FALSE)</f>
        <v>646.97219570785933</v>
      </c>
      <c r="S9" s="136">
        <f>'New patients in hospital'!S7*VLOOKUP(S$6,'Splitting Admissions CCU Ward'!$B$62:$D$79,3,FALSE)</f>
        <v>599.26475943041589</v>
      </c>
      <c r="T9" s="136">
        <f>'New patients in hospital'!T7*VLOOKUP(T$6,'Splitting Admissions CCU Ward'!$B$62:$D$79,3,FALSE)</f>
        <v>1921.0397716049504</v>
      </c>
      <c r="V9" s="522"/>
      <c r="W9" s="514"/>
      <c r="X9" s="514"/>
      <c r="Y9" s="523"/>
    </row>
    <row r="10" spans="1:26" x14ac:dyDescent="0.25">
      <c r="A10" s="139">
        <v>44125</v>
      </c>
      <c r="B10" s="130" t="s">
        <v>233</v>
      </c>
      <c r="C10" s="137">
        <f t="shared" si="0"/>
        <v>7004.9310954440298</v>
      </c>
      <c r="D10" s="136">
        <f>'New patients in hospital'!D8*VLOOKUP(D$6,'Splitting Admissions CCU Ward'!$B$62:$D$79,3,FALSE)</f>
        <v>41.779310255891694</v>
      </c>
      <c r="E10" s="136">
        <f>'New patients in hospital'!E8*VLOOKUP(E$6,'Splitting Admissions CCU Ward'!$B$62:$D$79,3,FALSE)</f>
        <v>27.221644303123202</v>
      </c>
      <c r="F10" s="136">
        <f>'New patients in hospital'!F8*VLOOKUP(F$6,'Splitting Admissions CCU Ward'!$B$62:$D$79,3,FALSE)</f>
        <v>21.761077772872255</v>
      </c>
      <c r="G10" s="136">
        <f>'New patients in hospital'!G8*VLOOKUP(G$6,'Splitting Admissions CCU Ward'!$B$62:$D$79,3,FALSE)</f>
        <v>28.900287234300571</v>
      </c>
      <c r="H10" s="136">
        <f>'New patients in hospital'!H8*VLOOKUP(H$6,'Splitting Admissions CCU Ward'!$B$62:$D$79,3,FALSE)</f>
        <v>61.280922819252687</v>
      </c>
      <c r="I10" s="136">
        <f>'New patients in hospital'!I8*VLOOKUP(I$6,'Splitting Admissions CCU Ward'!$B$62:$D$79,3,FALSE)</f>
        <v>88.883435005047517</v>
      </c>
      <c r="J10" s="136">
        <f>'New patients in hospital'!J8*VLOOKUP(J$6,'Splitting Admissions CCU Ward'!$B$62:$D$79,3,FALSE)</f>
        <v>116.06397026594858</v>
      </c>
      <c r="K10" s="136">
        <f>'New patients in hospital'!K8*VLOOKUP(K$6,'Splitting Admissions CCU Ward'!$B$62:$D$79,3,FALSE)</f>
        <v>151.63857051039574</v>
      </c>
      <c r="L10" s="136">
        <f>'New patients in hospital'!L8*VLOOKUP(L$6,'Splitting Admissions CCU Ward'!$B$62:$D$79,3,FALSE)</f>
        <v>176.96360376672033</v>
      </c>
      <c r="M10" s="136">
        <f>'New patients in hospital'!M8*VLOOKUP(M$6,'Splitting Admissions CCU Ward'!$B$62:$D$79,3,FALSE)</f>
        <v>257.46960553630612</v>
      </c>
      <c r="N10" s="136">
        <f>'New patients in hospital'!N8*VLOOKUP(N$6,'Splitting Admissions CCU Ward'!$B$62:$D$79,3,FALSE)</f>
        <v>357.25310243193405</v>
      </c>
      <c r="O10" s="136">
        <f>'New patients in hospital'!O8*VLOOKUP(O$6,'Splitting Admissions CCU Ward'!$B$62:$D$79,3,FALSE)</f>
        <v>445.09416085579034</v>
      </c>
      <c r="P10" s="136">
        <f>'New patients in hospital'!P8*VLOOKUP(P$6,'Splitting Admissions CCU Ward'!$B$62:$D$79,3,FALSE)</f>
        <v>508.65262227846</v>
      </c>
      <c r="Q10" s="136">
        <f>'New patients in hospital'!Q8*VLOOKUP(Q$6,'Splitting Admissions CCU Ward'!$B$62:$D$79,3,FALSE)</f>
        <v>602.2865775049379</v>
      </c>
      <c r="R10" s="136">
        <f>'New patients in hospital'!R8*VLOOKUP(R$6,'Splitting Admissions CCU Ward'!$B$62:$D$79,3,FALSE)</f>
        <v>841.51783114491377</v>
      </c>
      <c r="S10" s="136">
        <f>'New patients in hospital'!S8*VLOOKUP(S$6,'Splitting Admissions CCU Ward'!$B$62:$D$79,3,FALSE)</f>
        <v>779.46468794645909</v>
      </c>
      <c r="T10" s="136">
        <f>'New patients in hospital'!T8*VLOOKUP(T$6,'Splitting Admissions CCU Ward'!$B$62:$D$79,3,FALSE)</f>
        <v>2498.6996858116763</v>
      </c>
      <c r="V10" s="522"/>
      <c r="W10" s="514"/>
      <c r="X10" s="514"/>
      <c r="Y10" s="523"/>
    </row>
    <row r="11" spans="1:26" x14ac:dyDescent="0.25">
      <c r="A11" s="139">
        <v>44132</v>
      </c>
      <c r="B11" s="130" t="s">
        <v>233</v>
      </c>
      <c r="C11" s="137">
        <f t="shared" si="0"/>
        <v>8980.1373240672601</v>
      </c>
      <c r="D11" s="136">
        <f>'New patients in hospital'!D9*VLOOKUP(D$6,'Splitting Admissions CCU Ward'!$B$62:$D$79,3,FALSE)</f>
        <v>53.559976292520105</v>
      </c>
      <c r="E11" s="136">
        <f>'New patients in hospital'!E9*VLOOKUP(E$6,'Splitting Admissions CCU Ward'!$B$62:$D$79,3,FALSE)</f>
        <v>34.897431637543335</v>
      </c>
      <c r="F11" s="136">
        <f>'New patients in hospital'!F9*VLOOKUP(F$6,'Splitting Admissions CCU Ward'!$B$62:$D$79,3,FALSE)</f>
        <v>27.897129044880838</v>
      </c>
      <c r="G11" s="136">
        <f>'New patients in hospital'!G9*VLOOKUP(G$6,'Splitting Admissions CCU Ward'!$B$62:$D$79,3,FALSE)</f>
        <v>37.049407700498747</v>
      </c>
      <c r="H11" s="136">
        <f>'New patients in hospital'!H9*VLOOKUP(H$6,'Splitting Admissions CCU Ward'!$B$62:$D$79,3,FALSE)</f>
        <v>78.560530398418294</v>
      </c>
      <c r="I11" s="136">
        <f>'New patients in hospital'!I9*VLOOKUP(I$6,'Splitting Admissions CCU Ward'!$B$62:$D$79,3,FALSE)</f>
        <v>113.94622463870763</v>
      </c>
      <c r="J11" s="136">
        <f>'New patients in hospital'!J9*VLOOKUP(J$6,'Splitting Admissions CCU Ward'!$B$62:$D$79,3,FALSE)</f>
        <v>148.79095556593907</v>
      </c>
      <c r="K11" s="136">
        <f>'New patients in hospital'!K9*VLOOKUP(K$6,'Splitting Admissions CCU Ward'!$B$62:$D$79,3,FALSE)</f>
        <v>194.39665690562967</v>
      </c>
      <c r="L11" s="136">
        <f>'New patients in hospital'!L9*VLOOKUP(L$6,'Splitting Admissions CCU Ward'!$B$62:$D$79,3,FALSE)</f>
        <v>226.8626830919942</v>
      </c>
      <c r="M11" s="136">
        <f>'New patients in hospital'!M9*VLOOKUP(M$6,'Splitting Admissions CCU Ward'!$B$62:$D$79,3,FALSE)</f>
        <v>330.06925878160922</v>
      </c>
      <c r="N11" s="136">
        <f>'New patients in hospital'!N9*VLOOKUP(N$6,'Splitting Admissions CCU Ward'!$B$62:$D$79,3,FALSE)</f>
        <v>457.98907592030702</v>
      </c>
      <c r="O11" s="136">
        <f>'New patients in hospital'!O9*VLOOKUP(O$6,'Splitting Admissions CCU Ward'!$B$62:$D$79,3,FALSE)</f>
        <v>570.59900121289013</v>
      </c>
      <c r="P11" s="136">
        <f>'New patients in hospital'!P9*VLOOKUP(P$6,'Splitting Admissions CCU Ward'!$B$62:$D$79,3,FALSE)</f>
        <v>652.07927616566258</v>
      </c>
      <c r="Q11" s="136">
        <f>'New patients in hospital'!Q9*VLOOKUP(Q$6,'Splitting Admissions CCU Ward'!$B$62:$D$79,3,FALSE)</f>
        <v>772.11554271455395</v>
      </c>
      <c r="R11" s="136">
        <f>'New patients in hospital'!R9*VLOOKUP(R$6,'Splitting Admissions CCU Ward'!$B$62:$D$79,3,FALSE)</f>
        <v>1078.8037143216968</v>
      </c>
      <c r="S11" s="136">
        <f>'New patients in hospital'!S9*VLOOKUP(S$6,'Splitting Admissions CCU Ward'!$B$62:$D$79,3,FALSE)</f>
        <v>999.25321771873053</v>
      </c>
      <c r="T11" s="136">
        <f>'New patients in hospital'!T9*VLOOKUP(T$6,'Splitting Admissions CCU Ward'!$B$62:$D$79,3,FALSE)</f>
        <v>3203.2672419556789</v>
      </c>
      <c r="V11" s="522"/>
      <c r="W11" s="514"/>
      <c r="X11" s="514"/>
      <c r="Y11" s="523"/>
    </row>
    <row r="12" spans="1:26" x14ac:dyDescent="0.25">
      <c r="A12" s="139">
        <v>44139</v>
      </c>
      <c r="B12" s="130" t="s">
        <v>233</v>
      </c>
      <c r="C12" s="137">
        <f t="shared" si="0"/>
        <v>9825.3375628201793</v>
      </c>
      <c r="D12" s="136">
        <f>'New patients in hospital'!D10*VLOOKUP(D$6,'Splitting Admissions CCU Ward'!$B$62:$D$79,3,FALSE)</f>
        <v>58.600979911553353</v>
      </c>
      <c r="E12" s="136">
        <f>'New patients in hospital'!E10*VLOOKUP(E$6,'Splitting Admissions CCU Ward'!$B$62:$D$79,3,FALSE)</f>
        <v>38.181937930433335</v>
      </c>
      <c r="F12" s="136">
        <f>'New patients in hospital'!F10*VLOOKUP(F$6,'Splitting Admissions CCU Ward'!$B$62:$D$79,3,FALSE)</f>
        <v>30.522774876160295</v>
      </c>
      <c r="G12" s="136">
        <f>'New patients in hospital'!G10*VLOOKUP(G$6,'Splitting Admissions CCU Ward'!$B$62:$D$79,3,FALSE)</f>
        <v>40.536455515479481</v>
      </c>
      <c r="H12" s="136">
        <f>'New patients in hospital'!H10*VLOOKUP(H$6,'Splitting Admissions CCU Ward'!$B$62:$D$79,3,FALSE)</f>
        <v>85.954557533320227</v>
      </c>
      <c r="I12" s="136">
        <f>'New patients in hospital'!I10*VLOOKUP(I$6,'Splitting Admissions CCU Ward'!$B$62:$D$79,3,FALSE)</f>
        <v>124.6707127833956</v>
      </c>
      <c r="J12" s="136">
        <f>'New patients in hospital'!J10*VLOOKUP(J$6,'Splitting Admissions CCU Ward'!$B$62:$D$79,3,FALSE)</f>
        <v>162.79498987302787</v>
      </c>
      <c r="K12" s="136">
        <f>'New patients in hospital'!K10*VLOOKUP(K$6,'Splitting Admissions CCU Ward'!$B$62:$D$79,3,FALSE)</f>
        <v>212.69304758431821</v>
      </c>
      <c r="L12" s="136">
        <f>'New patients in hospital'!L10*VLOOKUP(L$6,'Splitting Admissions CCU Ward'!$B$62:$D$79,3,FALSE)</f>
        <v>248.21473896753139</v>
      </c>
      <c r="M12" s="136">
        <f>'New patients in hospital'!M10*VLOOKUP(M$6,'Splitting Admissions CCU Ward'!$B$62:$D$79,3,FALSE)</f>
        <v>361.13499934434509</v>
      </c>
      <c r="N12" s="136">
        <f>'New patients in hospital'!N10*VLOOKUP(N$6,'Splitting Admissions CCU Ward'!$B$62:$D$79,3,FALSE)</f>
        <v>501.09448314794963</v>
      </c>
      <c r="O12" s="136">
        <f>'New patients in hospital'!O10*VLOOKUP(O$6,'Splitting Admissions CCU Ward'!$B$62:$D$79,3,FALSE)</f>
        <v>624.30312562141114</v>
      </c>
      <c r="P12" s="136">
        <f>'New patients in hospital'!P10*VLOOKUP(P$6,'Splitting Admissions CCU Ward'!$B$62:$D$79,3,FALSE)</f>
        <v>713.45223072215572</v>
      </c>
      <c r="Q12" s="136">
        <f>'New patients in hospital'!Q10*VLOOKUP(Q$6,'Splitting Admissions CCU Ward'!$B$62:$D$79,3,FALSE)</f>
        <v>844.78617318455758</v>
      </c>
      <c r="R12" s="136">
        <f>'New patients in hospital'!R10*VLOOKUP(R$6,'Splitting Admissions CCU Ward'!$B$62:$D$79,3,FALSE)</f>
        <v>1180.3394842111554</v>
      </c>
      <c r="S12" s="136">
        <f>'New patients in hospital'!S10*VLOOKUP(S$6,'Splitting Admissions CCU Ward'!$B$62:$D$79,3,FALSE)</f>
        <v>1093.3017859880599</v>
      </c>
      <c r="T12" s="136">
        <f>'New patients in hospital'!T10*VLOOKUP(T$6,'Splitting Admissions CCU Ward'!$B$62:$D$79,3,FALSE)</f>
        <v>3504.7550856253247</v>
      </c>
      <c r="V12" s="522"/>
      <c r="W12" s="514"/>
      <c r="X12" s="514"/>
      <c r="Y12" s="523"/>
    </row>
    <row r="13" spans="1:26" x14ac:dyDescent="0.25">
      <c r="A13" s="139">
        <v>44146</v>
      </c>
      <c r="B13" s="130" t="s">
        <v>233</v>
      </c>
      <c r="C13" s="137">
        <f t="shared" si="0"/>
        <v>10894.511256335321</v>
      </c>
      <c r="D13" s="136">
        <f>'New patients in hospital'!D11*VLOOKUP(D$6,'Splitting Admissions CCU Ward'!$B$62:$D$79,3,FALSE)</f>
        <v>64.977822003242082</v>
      </c>
      <c r="E13" s="136">
        <f>'New patients in hospital'!E11*VLOOKUP(E$6,'Splitting Admissions CCU Ward'!$B$62:$D$79,3,FALSE)</f>
        <v>42.336820481962661</v>
      </c>
      <c r="F13" s="136">
        <f>'New patients in hospital'!F11*VLOOKUP(F$6,'Splitting Admissions CCU Ward'!$B$62:$D$79,3,FALSE)</f>
        <v>33.84420253623027</v>
      </c>
      <c r="G13" s="136">
        <f>'New patients in hospital'!G11*VLOOKUP(G$6,'Splitting Admissions CCU Ward'!$B$62:$D$79,3,FALSE)</f>
        <v>44.947551988083255</v>
      </c>
      <c r="H13" s="136">
        <f>'New patients in hospital'!H11*VLOOKUP(H$6,'Splitting Admissions CCU Ward'!$B$62:$D$79,3,FALSE)</f>
        <v>95.307961542574574</v>
      </c>
      <c r="I13" s="136">
        <f>'New patients in hospital'!I11*VLOOKUP(I$6,'Splitting Admissions CCU Ward'!$B$62:$D$79,3,FALSE)</f>
        <v>138.2371318104818</v>
      </c>
      <c r="J13" s="136">
        <f>'New patients in hospital'!J11*VLOOKUP(J$6,'Splitting Admissions CCU Ward'!$B$62:$D$79,3,FALSE)</f>
        <v>180.51001691362003</v>
      </c>
      <c r="K13" s="136">
        <f>'New patients in hospital'!K11*VLOOKUP(K$6,'Splitting Admissions CCU Ward'!$B$62:$D$79,3,FALSE)</f>
        <v>235.83788203064174</v>
      </c>
      <c r="L13" s="136">
        <f>'New patients in hospital'!L11*VLOOKUP(L$6,'Splitting Admissions CCU Ward'!$B$62:$D$79,3,FALSE)</f>
        <v>275.22497322666237</v>
      </c>
      <c r="M13" s="136">
        <f>'New patients in hospital'!M11*VLOOKUP(M$6,'Splitting Admissions CCU Ward'!$B$62:$D$79,3,FALSE)</f>
        <v>400.4329917683076</v>
      </c>
      <c r="N13" s="136">
        <f>'New patients in hospital'!N11*VLOOKUP(N$6,'Splitting Admissions CCU Ward'!$B$62:$D$79,3,FALSE)</f>
        <v>555.62258825598167</v>
      </c>
      <c r="O13" s="136">
        <f>'New patients in hospital'!O11*VLOOKUP(O$6,'Splitting Admissions CCU Ward'!$B$62:$D$79,3,FALSE)</f>
        <v>692.23855017308438</v>
      </c>
      <c r="P13" s="136">
        <f>'New patients in hospital'!P11*VLOOKUP(P$6,'Splitting Admissions CCU Ward'!$B$62:$D$79,3,FALSE)</f>
        <v>791.08868359623648</v>
      </c>
      <c r="Q13" s="136">
        <f>'New patients in hospital'!Q11*VLOOKUP(Q$6,'Splitting Admissions CCU Ward'!$B$62:$D$79,3,FALSE)</f>
        <v>936.71412448794285</v>
      </c>
      <c r="R13" s="136">
        <f>'New patients in hospital'!R11*VLOOKUP(R$6,'Splitting Admissions CCU Ward'!$B$62:$D$79,3,FALSE)</f>
        <v>1308.7816794911685</v>
      </c>
      <c r="S13" s="136">
        <f>'New patients in hospital'!S11*VLOOKUP(S$6,'Splitting Admissions CCU Ward'!$B$62:$D$79,3,FALSE)</f>
        <v>1212.2727120430454</v>
      </c>
      <c r="T13" s="136">
        <f>'New patients in hospital'!T11*VLOOKUP(T$6,'Splitting Admissions CCU Ward'!$B$62:$D$79,3,FALSE)</f>
        <v>3886.135563986054</v>
      </c>
      <c r="V13" s="522"/>
      <c r="W13" s="514"/>
      <c r="X13" s="514"/>
      <c r="Y13" s="523"/>
    </row>
    <row r="14" spans="1:26" x14ac:dyDescent="0.25">
      <c r="A14" s="139">
        <v>44153</v>
      </c>
      <c r="B14" s="130" t="s">
        <v>233</v>
      </c>
      <c r="C14" s="137">
        <f t="shared" si="0"/>
        <v>11160.88297825418</v>
      </c>
      <c r="D14" s="136">
        <f>'New patients in hospital'!D12*VLOOKUP(D$6,'Splitting Admissions CCU Ward'!$B$62:$D$79,3,FALSE)</f>
        <v>66.566535248499022</v>
      </c>
      <c r="E14" s="136">
        <f>'New patients in hospital'!E12*VLOOKUP(E$6,'Splitting Admissions CCU Ward'!$B$62:$D$79,3,FALSE)</f>
        <v>43.371959324541955</v>
      </c>
      <c r="F14" s="136">
        <f>'New patients in hospital'!F12*VLOOKUP(F$6,'Splitting Admissions CCU Ward'!$B$62:$D$79,3,FALSE)</f>
        <v>34.671696151540807</v>
      </c>
      <c r="G14" s="136">
        <f>'New patients in hospital'!G12*VLOOKUP(G$6,'Splitting Admissions CCU Ward'!$B$62:$D$79,3,FALSE)</f>
        <v>46.046523436861264</v>
      </c>
      <c r="H14" s="136">
        <f>'New patients in hospital'!H12*VLOOKUP(H$6,'Splitting Admissions CCU Ward'!$B$62:$D$79,3,FALSE)</f>
        <v>97.638249265569854</v>
      </c>
      <c r="I14" s="136">
        <f>'New patients in hospital'!I12*VLOOKUP(I$6,'Splitting Admissions CCU Ward'!$B$62:$D$79,3,FALSE)</f>
        <v>141.61704137843691</v>
      </c>
      <c r="J14" s="136">
        <f>'New patients in hospital'!J12*VLOOKUP(J$6,'Splitting Admissions CCU Ward'!$B$62:$D$79,3,FALSE)</f>
        <v>184.92350209873305</v>
      </c>
      <c r="K14" s="136">
        <f>'New patients in hospital'!K12*VLOOKUP(K$6,'Splitting Admissions CCU Ward'!$B$62:$D$79,3,FALSE)</f>
        <v>241.60413819873446</v>
      </c>
      <c r="L14" s="136">
        <f>'New patients in hospital'!L12*VLOOKUP(L$6,'Splitting Admissions CCU Ward'!$B$62:$D$79,3,FALSE)</f>
        <v>281.95424710673899</v>
      </c>
      <c r="M14" s="136">
        <f>'New patients in hospital'!M12*VLOOKUP(M$6,'Splitting Admissions CCU Ward'!$B$62:$D$79,3,FALSE)</f>
        <v>410.2236122946224</v>
      </c>
      <c r="N14" s="136">
        <f>'New patients in hospital'!N12*VLOOKUP(N$6,'Splitting Admissions CCU Ward'!$B$62:$D$79,3,FALSE)</f>
        <v>569.20760754582761</v>
      </c>
      <c r="O14" s="136">
        <f>'New patients in hospital'!O12*VLOOKUP(O$6,'Splitting Admissions CCU Ward'!$B$62:$D$79,3,FALSE)</f>
        <v>709.16384128983748</v>
      </c>
      <c r="P14" s="136">
        <f>'New patients in hospital'!P12*VLOOKUP(P$6,'Splitting Admissions CCU Ward'!$B$62:$D$79,3,FALSE)</f>
        <v>810.43086883814101</v>
      </c>
      <c r="Q14" s="136">
        <f>'New patients in hospital'!Q12*VLOOKUP(Q$6,'Splitting Admissions CCU Ward'!$B$62:$D$79,3,FALSE)</f>
        <v>959.61686407990715</v>
      </c>
      <c r="R14" s="136">
        <f>'New patients in hospital'!R12*VLOOKUP(R$6,'Splitting Admissions CCU Ward'!$B$62:$D$79,3,FALSE)</f>
        <v>1340.7815022807581</v>
      </c>
      <c r="S14" s="136">
        <f>'New patients in hospital'!S12*VLOOKUP(S$6,'Splitting Admissions CCU Ward'!$B$62:$D$79,3,FALSE)</f>
        <v>1241.9128824136412</v>
      </c>
      <c r="T14" s="136">
        <f>'New patients in hospital'!T12*VLOOKUP(T$6,'Splitting Admissions CCU Ward'!$B$62:$D$79,3,FALSE)</f>
        <v>3981.1519073017876</v>
      </c>
      <c r="V14" s="522"/>
      <c r="W14" s="514"/>
      <c r="X14" s="514"/>
      <c r="Y14" s="523"/>
    </row>
    <row r="15" spans="1:26" x14ac:dyDescent="0.25">
      <c r="A15" s="139">
        <v>44160</v>
      </c>
      <c r="B15" s="130" t="s">
        <v>233</v>
      </c>
      <c r="C15" s="137">
        <f t="shared" si="0"/>
        <v>10021.659973784597</v>
      </c>
      <c r="D15" s="136">
        <f>'New patients in hospital'!D13*VLOOKUP(D$6,'Splitting Admissions CCU Ward'!$B$62:$D$79,3,FALSE)</f>
        <v>59.771900054251368</v>
      </c>
      <c r="E15" s="136">
        <f>'New patients in hospital'!E13*VLOOKUP(E$6,'Splitting Admissions CCU Ward'!$B$62:$D$79,3,FALSE)</f>
        <v>38.944860329981388</v>
      </c>
      <c r="F15" s="136">
        <f>'New patients in hospital'!F13*VLOOKUP(F$6,'Splitting Admissions CCU Ward'!$B$62:$D$79,3,FALSE)</f>
        <v>31.132657713742109</v>
      </c>
      <c r="G15" s="136">
        <f>'New patients in hospital'!G13*VLOOKUP(G$6,'Splitting Admissions CCU Ward'!$B$62:$D$79,3,FALSE)</f>
        <v>41.346424091914486</v>
      </c>
      <c r="H15" s="136">
        <f>'New patients in hospital'!H13*VLOOKUP(H$6,'Splitting Admissions CCU Ward'!$B$62:$D$79,3,FALSE)</f>
        <v>87.67203602812296</v>
      </c>
      <c r="I15" s="136">
        <f>'New patients in hospital'!I13*VLOOKUP(I$6,'Splitting Admissions CCU Ward'!$B$62:$D$79,3,FALSE)</f>
        <v>127.16178800130021</v>
      </c>
      <c r="J15" s="136">
        <f>'New patients in hospital'!J13*VLOOKUP(J$6,'Splitting Admissions CCU Ward'!$B$62:$D$79,3,FALSE)</f>
        <v>166.04783535548142</v>
      </c>
      <c r="K15" s="136">
        <f>'New patients in hospital'!K13*VLOOKUP(K$6,'Splitting Admissions CCU Ward'!$B$62:$D$79,3,FALSE)</f>
        <v>216.94291804730693</v>
      </c>
      <c r="L15" s="136">
        <f>'New patients in hospital'!L13*VLOOKUP(L$6,'Splitting Admissions CCU Ward'!$B$62:$D$79,3,FALSE)</f>
        <v>253.17437680994078</v>
      </c>
      <c r="M15" s="136">
        <f>'New patients in hospital'!M13*VLOOKUP(M$6,'Splitting Admissions CCU Ward'!$B$62:$D$79,3,FALSE)</f>
        <v>368.35092381529682</v>
      </c>
      <c r="N15" s="136">
        <f>'New patients in hospital'!N13*VLOOKUP(N$6,'Splitting Admissions CCU Ward'!$B$62:$D$79,3,FALSE)</f>
        <v>511.10697141347617</v>
      </c>
      <c r="O15" s="136">
        <f>'New patients in hospital'!O13*VLOOKUP(O$6,'Splitting Admissions CCU Ward'!$B$62:$D$79,3,FALSE)</f>
        <v>636.77747512960627</v>
      </c>
      <c r="P15" s="136">
        <f>'New patients in hospital'!P13*VLOOKUP(P$6,'Splitting Admissions CCU Ward'!$B$62:$D$79,3,FALSE)</f>
        <v>727.70788974127572</v>
      </c>
      <c r="Q15" s="136">
        <f>'New patients in hospital'!Q13*VLOOKUP(Q$6,'Splitting Admissions CCU Ward'!$B$62:$D$79,3,FALSE)</f>
        <v>861.66604700147241</v>
      </c>
      <c r="R15" s="136">
        <f>'New patients in hospital'!R13*VLOOKUP(R$6,'Splitting Admissions CCU Ward'!$B$62:$D$79,3,FALSE)</f>
        <v>1203.9241286892957</v>
      </c>
      <c r="S15" s="136">
        <f>'New patients in hospital'!S13*VLOOKUP(S$6,'Splitting Admissions CCU Ward'!$B$62:$D$79,3,FALSE)</f>
        <v>1115.1473094791907</v>
      </c>
      <c r="T15" s="136">
        <f>'New patients in hospital'!T13*VLOOKUP(T$6,'Splitting Admissions CCU Ward'!$B$62:$D$79,3,FALSE)</f>
        <v>3574.7844320829413</v>
      </c>
      <c r="V15" s="522"/>
      <c r="W15" s="514"/>
      <c r="X15" s="514"/>
      <c r="Y15" s="523"/>
    </row>
    <row r="16" spans="1:26" x14ac:dyDescent="0.25">
      <c r="A16" s="139">
        <v>44167</v>
      </c>
      <c r="B16" s="130" t="s">
        <v>233</v>
      </c>
      <c r="C16" s="137">
        <f t="shared" si="0"/>
        <v>8926.6786393915027</v>
      </c>
      <c r="D16" s="136">
        <f>'New patients in hospital'!D14*VLOOKUP(D$6,'Splitting Admissions CCU Ward'!$B$62:$D$79,3,FALSE)</f>
        <v>53.241134187935664</v>
      </c>
      <c r="E16" s="136">
        <f>'New patients in hospital'!E14*VLOOKUP(E$6,'Splitting Admissions CCU Ward'!$B$62:$D$79,3,FALSE)</f>
        <v>34.689687509966866</v>
      </c>
      <c r="F16" s="136">
        <f>'New patients in hospital'!F14*VLOOKUP(F$6,'Splitting Admissions CCU Ward'!$B$62:$D$79,3,FALSE)</f>
        <v>27.73105766187734</v>
      </c>
      <c r="G16" s="136">
        <f>'New patients in hospital'!G14*VLOOKUP(G$6,'Splitting Admissions CCU Ward'!$B$62:$D$79,3,FALSE)</f>
        <v>36.828852876868552</v>
      </c>
      <c r="H16" s="136">
        <f>'New patients in hospital'!H14*VLOOKUP(H$6,'Splitting Admissions CCU Ward'!$B$62:$D$79,3,FALSE)</f>
        <v>78.092860197955574</v>
      </c>
      <c r="I16" s="136">
        <f>'New patients in hospital'!I14*VLOOKUP(I$6,'Splitting Admissions CCU Ward'!$B$62:$D$79,3,FALSE)</f>
        <v>113.26790368735332</v>
      </c>
      <c r="J16" s="136">
        <f>'New patients in hospital'!J14*VLOOKUP(J$6,'Splitting Admissions CCU Ward'!$B$62:$D$79,3,FALSE)</f>
        <v>147.90520421390946</v>
      </c>
      <c r="K16" s="136">
        <f>'New patients in hospital'!K14*VLOOKUP(K$6,'Splitting Admissions CCU Ward'!$B$62:$D$79,3,FALSE)</f>
        <v>193.2394151833135</v>
      </c>
      <c r="L16" s="136">
        <f>'New patients in hospital'!L14*VLOOKUP(L$6,'Splitting Admissions CCU Ward'!$B$62:$D$79,3,FALSE)</f>
        <v>225.51217137903768</v>
      </c>
      <c r="M16" s="136">
        <f>'New patients in hospital'!M14*VLOOKUP(M$6,'Splitting Admissions CCU Ward'!$B$62:$D$79,3,FALSE)</f>
        <v>328.10435916041109</v>
      </c>
      <c r="N16" s="136">
        <f>'New patients in hospital'!N14*VLOOKUP(N$6,'Splitting Admissions CCU Ward'!$B$62:$D$79,3,FALSE)</f>
        <v>455.26267066490544</v>
      </c>
      <c r="O16" s="136">
        <f>'New patients in hospital'!O14*VLOOKUP(O$6,'Splitting Admissions CCU Ward'!$B$62:$D$79,3,FALSE)</f>
        <v>567.20222998530642</v>
      </c>
      <c r="P16" s="136">
        <f>'New patients in hospital'!P14*VLOOKUP(P$6,'Splitting Admissions CCU Ward'!$B$62:$D$79,3,FALSE)</f>
        <v>648.19745352195855</v>
      </c>
      <c r="Q16" s="136">
        <f>'New patients in hospital'!Q14*VLOOKUP(Q$6,'Splitting Admissions CCU Ward'!$B$62:$D$79,3,FALSE)</f>
        <v>767.51914514938471</v>
      </c>
      <c r="R16" s="136">
        <f>'New patients in hospital'!R14*VLOOKUP(R$6,'Splitting Admissions CCU Ward'!$B$62:$D$79,3,FALSE)</f>
        <v>1072.3816045576959</v>
      </c>
      <c r="S16" s="136">
        <f>'New patients in hospital'!S14*VLOOKUP(S$6,'Splitting Admissions CCU Ward'!$B$62:$D$79,3,FALSE)</f>
        <v>993.30467141598103</v>
      </c>
      <c r="T16" s="136">
        <f>'New patients in hospital'!T14*VLOOKUP(T$6,'Splitting Admissions CCU Ward'!$B$62:$D$79,3,FALSE)</f>
        <v>3184.1982180376426</v>
      </c>
      <c r="V16" s="522"/>
      <c r="W16" s="514"/>
      <c r="X16" s="514"/>
      <c r="Y16" s="523"/>
    </row>
    <row r="17" spans="1:25" x14ac:dyDescent="0.25">
      <c r="A17" s="139">
        <v>44174</v>
      </c>
      <c r="B17" s="130" t="s">
        <v>233</v>
      </c>
      <c r="C17" s="137">
        <f t="shared" si="0"/>
        <v>10121.203731456697</v>
      </c>
      <c r="D17" s="136">
        <f>'New patients in hospital'!D15*VLOOKUP(D$6,'Splitting Admissions CCU Ward'!$B$62:$D$79,3,FALSE)</f>
        <v>60.36560604209825</v>
      </c>
      <c r="E17" s="136">
        <f>'New patients in hospital'!E15*VLOOKUP(E$6,'Splitting Admissions CCU Ward'!$B$62:$D$79,3,FALSE)</f>
        <v>39.331694222709984</v>
      </c>
      <c r="F17" s="136">
        <f>'New patients in hospital'!F15*VLOOKUP(F$6,'Splitting Admissions CCU Ward'!$B$62:$D$79,3,FALSE)</f>
        <v>31.441894082093452</v>
      </c>
      <c r="G17" s="136">
        <f>'New patients in hospital'!G15*VLOOKUP(G$6,'Splitting Admissions CCU Ward'!$B$62:$D$79,3,FALSE)</f>
        <v>41.757112384191387</v>
      </c>
      <c r="H17" s="136">
        <f>'New patients in hospital'!H15*VLOOKUP(H$6,'Splitting Admissions CCU Ward'!$B$62:$D$79,3,FALSE)</f>
        <v>88.542870194501816</v>
      </c>
      <c r="I17" s="136">
        <f>'New patients in hospital'!I15*VLOOKUP(I$6,'Splitting Admissions CCU Ward'!$B$62:$D$79,3,FALSE)</f>
        <v>128.4248683934772</v>
      </c>
      <c r="J17" s="136">
        <f>'New patients in hospital'!J15*VLOOKUP(J$6,'Splitting Admissions CCU Ward'!$B$62:$D$79,3,FALSE)</f>
        <v>167.6971654592607</v>
      </c>
      <c r="K17" s="136">
        <f>'New patients in hospital'!K15*VLOOKUP(K$6,'Splitting Admissions CCU Ward'!$B$62:$D$79,3,FALSE)</f>
        <v>219.09778194403361</v>
      </c>
      <c r="L17" s="136">
        <f>'New patients in hospital'!L15*VLOOKUP(L$6,'Splitting Admissions CCU Ward'!$B$62:$D$79,3,FALSE)</f>
        <v>255.68912275820475</v>
      </c>
      <c r="M17" s="136">
        <f>'New patients in hospital'!M15*VLOOKUP(M$6,'Splitting Admissions CCU Ward'!$B$62:$D$79,3,FALSE)</f>
        <v>372.00970242028643</v>
      </c>
      <c r="N17" s="136">
        <f>'New patients in hospital'!N15*VLOOKUP(N$6,'Splitting Admissions CCU Ward'!$B$62:$D$79,3,FALSE)</f>
        <v>516.18372602698264</v>
      </c>
      <c r="O17" s="136">
        <f>'New patients in hospital'!O15*VLOOKUP(O$6,'Splitting Admissions CCU Ward'!$B$62:$D$79,3,FALSE)</f>
        <v>643.10249741545169</v>
      </c>
      <c r="P17" s="136">
        <f>'New patients in hospital'!P15*VLOOKUP(P$6,'Splitting Admissions CCU Ward'!$B$62:$D$79,3,FALSE)</f>
        <v>734.93611121575918</v>
      </c>
      <c r="Q17" s="136">
        <f>'New patients in hospital'!Q15*VLOOKUP(Q$6,'Splitting Admissions CCU Ward'!$B$62:$D$79,3,FALSE)</f>
        <v>870.22485626075309</v>
      </c>
      <c r="R17" s="136">
        <f>'New patients in hospital'!R15*VLOOKUP(R$6,'Splitting Admissions CCU Ward'!$B$62:$D$79,3,FALSE)</f>
        <v>1215.8825399739865</v>
      </c>
      <c r="S17" s="136">
        <f>'New patients in hospital'!S15*VLOOKUP(S$6,'Splitting Admissions CCU Ward'!$B$62:$D$79,3,FALSE)</f>
        <v>1126.2239129394827</v>
      </c>
      <c r="T17" s="136">
        <f>'New patients in hospital'!T15*VLOOKUP(T$6,'Splitting Admissions CCU Ward'!$B$62:$D$79,3,FALSE)</f>
        <v>3610.292269723423</v>
      </c>
      <c r="V17" s="522"/>
      <c r="W17" s="514"/>
      <c r="X17" s="514"/>
      <c r="Y17" s="523"/>
    </row>
    <row r="18" spans="1:25" x14ac:dyDescent="0.25">
      <c r="A18" s="139">
        <v>44181</v>
      </c>
      <c r="B18" s="130" t="s">
        <v>233</v>
      </c>
      <c r="C18" s="137">
        <f t="shared" si="0"/>
        <v>11962.763248390534</v>
      </c>
      <c r="D18" s="136">
        <f>'New patients in hospital'!D16*VLOOKUP(D$6,'Splitting Admissions CCU Ward'!$B$62:$D$79,3,FALSE)</f>
        <v>71.349166817265569</v>
      </c>
      <c r="E18" s="136">
        <f>'New patients in hospital'!E16*VLOOKUP(E$6,'Splitting Admissions CCU Ward'!$B$62:$D$79,3,FALSE)</f>
        <v>46.488121238188953</v>
      </c>
      <c r="F18" s="136">
        <f>'New patients in hospital'!F16*VLOOKUP(F$6,'Splitting Admissions CCU Ward'!$B$62:$D$79,3,FALSE)</f>
        <v>37.16276689659329</v>
      </c>
      <c r="G18" s="136">
        <f>'New patients in hospital'!G16*VLOOKUP(G$6,'Splitting Admissions CCU Ward'!$B$62:$D$79,3,FALSE)</f>
        <v>49.354845791314091</v>
      </c>
      <c r="H18" s="136">
        <f>'New patients in hospital'!H16*VLOOKUP(H$6,'Splitting Admissions CCU Ward'!$B$62:$D$79,3,FALSE)</f>
        <v>104.65330227251062</v>
      </c>
      <c r="I18" s="136">
        <f>'New patients in hospital'!I16*VLOOKUP(I$6,'Splitting Admissions CCU Ward'!$B$62:$D$79,3,FALSE)</f>
        <v>151.79185564875155</v>
      </c>
      <c r="J18" s="136">
        <f>'New patients in hospital'!J16*VLOOKUP(J$6,'Splitting Admissions CCU Ward'!$B$62:$D$79,3,FALSE)</f>
        <v>198.20977237917717</v>
      </c>
      <c r="K18" s="136">
        <f>'New patients in hospital'!K16*VLOOKUP(K$6,'Splitting Admissions CCU Ward'!$B$62:$D$79,3,FALSE)</f>
        <v>258.96276403347713</v>
      </c>
      <c r="L18" s="136">
        <f>'New patients in hospital'!L16*VLOOKUP(L$6,'Splitting Admissions CCU Ward'!$B$62:$D$79,3,FALSE)</f>
        <v>302.21192280108727</v>
      </c>
      <c r="M18" s="136">
        <f>'New patients in hospital'!M16*VLOOKUP(M$6,'Splitting Admissions CCU Ward'!$B$62:$D$79,3,FALSE)</f>
        <v>439.69710661259433</v>
      </c>
      <c r="N18" s="136">
        <f>'New patients in hospital'!N16*VLOOKUP(N$6,'Splitting Admissions CCU Ward'!$B$62:$D$79,3,FALSE)</f>
        <v>610.10368637685156</v>
      </c>
      <c r="O18" s="136">
        <f>'New patients in hospital'!O16*VLOOKUP(O$6,'Splitting Admissions CCU Ward'!$B$62:$D$79,3,FALSE)</f>
        <v>760.11540970359249</v>
      </c>
      <c r="P18" s="136">
        <f>'New patients in hospital'!P16*VLOOKUP(P$6,'Splitting Admissions CCU Ward'!$B$62:$D$79,3,FALSE)</f>
        <v>868.65820849370164</v>
      </c>
      <c r="Q18" s="136">
        <f>'New patients in hospital'!Q16*VLOOKUP(Q$6,'Splitting Admissions CCU Ward'!$B$62:$D$79,3,FALSE)</f>
        <v>1028.5628275574459</v>
      </c>
      <c r="R18" s="136">
        <f>'New patients in hospital'!R16*VLOOKUP(R$6,'Splitting Admissions CCU Ward'!$B$62:$D$79,3,FALSE)</f>
        <v>1437.1131487407679</v>
      </c>
      <c r="S18" s="136">
        <f>'New patients in hospital'!S16*VLOOKUP(S$6,'Splitting Admissions CCU Ward'!$B$62:$D$79,3,FALSE)</f>
        <v>1331.1410769548806</v>
      </c>
      <c r="T18" s="136">
        <f>'New patients in hospital'!T16*VLOOKUP(T$6,'Splitting Admissions CCU Ward'!$B$62:$D$79,3,FALSE)</f>
        <v>4267.1872660723348</v>
      </c>
      <c r="V18" s="522"/>
      <c r="W18" s="514"/>
      <c r="X18" s="514"/>
      <c r="Y18" s="523"/>
    </row>
    <row r="19" spans="1:25" x14ac:dyDescent="0.25">
      <c r="A19" s="139">
        <v>44188</v>
      </c>
      <c r="B19" s="130" t="s">
        <v>233</v>
      </c>
      <c r="C19" s="137">
        <f t="shared" si="0"/>
        <v>14187.750572653942</v>
      </c>
      <c r="D19" s="136">
        <f>'New patients in hospital'!D17*VLOOKUP(D$6,'Splitting Admissions CCU Ward'!$B$62:$D$79,3,FALSE)</f>
        <v>84.619595101176429</v>
      </c>
      <c r="E19" s="136">
        <f>'New patients in hospital'!E17*VLOOKUP(E$6,'Splitting Admissions CCU Ward'!$B$62:$D$79,3,FALSE)</f>
        <v>55.13457509973361</v>
      </c>
      <c r="F19" s="136">
        <f>'New patients in hospital'!F17*VLOOKUP(F$6,'Splitting Admissions CCU Ward'!$B$62:$D$79,3,FALSE)</f>
        <v>44.074772389187189</v>
      </c>
      <c r="G19" s="136">
        <f>'New patients in hospital'!G17*VLOOKUP(G$6,'Splitting Admissions CCU Ward'!$B$62:$D$79,3,FALSE)</f>
        <v>58.534489657577453</v>
      </c>
      <c r="H19" s="136">
        <f>'New patients in hospital'!H17*VLOOKUP(H$6,'Splitting Admissions CCU Ward'!$B$62:$D$79,3,FALSE)</f>
        <v>124.11805854694165</v>
      </c>
      <c r="I19" s="136">
        <f>'New patients in hospital'!I17*VLOOKUP(I$6,'Splitting Admissions CCU Ward'!$B$62:$D$79,3,FALSE)</f>
        <v>180.0240414516706</v>
      </c>
      <c r="J19" s="136">
        <f>'New patients in hospital'!J17*VLOOKUP(J$6,'Splitting Admissions CCU Ward'!$B$62:$D$79,3,FALSE)</f>
        <v>235.07535451365084</v>
      </c>
      <c r="K19" s="136">
        <f>'New patients in hospital'!K17*VLOOKUP(K$6,'Splitting Admissions CCU Ward'!$B$62:$D$79,3,FALSE)</f>
        <v>307.12796261401593</v>
      </c>
      <c r="L19" s="136">
        <f>'New patients in hospital'!L17*VLOOKUP(L$6,'Splitting Admissions CCU Ward'!$B$62:$D$79,3,FALSE)</f>
        <v>358.42115168172711</v>
      </c>
      <c r="M19" s="136">
        <f>'New patients in hospital'!M17*VLOOKUP(M$6,'Splitting Admissions CCU Ward'!$B$62:$D$79,3,FALSE)</f>
        <v>521.47758395004735</v>
      </c>
      <c r="N19" s="136">
        <f>'New patients in hospital'!N17*VLOOKUP(N$6,'Splitting Admissions CCU Ward'!$B$62:$D$79,3,FALSE)</f>
        <v>723.57855338615275</v>
      </c>
      <c r="O19" s="136">
        <f>'New patients in hospital'!O17*VLOOKUP(O$6,'Splitting Admissions CCU Ward'!$B$62:$D$79,3,FALSE)</f>
        <v>901.49137079647119</v>
      </c>
      <c r="P19" s="136">
        <f>'New patients in hospital'!P17*VLOOKUP(P$6,'Splitting Admissions CCU Ward'!$B$62:$D$79,3,FALSE)</f>
        <v>1030.2223440437283</v>
      </c>
      <c r="Q19" s="136">
        <f>'New patients in hospital'!Q17*VLOOKUP(Q$6,'Splitting Admissions CCU Ward'!$B$62:$D$79,3,FALSE)</f>
        <v>1219.868064149146</v>
      </c>
      <c r="R19" s="136">
        <f>'New patients in hospital'!R17*VLOOKUP(R$6,'Splitting Admissions CCU Ward'!$B$62:$D$79,3,FALSE)</f>
        <v>1704.4057861596918</v>
      </c>
      <c r="S19" s="136">
        <f>'New patients in hospital'!S17*VLOOKUP(S$6,'Splitting Admissions CCU Ward'!$B$62:$D$79,3,FALSE)</f>
        <v>1578.7236765210323</v>
      </c>
      <c r="T19" s="136">
        <f>'New patients in hospital'!T17*VLOOKUP(T$6,'Splitting Admissions CCU Ward'!$B$62:$D$79,3,FALSE)</f>
        <v>5060.8531925919906</v>
      </c>
      <c r="V19" s="522"/>
      <c r="W19" s="514"/>
      <c r="X19" s="514"/>
      <c r="Y19" s="523"/>
    </row>
    <row r="20" spans="1:25" x14ac:dyDescent="0.25">
      <c r="A20" s="139">
        <v>44195</v>
      </c>
      <c r="B20" s="130" t="s">
        <v>233</v>
      </c>
      <c r="C20" s="137">
        <f t="shared" si="0"/>
        <v>17809.115608706521</v>
      </c>
      <c r="D20" s="136">
        <f>'New patients in hospital'!D18*VLOOKUP(D$6,'Splitting Admissions CCU Ward'!$B$62:$D$79,3,FALSE)</f>
        <v>106.21839904793939</v>
      </c>
      <c r="E20" s="136">
        <f>'New patients in hospital'!E18*VLOOKUP(E$6,'Splitting Admissions CCU Ward'!$B$62:$D$79,3,FALSE)</f>
        <v>69.207448845387702</v>
      </c>
      <c r="F20" s="136">
        <f>'New patients in hospital'!F18*VLOOKUP(F$6,'Splitting Admissions CCU Ward'!$B$62:$D$79,3,FALSE)</f>
        <v>55.324676937820747</v>
      </c>
      <c r="G20" s="136">
        <f>'New patients in hospital'!G18*VLOOKUP(G$6,'Splitting Admissions CCU Ward'!$B$62:$D$79,3,FALSE)</f>
        <v>73.475177623836274</v>
      </c>
      <c r="H20" s="136">
        <f>'New patients in hospital'!H18*VLOOKUP(H$6,'Splitting Admissions CCU Ward'!$B$62:$D$79,3,FALSE)</f>
        <v>155.79868298863164</v>
      </c>
      <c r="I20" s="136">
        <f>'New patients in hospital'!I18*VLOOKUP(I$6,'Splitting Admissions CCU Ward'!$B$62:$D$79,3,FALSE)</f>
        <v>225.97443831151685</v>
      </c>
      <c r="J20" s="136">
        <f>'New patients in hospital'!J18*VLOOKUP(J$6,'Splitting Admissions CCU Ward'!$B$62:$D$79,3,FALSE)</f>
        <v>295.07737282613925</v>
      </c>
      <c r="K20" s="136">
        <f>'New patients in hospital'!K18*VLOOKUP(K$6,'Splitting Admissions CCU Ward'!$B$62:$D$79,3,FALSE)</f>
        <v>385.5211130791929</v>
      </c>
      <c r="L20" s="136">
        <f>'New patients in hospital'!L18*VLOOKUP(L$6,'Splitting Admissions CCU Ward'!$B$62:$D$79,3,FALSE)</f>
        <v>449.90667789218026</v>
      </c>
      <c r="M20" s="136">
        <f>'New patients in hospital'!M18*VLOOKUP(M$6,'Splitting Admissions CCU Ward'!$B$62:$D$79,3,FALSE)</f>
        <v>654.58259449638228</v>
      </c>
      <c r="N20" s="136">
        <f>'New patients in hospital'!N18*VLOOKUP(N$6,'Splitting Admissions CCU Ward'!$B$62:$D$79,3,FALSE)</f>
        <v>908.26900594603035</v>
      </c>
      <c r="O20" s="136">
        <f>'New patients in hospital'!O18*VLOOKUP(O$6,'Splitting Admissions CCU Ward'!$B$62:$D$79,3,FALSE)</f>
        <v>1131.5933389546815</v>
      </c>
      <c r="P20" s="136">
        <f>'New patients in hospital'!P18*VLOOKUP(P$6,'Splitting Admissions CCU Ward'!$B$62:$D$79,3,FALSE)</f>
        <v>1293.1823641663691</v>
      </c>
      <c r="Q20" s="136">
        <f>'New patients in hospital'!Q18*VLOOKUP(Q$6,'Splitting Admissions CCU Ward'!$B$62:$D$79,3,FALSE)</f>
        <v>1531.2343750724224</v>
      </c>
      <c r="R20" s="136">
        <f>'New patients in hospital'!R18*VLOOKUP(R$6,'Splitting Admissions CCU Ward'!$B$62:$D$79,3,FALSE)</f>
        <v>2139.4483596555297</v>
      </c>
      <c r="S20" s="136">
        <f>'New patients in hospital'!S18*VLOOKUP(S$6,'Splitting Admissions CCU Ward'!$B$62:$D$79,3,FALSE)</f>
        <v>1981.6864079607215</v>
      </c>
      <c r="T20" s="136">
        <f>'New patients in hospital'!T18*VLOOKUP(T$6,'Splitting Admissions CCU Ward'!$B$62:$D$79,3,FALSE)</f>
        <v>6352.6151749017381</v>
      </c>
      <c r="V20" s="522"/>
      <c r="W20" s="514"/>
      <c r="X20" s="514"/>
      <c r="Y20" s="523"/>
    </row>
    <row r="21" spans="1:25" ht="15.75" thickBot="1" x14ac:dyDescent="0.3">
      <c r="A21" s="139">
        <v>44202</v>
      </c>
      <c r="B21" s="130" t="s">
        <v>233</v>
      </c>
      <c r="C21" s="137">
        <f t="shared" si="0"/>
        <v>23796.48829239131</v>
      </c>
      <c r="D21" s="136">
        <f>'New patients in hospital'!D19*VLOOKUP(D$6,'Splitting Admissions CCU Ward'!$B$62:$D$79,3,FALSE)</f>
        <v>141.92871476139629</v>
      </c>
      <c r="E21" s="136">
        <f>'New patients in hospital'!E19*VLOOKUP(E$6,'Splitting Admissions CCU Ward'!$B$62:$D$79,3,FALSE)</f>
        <v>92.474791133951953</v>
      </c>
      <c r="F21" s="136">
        <f>'New patients in hospital'!F19*VLOOKUP(F$6,'Splitting Admissions CCU Ward'!$B$62:$D$79,3,FALSE)</f>
        <v>73.924671834212617</v>
      </c>
      <c r="G21" s="136">
        <f>'New patients in hospital'!G19*VLOOKUP(G$6,'Splitting Admissions CCU Ward'!$B$62:$D$79,3,FALSE)</f>
        <v>98.177317870417383</v>
      </c>
      <c r="H21" s="136">
        <f>'New patients in hospital'!H19*VLOOKUP(H$6,'Splitting Admissions CCU Ward'!$B$62:$D$79,3,FALSE)</f>
        <v>208.17774544045605</v>
      </c>
      <c r="I21" s="136">
        <f>'New patients in hospital'!I19*VLOOKUP(I$6,'Splitting Admissions CCU Ward'!$B$62:$D$79,3,FALSE)</f>
        <v>301.94638486319963</v>
      </c>
      <c r="J21" s="136">
        <f>'New patients in hospital'!J19*VLOOKUP(J$6,'Splitting Admissions CCU Ward'!$B$62:$D$79,3,FALSE)</f>
        <v>394.2815242534553</v>
      </c>
      <c r="K21" s="136">
        <f>'New patients in hospital'!K19*VLOOKUP(K$6,'Splitting Admissions CCU Ward'!$B$62:$D$79,3,FALSE)</f>
        <v>515.13218597860487</v>
      </c>
      <c r="L21" s="136">
        <f>'New patients in hospital'!L19*VLOOKUP(L$6,'Splitting Admissions CCU Ward'!$B$62:$D$79,3,FALSE)</f>
        <v>601.16398974331389</v>
      </c>
      <c r="M21" s="136">
        <f>'New patients in hospital'!M19*VLOOKUP(M$6,'Splitting Admissions CCU Ward'!$B$62:$D$79,3,FALSE)</f>
        <v>874.65135207057233</v>
      </c>
      <c r="N21" s="136">
        <f>'New patients in hospital'!N19*VLOOKUP(N$6,'Splitting Admissions CCU Ward'!$B$62:$D$79,3,FALSE)</f>
        <v>1213.6263945510098</v>
      </c>
      <c r="O21" s="136">
        <f>'New patients in hospital'!O19*VLOOKUP(O$6,'Splitting Admissions CCU Ward'!$B$62:$D$79,3,FALSE)</f>
        <v>1512.0317164440519</v>
      </c>
      <c r="P21" s="136">
        <f>'New patients in hospital'!P19*VLOOKUP(P$6,'Splitting Admissions CCU Ward'!$B$62:$D$79,3,FALSE)</f>
        <v>1727.9465002612212</v>
      </c>
      <c r="Q21" s="136">
        <f>'New patients in hospital'!Q19*VLOOKUP(Q$6,'Splitting Admissions CCU Ward'!$B$62:$D$79,3,FALSE)</f>
        <v>2046.0309023713799</v>
      </c>
      <c r="R21" s="136">
        <f>'New patients in hospital'!R19*VLOOKUP(R$6,'Splitting Admissions CCU Ward'!$B$62:$D$79,3,FALSE)</f>
        <v>2858.7246532236031</v>
      </c>
      <c r="S21" s="136">
        <f>'New patients in hospital'!S19*VLOOKUP(S$6,'Splitting Admissions CCU Ward'!$B$62:$D$79,3,FALSE)</f>
        <v>2647.9235938686425</v>
      </c>
      <c r="T21" s="136">
        <f>'New patients in hospital'!T19*VLOOKUP(T$6,'Splitting Admissions CCU Ward'!$B$62:$D$79,3,FALSE)</f>
        <v>8488.345853721823</v>
      </c>
      <c r="V21" s="524"/>
      <c r="W21" s="525"/>
      <c r="X21" s="525"/>
      <c r="Y21" s="526"/>
    </row>
    <row r="22" spans="1:25" ht="15.75" thickTop="1" x14ac:dyDescent="0.25">
      <c r="A22" s="139">
        <v>44209</v>
      </c>
      <c r="B22" s="130" t="s">
        <v>233</v>
      </c>
      <c r="C22" s="137">
        <f t="shared" si="0"/>
        <v>27141.342890465836</v>
      </c>
      <c r="D22" s="136">
        <f>'New patients in hospital'!D20*VLOOKUP(D$6,'Splitting Admissions CCU Ward'!$B$62:$D$79,3,FALSE)</f>
        <v>161.87833540858458</v>
      </c>
      <c r="E22" s="136">
        <f>'New patients in hospital'!E20*VLOOKUP(E$6,'Splitting Admissions CCU Ward'!$B$62:$D$79,3,FALSE)</f>
        <v>105.47312628869328</v>
      </c>
      <c r="F22" s="136">
        <f>'New patients in hospital'!F20*VLOOKUP(F$6,'Splitting Admissions CCU Ward'!$B$62:$D$79,3,FALSE)</f>
        <v>84.315586470759115</v>
      </c>
      <c r="G22" s="136">
        <f>'New patients in hospital'!G20*VLOOKUP(G$6,'Splitting Admissions CCU Ward'!$B$62:$D$79,3,FALSE)</f>
        <v>111.97720502479589</v>
      </c>
      <c r="H22" s="136">
        <f>'New patients in hospital'!H20*VLOOKUP(H$6,'Splitting Admissions CCU Ward'!$B$62:$D$79,3,FALSE)</f>
        <v>237.43938608664919</v>
      </c>
      <c r="I22" s="136">
        <f>'New patients in hospital'!I20*VLOOKUP(I$6,'Splitting Admissions CCU Ward'!$B$62:$D$79,3,FALSE)</f>
        <v>344.38822507810977</v>
      </c>
      <c r="J22" s="136">
        <f>'New patients in hospital'!J20*VLOOKUP(J$6,'Splitting Admissions CCU Ward'!$B$62:$D$79,3,FALSE)</f>
        <v>449.70207005544574</v>
      </c>
      <c r="K22" s="136">
        <f>'New patients in hospital'!K20*VLOOKUP(K$6,'Splitting Admissions CCU Ward'!$B$62:$D$79,3,FALSE)</f>
        <v>587.53960339731873</v>
      </c>
      <c r="L22" s="136">
        <f>'New patients in hospital'!L20*VLOOKUP(L$6,'Splitting Admissions CCU Ward'!$B$62:$D$79,3,FALSE)</f>
        <v>685.66411054192281</v>
      </c>
      <c r="M22" s="136">
        <f>'New patients in hospital'!M20*VLOOKUP(M$6,'Splitting Admissions CCU Ward'!$B$62:$D$79,3,FALSE)</f>
        <v>997.59308871415863</v>
      </c>
      <c r="N22" s="136">
        <f>'New patients in hospital'!N20*VLOOKUP(N$6,'Splitting Admissions CCU Ward'!$B$62:$D$79,3,FALSE)</f>
        <v>1384.2147509622582</v>
      </c>
      <c r="O22" s="136">
        <f>'New patients in hospital'!O20*VLOOKUP(O$6,'Splitting Admissions CCU Ward'!$B$62:$D$79,3,FALSE)</f>
        <v>1724.5641782526918</v>
      </c>
      <c r="P22" s="136">
        <f>'New patients in hospital'!P20*VLOOKUP(P$6,'Splitting Admissions CCU Ward'!$B$62:$D$79,3,FALSE)</f>
        <v>1970.8281273991859</v>
      </c>
      <c r="Q22" s="136">
        <f>'New patients in hospital'!Q20*VLOOKUP(Q$6,'Splitting Admissions CCU Ward'!$B$62:$D$79,3,FALSE)</f>
        <v>2333.6227431299876</v>
      </c>
      <c r="R22" s="136">
        <f>'New patients in hospital'!R20*VLOOKUP(R$6,'Splitting Admissions CCU Ward'!$B$62:$D$79,3,FALSE)</f>
        <v>3260.5494175952995</v>
      </c>
      <c r="S22" s="136">
        <f>'New patients in hospital'!S20*VLOOKUP(S$6,'Splitting Admissions CCU Ward'!$B$62:$D$79,3,FALSE)</f>
        <v>3020.1179823630764</v>
      </c>
      <c r="T22" s="136">
        <f>'New patients in hospital'!T20*VLOOKUP(T$6,'Splitting Admissions CCU Ward'!$B$62:$D$79,3,FALSE)</f>
        <v>9681.4749536968975</v>
      </c>
    </row>
    <row r="23" spans="1:25" x14ac:dyDescent="0.25">
      <c r="A23" s="139">
        <v>44216</v>
      </c>
      <c r="B23" s="130" t="s">
        <v>233</v>
      </c>
      <c r="C23" s="137">
        <f t="shared" si="0"/>
        <v>25562.468289611148</v>
      </c>
      <c r="D23" s="136">
        <f>'New patients in hospital'!D21*VLOOKUP(D$6,'Splitting Admissions CCU Ward'!$B$62:$D$79,3,FALSE)</f>
        <v>152.4614987680132</v>
      </c>
      <c r="E23" s="136">
        <f>'New patients in hospital'!E21*VLOOKUP(E$6,'Splitting Admissions CCU Ward'!$B$62:$D$79,3,FALSE)</f>
        <v>99.337510934581431</v>
      </c>
      <c r="F23" s="136">
        <f>'New patients in hospital'!F21*VLOOKUP(F$6,'Splitting Admissions CCU Ward'!$B$62:$D$79,3,FALSE)</f>
        <v>79.41075407274198</v>
      </c>
      <c r="G23" s="136">
        <f>'New patients in hospital'!G21*VLOOKUP(G$6,'Splitting Admissions CCU Ward'!$B$62:$D$79,3,FALSE)</f>
        <v>105.46323238895947</v>
      </c>
      <c r="H23" s="136">
        <f>'New patients in hospital'!H21*VLOOKUP(H$6,'Splitting Admissions CCU Ward'!$B$62:$D$79,3,FALSE)</f>
        <v>223.62698861436238</v>
      </c>
      <c r="I23" s="136">
        <f>'New patients in hospital'!I21*VLOOKUP(I$6,'Splitting Admissions CCU Ward'!$B$62:$D$79,3,FALSE)</f>
        <v>324.35436663552474</v>
      </c>
      <c r="J23" s="136">
        <f>'New patients in hospital'!J21*VLOOKUP(J$6,'Splitting Admissions CCU Ward'!$B$62:$D$79,3,FALSE)</f>
        <v>423.54186202050232</v>
      </c>
      <c r="K23" s="136">
        <f>'New patients in hospital'!K21*VLOOKUP(K$6,'Splitting Admissions CCU Ward'!$B$62:$D$79,3,FALSE)</f>
        <v>553.36106770201513</v>
      </c>
      <c r="L23" s="136">
        <f>'New patients in hospital'!L21*VLOOKUP(L$6,'Splitting Admissions CCU Ward'!$B$62:$D$79,3,FALSE)</f>
        <v>645.77744564029229</v>
      </c>
      <c r="M23" s="136">
        <f>'New patients in hospital'!M21*VLOOKUP(M$6,'Splitting Admissions CCU Ward'!$B$62:$D$79,3,FALSE)</f>
        <v>939.56079472946215</v>
      </c>
      <c r="N23" s="136">
        <f>'New patients in hospital'!N21*VLOOKUP(N$6,'Splitting Admissions CCU Ward'!$B$62:$D$79,3,FALSE)</f>
        <v>1303.6917819535868</v>
      </c>
      <c r="O23" s="136">
        <f>'New patients in hospital'!O21*VLOOKUP(O$6,'Splitting Admissions CCU Ward'!$B$62:$D$79,3,FALSE)</f>
        <v>1624.2422969966433</v>
      </c>
      <c r="P23" s="136">
        <f>'New patients in hospital'!P21*VLOOKUP(P$6,'Splitting Admissions CCU Ward'!$B$62:$D$79,3,FALSE)</f>
        <v>1856.1805034566855</v>
      </c>
      <c r="Q23" s="136">
        <f>'New patients in hospital'!Q21*VLOOKUP(Q$6,'Splitting Admissions CCU Ward'!$B$62:$D$79,3,FALSE)</f>
        <v>2197.8705184897303</v>
      </c>
      <c r="R23" s="136">
        <f>'New patients in hospital'!R21*VLOOKUP(R$6,'Splitting Admissions CCU Ward'!$B$62:$D$79,3,FALSE)</f>
        <v>3070.8757274964523</v>
      </c>
      <c r="S23" s="136">
        <f>'New patients in hospital'!S21*VLOOKUP(S$6,'Splitting Admissions CCU Ward'!$B$62:$D$79,3,FALSE)</f>
        <v>2844.4307441456704</v>
      </c>
      <c r="T23" s="136">
        <f>'New patients in hospital'!T21*VLOOKUP(T$6,'Splitting Admissions CCU Ward'!$B$62:$D$79,3,FALSE)</f>
        <v>9118.2811955659236</v>
      </c>
    </row>
    <row r="24" spans="1:25" x14ac:dyDescent="0.25">
      <c r="A24" s="139">
        <v>44223</v>
      </c>
      <c r="B24" s="130" t="s">
        <v>233</v>
      </c>
      <c r="C24" s="137">
        <f t="shared" si="0"/>
        <v>20613.853151263913</v>
      </c>
      <c r="D24" s="136">
        <f>'New patients in hospital'!D22*VLOOKUP(D$6,'Splitting Admissions CCU Ward'!$B$62:$D$79,3,FALSE)</f>
        <v>122.94661498329181</v>
      </c>
      <c r="E24" s="136">
        <f>'New patients in hospital'!E22*VLOOKUP(E$6,'Splitting Admissions CCU Ward'!$B$62:$D$79,3,FALSE)</f>
        <v>80.106851952546108</v>
      </c>
      <c r="F24" s="136">
        <f>'New patients in hospital'!F22*VLOOKUP(F$6,'Splitting Admissions CCU Ward'!$B$62:$D$79,3,FALSE)</f>
        <v>64.037697946090518</v>
      </c>
      <c r="G24" s="136">
        <f>'New patients in hospital'!G22*VLOOKUP(G$6,'Splitting Admissions CCU Ward'!$B$62:$D$79,3,FALSE)</f>
        <v>85.046700525675305</v>
      </c>
      <c r="H24" s="136">
        <f>'New patients in hospital'!H22*VLOOKUP(H$6,'Splitting Admissions CCU Ward'!$B$62:$D$79,3,FALSE)</f>
        <v>180.33524195428768</v>
      </c>
      <c r="I24" s="136">
        <f>'New patients in hospital'!I22*VLOOKUP(I$6,'Splitting Admissions CCU Ward'!$B$62:$D$79,3,FALSE)</f>
        <v>261.56289787998526</v>
      </c>
      <c r="J24" s="136">
        <f>'New patients in hospital'!J22*VLOOKUP(J$6,'Splitting Admissions CCU Ward'!$B$62:$D$79,3,FALSE)</f>
        <v>341.54877565762365</v>
      </c>
      <c r="K24" s="136">
        <f>'New patients in hospital'!K22*VLOOKUP(K$6,'Splitting Admissions CCU Ward'!$B$62:$D$79,3,FALSE)</f>
        <v>446.23639861381582</v>
      </c>
      <c r="L24" s="136">
        <f>'New patients in hospital'!L22*VLOOKUP(L$6,'Splitting Admissions CCU Ward'!$B$62:$D$79,3,FALSE)</f>
        <v>520.76197345298681</v>
      </c>
      <c r="M24" s="136">
        <f>'New patients in hospital'!M22*VLOOKUP(M$6,'Splitting Admissions CCU Ward'!$B$62:$D$79,3,FALSE)</f>
        <v>757.67206944993222</v>
      </c>
      <c r="N24" s="136">
        <f>'New patients in hospital'!N22*VLOOKUP(N$6,'Splitting Admissions CCU Ward'!$B$62:$D$79,3,FALSE)</f>
        <v>1051.3112678802902</v>
      </c>
      <c r="O24" s="136">
        <f>'New patients in hospital'!O22*VLOOKUP(O$6,'Splitting Admissions CCU Ward'!$B$62:$D$79,3,FALSE)</f>
        <v>1309.8066983604936</v>
      </c>
      <c r="P24" s="136">
        <f>'New patients in hospital'!P22*VLOOKUP(P$6,'Splitting Admissions CCU Ward'!$B$62:$D$79,3,FALSE)</f>
        <v>1496.8441970075999</v>
      </c>
      <c r="Q24" s="136">
        <f>'New patients in hospital'!Q22*VLOOKUP(Q$6,'Splitting Admissions CCU Ward'!$B$62:$D$79,3,FALSE)</f>
        <v>1772.3867507760444</v>
      </c>
      <c r="R24" s="136">
        <f>'New patients in hospital'!R22*VLOOKUP(R$6,'Splitting Admissions CCU Ward'!$B$62:$D$79,3,FALSE)</f>
        <v>2476.3876702047364</v>
      </c>
      <c r="S24" s="136">
        <f>'New patients in hospital'!S22*VLOOKUP(S$6,'Splitting Admissions CCU Ward'!$B$62:$D$79,3,FALSE)</f>
        <v>2293.7799665687576</v>
      </c>
      <c r="T24" s="136">
        <f>'New patients in hospital'!T22*VLOOKUP(T$6,'Splitting Admissions CCU Ward'!$B$62:$D$79,3,FALSE)</f>
        <v>7353.0813780497547</v>
      </c>
    </row>
    <row r="25" spans="1:25" x14ac:dyDescent="0.25">
      <c r="A25" s="139">
        <v>44230</v>
      </c>
      <c r="B25" s="130" t="s">
        <v>233</v>
      </c>
      <c r="C25" s="137">
        <f t="shared" si="0"/>
        <v>16599.843293282494</v>
      </c>
      <c r="D25" s="136">
        <f>'New patients in hospital'!D23*VLOOKUP(D$6,'Splitting Admissions CCU Ward'!$B$62:$D$79,3,FALSE)</f>
        <v>99.005970751132821</v>
      </c>
      <c r="E25" s="136">
        <f>'New patients in hospital'!E23*VLOOKUP(E$6,'Splitting Admissions CCU Ward'!$B$62:$D$79,3,FALSE)</f>
        <v>64.508133407795896</v>
      </c>
      <c r="F25" s="136">
        <f>'New patients in hospital'!F23*VLOOKUP(F$6,'Splitting Admissions CCU Ward'!$B$62:$D$79,3,FALSE)</f>
        <v>51.56802772229333</v>
      </c>
      <c r="G25" s="136">
        <f>'New patients in hospital'!G23*VLOOKUP(G$6,'Splitting Admissions CCU Ward'!$B$62:$D$79,3,FALSE)</f>
        <v>68.48607540654649</v>
      </c>
      <c r="H25" s="136">
        <f>'New patients in hospital'!H23*VLOOKUP(H$6,'Splitting Admissions CCU Ward'!$B$62:$D$79,3,FALSE)</f>
        <v>145.21966052299223</v>
      </c>
      <c r="I25" s="136">
        <f>'New patients in hospital'!I23*VLOOKUP(I$6,'Splitting Admissions CCU Ward'!$B$62:$D$79,3,FALSE)</f>
        <v>210.63035058432973</v>
      </c>
      <c r="J25" s="136">
        <f>'New patients in hospital'!J23*VLOOKUP(J$6,'Splitting Admissions CCU Ward'!$B$62:$D$79,3,FALSE)</f>
        <v>275.04106638022813</v>
      </c>
      <c r="K25" s="136">
        <f>'New patients in hospital'!K23*VLOOKUP(K$6,'Splitting Admissions CCU Ward'!$B$62:$D$79,3,FALSE)</f>
        <v>359.34350722266146</v>
      </c>
      <c r="L25" s="136">
        <f>'New patients in hospital'!L23*VLOOKUP(L$6,'Splitting Admissions CCU Ward'!$B$62:$D$79,3,FALSE)</f>
        <v>419.35717155771488</v>
      </c>
      <c r="M25" s="136">
        <f>'New patients in hospital'!M23*VLOOKUP(M$6,'Splitting Admissions CCU Ward'!$B$62:$D$79,3,FALSE)</f>
        <v>610.13520996169382</v>
      </c>
      <c r="N25" s="136">
        <f>'New patients in hospital'!N23*VLOOKUP(N$6,'Splitting Admissions CCU Ward'!$B$62:$D$79,3,FALSE)</f>
        <v>846.59583878935962</v>
      </c>
      <c r="O25" s="136">
        <f>'New patients in hospital'!O23*VLOOKUP(O$6,'Splitting Admissions CCU Ward'!$B$62:$D$79,3,FALSE)</f>
        <v>1054.7560311858924</v>
      </c>
      <c r="P25" s="136">
        <f>'New patients in hospital'!P23*VLOOKUP(P$6,'Splitting Admissions CCU Ward'!$B$62:$D$79,3,FALSE)</f>
        <v>1205.3728588467191</v>
      </c>
      <c r="Q25" s="136">
        <f>'New patients in hospital'!Q23*VLOOKUP(Q$6,'Splitting Admissions CCU Ward'!$B$62:$D$79,3,FALSE)</f>
        <v>1427.2606922189384</v>
      </c>
      <c r="R25" s="136">
        <f>'New patients in hospital'!R23*VLOOKUP(R$6,'Splitting Admissions CCU Ward'!$B$62:$D$79,3,FALSE)</f>
        <v>1994.1758077526181</v>
      </c>
      <c r="S25" s="136">
        <f>'New patients in hospital'!S23*VLOOKUP(S$6,'Splitting Admissions CCU Ward'!$B$62:$D$79,3,FALSE)</f>
        <v>1847.1261881468063</v>
      </c>
      <c r="T25" s="136">
        <f>'New patients in hospital'!T23*VLOOKUP(T$6,'Splitting Admissions CCU Ward'!$B$62:$D$79,3,FALSE)</f>
        <v>5921.2607028247749</v>
      </c>
    </row>
    <row r="26" spans="1:25" x14ac:dyDescent="0.25">
      <c r="A26" s="139">
        <v>44237</v>
      </c>
      <c r="B26" s="130" t="s">
        <v>233</v>
      </c>
      <c r="C26" s="137">
        <f t="shared" si="0"/>
        <v>13279.874634625998</v>
      </c>
      <c r="D26" s="136">
        <f>'New patients in hospital'!D24*VLOOKUP(D$6,'Splitting Admissions CCU Ward'!$B$62:$D$79,3,FALSE)</f>
        <v>79.204776600906257</v>
      </c>
      <c r="E26" s="136">
        <f>'New patients in hospital'!E24*VLOOKUP(E$6,'Splitting Admissions CCU Ward'!$B$62:$D$79,3,FALSE)</f>
        <v>51.606506726236724</v>
      </c>
      <c r="F26" s="136">
        <f>'New patients in hospital'!F24*VLOOKUP(F$6,'Splitting Admissions CCU Ward'!$B$62:$D$79,3,FALSE)</f>
        <v>41.254422177834662</v>
      </c>
      <c r="G26" s="136">
        <f>'New patients in hospital'!G24*VLOOKUP(G$6,'Splitting Admissions CCU Ward'!$B$62:$D$79,3,FALSE)</f>
        <v>54.788860325237188</v>
      </c>
      <c r="H26" s="136">
        <f>'New patients in hospital'!H24*VLOOKUP(H$6,'Splitting Admissions CCU Ward'!$B$62:$D$79,3,FALSE)</f>
        <v>116.17572841839377</v>
      </c>
      <c r="I26" s="136">
        <f>'New patients in hospital'!I24*VLOOKUP(I$6,'Splitting Admissions CCU Ward'!$B$62:$D$79,3,FALSE)</f>
        <v>168.50428046746379</v>
      </c>
      <c r="J26" s="136">
        <f>'New patients in hospital'!J24*VLOOKUP(J$6,'Splitting Admissions CCU Ward'!$B$62:$D$79,3,FALSE)</f>
        <v>220.03285310418249</v>
      </c>
      <c r="K26" s="136">
        <f>'New patients in hospital'!K24*VLOOKUP(K$6,'Splitting Admissions CCU Ward'!$B$62:$D$79,3,FALSE)</f>
        <v>287.47480577812917</v>
      </c>
      <c r="L26" s="136">
        <f>'New patients in hospital'!L24*VLOOKUP(L$6,'Splitting Admissions CCU Ward'!$B$62:$D$79,3,FALSE)</f>
        <v>335.48573724617188</v>
      </c>
      <c r="M26" s="136">
        <f>'New patients in hospital'!M24*VLOOKUP(M$6,'Splitting Admissions CCU Ward'!$B$62:$D$79,3,FALSE)</f>
        <v>488.10816796935501</v>
      </c>
      <c r="N26" s="136">
        <f>'New patients in hospital'!N24*VLOOKUP(N$6,'Splitting Admissions CCU Ward'!$B$62:$D$79,3,FALSE)</f>
        <v>677.27667103148769</v>
      </c>
      <c r="O26" s="136">
        <f>'New patients in hospital'!O24*VLOOKUP(O$6,'Splitting Admissions CCU Ward'!$B$62:$D$79,3,FALSE)</f>
        <v>843.80482494871399</v>
      </c>
      <c r="P26" s="136">
        <f>'New patients in hospital'!P24*VLOOKUP(P$6,'Splitting Admissions CCU Ward'!$B$62:$D$79,3,FALSE)</f>
        <v>964.29828707737522</v>
      </c>
      <c r="Q26" s="136">
        <f>'New patients in hospital'!Q24*VLOOKUP(Q$6,'Splitting Admissions CCU Ward'!$B$62:$D$79,3,FALSE)</f>
        <v>1141.8085537751508</v>
      </c>
      <c r="R26" s="136">
        <f>'New patients in hospital'!R24*VLOOKUP(R$6,'Splitting Admissions CCU Ward'!$B$62:$D$79,3,FALSE)</f>
        <v>1595.3406462020946</v>
      </c>
      <c r="S26" s="136">
        <f>'New patients in hospital'!S24*VLOOKUP(S$6,'Splitting Admissions CCU Ward'!$B$62:$D$79,3,FALSE)</f>
        <v>1477.7009505174451</v>
      </c>
      <c r="T26" s="136">
        <f>'New patients in hospital'!T24*VLOOKUP(T$6,'Splitting Admissions CCU Ward'!$B$62:$D$79,3,FALSE)</f>
        <v>4737.0085622598199</v>
      </c>
    </row>
    <row r="27" spans="1:25" x14ac:dyDescent="0.25">
      <c r="A27" s="139">
        <v>44244</v>
      </c>
      <c r="B27" s="130" t="s">
        <v>233</v>
      </c>
      <c r="C27" s="137">
        <f t="shared" si="0"/>
        <v>10623.899707700799</v>
      </c>
      <c r="D27" s="136">
        <f>'New patients in hospital'!D25*VLOOKUP(D$6,'Splitting Admissions CCU Ward'!$B$62:$D$79,3,FALSE)</f>
        <v>63.363821280725013</v>
      </c>
      <c r="E27" s="136">
        <f>'New patients in hospital'!E25*VLOOKUP(E$6,'Splitting Admissions CCU Ward'!$B$62:$D$79,3,FALSE)</f>
        <v>41.285205380989382</v>
      </c>
      <c r="F27" s="136">
        <f>'New patients in hospital'!F25*VLOOKUP(F$6,'Splitting Admissions CCU Ward'!$B$62:$D$79,3,FALSE)</f>
        <v>33.003537742267731</v>
      </c>
      <c r="G27" s="136">
        <f>'New patients in hospital'!G25*VLOOKUP(G$6,'Splitting Admissions CCU Ward'!$B$62:$D$79,3,FALSE)</f>
        <v>43.831088260189752</v>
      </c>
      <c r="H27" s="136">
        <f>'New patients in hospital'!H25*VLOOKUP(H$6,'Splitting Admissions CCU Ward'!$B$62:$D$79,3,FALSE)</f>
        <v>92.940582734715036</v>
      </c>
      <c r="I27" s="136">
        <f>'New patients in hospital'!I25*VLOOKUP(I$6,'Splitting Admissions CCU Ward'!$B$62:$D$79,3,FALSE)</f>
        <v>134.80342437397104</v>
      </c>
      <c r="J27" s="136">
        <f>'New patients in hospital'!J25*VLOOKUP(J$6,'Splitting Admissions CCU Ward'!$B$62:$D$79,3,FALSE)</f>
        <v>176.02628248334602</v>
      </c>
      <c r="K27" s="136">
        <f>'New patients in hospital'!K25*VLOOKUP(K$6,'Splitting Admissions CCU Ward'!$B$62:$D$79,3,FALSE)</f>
        <v>229.97984462250332</v>
      </c>
      <c r="L27" s="136">
        <f>'New patients in hospital'!L25*VLOOKUP(L$6,'Splitting Admissions CCU Ward'!$B$62:$D$79,3,FALSE)</f>
        <v>268.38858979693754</v>
      </c>
      <c r="M27" s="136">
        <f>'New patients in hospital'!M25*VLOOKUP(M$6,'Splitting Admissions CCU Ward'!$B$62:$D$79,3,FALSE)</f>
        <v>390.48653437548404</v>
      </c>
      <c r="N27" s="136">
        <f>'New patients in hospital'!N25*VLOOKUP(N$6,'Splitting Admissions CCU Ward'!$B$62:$D$79,3,FALSE)</f>
        <v>541.8213368251902</v>
      </c>
      <c r="O27" s="136">
        <f>'New patients in hospital'!O25*VLOOKUP(O$6,'Splitting Admissions CCU Ward'!$B$62:$D$79,3,FALSE)</f>
        <v>675.04385995897132</v>
      </c>
      <c r="P27" s="136">
        <f>'New patients in hospital'!P25*VLOOKUP(P$6,'Splitting Admissions CCU Ward'!$B$62:$D$79,3,FALSE)</f>
        <v>771.43862966190022</v>
      </c>
      <c r="Q27" s="136">
        <f>'New patients in hospital'!Q25*VLOOKUP(Q$6,'Splitting Admissions CCU Ward'!$B$62:$D$79,3,FALSE)</f>
        <v>913.4468430201207</v>
      </c>
      <c r="R27" s="136">
        <f>'New patients in hospital'!R25*VLOOKUP(R$6,'Splitting Admissions CCU Ward'!$B$62:$D$79,3,FALSE)</f>
        <v>1276.2725169616756</v>
      </c>
      <c r="S27" s="136">
        <f>'New patients in hospital'!S25*VLOOKUP(S$6,'Splitting Admissions CCU Ward'!$B$62:$D$79,3,FALSE)</f>
        <v>1182.1607604139563</v>
      </c>
      <c r="T27" s="136">
        <f>'New patients in hospital'!T25*VLOOKUP(T$6,'Splitting Admissions CCU Ward'!$B$62:$D$79,3,FALSE)</f>
        <v>3789.6068498078562</v>
      </c>
    </row>
    <row r="28" spans="1:25" x14ac:dyDescent="0.25">
      <c r="A28" s="139">
        <v>44251</v>
      </c>
      <c r="B28" s="130" t="s">
        <v>233</v>
      </c>
      <c r="C28" s="137">
        <f t="shared" si="0"/>
        <v>8499.1197661606384</v>
      </c>
      <c r="D28" s="136">
        <f>'New patients in hospital'!D26*VLOOKUP(D$6,'Splitting Admissions CCU Ward'!$B$62:$D$79,3,FALSE)</f>
        <v>50.691057024580005</v>
      </c>
      <c r="E28" s="136">
        <f>'New patients in hospital'!E26*VLOOKUP(E$6,'Splitting Admissions CCU Ward'!$B$62:$D$79,3,FALSE)</f>
        <v>33.028164304791503</v>
      </c>
      <c r="F28" s="136">
        <f>'New patients in hospital'!F26*VLOOKUP(F$6,'Splitting Admissions CCU Ward'!$B$62:$D$79,3,FALSE)</f>
        <v>26.402830193814186</v>
      </c>
      <c r="G28" s="136">
        <f>'New patients in hospital'!G26*VLOOKUP(G$6,'Splitting Admissions CCU Ward'!$B$62:$D$79,3,FALSE)</f>
        <v>35.064870608151807</v>
      </c>
      <c r="H28" s="136">
        <f>'New patients in hospital'!H26*VLOOKUP(H$6,'Splitting Admissions CCU Ward'!$B$62:$D$79,3,FALSE)</f>
        <v>74.352466187772038</v>
      </c>
      <c r="I28" s="136">
        <f>'New patients in hospital'!I26*VLOOKUP(I$6,'Splitting Admissions CCU Ward'!$B$62:$D$79,3,FALSE)</f>
        <v>107.84273949917683</v>
      </c>
      <c r="J28" s="136">
        <f>'New patients in hospital'!J26*VLOOKUP(J$6,'Splitting Admissions CCU Ward'!$B$62:$D$79,3,FALSE)</f>
        <v>140.82102598667683</v>
      </c>
      <c r="K28" s="136">
        <f>'New patients in hospital'!K26*VLOOKUP(K$6,'Splitting Admissions CCU Ward'!$B$62:$D$79,3,FALSE)</f>
        <v>183.98387569800269</v>
      </c>
      <c r="L28" s="136">
        <f>'New patients in hospital'!L26*VLOOKUP(L$6,'Splitting Admissions CCU Ward'!$B$62:$D$79,3,FALSE)</f>
        <v>214.71087183755003</v>
      </c>
      <c r="M28" s="136">
        <f>'New patients in hospital'!M26*VLOOKUP(M$6,'Splitting Admissions CCU Ward'!$B$62:$D$79,3,FALSE)</f>
        <v>312.38922750038722</v>
      </c>
      <c r="N28" s="136">
        <f>'New patients in hospital'!N26*VLOOKUP(N$6,'Splitting Admissions CCU Ward'!$B$62:$D$79,3,FALSE)</f>
        <v>433.45706946015213</v>
      </c>
      <c r="O28" s="136">
        <f>'New patients in hospital'!O26*VLOOKUP(O$6,'Splitting Admissions CCU Ward'!$B$62:$D$79,3,FALSE)</f>
        <v>540.03508796717711</v>
      </c>
      <c r="P28" s="136">
        <f>'New patients in hospital'!P26*VLOOKUP(P$6,'Splitting Admissions CCU Ward'!$B$62:$D$79,3,FALSE)</f>
        <v>617.15090372952011</v>
      </c>
      <c r="Q28" s="136">
        <f>'New patients in hospital'!Q26*VLOOKUP(Q$6,'Splitting Admissions CCU Ward'!$B$62:$D$79,3,FALSE)</f>
        <v>730.75747441609656</v>
      </c>
      <c r="R28" s="136">
        <f>'New patients in hospital'!R26*VLOOKUP(R$6,'Splitting Admissions CCU Ward'!$B$62:$D$79,3,FALSE)</f>
        <v>1021.0180135693406</v>
      </c>
      <c r="S28" s="136">
        <f>'New patients in hospital'!S26*VLOOKUP(S$6,'Splitting Admissions CCU Ward'!$B$62:$D$79,3,FALSE)</f>
        <v>945.72860833116488</v>
      </c>
      <c r="T28" s="136">
        <f>'New patients in hospital'!T26*VLOOKUP(T$6,'Splitting Admissions CCU Ward'!$B$62:$D$79,3,FALSE)</f>
        <v>3031.6854798462846</v>
      </c>
    </row>
    <row r="29" spans="1:25" x14ac:dyDescent="0.25">
      <c r="A29" s="139">
        <v>44258</v>
      </c>
      <c r="B29" s="130" t="s">
        <v>233</v>
      </c>
      <c r="C29" s="137">
        <f t="shared" si="0"/>
        <v>6799.2958129285107</v>
      </c>
      <c r="D29" s="136">
        <f>'New patients in hospital'!D27*VLOOKUP(D$6,'Splitting Admissions CCU Ward'!$B$62:$D$79,3,FALSE)</f>
        <v>40.552845619664005</v>
      </c>
      <c r="E29" s="136">
        <f>'New patients in hospital'!E27*VLOOKUP(E$6,'Splitting Admissions CCU Ward'!$B$62:$D$79,3,FALSE)</f>
        <v>26.422531443833204</v>
      </c>
      <c r="F29" s="136">
        <f>'New patients in hospital'!F27*VLOOKUP(F$6,'Splitting Admissions CCU Ward'!$B$62:$D$79,3,FALSE)</f>
        <v>21.122264155051351</v>
      </c>
      <c r="G29" s="136">
        <f>'New patients in hospital'!G27*VLOOKUP(G$6,'Splitting Admissions CCU Ward'!$B$62:$D$79,3,FALSE)</f>
        <v>28.051896486521439</v>
      </c>
      <c r="H29" s="136">
        <f>'New patients in hospital'!H27*VLOOKUP(H$6,'Splitting Admissions CCU Ward'!$B$62:$D$79,3,FALSE)</f>
        <v>59.481972950217624</v>
      </c>
      <c r="I29" s="136">
        <f>'New patients in hospital'!I27*VLOOKUP(I$6,'Splitting Admissions CCU Ward'!$B$62:$D$79,3,FALSE)</f>
        <v>86.274191599341464</v>
      </c>
      <c r="J29" s="136">
        <f>'New patients in hospital'!J27*VLOOKUP(J$6,'Splitting Admissions CCU Ward'!$B$62:$D$79,3,FALSE)</f>
        <v>112.65682078934145</v>
      </c>
      <c r="K29" s="136">
        <f>'New patients in hospital'!K27*VLOOKUP(K$6,'Splitting Admissions CCU Ward'!$B$62:$D$79,3,FALSE)</f>
        <v>147.18710055840214</v>
      </c>
      <c r="L29" s="136">
        <f>'New patients in hospital'!L27*VLOOKUP(L$6,'Splitting Admissions CCU Ward'!$B$62:$D$79,3,FALSE)</f>
        <v>171.76869747004002</v>
      </c>
      <c r="M29" s="136">
        <f>'New patients in hospital'!M27*VLOOKUP(M$6,'Splitting Admissions CCU Ward'!$B$62:$D$79,3,FALSE)</f>
        <v>249.9113820003098</v>
      </c>
      <c r="N29" s="136">
        <f>'New patients in hospital'!N27*VLOOKUP(N$6,'Splitting Admissions CCU Ward'!$B$62:$D$79,3,FALSE)</f>
        <v>346.7656555681217</v>
      </c>
      <c r="O29" s="136">
        <f>'New patients in hospital'!O27*VLOOKUP(O$6,'Splitting Admissions CCU Ward'!$B$62:$D$79,3,FALSE)</f>
        <v>432.02807037374163</v>
      </c>
      <c r="P29" s="136">
        <f>'New patients in hospital'!P27*VLOOKUP(P$6,'Splitting Admissions CCU Ward'!$B$62:$D$79,3,FALSE)</f>
        <v>493.72072298361621</v>
      </c>
      <c r="Q29" s="136">
        <f>'New patients in hospital'!Q27*VLOOKUP(Q$6,'Splitting Admissions CCU Ward'!$B$62:$D$79,3,FALSE)</f>
        <v>584.6059795328772</v>
      </c>
      <c r="R29" s="136">
        <f>'New patients in hospital'!R27*VLOOKUP(R$6,'Splitting Admissions CCU Ward'!$B$62:$D$79,3,FALSE)</f>
        <v>816.81441085547237</v>
      </c>
      <c r="S29" s="136">
        <f>'New patients in hospital'!S27*VLOOKUP(S$6,'Splitting Admissions CCU Ward'!$B$62:$D$79,3,FALSE)</f>
        <v>756.58288666493195</v>
      </c>
      <c r="T29" s="136">
        <f>'New patients in hospital'!T27*VLOOKUP(T$6,'Splitting Admissions CCU Ward'!$B$62:$D$79,3,FALSE)</f>
        <v>2425.3483838770276</v>
      </c>
    </row>
    <row r="30" spans="1:25" x14ac:dyDescent="0.25">
      <c r="A30" s="139">
        <v>44265</v>
      </c>
      <c r="B30" s="130" t="s">
        <v>233</v>
      </c>
      <c r="C30" s="137">
        <f t="shared" si="0"/>
        <v>4759.5070690499579</v>
      </c>
      <c r="D30" s="136">
        <f>'New patients in hospital'!D28*VLOOKUP(D$6,'Splitting Admissions CCU Ward'!$B$62:$D$79,3,FALSE)</f>
        <v>28.386991933764801</v>
      </c>
      <c r="E30" s="136">
        <f>'New patients in hospital'!E28*VLOOKUP(E$6,'Splitting Admissions CCU Ward'!$B$62:$D$79,3,FALSE)</f>
        <v>18.49577201068324</v>
      </c>
      <c r="F30" s="136">
        <f>'New patients in hospital'!F28*VLOOKUP(F$6,'Splitting Admissions CCU Ward'!$B$62:$D$79,3,FALSE)</f>
        <v>14.785584908535942</v>
      </c>
      <c r="G30" s="136">
        <f>'New patients in hospital'!G28*VLOOKUP(G$6,'Splitting Admissions CCU Ward'!$B$62:$D$79,3,FALSE)</f>
        <v>19.636327540565006</v>
      </c>
      <c r="H30" s="136">
        <f>'New patients in hospital'!H28*VLOOKUP(H$6,'Splitting Admissions CCU Ward'!$B$62:$D$79,3,FALSE)</f>
        <v>41.637381065152333</v>
      </c>
      <c r="I30" s="136">
        <f>'New patients in hospital'!I28*VLOOKUP(I$6,'Splitting Admissions CCU Ward'!$B$62:$D$79,3,FALSE)</f>
        <v>60.391934119539016</v>
      </c>
      <c r="J30" s="136">
        <f>'New patients in hospital'!J28*VLOOKUP(J$6,'Splitting Admissions CCU Ward'!$B$62:$D$79,3,FALSE)</f>
        <v>78.859774552539008</v>
      </c>
      <c r="K30" s="136">
        <f>'New patients in hospital'!K28*VLOOKUP(K$6,'Splitting Admissions CCU Ward'!$B$62:$D$79,3,FALSE)</f>
        <v>103.03097039088148</v>
      </c>
      <c r="L30" s="136">
        <f>'New patients in hospital'!L28*VLOOKUP(L$6,'Splitting Admissions CCU Ward'!$B$62:$D$79,3,FALSE)</f>
        <v>120.23808822902801</v>
      </c>
      <c r="M30" s="136">
        <f>'New patients in hospital'!M28*VLOOKUP(M$6,'Splitting Admissions CCU Ward'!$B$62:$D$79,3,FALSE)</f>
        <v>174.93796740021682</v>
      </c>
      <c r="N30" s="136">
        <f>'New patients in hospital'!N28*VLOOKUP(N$6,'Splitting Admissions CCU Ward'!$B$62:$D$79,3,FALSE)</f>
        <v>242.73595889768515</v>
      </c>
      <c r="O30" s="136">
        <f>'New patients in hospital'!O28*VLOOKUP(O$6,'Splitting Admissions CCU Ward'!$B$62:$D$79,3,FALSE)</f>
        <v>302.4196492616191</v>
      </c>
      <c r="P30" s="136">
        <f>'New patients in hospital'!P28*VLOOKUP(P$6,'Splitting Admissions CCU Ward'!$B$62:$D$79,3,FALSE)</f>
        <v>345.60450608853125</v>
      </c>
      <c r="Q30" s="136">
        <f>'New patients in hospital'!Q28*VLOOKUP(Q$6,'Splitting Admissions CCU Ward'!$B$62:$D$79,3,FALSE)</f>
        <v>409.22418567301401</v>
      </c>
      <c r="R30" s="136">
        <f>'New patients in hospital'!R28*VLOOKUP(R$6,'Splitting Admissions CCU Ward'!$B$62:$D$79,3,FALSE)</f>
        <v>571.77008759883063</v>
      </c>
      <c r="S30" s="136">
        <f>'New patients in hospital'!S28*VLOOKUP(S$6,'Splitting Admissions CCU Ward'!$B$62:$D$79,3,FALSE)</f>
        <v>529.60802066545227</v>
      </c>
      <c r="T30" s="136">
        <f>'New patients in hospital'!T28*VLOOKUP(T$6,'Splitting Admissions CCU Ward'!$B$62:$D$79,3,FALSE)</f>
        <v>1697.7438687139193</v>
      </c>
    </row>
    <row r="31" spans="1:25" x14ac:dyDescent="0.25">
      <c r="A31" s="139">
        <v>44272</v>
      </c>
      <c r="B31" s="130" t="s">
        <v>233</v>
      </c>
      <c r="C31" s="137">
        <f t="shared" si="0"/>
        <v>3331.65494833497</v>
      </c>
      <c r="D31" s="136">
        <f>'New patients in hospital'!D29*VLOOKUP(D$6,'Splitting Admissions CCU Ward'!$B$62:$D$79,3,FALSE)</f>
        <v>19.870894353635357</v>
      </c>
      <c r="E31" s="136">
        <f>'New patients in hospital'!E29*VLOOKUP(E$6,'Splitting Admissions CCU Ward'!$B$62:$D$79,3,FALSE)</f>
        <v>12.947040407478267</v>
      </c>
      <c r="F31" s="136">
        <f>'New patients in hospital'!F29*VLOOKUP(F$6,'Splitting Admissions CCU Ward'!$B$62:$D$79,3,FALSE)</f>
        <v>10.349909435975158</v>
      </c>
      <c r="G31" s="136">
        <f>'New patients in hospital'!G29*VLOOKUP(G$6,'Splitting Admissions CCU Ward'!$B$62:$D$79,3,FALSE)</f>
        <v>13.745429278395504</v>
      </c>
      <c r="H31" s="136">
        <f>'New patients in hospital'!H29*VLOOKUP(H$6,'Splitting Admissions CCU Ward'!$B$62:$D$79,3,FALSE)</f>
        <v>29.146166745606628</v>
      </c>
      <c r="I31" s="136">
        <f>'New patients in hospital'!I29*VLOOKUP(I$6,'Splitting Admissions CCU Ward'!$B$62:$D$79,3,FALSE)</f>
        <v>42.274353883677307</v>
      </c>
      <c r="J31" s="136">
        <f>'New patients in hospital'!J29*VLOOKUP(J$6,'Splitting Admissions CCU Ward'!$B$62:$D$79,3,FALSE)</f>
        <v>55.201842186777299</v>
      </c>
      <c r="K31" s="136">
        <f>'New patients in hospital'!K29*VLOOKUP(K$6,'Splitting Admissions CCU Ward'!$B$62:$D$79,3,FALSE)</f>
        <v>72.121679273617033</v>
      </c>
      <c r="L31" s="136">
        <f>'New patients in hospital'!L29*VLOOKUP(L$6,'Splitting Admissions CCU Ward'!$B$62:$D$79,3,FALSE)</f>
        <v>84.166661760319599</v>
      </c>
      <c r="M31" s="136">
        <f>'New patients in hospital'!M29*VLOOKUP(M$6,'Splitting Admissions CCU Ward'!$B$62:$D$79,3,FALSE)</f>
        <v>122.45657718015177</v>
      </c>
      <c r="N31" s="136">
        <f>'New patients in hospital'!N29*VLOOKUP(N$6,'Splitting Admissions CCU Ward'!$B$62:$D$79,3,FALSE)</f>
        <v>169.91517122837959</v>
      </c>
      <c r="O31" s="136">
        <f>'New patients in hospital'!O29*VLOOKUP(O$6,'Splitting Admissions CCU Ward'!$B$62:$D$79,3,FALSE)</f>
        <v>211.69375448313338</v>
      </c>
      <c r="P31" s="136">
        <f>'New patients in hospital'!P29*VLOOKUP(P$6,'Splitting Admissions CCU Ward'!$B$62:$D$79,3,FALSE)</f>
        <v>241.92315426197189</v>
      </c>
      <c r="Q31" s="136">
        <f>'New patients in hospital'!Q29*VLOOKUP(Q$6,'Splitting Admissions CCU Ward'!$B$62:$D$79,3,FALSE)</f>
        <v>286.45692997110979</v>
      </c>
      <c r="R31" s="136">
        <f>'New patients in hospital'!R29*VLOOKUP(R$6,'Splitting Admissions CCU Ward'!$B$62:$D$79,3,FALSE)</f>
        <v>400.23906131918142</v>
      </c>
      <c r="S31" s="136">
        <f>'New patients in hospital'!S29*VLOOKUP(S$6,'Splitting Admissions CCU Ward'!$B$62:$D$79,3,FALSE)</f>
        <v>370.72561446581659</v>
      </c>
      <c r="T31" s="136">
        <f>'New patients in hospital'!T29*VLOOKUP(T$6,'Splitting Admissions CCU Ward'!$B$62:$D$79,3,FALSE)</f>
        <v>1188.4207080997435</v>
      </c>
    </row>
    <row r="32" spans="1:25" x14ac:dyDescent="0.25">
      <c r="A32" s="139">
        <v>44279</v>
      </c>
      <c r="B32" s="130" t="s">
        <v>233</v>
      </c>
      <c r="C32" s="137">
        <f t="shared" si="0"/>
        <v>2332.1584638344789</v>
      </c>
      <c r="D32" s="136">
        <f>'New patients in hospital'!D30*VLOOKUP(D$6,'Splitting Admissions CCU Ward'!$B$62:$D$79,3,FALSE)</f>
        <v>13.909626047544752</v>
      </c>
      <c r="E32" s="136">
        <f>'New patients in hospital'!E30*VLOOKUP(E$6,'Splitting Admissions CCU Ward'!$B$62:$D$79,3,FALSE)</f>
        <v>9.0629282852347863</v>
      </c>
      <c r="F32" s="136">
        <f>'New patients in hospital'!F30*VLOOKUP(F$6,'Splitting Admissions CCU Ward'!$B$62:$D$79,3,FALSE)</f>
        <v>7.2449366051826116</v>
      </c>
      <c r="G32" s="136">
        <f>'New patients in hospital'!G30*VLOOKUP(G$6,'Splitting Admissions CCU Ward'!$B$62:$D$79,3,FALSE)</f>
        <v>9.6218004948768527</v>
      </c>
      <c r="H32" s="136">
        <f>'New patients in hospital'!H30*VLOOKUP(H$6,'Splitting Admissions CCU Ward'!$B$62:$D$79,3,FALSE)</f>
        <v>20.402316721924642</v>
      </c>
      <c r="I32" s="136">
        <f>'New patients in hospital'!I30*VLOOKUP(I$6,'Splitting Admissions CCU Ward'!$B$62:$D$79,3,FALSE)</f>
        <v>29.592047718574115</v>
      </c>
      <c r="J32" s="136">
        <f>'New patients in hospital'!J30*VLOOKUP(J$6,'Splitting Admissions CCU Ward'!$B$62:$D$79,3,FALSE)</f>
        <v>38.64128953074411</v>
      </c>
      <c r="K32" s="136">
        <f>'New patients in hospital'!K30*VLOOKUP(K$6,'Splitting Admissions CCU Ward'!$B$62:$D$79,3,FALSE)</f>
        <v>50.485175491531919</v>
      </c>
      <c r="L32" s="136">
        <f>'New patients in hospital'!L30*VLOOKUP(L$6,'Splitting Admissions CCU Ward'!$B$62:$D$79,3,FALSE)</f>
        <v>58.916663232223719</v>
      </c>
      <c r="M32" s="136">
        <f>'New patients in hospital'!M30*VLOOKUP(M$6,'Splitting Admissions CCU Ward'!$B$62:$D$79,3,FALSE)</f>
        <v>85.719604026106239</v>
      </c>
      <c r="N32" s="136">
        <f>'New patients in hospital'!N30*VLOOKUP(N$6,'Splitting Admissions CCU Ward'!$B$62:$D$79,3,FALSE)</f>
        <v>118.94061985986572</v>
      </c>
      <c r="O32" s="136">
        <f>'New patients in hospital'!O30*VLOOKUP(O$6,'Splitting Admissions CCU Ward'!$B$62:$D$79,3,FALSE)</f>
        <v>148.18562813819335</v>
      </c>
      <c r="P32" s="136">
        <f>'New patients in hospital'!P30*VLOOKUP(P$6,'Splitting Admissions CCU Ward'!$B$62:$D$79,3,FALSE)</f>
        <v>169.34620798338031</v>
      </c>
      <c r="Q32" s="136">
        <f>'New patients in hospital'!Q30*VLOOKUP(Q$6,'Splitting Admissions CCU Ward'!$B$62:$D$79,3,FALSE)</f>
        <v>200.51985097977683</v>
      </c>
      <c r="R32" s="136">
        <f>'New patients in hospital'!R30*VLOOKUP(R$6,'Splitting Admissions CCU Ward'!$B$62:$D$79,3,FALSE)</f>
        <v>280.16734292342699</v>
      </c>
      <c r="S32" s="136">
        <f>'New patients in hospital'!S30*VLOOKUP(S$6,'Splitting Admissions CCU Ward'!$B$62:$D$79,3,FALSE)</f>
        <v>259.50793012607159</v>
      </c>
      <c r="T32" s="136">
        <f>'New patients in hospital'!T30*VLOOKUP(T$6,'Splitting Admissions CCU Ward'!$B$62:$D$79,3,FALSE)</f>
        <v>831.89449566982034</v>
      </c>
    </row>
    <row r="33" spans="1:26" x14ac:dyDescent="0.25">
      <c r="A33" s="139">
        <v>44286</v>
      </c>
      <c r="B33" s="130" t="s">
        <v>233</v>
      </c>
      <c r="C33" s="137">
        <f t="shared" si="0"/>
        <v>1632.5109246841348</v>
      </c>
      <c r="D33" s="136">
        <f>'New patients in hospital'!D31*VLOOKUP(D$6,'Splitting Admissions CCU Ward'!$B$62:$D$79,3,FALSE)</f>
        <v>9.7367382332813257</v>
      </c>
      <c r="E33" s="136">
        <f>'New patients in hospital'!E31*VLOOKUP(E$6,'Splitting Admissions CCU Ward'!$B$62:$D$79,3,FALSE)</f>
        <v>6.3440497996643508</v>
      </c>
      <c r="F33" s="136">
        <f>'New patients in hospital'!F31*VLOOKUP(F$6,'Splitting Admissions CCU Ward'!$B$62:$D$79,3,FALSE)</f>
        <v>5.0714556236278279</v>
      </c>
      <c r="G33" s="136">
        <f>'New patients in hospital'!G31*VLOOKUP(G$6,'Splitting Admissions CCU Ward'!$B$62:$D$79,3,FALSE)</f>
        <v>6.7352603464137957</v>
      </c>
      <c r="H33" s="136">
        <f>'New patients in hospital'!H31*VLOOKUP(H$6,'Splitting Admissions CCU Ward'!$B$62:$D$79,3,FALSE)</f>
        <v>14.281621705347247</v>
      </c>
      <c r="I33" s="136">
        <f>'New patients in hospital'!I31*VLOOKUP(I$6,'Splitting Admissions CCU Ward'!$B$62:$D$79,3,FALSE)</f>
        <v>20.71443340300188</v>
      </c>
      <c r="J33" s="136">
        <f>'New patients in hospital'!J31*VLOOKUP(J$6,'Splitting Admissions CCU Ward'!$B$62:$D$79,3,FALSE)</f>
        <v>27.048902671520874</v>
      </c>
      <c r="K33" s="136">
        <f>'New patients in hospital'!K31*VLOOKUP(K$6,'Splitting Admissions CCU Ward'!$B$62:$D$79,3,FALSE)</f>
        <v>35.339622844072338</v>
      </c>
      <c r="L33" s="136">
        <f>'New patients in hospital'!L31*VLOOKUP(L$6,'Splitting Admissions CCU Ward'!$B$62:$D$79,3,FALSE)</f>
        <v>41.241664262556597</v>
      </c>
      <c r="M33" s="136">
        <f>'New patients in hospital'!M31*VLOOKUP(M$6,'Splitting Admissions CCU Ward'!$B$62:$D$79,3,FALSE)</f>
        <v>60.003722818274362</v>
      </c>
      <c r="N33" s="136">
        <f>'New patients in hospital'!N31*VLOOKUP(N$6,'Splitting Admissions CCU Ward'!$B$62:$D$79,3,FALSE)</f>
        <v>83.258433901905988</v>
      </c>
      <c r="O33" s="136">
        <f>'New patients in hospital'!O31*VLOOKUP(O$6,'Splitting Admissions CCU Ward'!$B$62:$D$79,3,FALSE)</f>
        <v>103.72993969673533</v>
      </c>
      <c r="P33" s="136">
        <f>'New patients in hospital'!P31*VLOOKUP(P$6,'Splitting Admissions CCU Ward'!$B$62:$D$79,3,FALSE)</f>
        <v>118.54234558836622</v>
      </c>
      <c r="Q33" s="136">
        <f>'New patients in hospital'!Q31*VLOOKUP(Q$6,'Splitting Admissions CCU Ward'!$B$62:$D$79,3,FALSE)</f>
        <v>140.3638956858438</v>
      </c>
      <c r="R33" s="136">
        <f>'New patients in hospital'!R31*VLOOKUP(R$6,'Splitting Admissions CCU Ward'!$B$62:$D$79,3,FALSE)</f>
        <v>196.11714004639887</v>
      </c>
      <c r="S33" s="136">
        <f>'New patients in hospital'!S31*VLOOKUP(S$6,'Splitting Admissions CCU Ward'!$B$62:$D$79,3,FALSE)</f>
        <v>181.65555108825012</v>
      </c>
      <c r="T33" s="136">
        <f>'New patients in hospital'!T31*VLOOKUP(T$6,'Splitting Admissions CCU Ward'!$B$62:$D$79,3,FALSE)</f>
        <v>582.32614696887424</v>
      </c>
    </row>
    <row r="34" spans="1:26" x14ac:dyDescent="0.25">
      <c r="A34" s="139">
        <v>44293</v>
      </c>
      <c r="B34" s="130" t="s">
        <v>233</v>
      </c>
      <c r="C34" s="137">
        <f t="shared" si="0"/>
        <v>1142.7576472788946</v>
      </c>
      <c r="D34" s="136">
        <f>'New patients in hospital'!D32*VLOOKUP(D$6,'Splitting Admissions CCU Ward'!$B$62:$D$79,3,FALSE)</f>
        <v>6.8157167632969271</v>
      </c>
      <c r="E34" s="136">
        <f>'New patients in hospital'!E32*VLOOKUP(E$6,'Splitting Admissions CCU Ward'!$B$62:$D$79,3,FALSE)</f>
        <v>4.4408348597650447</v>
      </c>
      <c r="F34" s="136">
        <f>'New patients in hospital'!F32*VLOOKUP(F$6,'Splitting Admissions CCU Ward'!$B$62:$D$79,3,FALSE)</f>
        <v>3.550018936539479</v>
      </c>
      <c r="G34" s="136">
        <f>'New patients in hospital'!G32*VLOOKUP(G$6,'Splitting Admissions CCU Ward'!$B$62:$D$79,3,FALSE)</f>
        <v>4.7146822424896566</v>
      </c>
      <c r="H34" s="136">
        <f>'New patients in hospital'!H32*VLOOKUP(H$6,'Splitting Admissions CCU Ward'!$B$62:$D$79,3,FALSE)</f>
        <v>9.9971351937430732</v>
      </c>
      <c r="I34" s="136">
        <f>'New patients in hospital'!I32*VLOOKUP(I$6,'Splitting Admissions CCU Ward'!$B$62:$D$79,3,FALSE)</f>
        <v>14.500103382101315</v>
      </c>
      <c r="J34" s="136">
        <f>'New patients in hospital'!J32*VLOOKUP(J$6,'Splitting Admissions CCU Ward'!$B$62:$D$79,3,FALSE)</f>
        <v>18.934231870064611</v>
      </c>
      <c r="K34" s="136">
        <f>'New patients in hospital'!K32*VLOOKUP(K$6,'Splitting Admissions CCU Ward'!$B$62:$D$79,3,FALSE)</f>
        <v>24.737735990850641</v>
      </c>
      <c r="L34" s="136">
        <f>'New patients in hospital'!L32*VLOOKUP(L$6,'Splitting Admissions CCU Ward'!$B$62:$D$79,3,FALSE)</f>
        <v>28.86916498378962</v>
      </c>
      <c r="M34" s="136">
        <f>'New patients in hospital'!M32*VLOOKUP(M$6,'Splitting Admissions CCU Ward'!$B$62:$D$79,3,FALSE)</f>
        <v>42.002605972792054</v>
      </c>
      <c r="N34" s="136">
        <f>'New patients in hospital'!N32*VLOOKUP(N$6,'Splitting Admissions CCU Ward'!$B$62:$D$79,3,FALSE)</f>
        <v>58.280903731334199</v>
      </c>
      <c r="O34" s="136">
        <f>'New patients in hospital'!O32*VLOOKUP(O$6,'Splitting Admissions CCU Ward'!$B$62:$D$79,3,FALSE)</f>
        <v>72.610957787714725</v>
      </c>
      <c r="P34" s="136">
        <f>'New patients in hospital'!P32*VLOOKUP(P$6,'Splitting Admissions CCU Ward'!$B$62:$D$79,3,FALSE)</f>
        <v>82.979641911856334</v>
      </c>
      <c r="Q34" s="136">
        <f>'New patients in hospital'!Q32*VLOOKUP(Q$6,'Splitting Admissions CCU Ward'!$B$62:$D$79,3,FALSE)</f>
        <v>98.254726980090652</v>
      </c>
      <c r="R34" s="136">
        <f>'New patients in hospital'!R32*VLOOKUP(R$6,'Splitting Admissions CCU Ward'!$B$62:$D$79,3,FALSE)</f>
        <v>137.28199803247921</v>
      </c>
      <c r="S34" s="136">
        <f>'New patients in hospital'!S32*VLOOKUP(S$6,'Splitting Admissions CCU Ward'!$B$62:$D$79,3,FALSE)</f>
        <v>127.15888576177508</v>
      </c>
      <c r="T34" s="136">
        <f>'New patients in hospital'!T32*VLOOKUP(T$6,'Splitting Admissions CCU Ward'!$B$62:$D$79,3,FALSE)</f>
        <v>407.62830287821197</v>
      </c>
    </row>
    <row r="35" spans="1:26" x14ac:dyDescent="0.25">
      <c r="A35" s="139">
        <v>44300</v>
      </c>
      <c r="B35" s="130" t="s">
        <v>233</v>
      </c>
      <c r="C35" s="137">
        <f t="shared" si="0"/>
        <v>799.93035309522611</v>
      </c>
      <c r="D35" s="136">
        <f>'New patients in hospital'!D33*VLOOKUP(D$6,'Splitting Admissions CCU Ward'!$B$62:$D$79,3,FALSE)</f>
        <v>4.7710017343078484</v>
      </c>
      <c r="E35" s="136">
        <f>'New patients in hospital'!E33*VLOOKUP(E$6,'Splitting Admissions CCU Ward'!$B$62:$D$79,3,FALSE)</f>
        <v>3.1085844018355311</v>
      </c>
      <c r="F35" s="136">
        <f>'New patients in hospital'!F33*VLOOKUP(F$6,'Splitting Admissions CCU Ward'!$B$62:$D$79,3,FALSE)</f>
        <v>2.485013255577635</v>
      </c>
      <c r="G35" s="136">
        <f>'New patients in hospital'!G33*VLOOKUP(G$6,'Splitting Admissions CCU Ward'!$B$62:$D$79,3,FALSE)</f>
        <v>3.30027756974276</v>
      </c>
      <c r="H35" s="136">
        <f>'New patients in hospital'!H33*VLOOKUP(H$6,'Splitting Admissions CCU Ward'!$B$62:$D$79,3,FALSE)</f>
        <v>6.9979946356201506</v>
      </c>
      <c r="I35" s="136">
        <f>'New patients in hospital'!I33*VLOOKUP(I$6,'Splitting Admissions CCU Ward'!$B$62:$D$79,3,FALSE)</f>
        <v>10.150072367470921</v>
      </c>
      <c r="J35" s="136">
        <f>'New patients in hospital'!J33*VLOOKUP(J$6,'Splitting Admissions CCU Ward'!$B$62:$D$79,3,FALSE)</f>
        <v>13.253962309045226</v>
      </c>
      <c r="K35" s="136">
        <f>'New patients in hospital'!K33*VLOOKUP(K$6,'Splitting Admissions CCU Ward'!$B$62:$D$79,3,FALSE)</f>
        <v>17.316415193595446</v>
      </c>
      <c r="L35" s="136">
        <f>'New patients in hospital'!L33*VLOOKUP(L$6,'Splitting Admissions CCU Ward'!$B$62:$D$79,3,FALSE)</f>
        <v>20.208415488652733</v>
      </c>
      <c r="M35" s="136">
        <f>'New patients in hospital'!M33*VLOOKUP(M$6,'Splitting Admissions CCU Ward'!$B$62:$D$79,3,FALSE)</f>
        <v>29.401824180954431</v>
      </c>
      <c r="N35" s="136">
        <f>'New patients in hospital'!N33*VLOOKUP(N$6,'Splitting Admissions CCU Ward'!$B$62:$D$79,3,FALSE)</f>
        <v>40.796632611933937</v>
      </c>
      <c r="O35" s="136">
        <f>'New patients in hospital'!O33*VLOOKUP(O$6,'Splitting Admissions CCU Ward'!$B$62:$D$79,3,FALSE)</f>
        <v>50.827670451400309</v>
      </c>
      <c r="P35" s="136">
        <f>'New patients in hospital'!P33*VLOOKUP(P$6,'Splitting Admissions CCU Ward'!$B$62:$D$79,3,FALSE)</f>
        <v>58.085749338299436</v>
      </c>
      <c r="Q35" s="136">
        <f>'New patients in hospital'!Q33*VLOOKUP(Q$6,'Splitting Admissions CCU Ward'!$B$62:$D$79,3,FALSE)</f>
        <v>68.778308886063442</v>
      </c>
      <c r="R35" s="136">
        <f>'New patients in hospital'!R33*VLOOKUP(R$6,'Splitting Admissions CCU Ward'!$B$62:$D$79,3,FALSE)</f>
        <v>96.09739862273544</v>
      </c>
      <c r="S35" s="136">
        <f>'New patients in hospital'!S33*VLOOKUP(S$6,'Splitting Admissions CCU Ward'!$B$62:$D$79,3,FALSE)</f>
        <v>89.011220033242537</v>
      </c>
      <c r="T35" s="136">
        <f>'New patients in hospital'!T33*VLOOKUP(T$6,'Splitting Admissions CCU Ward'!$B$62:$D$79,3,FALSE)</f>
        <v>285.33981201474836</v>
      </c>
    </row>
    <row r="36" spans="1:26" x14ac:dyDescent="0.25">
      <c r="A36" s="139">
        <v>44307</v>
      </c>
      <c r="B36" s="130" t="s">
        <v>233</v>
      </c>
      <c r="C36" s="137">
        <f t="shared" si="0"/>
        <v>559.95124716665828</v>
      </c>
      <c r="D36" s="136">
        <f>'New patients in hospital'!D34*VLOOKUP(D$6,'Splitting Admissions CCU Ward'!$B$62:$D$79,3,FALSE)</f>
        <v>3.339701214015494</v>
      </c>
      <c r="E36" s="136">
        <f>'New patients in hospital'!E34*VLOOKUP(E$6,'Splitting Admissions CCU Ward'!$B$62:$D$79,3,FALSE)</f>
        <v>2.1760090812848718</v>
      </c>
      <c r="F36" s="136">
        <f>'New patients in hospital'!F34*VLOOKUP(F$6,'Splitting Admissions CCU Ward'!$B$62:$D$79,3,FALSE)</f>
        <v>1.7395092789043447</v>
      </c>
      <c r="G36" s="136">
        <f>'New patients in hospital'!G34*VLOOKUP(G$6,'Splitting Admissions CCU Ward'!$B$62:$D$79,3,FALSE)</f>
        <v>2.310194298819932</v>
      </c>
      <c r="H36" s="136">
        <f>'New patients in hospital'!H34*VLOOKUP(H$6,'Splitting Admissions CCU Ward'!$B$62:$D$79,3,FALSE)</f>
        <v>4.8985962449341054</v>
      </c>
      <c r="I36" s="136">
        <f>'New patients in hospital'!I34*VLOOKUP(I$6,'Splitting Admissions CCU Ward'!$B$62:$D$79,3,FALSE)</f>
        <v>7.1050506572296444</v>
      </c>
      <c r="J36" s="136">
        <f>'New patients in hospital'!J34*VLOOKUP(J$6,'Splitting Admissions CCU Ward'!$B$62:$D$79,3,FALSE)</f>
        <v>9.2777736163316593</v>
      </c>
      <c r="K36" s="136">
        <f>'New patients in hospital'!K34*VLOOKUP(K$6,'Splitting Admissions CCU Ward'!$B$62:$D$79,3,FALSE)</f>
        <v>12.121490635516812</v>
      </c>
      <c r="L36" s="136">
        <f>'New patients in hospital'!L34*VLOOKUP(L$6,'Splitting Admissions CCU Ward'!$B$62:$D$79,3,FALSE)</f>
        <v>14.145890842056911</v>
      </c>
      <c r="M36" s="136">
        <f>'New patients in hospital'!M34*VLOOKUP(M$6,'Splitting Admissions CCU Ward'!$B$62:$D$79,3,FALSE)</f>
        <v>20.581276926668103</v>
      </c>
      <c r="N36" s="136">
        <f>'New patients in hospital'!N34*VLOOKUP(N$6,'Splitting Admissions CCU Ward'!$B$62:$D$79,3,FALSE)</f>
        <v>28.557642828353757</v>
      </c>
      <c r="O36" s="136">
        <f>'New patients in hospital'!O34*VLOOKUP(O$6,'Splitting Admissions CCU Ward'!$B$62:$D$79,3,FALSE)</f>
        <v>35.579369315980216</v>
      </c>
      <c r="P36" s="136">
        <f>'New patients in hospital'!P34*VLOOKUP(P$6,'Splitting Admissions CCU Ward'!$B$62:$D$79,3,FALSE)</f>
        <v>40.660024536809608</v>
      </c>
      <c r="Q36" s="136">
        <f>'New patients in hospital'!Q34*VLOOKUP(Q$6,'Splitting Admissions CCU Ward'!$B$62:$D$79,3,FALSE)</f>
        <v>48.144816220244415</v>
      </c>
      <c r="R36" s="136">
        <f>'New patients in hospital'!R34*VLOOKUP(R$6,'Splitting Admissions CCU Ward'!$B$62:$D$79,3,FALSE)</f>
        <v>67.268179035914798</v>
      </c>
      <c r="S36" s="136">
        <f>'New patients in hospital'!S34*VLOOKUP(S$6,'Splitting Admissions CCU Ward'!$B$62:$D$79,3,FALSE)</f>
        <v>62.307854023269776</v>
      </c>
      <c r="T36" s="136">
        <f>'New patients in hospital'!T34*VLOOKUP(T$6,'Splitting Admissions CCU Ward'!$B$62:$D$79,3,FALSE)</f>
        <v>199.73786841032384</v>
      </c>
    </row>
    <row r="37" spans="1:26" x14ac:dyDescent="0.25">
      <c r="A37" s="139">
        <v>44314</v>
      </c>
      <c r="B37" s="130" t="s">
        <v>233</v>
      </c>
      <c r="C37" s="137">
        <f t="shared" si="0"/>
        <v>391.96587301666079</v>
      </c>
      <c r="D37" s="136">
        <f>'New patients in hospital'!D35*VLOOKUP(D$6,'Splitting Admissions CCU Ward'!$B$62:$D$79,3,FALSE)</f>
        <v>2.3377908498108457</v>
      </c>
      <c r="E37" s="136">
        <f>'New patients in hospital'!E35*VLOOKUP(E$6,'Splitting Admissions CCU Ward'!$B$62:$D$79,3,FALSE)</f>
        <v>1.5232063568994103</v>
      </c>
      <c r="F37" s="136">
        <f>'New patients in hospital'!F35*VLOOKUP(F$6,'Splitting Admissions CCU Ward'!$B$62:$D$79,3,FALSE)</f>
        <v>1.2176564952330413</v>
      </c>
      <c r="G37" s="136">
        <f>'New patients in hospital'!G35*VLOOKUP(G$6,'Splitting Admissions CCU Ward'!$B$62:$D$79,3,FALSE)</f>
        <v>1.6171360091739524</v>
      </c>
      <c r="H37" s="136">
        <f>'New patients in hospital'!H35*VLOOKUP(H$6,'Splitting Admissions CCU Ward'!$B$62:$D$79,3,FALSE)</f>
        <v>3.4290173714538739</v>
      </c>
      <c r="I37" s="136">
        <f>'New patients in hospital'!I35*VLOOKUP(I$6,'Splitting Admissions CCU Ward'!$B$62:$D$79,3,FALSE)</f>
        <v>4.9735354600607504</v>
      </c>
      <c r="J37" s="136">
        <f>'New patients in hospital'!J35*VLOOKUP(J$6,'Splitting Admissions CCU Ward'!$B$62:$D$79,3,FALSE)</f>
        <v>6.4944415314321606</v>
      </c>
      <c r="K37" s="136">
        <f>'New patients in hospital'!K35*VLOOKUP(K$6,'Splitting Admissions CCU Ward'!$B$62:$D$79,3,FALSE)</f>
        <v>8.485043444861768</v>
      </c>
      <c r="L37" s="136">
        <f>'New patients in hospital'!L35*VLOOKUP(L$6,'Splitting Admissions CCU Ward'!$B$62:$D$79,3,FALSE)</f>
        <v>9.9021235894398369</v>
      </c>
      <c r="M37" s="136">
        <f>'New patients in hospital'!M35*VLOOKUP(M$6,'Splitting Admissions CCU Ward'!$B$62:$D$79,3,FALSE)</f>
        <v>14.40689384866767</v>
      </c>
      <c r="N37" s="136">
        <f>'New patients in hospital'!N35*VLOOKUP(N$6,'Splitting Admissions CCU Ward'!$B$62:$D$79,3,FALSE)</f>
        <v>19.990349979847625</v>
      </c>
      <c r="O37" s="136">
        <f>'New patients in hospital'!O35*VLOOKUP(O$6,'Splitting Admissions CCU Ward'!$B$62:$D$79,3,FALSE)</f>
        <v>24.905558521186151</v>
      </c>
      <c r="P37" s="136">
        <f>'New patients in hospital'!P35*VLOOKUP(P$6,'Splitting Admissions CCU Ward'!$B$62:$D$79,3,FALSE)</f>
        <v>28.462017175766718</v>
      </c>
      <c r="Q37" s="136">
        <f>'New patients in hospital'!Q35*VLOOKUP(Q$6,'Splitting Admissions CCU Ward'!$B$62:$D$79,3,FALSE)</f>
        <v>33.701371354171087</v>
      </c>
      <c r="R37" s="136">
        <f>'New patients in hospital'!R35*VLOOKUP(R$6,'Splitting Admissions CCU Ward'!$B$62:$D$79,3,FALSE)</f>
        <v>47.087725325140362</v>
      </c>
      <c r="S37" s="136">
        <f>'New patients in hospital'!S35*VLOOKUP(S$6,'Splitting Admissions CCU Ward'!$B$62:$D$79,3,FALSE)</f>
        <v>43.615497816288844</v>
      </c>
      <c r="T37" s="136">
        <f>'New patients in hospital'!T35*VLOOKUP(T$6,'Splitting Admissions CCU Ward'!$B$62:$D$79,3,FALSE)</f>
        <v>139.81650788722669</v>
      </c>
    </row>
    <row r="39" spans="1:26" x14ac:dyDescent="0.25">
      <c r="A39" s="138" t="s">
        <v>285</v>
      </c>
      <c r="B39" s="138"/>
      <c r="C39" s="142">
        <f>Ward_Beds_Daily</f>
        <v>87173.8</v>
      </c>
    </row>
    <row r="40" spans="1:26" x14ac:dyDescent="0.25">
      <c r="A40" t="s">
        <v>286</v>
      </c>
    </row>
    <row r="41" spans="1:26" x14ac:dyDescent="0.25">
      <c r="A41" s="133" t="s">
        <v>231</v>
      </c>
      <c r="B41" s="133" t="s">
        <v>232</v>
      </c>
      <c r="C41" s="137" t="s">
        <v>82</v>
      </c>
      <c r="D41" s="292" t="s">
        <v>179</v>
      </c>
      <c r="E41" s="138" t="s">
        <v>182</v>
      </c>
      <c r="F41" s="138" t="s">
        <v>184</v>
      </c>
      <c r="G41" s="138" t="s">
        <v>186</v>
      </c>
      <c r="H41" s="138" t="s">
        <v>188</v>
      </c>
      <c r="I41" s="138" t="s">
        <v>190</v>
      </c>
      <c r="J41" s="138" t="s">
        <v>191</v>
      </c>
      <c r="K41" s="138" t="s">
        <v>192</v>
      </c>
      <c r="L41" s="138" t="s">
        <v>193</v>
      </c>
      <c r="M41" s="138" t="s">
        <v>194</v>
      </c>
      <c r="N41" s="138" t="s">
        <v>195</v>
      </c>
      <c r="O41" s="138" t="s">
        <v>197</v>
      </c>
      <c r="P41" s="138" t="s">
        <v>199</v>
      </c>
      <c r="Q41" s="138" t="s">
        <v>201</v>
      </c>
      <c r="R41" s="138" t="s">
        <v>203</v>
      </c>
      <c r="S41" s="138" t="s">
        <v>205</v>
      </c>
      <c r="T41" s="138" t="s">
        <v>189</v>
      </c>
    </row>
    <row r="42" spans="1:26" x14ac:dyDescent="0.25">
      <c r="A42" s="139">
        <v>44104</v>
      </c>
      <c r="B42" s="130" t="s">
        <v>233</v>
      </c>
      <c r="C42" s="137">
        <f>MIN(C7,$C$39)</f>
        <v>2611.1802359727544</v>
      </c>
      <c r="D42" s="136">
        <f>$C42/$C7*D7</f>
        <v>15.573787625650155</v>
      </c>
      <c r="E42" s="136">
        <f t="shared" ref="E42:T57" si="1">$C42/$C7*E7</f>
        <v>10.147226093519478</v>
      </c>
      <c r="F42" s="136">
        <f t="shared" si="1"/>
        <v>8.1117280698088283</v>
      </c>
      <c r="G42" s="136">
        <f t="shared" si="1"/>
        <v>10.77296233352283</v>
      </c>
      <c r="H42" s="136">
        <f t="shared" si="1"/>
        <v>22.843270308808272</v>
      </c>
      <c r="I42" s="136">
        <f t="shared" si="1"/>
        <v>33.132469917013111</v>
      </c>
      <c r="J42" s="136">
        <f t="shared" si="1"/>
        <v>43.264372074135828</v>
      </c>
      <c r="K42" s="136">
        <f t="shared" si="1"/>
        <v>56.525272402098828</v>
      </c>
      <c r="L42" s="136">
        <f t="shared" si="1"/>
        <v>65.965511772515612</v>
      </c>
      <c r="M42" s="136">
        <f t="shared" si="1"/>
        <v>95.975183221625684</v>
      </c>
      <c r="N42" s="136">
        <f t="shared" si="1"/>
        <v>133.17079463021963</v>
      </c>
      <c r="O42" s="136">
        <f t="shared" si="1"/>
        <v>165.91470496111236</v>
      </c>
      <c r="P42" s="136">
        <f t="shared" si="1"/>
        <v>189.60695775195751</v>
      </c>
      <c r="Q42" s="136">
        <f t="shared" si="1"/>
        <v>224.51024658835382</v>
      </c>
      <c r="R42" s="136">
        <f t="shared" si="1"/>
        <v>313.68684416230803</v>
      </c>
      <c r="S42" s="136">
        <f t="shared" si="1"/>
        <v>290.55571854635775</v>
      </c>
      <c r="T42" s="136">
        <f t="shared" si="1"/>
        <v>931.42318551374706</v>
      </c>
    </row>
    <row r="43" spans="1:26" x14ac:dyDescent="0.25">
      <c r="A43" s="139">
        <v>44111</v>
      </c>
      <c r="B43" s="130" t="s">
        <v>233</v>
      </c>
      <c r="C43" s="137">
        <f t="shared" ref="C43:C72" si="2">MIN(C8,$C$39)</f>
        <v>3909.8575930096813</v>
      </c>
      <c r="D43" s="136">
        <f t="shared" ref="D43:S72" si="3">$C43/$C8*D8</f>
        <v>23.319451855985864</v>
      </c>
      <c r="E43" s="136">
        <f t="shared" si="3"/>
        <v>15.193975675506397</v>
      </c>
      <c r="F43" s="136">
        <f t="shared" si="3"/>
        <v>12.146117356911066</v>
      </c>
      <c r="G43" s="136">
        <f t="shared" si="3"/>
        <v>16.130923479987239</v>
      </c>
      <c r="H43" s="136">
        <f t="shared" si="3"/>
        <v>34.204430868324991</v>
      </c>
      <c r="I43" s="136">
        <f t="shared" si="3"/>
        <v>49.610990959396268</v>
      </c>
      <c r="J43" s="136">
        <f t="shared" si="3"/>
        <v>64.782021298441293</v>
      </c>
      <c r="K43" s="136">
        <f t="shared" si="3"/>
        <v>84.638265276986658</v>
      </c>
      <c r="L43" s="136">
        <f t="shared" si="3"/>
        <v>98.773632523477318</v>
      </c>
      <c r="M43" s="136">
        <f t="shared" si="3"/>
        <v>143.7086929848698</v>
      </c>
      <c r="N43" s="136">
        <f t="shared" si="3"/>
        <v>199.40363954161373</v>
      </c>
      <c r="O43" s="136">
        <f t="shared" si="3"/>
        <v>248.43281978292924</v>
      </c>
      <c r="P43" s="136">
        <f t="shared" si="3"/>
        <v>283.90847680331933</v>
      </c>
      <c r="Q43" s="136">
        <f t="shared" si="3"/>
        <v>336.17100812841403</v>
      </c>
      <c r="R43" s="136">
        <f t="shared" si="3"/>
        <v>469.69982101535845</v>
      </c>
      <c r="S43" s="136">
        <f t="shared" si="3"/>
        <v>435.0643692459052</v>
      </c>
      <c r="T43" s="136">
        <f t="shared" si="1"/>
        <v>1394.668956212254</v>
      </c>
    </row>
    <row r="44" spans="1:26" x14ac:dyDescent="0.25">
      <c r="A44" s="139">
        <v>44118</v>
      </c>
      <c r="B44" s="130" t="s">
        <v>233</v>
      </c>
      <c r="C44" s="137">
        <f t="shared" si="2"/>
        <v>5385.5016303525617</v>
      </c>
      <c r="D44" s="136">
        <f t="shared" si="3"/>
        <v>32.120593398049365</v>
      </c>
      <c r="E44" s="136">
        <f t="shared" si="1"/>
        <v>20.928429955677483</v>
      </c>
      <c r="F44" s="136">
        <f t="shared" si="1"/>
        <v>16.730260187749025</v>
      </c>
      <c r="G44" s="136">
        <f t="shared" si="1"/>
        <v>22.218997146055031</v>
      </c>
      <c r="H44" s="136">
        <f t="shared" si="1"/>
        <v>47.113741056959668</v>
      </c>
      <c r="I44" s="136">
        <f t="shared" si="1"/>
        <v>68.334988254538516</v>
      </c>
      <c r="J44" s="136">
        <f t="shared" si="1"/>
        <v>89.231812929465463</v>
      </c>
      <c r="K44" s="136">
        <f t="shared" si="1"/>
        <v>116.58212730161083</v>
      </c>
      <c r="L44" s="136">
        <f t="shared" si="1"/>
        <v>136.05241273801931</v>
      </c>
      <c r="M44" s="136">
        <f t="shared" si="1"/>
        <v>197.94669804587321</v>
      </c>
      <c r="N44" s="136">
        <f t="shared" si="1"/>
        <v>274.66182598813032</v>
      </c>
      <c r="O44" s="136">
        <f t="shared" si="1"/>
        <v>342.19541866847146</v>
      </c>
      <c r="P44" s="136">
        <f t="shared" si="1"/>
        <v>391.06016736487391</v>
      </c>
      <c r="Q44" s="136">
        <f t="shared" si="1"/>
        <v>463.04743057386219</v>
      </c>
      <c r="R44" s="136">
        <f t="shared" si="1"/>
        <v>646.97219570785933</v>
      </c>
      <c r="S44" s="136">
        <f t="shared" si="1"/>
        <v>599.26475943041589</v>
      </c>
      <c r="T44" s="136">
        <f t="shared" si="1"/>
        <v>1921.0397716049504</v>
      </c>
    </row>
    <row r="45" spans="1:26" ht="15.75" thickBot="1" x14ac:dyDescent="0.3">
      <c r="A45" s="139">
        <v>44125</v>
      </c>
      <c r="B45" s="130" t="s">
        <v>233</v>
      </c>
      <c r="C45" s="137">
        <f t="shared" si="2"/>
        <v>7004.9310954440298</v>
      </c>
      <c r="D45" s="136">
        <f t="shared" si="3"/>
        <v>41.779310255891694</v>
      </c>
      <c r="E45" s="136">
        <f t="shared" si="1"/>
        <v>27.221644303123202</v>
      </c>
      <c r="F45" s="136">
        <f t="shared" si="1"/>
        <v>21.761077772872255</v>
      </c>
      <c r="G45" s="136">
        <f t="shared" si="1"/>
        <v>28.900287234300571</v>
      </c>
      <c r="H45" s="136">
        <f t="shared" si="1"/>
        <v>61.280922819252687</v>
      </c>
      <c r="I45" s="136">
        <f t="shared" si="1"/>
        <v>88.883435005047517</v>
      </c>
      <c r="J45" s="136">
        <f t="shared" si="1"/>
        <v>116.06397026594858</v>
      </c>
      <c r="K45" s="136">
        <f t="shared" si="1"/>
        <v>151.63857051039574</v>
      </c>
      <c r="L45" s="136">
        <f t="shared" si="1"/>
        <v>176.96360376672033</v>
      </c>
      <c r="M45" s="136">
        <f t="shared" si="1"/>
        <v>257.46960553630612</v>
      </c>
      <c r="N45" s="136">
        <f t="shared" si="1"/>
        <v>357.25310243193405</v>
      </c>
      <c r="O45" s="136">
        <f t="shared" si="1"/>
        <v>445.09416085579034</v>
      </c>
      <c r="P45" s="136">
        <f t="shared" si="1"/>
        <v>508.65262227846</v>
      </c>
      <c r="Q45" s="136">
        <f t="shared" si="1"/>
        <v>602.2865775049379</v>
      </c>
      <c r="R45" s="136">
        <f t="shared" si="1"/>
        <v>841.51783114491377</v>
      </c>
      <c r="S45" s="136">
        <f t="shared" si="1"/>
        <v>779.46468794645909</v>
      </c>
      <c r="T45" s="136">
        <f t="shared" si="1"/>
        <v>2498.6996858116763</v>
      </c>
    </row>
    <row r="46" spans="1:26" ht="14.45" customHeight="1" thickTop="1" x14ac:dyDescent="0.25">
      <c r="A46" s="139">
        <v>44132</v>
      </c>
      <c r="B46" s="130" t="s">
        <v>233</v>
      </c>
      <c r="C46" s="137">
        <f t="shared" si="2"/>
        <v>8980.1373240672601</v>
      </c>
      <c r="D46" s="136">
        <f>$C46/$C11*D11</f>
        <v>53.559976292520105</v>
      </c>
      <c r="E46" s="136">
        <f t="shared" si="1"/>
        <v>34.897431637543335</v>
      </c>
      <c r="F46" s="136">
        <f t="shared" si="1"/>
        <v>27.897129044880838</v>
      </c>
      <c r="G46" s="136">
        <f t="shared" si="1"/>
        <v>37.049407700498747</v>
      </c>
      <c r="H46" s="136">
        <f t="shared" si="1"/>
        <v>78.560530398418294</v>
      </c>
      <c r="I46" s="136">
        <f t="shared" si="1"/>
        <v>113.94622463870763</v>
      </c>
      <c r="J46" s="136">
        <f t="shared" si="1"/>
        <v>148.79095556593907</v>
      </c>
      <c r="K46" s="136">
        <f t="shared" si="1"/>
        <v>194.39665690562967</v>
      </c>
      <c r="L46" s="136">
        <f t="shared" si="1"/>
        <v>226.8626830919942</v>
      </c>
      <c r="M46" s="136">
        <f t="shared" si="1"/>
        <v>330.06925878160922</v>
      </c>
      <c r="N46" s="136">
        <f t="shared" si="1"/>
        <v>457.98907592030702</v>
      </c>
      <c r="O46" s="136">
        <f t="shared" si="1"/>
        <v>570.59900121289013</v>
      </c>
      <c r="P46" s="136">
        <f t="shared" si="1"/>
        <v>652.07927616566258</v>
      </c>
      <c r="Q46" s="136">
        <f t="shared" si="1"/>
        <v>772.11554271455395</v>
      </c>
      <c r="R46" s="136">
        <f t="shared" si="1"/>
        <v>1078.8037143216968</v>
      </c>
      <c r="S46" s="136">
        <f t="shared" si="1"/>
        <v>999.25321771873053</v>
      </c>
      <c r="T46" s="136">
        <f t="shared" si="1"/>
        <v>3203.2672419556789</v>
      </c>
      <c r="V46" s="519" t="s">
        <v>483</v>
      </c>
      <c r="W46" s="520"/>
      <c r="X46" s="520"/>
      <c r="Y46" s="520"/>
      <c r="Z46" s="521"/>
    </row>
    <row r="47" spans="1:26" x14ac:dyDescent="0.25">
      <c r="A47" s="139">
        <v>44139</v>
      </c>
      <c r="B47" s="130" t="s">
        <v>233</v>
      </c>
      <c r="C47" s="137">
        <f t="shared" si="2"/>
        <v>9825.3375628201793</v>
      </c>
      <c r="D47" s="136">
        <f t="shared" si="3"/>
        <v>58.600979911553353</v>
      </c>
      <c r="E47" s="136">
        <f t="shared" si="1"/>
        <v>38.181937930433335</v>
      </c>
      <c r="F47" s="136">
        <f t="shared" si="1"/>
        <v>30.522774876160295</v>
      </c>
      <c r="G47" s="136">
        <f t="shared" si="1"/>
        <v>40.536455515479481</v>
      </c>
      <c r="H47" s="136">
        <f t="shared" si="1"/>
        <v>85.954557533320227</v>
      </c>
      <c r="I47" s="136">
        <f t="shared" si="1"/>
        <v>124.6707127833956</v>
      </c>
      <c r="J47" s="136">
        <f t="shared" si="1"/>
        <v>162.79498987302787</v>
      </c>
      <c r="K47" s="136">
        <f t="shared" si="1"/>
        <v>212.69304758431821</v>
      </c>
      <c r="L47" s="136">
        <f t="shared" si="1"/>
        <v>248.21473896753139</v>
      </c>
      <c r="M47" s="136">
        <f t="shared" si="1"/>
        <v>361.13499934434509</v>
      </c>
      <c r="N47" s="136">
        <f t="shared" si="1"/>
        <v>501.09448314794963</v>
      </c>
      <c r="O47" s="136">
        <f t="shared" si="1"/>
        <v>624.30312562141114</v>
      </c>
      <c r="P47" s="136">
        <f t="shared" si="1"/>
        <v>713.45223072215572</v>
      </c>
      <c r="Q47" s="136">
        <f t="shared" si="1"/>
        <v>844.78617318455758</v>
      </c>
      <c r="R47" s="136">
        <f t="shared" si="1"/>
        <v>1180.3394842111554</v>
      </c>
      <c r="S47" s="136">
        <f t="shared" si="1"/>
        <v>1093.3017859880599</v>
      </c>
      <c r="T47" s="136">
        <f t="shared" si="1"/>
        <v>3504.7550856253247</v>
      </c>
      <c r="V47" s="522"/>
      <c r="W47" s="514"/>
      <c r="X47" s="514"/>
      <c r="Y47" s="514"/>
      <c r="Z47" s="523"/>
    </row>
    <row r="48" spans="1:26" x14ac:dyDescent="0.25">
      <c r="A48" s="139">
        <v>44146</v>
      </c>
      <c r="B48" s="130" t="s">
        <v>233</v>
      </c>
      <c r="C48" s="137">
        <f t="shared" si="2"/>
        <v>10894.511256335321</v>
      </c>
      <c r="D48" s="136">
        <f t="shared" si="3"/>
        <v>64.977822003242082</v>
      </c>
      <c r="E48" s="136">
        <f t="shared" si="1"/>
        <v>42.336820481962661</v>
      </c>
      <c r="F48" s="136">
        <f t="shared" si="1"/>
        <v>33.84420253623027</v>
      </c>
      <c r="G48" s="136">
        <f t="shared" si="1"/>
        <v>44.947551988083255</v>
      </c>
      <c r="H48" s="136">
        <f t="shared" si="1"/>
        <v>95.307961542574574</v>
      </c>
      <c r="I48" s="136">
        <f t="shared" si="1"/>
        <v>138.2371318104818</v>
      </c>
      <c r="J48" s="136">
        <f t="shared" si="1"/>
        <v>180.51001691362003</v>
      </c>
      <c r="K48" s="136">
        <f t="shared" si="1"/>
        <v>235.83788203064174</v>
      </c>
      <c r="L48" s="136">
        <f t="shared" si="1"/>
        <v>275.22497322666237</v>
      </c>
      <c r="M48" s="136">
        <f t="shared" si="1"/>
        <v>400.4329917683076</v>
      </c>
      <c r="N48" s="136">
        <f t="shared" si="1"/>
        <v>555.62258825598167</v>
      </c>
      <c r="O48" s="136">
        <f t="shared" si="1"/>
        <v>692.23855017308438</v>
      </c>
      <c r="P48" s="136">
        <f t="shared" si="1"/>
        <v>791.08868359623648</v>
      </c>
      <c r="Q48" s="136">
        <f t="shared" si="1"/>
        <v>936.71412448794285</v>
      </c>
      <c r="R48" s="136">
        <f t="shared" si="1"/>
        <v>1308.7816794911685</v>
      </c>
      <c r="S48" s="136">
        <f t="shared" si="1"/>
        <v>1212.2727120430454</v>
      </c>
      <c r="T48" s="136">
        <f t="shared" si="1"/>
        <v>3886.135563986054</v>
      </c>
      <c r="V48" s="522"/>
      <c r="W48" s="514"/>
      <c r="X48" s="514"/>
      <c r="Y48" s="514"/>
      <c r="Z48" s="523"/>
    </row>
    <row r="49" spans="1:26" x14ac:dyDescent="0.25">
      <c r="A49" s="139">
        <v>44153</v>
      </c>
      <c r="B49" s="130" t="s">
        <v>233</v>
      </c>
      <c r="C49" s="137">
        <f t="shared" si="2"/>
        <v>11160.88297825418</v>
      </c>
      <c r="D49" s="136">
        <f>$C49/$C14*D14</f>
        <v>66.566535248499022</v>
      </c>
      <c r="E49" s="136">
        <f t="shared" si="1"/>
        <v>43.371959324541955</v>
      </c>
      <c r="F49" s="136">
        <f t="shared" si="1"/>
        <v>34.671696151540807</v>
      </c>
      <c r="G49" s="136">
        <f t="shared" si="1"/>
        <v>46.046523436861264</v>
      </c>
      <c r="H49" s="136">
        <f t="shared" si="1"/>
        <v>97.638249265569854</v>
      </c>
      <c r="I49" s="136">
        <f t="shared" si="1"/>
        <v>141.61704137843691</v>
      </c>
      <c r="J49" s="136">
        <f t="shared" si="1"/>
        <v>184.92350209873305</v>
      </c>
      <c r="K49" s="136">
        <f t="shared" si="1"/>
        <v>241.60413819873446</v>
      </c>
      <c r="L49" s="136">
        <f t="shared" si="1"/>
        <v>281.95424710673899</v>
      </c>
      <c r="M49" s="136">
        <f t="shared" si="1"/>
        <v>410.2236122946224</v>
      </c>
      <c r="N49" s="136">
        <f t="shared" si="1"/>
        <v>569.20760754582761</v>
      </c>
      <c r="O49" s="136">
        <f t="shared" si="1"/>
        <v>709.16384128983748</v>
      </c>
      <c r="P49" s="136">
        <f t="shared" si="1"/>
        <v>810.43086883814101</v>
      </c>
      <c r="Q49" s="136">
        <f t="shared" si="1"/>
        <v>959.61686407990715</v>
      </c>
      <c r="R49" s="136">
        <f t="shared" si="1"/>
        <v>1340.7815022807581</v>
      </c>
      <c r="S49" s="136">
        <f t="shared" si="1"/>
        <v>1241.9128824136412</v>
      </c>
      <c r="T49" s="136">
        <f t="shared" si="1"/>
        <v>3981.1519073017876</v>
      </c>
      <c r="V49" s="522"/>
      <c r="W49" s="514"/>
      <c r="X49" s="514"/>
      <c r="Y49" s="514"/>
      <c r="Z49" s="523"/>
    </row>
    <row r="50" spans="1:26" x14ac:dyDescent="0.25">
      <c r="A50" s="139">
        <v>44160</v>
      </c>
      <c r="B50" s="130" t="s">
        <v>233</v>
      </c>
      <c r="C50" s="137">
        <f t="shared" si="2"/>
        <v>10021.659973784597</v>
      </c>
      <c r="D50" s="136">
        <f t="shared" si="3"/>
        <v>59.771900054251368</v>
      </c>
      <c r="E50" s="136">
        <f t="shared" si="1"/>
        <v>38.944860329981388</v>
      </c>
      <c r="F50" s="136">
        <f t="shared" si="1"/>
        <v>31.132657713742109</v>
      </c>
      <c r="G50" s="136">
        <f t="shared" si="1"/>
        <v>41.346424091914486</v>
      </c>
      <c r="H50" s="136">
        <f t="shared" si="1"/>
        <v>87.67203602812296</v>
      </c>
      <c r="I50" s="136">
        <f t="shared" si="1"/>
        <v>127.16178800130021</v>
      </c>
      <c r="J50" s="136">
        <f t="shared" si="1"/>
        <v>166.04783535548142</v>
      </c>
      <c r="K50" s="136">
        <f t="shared" si="1"/>
        <v>216.94291804730693</v>
      </c>
      <c r="L50" s="136">
        <f t="shared" si="1"/>
        <v>253.17437680994078</v>
      </c>
      <c r="M50" s="136">
        <f t="shared" si="1"/>
        <v>368.35092381529682</v>
      </c>
      <c r="N50" s="136">
        <f t="shared" si="1"/>
        <v>511.10697141347617</v>
      </c>
      <c r="O50" s="136">
        <f t="shared" si="1"/>
        <v>636.77747512960627</v>
      </c>
      <c r="P50" s="136">
        <f t="shared" si="1"/>
        <v>727.70788974127572</v>
      </c>
      <c r="Q50" s="136">
        <f t="shared" si="1"/>
        <v>861.66604700147241</v>
      </c>
      <c r="R50" s="136">
        <f t="shared" si="1"/>
        <v>1203.9241286892957</v>
      </c>
      <c r="S50" s="136">
        <f t="shared" si="1"/>
        <v>1115.1473094791907</v>
      </c>
      <c r="T50" s="136">
        <f t="shared" si="1"/>
        <v>3574.7844320829413</v>
      </c>
      <c r="V50" s="522"/>
      <c r="W50" s="514"/>
      <c r="X50" s="514"/>
      <c r="Y50" s="514"/>
      <c r="Z50" s="523"/>
    </row>
    <row r="51" spans="1:26" x14ac:dyDescent="0.25">
      <c r="A51" s="139">
        <v>44167</v>
      </c>
      <c r="B51" s="130" t="s">
        <v>233</v>
      </c>
      <c r="C51" s="137">
        <f t="shared" si="2"/>
        <v>8926.6786393915027</v>
      </c>
      <c r="D51" s="136">
        <f t="shared" si="3"/>
        <v>53.241134187935664</v>
      </c>
      <c r="E51" s="136">
        <f t="shared" si="1"/>
        <v>34.689687509966866</v>
      </c>
      <c r="F51" s="136">
        <f t="shared" si="1"/>
        <v>27.73105766187734</v>
      </c>
      <c r="G51" s="136">
        <f t="shared" si="1"/>
        <v>36.828852876868552</v>
      </c>
      <c r="H51" s="136">
        <f t="shared" si="1"/>
        <v>78.092860197955574</v>
      </c>
      <c r="I51" s="136">
        <f t="shared" si="1"/>
        <v>113.26790368735332</v>
      </c>
      <c r="J51" s="136">
        <f t="shared" si="1"/>
        <v>147.90520421390946</v>
      </c>
      <c r="K51" s="136">
        <f t="shared" si="1"/>
        <v>193.2394151833135</v>
      </c>
      <c r="L51" s="136">
        <f t="shared" si="1"/>
        <v>225.51217137903768</v>
      </c>
      <c r="M51" s="136">
        <f t="shared" si="1"/>
        <v>328.10435916041109</v>
      </c>
      <c r="N51" s="136">
        <f t="shared" si="1"/>
        <v>455.26267066490544</v>
      </c>
      <c r="O51" s="136">
        <f t="shared" si="1"/>
        <v>567.20222998530642</v>
      </c>
      <c r="P51" s="136">
        <f t="shared" si="1"/>
        <v>648.19745352195855</v>
      </c>
      <c r="Q51" s="136">
        <f t="shared" si="1"/>
        <v>767.51914514938471</v>
      </c>
      <c r="R51" s="136">
        <f t="shared" si="1"/>
        <v>1072.3816045576959</v>
      </c>
      <c r="S51" s="136">
        <f t="shared" si="1"/>
        <v>993.30467141598103</v>
      </c>
      <c r="T51" s="136">
        <f t="shared" si="1"/>
        <v>3184.1982180376426</v>
      </c>
      <c r="V51" s="522"/>
      <c r="W51" s="514"/>
      <c r="X51" s="514"/>
      <c r="Y51" s="514"/>
      <c r="Z51" s="523"/>
    </row>
    <row r="52" spans="1:26" x14ac:dyDescent="0.25">
      <c r="A52" s="139">
        <v>44174</v>
      </c>
      <c r="B52" s="130" t="s">
        <v>233</v>
      </c>
      <c r="C52" s="137">
        <f t="shared" si="2"/>
        <v>10121.203731456697</v>
      </c>
      <c r="D52" s="136">
        <f t="shared" si="3"/>
        <v>60.36560604209825</v>
      </c>
      <c r="E52" s="136">
        <f t="shared" si="1"/>
        <v>39.331694222709984</v>
      </c>
      <c r="F52" s="136">
        <f t="shared" si="1"/>
        <v>31.441894082093452</v>
      </c>
      <c r="G52" s="136">
        <f t="shared" si="1"/>
        <v>41.757112384191387</v>
      </c>
      <c r="H52" s="136">
        <f t="shared" si="1"/>
        <v>88.542870194501816</v>
      </c>
      <c r="I52" s="136">
        <f t="shared" si="1"/>
        <v>128.4248683934772</v>
      </c>
      <c r="J52" s="136">
        <f t="shared" si="1"/>
        <v>167.6971654592607</v>
      </c>
      <c r="K52" s="136">
        <f t="shared" si="1"/>
        <v>219.09778194403361</v>
      </c>
      <c r="L52" s="136">
        <f t="shared" si="1"/>
        <v>255.68912275820475</v>
      </c>
      <c r="M52" s="136">
        <f t="shared" si="1"/>
        <v>372.00970242028643</v>
      </c>
      <c r="N52" s="136">
        <f t="shared" si="1"/>
        <v>516.18372602698264</v>
      </c>
      <c r="O52" s="136">
        <f t="shared" si="1"/>
        <v>643.10249741545169</v>
      </c>
      <c r="P52" s="136">
        <f t="shared" si="1"/>
        <v>734.93611121575918</v>
      </c>
      <c r="Q52" s="136">
        <f t="shared" si="1"/>
        <v>870.22485626075309</v>
      </c>
      <c r="R52" s="136">
        <f t="shared" si="1"/>
        <v>1215.8825399739865</v>
      </c>
      <c r="S52" s="136">
        <f t="shared" si="1"/>
        <v>1126.2239129394827</v>
      </c>
      <c r="T52" s="136">
        <f t="shared" si="1"/>
        <v>3610.292269723423</v>
      </c>
      <c r="V52" s="522"/>
      <c r="W52" s="514"/>
      <c r="X52" s="514"/>
      <c r="Y52" s="514"/>
      <c r="Z52" s="523"/>
    </row>
    <row r="53" spans="1:26" x14ac:dyDescent="0.25">
      <c r="A53" s="139">
        <v>44181</v>
      </c>
      <c r="B53" s="130" t="s">
        <v>233</v>
      </c>
      <c r="C53" s="137">
        <f t="shared" si="2"/>
        <v>11962.763248390534</v>
      </c>
      <c r="D53" s="136">
        <f t="shared" si="3"/>
        <v>71.349166817265569</v>
      </c>
      <c r="E53" s="136">
        <f t="shared" si="1"/>
        <v>46.488121238188953</v>
      </c>
      <c r="F53" s="136">
        <f t="shared" si="1"/>
        <v>37.16276689659329</v>
      </c>
      <c r="G53" s="136">
        <f t="shared" si="1"/>
        <v>49.354845791314091</v>
      </c>
      <c r="H53" s="136">
        <f t="shared" si="1"/>
        <v>104.65330227251062</v>
      </c>
      <c r="I53" s="136">
        <f t="shared" si="1"/>
        <v>151.79185564875155</v>
      </c>
      <c r="J53" s="136">
        <f t="shared" si="1"/>
        <v>198.20977237917717</v>
      </c>
      <c r="K53" s="136">
        <f t="shared" si="1"/>
        <v>258.96276403347713</v>
      </c>
      <c r="L53" s="136">
        <f t="shared" si="1"/>
        <v>302.21192280108727</v>
      </c>
      <c r="M53" s="136">
        <f t="shared" si="1"/>
        <v>439.69710661259433</v>
      </c>
      <c r="N53" s="136">
        <f t="shared" si="1"/>
        <v>610.10368637685156</v>
      </c>
      <c r="O53" s="136">
        <f t="shared" si="1"/>
        <v>760.11540970359249</v>
      </c>
      <c r="P53" s="136">
        <f t="shared" si="1"/>
        <v>868.65820849370164</v>
      </c>
      <c r="Q53" s="136">
        <f t="shared" si="1"/>
        <v>1028.5628275574459</v>
      </c>
      <c r="R53" s="136">
        <f t="shared" si="1"/>
        <v>1437.1131487407679</v>
      </c>
      <c r="S53" s="136">
        <f t="shared" si="1"/>
        <v>1331.1410769548806</v>
      </c>
      <c r="T53" s="136">
        <f t="shared" si="1"/>
        <v>4267.1872660723348</v>
      </c>
      <c r="V53" s="522"/>
      <c r="W53" s="514"/>
      <c r="X53" s="514"/>
      <c r="Y53" s="514"/>
      <c r="Z53" s="523"/>
    </row>
    <row r="54" spans="1:26" x14ac:dyDescent="0.25">
      <c r="A54" s="139">
        <v>44188</v>
      </c>
      <c r="B54" s="130" t="s">
        <v>233</v>
      </c>
      <c r="C54" s="137">
        <f t="shared" si="2"/>
        <v>14187.750572653942</v>
      </c>
      <c r="D54" s="136">
        <f>$C54/$C19*D19</f>
        <v>84.619595101176429</v>
      </c>
      <c r="E54" s="136">
        <f t="shared" si="1"/>
        <v>55.13457509973361</v>
      </c>
      <c r="F54" s="136">
        <f t="shared" si="1"/>
        <v>44.074772389187189</v>
      </c>
      <c r="G54" s="136">
        <f t="shared" si="1"/>
        <v>58.534489657577453</v>
      </c>
      <c r="H54" s="136">
        <f t="shared" si="1"/>
        <v>124.11805854694165</v>
      </c>
      <c r="I54" s="136">
        <f t="shared" si="1"/>
        <v>180.0240414516706</v>
      </c>
      <c r="J54" s="136">
        <f t="shared" si="1"/>
        <v>235.07535451365084</v>
      </c>
      <c r="K54" s="136">
        <f t="shared" si="1"/>
        <v>307.12796261401593</v>
      </c>
      <c r="L54" s="136">
        <f t="shared" si="1"/>
        <v>358.42115168172711</v>
      </c>
      <c r="M54" s="136">
        <f t="shared" si="1"/>
        <v>521.47758395004735</v>
      </c>
      <c r="N54" s="136">
        <f t="shared" si="1"/>
        <v>723.57855338615275</v>
      </c>
      <c r="O54" s="136">
        <f t="shared" si="1"/>
        <v>901.49137079647119</v>
      </c>
      <c r="P54" s="136">
        <f t="shared" si="1"/>
        <v>1030.2223440437283</v>
      </c>
      <c r="Q54" s="136">
        <f t="shared" si="1"/>
        <v>1219.868064149146</v>
      </c>
      <c r="R54" s="136">
        <f t="shared" si="1"/>
        <v>1704.4057861596918</v>
      </c>
      <c r="S54" s="136">
        <f t="shared" si="1"/>
        <v>1578.7236765210323</v>
      </c>
      <c r="T54" s="136">
        <f t="shared" si="1"/>
        <v>5060.8531925919906</v>
      </c>
      <c r="V54" s="522"/>
      <c r="W54" s="514"/>
      <c r="X54" s="514"/>
      <c r="Y54" s="514"/>
      <c r="Z54" s="523"/>
    </row>
    <row r="55" spans="1:26" x14ac:dyDescent="0.25">
      <c r="A55" s="139">
        <v>44195</v>
      </c>
      <c r="B55" s="130" t="s">
        <v>233</v>
      </c>
      <c r="C55" s="137">
        <f t="shared" si="2"/>
        <v>17809.115608706521</v>
      </c>
      <c r="D55" s="136">
        <f t="shared" si="3"/>
        <v>106.21839904793939</v>
      </c>
      <c r="E55" s="136">
        <f t="shared" si="1"/>
        <v>69.207448845387702</v>
      </c>
      <c r="F55" s="136">
        <f t="shared" si="1"/>
        <v>55.324676937820747</v>
      </c>
      <c r="G55" s="136">
        <f t="shared" si="1"/>
        <v>73.475177623836274</v>
      </c>
      <c r="H55" s="136">
        <f t="shared" si="1"/>
        <v>155.79868298863164</v>
      </c>
      <c r="I55" s="136">
        <f t="shared" si="1"/>
        <v>225.97443831151685</v>
      </c>
      <c r="J55" s="136">
        <f t="shared" si="1"/>
        <v>295.07737282613925</v>
      </c>
      <c r="K55" s="136">
        <f t="shared" si="1"/>
        <v>385.5211130791929</v>
      </c>
      <c r="L55" s="136">
        <f t="shared" si="1"/>
        <v>449.90667789218026</v>
      </c>
      <c r="M55" s="136">
        <f t="shared" si="1"/>
        <v>654.58259449638228</v>
      </c>
      <c r="N55" s="136">
        <f t="shared" si="1"/>
        <v>908.26900594603035</v>
      </c>
      <c r="O55" s="136">
        <f t="shared" si="1"/>
        <v>1131.5933389546815</v>
      </c>
      <c r="P55" s="136">
        <f t="shared" si="1"/>
        <v>1293.1823641663691</v>
      </c>
      <c r="Q55" s="136">
        <f t="shared" si="1"/>
        <v>1531.2343750724224</v>
      </c>
      <c r="R55" s="136">
        <f t="shared" si="1"/>
        <v>2139.4483596555297</v>
      </c>
      <c r="S55" s="136">
        <f t="shared" si="1"/>
        <v>1981.6864079607215</v>
      </c>
      <c r="T55" s="136">
        <f t="shared" si="1"/>
        <v>6352.6151749017381</v>
      </c>
      <c r="V55" s="522"/>
      <c r="W55" s="514"/>
      <c r="X55" s="514"/>
      <c r="Y55" s="514"/>
      <c r="Z55" s="523"/>
    </row>
    <row r="56" spans="1:26" x14ac:dyDescent="0.25">
      <c r="A56" s="139">
        <v>44202</v>
      </c>
      <c r="B56" s="130" t="s">
        <v>233</v>
      </c>
      <c r="C56" s="137">
        <f t="shared" si="2"/>
        <v>23796.48829239131</v>
      </c>
      <c r="D56" s="136">
        <f t="shared" si="3"/>
        <v>141.92871476139629</v>
      </c>
      <c r="E56" s="136">
        <f t="shared" si="1"/>
        <v>92.474791133951953</v>
      </c>
      <c r="F56" s="136">
        <f t="shared" si="1"/>
        <v>73.924671834212617</v>
      </c>
      <c r="G56" s="136">
        <f t="shared" si="1"/>
        <v>98.177317870417383</v>
      </c>
      <c r="H56" s="136">
        <f t="shared" si="1"/>
        <v>208.17774544045605</v>
      </c>
      <c r="I56" s="136">
        <f t="shared" si="1"/>
        <v>301.94638486319963</v>
      </c>
      <c r="J56" s="136">
        <f t="shared" si="1"/>
        <v>394.2815242534553</v>
      </c>
      <c r="K56" s="136">
        <f t="shared" si="1"/>
        <v>515.13218597860487</v>
      </c>
      <c r="L56" s="136">
        <f t="shared" si="1"/>
        <v>601.16398974331389</v>
      </c>
      <c r="M56" s="136">
        <f t="shared" si="1"/>
        <v>874.65135207057233</v>
      </c>
      <c r="N56" s="136">
        <f t="shared" si="1"/>
        <v>1213.6263945510098</v>
      </c>
      <c r="O56" s="136">
        <f t="shared" si="1"/>
        <v>1512.0317164440519</v>
      </c>
      <c r="P56" s="136">
        <f t="shared" si="1"/>
        <v>1727.9465002612212</v>
      </c>
      <c r="Q56" s="136">
        <f t="shared" si="1"/>
        <v>2046.0309023713799</v>
      </c>
      <c r="R56" s="136">
        <f t="shared" si="1"/>
        <v>2858.7246532236031</v>
      </c>
      <c r="S56" s="136">
        <f t="shared" si="1"/>
        <v>2647.9235938686425</v>
      </c>
      <c r="T56" s="136">
        <f t="shared" si="1"/>
        <v>8488.345853721823</v>
      </c>
      <c r="V56" s="522"/>
      <c r="W56" s="514"/>
      <c r="X56" s="514"/>
      <c r="Y56" s="514"/>
      <c r="Z56" s="523"/>
    </row>
    <row r="57" spans="1:26" x14ac:dyDescent="0.25">
      <c r="A57" s="139">
        <v>44209</v>
      </c>
      <c r="B57" s="130" t="s">
        <v>233</v>
      </c>
      <c r="C57" s="137">
        <f t="shared" si="2"/>
        <v>27141.342890465836</v>
      </c>
      <c r="D57" s="136">
        <f t="shared" si="3"/>
        <v>161.87833540858458</v>
      </c>
      <c r="E57" s="136">
        <f t="shared" si="1"/>
        <v>105.47312628869328</v>
      </c>
      <c r="F57" s="136">
        <f t="shared" si="1"/>
        <v>84.315586470759115</v>
      </c>
      <c r="G57" s="136">
        <f t="shared" si="1"/>
        <v>111.97720502479589</v>
      </c>
      <c r="H57" s="136">
        <f t="shared" si="1"/>
        <v>237.43938608664919</v>
      </c>
      <c r="I57" s="136">
        <f t="shared" si="1"/>
        <v>344.38822507810977</v>
      </c>
      <c r="J57" s="136">
        <f t="shared" si="1"/>
        <v>449.70207005544574</v>
      </c>
      <c r="K57" s="136">
        <f t="shared" si="1"/>
        <v>587.53960339731873</v>
      </c>
      <c r="L57" s="136">
        <f t="shared" si="1"/>
        <v>685.66411054192281</v>
      </c>
      <c r="M57" s="136">
        <f t="shared" si="1"/>
        <v>997.59308871415863</v>
      </c>
      <c r="N57" s="136">
        <f t="shared" si="1"/>
        <v>1384.2147509622582</v>
      </c>
      <c r="O57" s="136">
        <f t="shared" si="1"/>
        <v>1724.5641782526918</v>
      </c>
      <c r="P57" s="136">
        <f t="shared" si="1"/>
        <v>1970.8281273991859</v>
      </c>
      <c r="Q57" s="136">
        <f t="shared" si="1"/>
        <v>2333.6227431299876</v>
      </c>
      <c r="R57" s="136">
        <f t="shared" si="1"/>
        <v>3260.5494175952995</v>
      </c>
      <c r="S57" s="136">
        <f t="shared" si="1"/>
        <v>3020.1179823630764</v>
      </c>
      <c r="T57" s="136">
        <f t="shared" si="1"/>
        <v>9681.4749536968975</v>
      </c>
      <c r="V57" s="522"/>
      <c r="W57" s="514"/>
      <c r="X57" s="514"/>
      <c r="Y57" s="514"/>
      <c r="Z57" s="523"/>
    </row>
    <row r="58" spans="1:26" x14ac:dyDescent="0.25">
      <c r="A58" s="139">
        <v>44216</v>
      </c>
      <c r="B58" s="130" t="s">
        <v>233</v>
      </c>
      <c r="C58" s="137">
        <f t="shared" si="2"/>
        <v>25562.468289611148</v>
      </c>
      <c r="D58" s="136">
        <f t="shared" si="3"/>
        <v>152.4614987680132</v>
      </c>
      <c r="E58" s="136">
        <f t="shared" ref="E58:T72" si="4">$C58/$C23*E23</f>
        <v>99.337510934581431</v>
      </c>
      <c r="F58" s="136">
        <f t="shared" si="4"/>
        <v>79.41075407274198</v>
      </c>
      <c r="G58" s="136">
        <f t="shared" si="4"/>
        <v>105.46323238895947</v>
      </c>
      <c r="H58" s="136">
        <f t="shared" si="4"/>
        <v>223.62698861436238</v>
      </c>
      <c r="I58" s="136">
        <f t="shared" si="4"/>
        <v>324.35436663552474</v>
      </c>
      <c r="J58" s="136">
        <f t="shared" si="4"/>
        <v>423.54186202050232</v>
      </c>
      <c r="K58" s="136">
        <f t="shared" si="4"/>
        <v>553.36106770201513</v>
      </c>
      <c r="L58" s="136">
        <f t="shared" si="4"/>
        <v>645.77744564029229</v>
      </c>
      <c r="M58" s="136">
        <f t="shared" si="4"/>
        <v>939.56079472946215</v>
      </c>
      <c r="N58" s="136">
        <f t="shared" si="4"/>
        <v>1303.6917819535868</v>
      </c>
      <c r="O58" s="136">
        <f t="shared" si="4"/>
        <v>1624.2422969966433</v>
      </c>
      <c r="P58" s="136">
        <f t="shared" si="4"/>
        <v>1856.1805034566855</v>
      </c>
      <c r="Q58" s="136">
        <f t="shared" si="4"/>
        <v>2197.8705184897303</v>
      </c>
      <c r="R58" s="136">
        <f t="shared" si="4"/>
        <v>3070.8757274964523</v>
      </c>
      <c r="S58" s="136">
        <f t="shared" si="4"/>
        <v>2844.4307441456704</v>
      </c>
      <c r="T58" s="136">
        <f t="shared" si="4"/>
        <v>9118.2811955659236</v>
      </c>
      <c r="V58" s="522"/>
      <c r="W58" s="514"/>
      <c r="X58" s="514"/>
      <c r="Y58" s="514"/>
      <c r="Z58" s="523"/>
    </row>
    <row r="59" spans="1:26" x14ac:dyDescent="0.25">
      <c r="A59" s="139">
        <v>44223</v>
      </c>
      <c r="B59" s="130" t="s">
        <v>233</v>
      </c>
      <c r="C59" s="137">
        <f t="shared" si="2"/>
        <v>20613.853151263913</v>
      </c>
      <c r="D59" s="136">
        <f t="shared" si="3"/>
        <v>122.94661498329181</v>
      </c>
      <c r="E59" s="136">
        <f t="shared" si="4"/>
        <v>80.106851952546108</v>
      </c>
      <c r="F59" s="136">
        <f t="shared" si="4"/>
        <v>64.037697946090518</v>
      </c>
      <c r="G59" s="136">
        <f t="shared" si="4"/>
        <v>85.046700525675305</v>
      </c>
      <c r="H59" s="136">
        <f t="shared" si="4"/>
        <v>180.33524195428768</v>
      </c>
      <c r="I59" s="136">
        <f t="shared" si="4"/>
        <v>261.56289787998526</v>
      </c>
      <c r="J59" s="136">
        <f t="shared" si="4"/>
        <v>341.54877565762365</v>
      </c>
      <c r="K59" s="136">
        <f t="shared" si="4"/>
        <v>446.23639861381582</v>
      </c>
      <c r="L59" s="136">
        <f t="shared" si="4"/>
        <v>520.76197345298681</v>
      </c>
      <c r="M59" s="136">
        <f t="shared" si="4"/>
        <v>757.67206944993222</v>
      </c>
      <c r="N59" s="136">
        <f t="shared" si="4"/>
        <v>1051.3112678802902</v>
      </c>
      <c r="O59" s="136">
        <f t="shared" si="4"/>
        <v>1309.8066983604936</v>
      </c>
      <c r="P59" s="136">
        <f t="shared" si="4"/>
        <v>1496.8441970075999</v>
      </c>
      <c r="Q59" s="136">
        <f t="shared" si="4"/>
        <v>1772.3867507760444</v>
      </c>
      <c r="R59" s="136">
        <f t="shared" si="4"/>
        <v>2476.3876702047364</v>
      </c>
      <c r="S59" s="136">
        <f t="shared" si="4"/>
        <v>2293.7799665687576</v>
      </c>
      <c r="T59" s="136">
        <f t="shared" si="4"/>
        <v>7353.0813780497547</v>
      </c>
      <c r="V59" s="522"/>
      <c r="W59" s="514"/>
      <c r="X59" s="514"/>
      <c r="Y59" s="514"/>
      <c r="Z59" s="523"/>
    </row>
    <row r="60" spans="1:26" x14ac:dyDescent="0.25">
      <c r="A60" s="139">
        <v>44230</v>
      </c>
      <c r="B60" s="130" t="s">
        <v>233</v>
      </c>
      <c r="C60" s="137">
        <f t="shared" si="2"/>
        <v>16599.843293282494</v>
      </c>
      <c r="D60" s="136">
        <f t="shared" si="3"/>
        <v>99.005970751132821</v>
      </c>
      <c r="E60" s="136">
        <f t="shared" si="4"/>
        <v>64.508133407795896</v>
      </c>
      <c r="F60" s="136">
        <f t="shared" si="4"/>
        <v>51.56802772229333</v>
      </c>
      <c r="G60" s="136">
        <f t="shared" si="4"/>
        <v>68.48607540654649</v>
      </c>
      <c r="H60" s="136">
        <f t="shared" si="4"/>
        <v>145.21966052299223</v>
      </c>
      <c r="I60" s="136">
        <f t="shared" si="4"/>
        <v>210.63035058432973</v>
      </c>
      <c r="J60" s="136">
        <f t="shared" si="4"/>
        <v>275.04106638022813</v>
      </c>
      <c r="K60" s="136">
        <f t="shared" si="4"/>
        <v>359.34350722266146</v>
      </c>
      <c r="L60" s="136">
        <f t="shared" si="4"/>
        <v>419.35717155771488</v>
      </c>
      <c r="M60" s="136">
        <f t="shared" si="4"/>
        <v>610.13520996169382</v>
      </c>
      <c r="N60" s="136">
        <f t="shared" si="4"/>
        <v>846.59583878935962</v>
      </c>
      <c r="O60" s="136">
        <f t="shared" si="4"/>
        <v>1054.7560311858924</v>
      </c>
      <c r="P60" s="136">
        <f t="shared" si="4"/>
        <v>1205.3728588467191</v>
      </c>
      <c r="Q60" s="136">
        <f t="shared" si="4"/>
        <v>1427.2606922189384</v>
      </c>
      <c r="R60" s="136">
        <f t="shared" si="4"/>
        <v>1994.1758077526181</v>
      </c>
      <c r="S60" s="136">
        <f t="shared" si="4"/>
        <v>1847.1261881468063</v>
      </c>
      <c r="T60" s="136">
        <f t="shared" si="4"/>
        <v>5921.2607028247749</v>
      </c>
      <c r="V60" s="522"/>
      <c r="W60" s="514"/>
      <c r="X60" s="514"/>
      <c r="Y60" s="514"/>
      <c r="Z60" s="523"/>
    </row>
    <row r="61" spans="1:26" x14ac:dyDescent="0.25">
      <c r="A61" s="139">
        <v>44237</v>
      </c>
      <c r="B61" s="130" t="s">
        <v>233</v>
      </c>
      <c r="C61" s="137">
        <f t="shared" si="2"/>
        <v>13279.874634625998</v>
      </c>
      <c r="D61" s="136">
        <f t="shared" si="3"/>
        <v>79.204776600906257</v>
      </c>
      <c r="E61" s="136">
        <f t="shared" si="4"/>
        <v>51.606506726236724</v>
      </c>
      <c r="F61" s="136">
        <f t="shared" si="4"/>
        <v>41.254422177834662</v>
      </c>
      <c r="G61" s="136">
        <f t="shared" si="4"/>
        <v>54.788860325237188</v>
      </c>
      <c r="H61" s="136">
        <f t="shared" si="4"/>
        <v>116.17572841839377</v>
      </c>
      <c r="I61" s="136">
        <f t="shared" si="4"/>
        <v>168.50428046746379</v>
      </c>
      <c r="J61" s="136">
        <f t="shared" si="4"/>
        <v>220.03285310418249</v>
      </c>
      <c r="K61" s="136">
        <f t="shared" si="4"/>
        <v>287.47480577812917</v>
      </c>
      <c r="L61" s="136">
        <f t="shared" si="4"/>
        <v>335.48573724617188</v>
      </c>
      <c r="M61" s="136">
        <f t="shared" si="4"/>
        <v>488.10816796935501</v>
      </c>
      <c r="N61" s="136">
        <f t="shared" si="4"/>
        <v>677.27667103148769</v>
      </c>
      <c r="O61" s="136">
        <f t="shared" si="4"/>
        <v>843.80482494871399</v>
      </c>
      <c r="P61" s="136">
        <f t="shared" si="4"/>
        <v>964.29828707737522</v>
      </c>
      <c r="Q61" s="136">
        <f t="shared" si="4"/>
        <v>1141.8085537751508</v>
      </c>
      <c r="R61" s="136">
        <f t="shared" si="4"/>
        <v>1595.3406462020946</v>
      </c>
      <c r="S61" s="136">
        <f t="shared" si="4"/>
        <v>1477.7009505174451</v>
      </c>
      <c r="T61" s="136">
        <f t="shared" si="4"/>
        <v>4737.0085622598199</v>
      </c>
      <c r="V61" s="522"/>
      <c r="W61" s="514"/>
      <c r="X61" s="514"/>
      <c r="Y61" s="514"/>
      <c r="Z61" s="523"/>
    </row>
    <row r="62" spans="1:26" x14ac:dyDescent="0.25">
      <c r="A62" s="139">
        <v>44244</v>
      </c>
      <c r="B62" s="130" t="s">
        <v>233</v>
      </c>
      <c r="C62" s="137">
        <f t="shared" si="2"/>
        <v>10623.899707700799</v>
      </c>
      <c r="D62" s="136">
        <f t="shared" si="3"/>
        <v>63.363821280725013</v>
      </c>
      <c r="E62" s="136">
        <f t="shared" si="4"/>
        <v>41.285205380989382</v>
      </c>
      <c r="F62" s="136">
        <f t="shared" si="4"/>
        <v>33.003537742267731</v>
      </c>
      <c r="G62" s="136">
        <f t="shared" si="4"/>
        <v>43.831088260189752</v>
      </c>
      <c r="H62" s="136">
        <f t="shared" si="4"/>
        <v>92.940582734715036</v>
      </c>
      <c r="I62" s="136">
        <f t="shared" si="4"/>
        <v>134.80342437397104</v>
      </c>
      <c r="J62" s="136">
        <f t="shared" si="4"/>
        <v>176.02628248334602</v>
      </c>
      <c r="K62" s="136">
        <f t="shared" si="4"/>
        <v>229.97984462250332</v>
      </c>
      <c r="L62" s="136">
        <f t="shared" si="4"/>
        <v>268.38858979693754</v>
      </c>
      <c r="M62" s="136">
        <f t="shared" si="4"/>
        <v>390.48653437548404</v>
      </c>
      <c r="N62" s="136">
        <f t="shared" si="4"/>
        <v>541.8213368251902</v>
      </c>
      <c r="O62" s="136">
        <f t="shared" si="4"/>
        <v>675.04385995897132</v>
      </c>
      <c r="P62" s="136">
        <f t="shared" si="4"/>
        <v>771.43862966190022</v>
      </c>
      <c r="Q62" s="136">
        <f t="shared" si="4"/>
        <v>913.4468430201207</v>
      </c>
      <c r="R62" s="136">
        <f t="shared" si="4"/>
        <v>1276.2725169616756</v>
      </c>
      <c r="S62" s="136">
        <f t="shared" si="4"/>
        <v>1182.1607604139563</v>
      </c>
      <c r="T62" s="136">
        <f t="shared" si="4"/>
        <v>3789.6068498078562</v>
      </c>
      <c r="V62" s="522"/>
      <c r="W62" s="514"/>
      <c r="X62" s="514"/>
      <c r="Y62" s="514"/>
      <c r="Z62" s="523"/>
    </row>
    <row r="63" spans="1:26" x14ac:dyDescent="0.25">
      <c r="A63" s="139">
        <v>44251</v>
      </c>
      <c r="B63" s="130" t="s">
        <v>233</v>
      </c>
      <c r="C63" s="137">
        <f t="shared" si="2"/>
        <v>8499.1197661606384</v>
      </c>
      <c r="D63" s="136">
        <f t="shared" si="3"/>
        <v>50.691057024580005</v>
      </c>
      <c r="E63" s="136">
        <f t="shared" si="4"/>
        <v>33.028164304791503</v>
      </c>
      <c r="F63" s="136">
        <f t="shared" si="4"/>
        <v>26.402830193814186</v>
      </c>
      <c r="G63" s="136">
        <f t="shared" si="4"/>
        <v>35.064870608151807</v>
      </c>
      <c r="H63" s="136">
        <f t="shared" si="4"/>
        <v>74.352466187772038</v>
      </c>
      <c r="I63" s="136">
        <f t="shared" si="4"/>
        <v>107.84273949917683</v>
      </c>
      <c r="J63" s="136">
        <f t="shared" si="4"/>
        <v>140.82102598667683</v>
      </c>
      <c r="K63" s="136">
        <f t="shared" si="4"/>
        <v>183.98387569800269</v>
      </c>
      <c r="L63" s="136">
        <f t="shared" si="4"/>
        <v>214.71087183755003</v>
      </c>
      <c r="M63" s="136">
        <f t="shared" si="4"/>
        <v>312.38922750038722</v>
      </c>
      <c r="N63" s="136">
        <f t="shared" si="4"/>
        <v>433.45706946015213</v>
      </c>
      <c r="O63" s="136">
        <f t="shared" si="4"/>
        <v>540.03508796717711</v>
      </c>
      <c r="P63" s="136">
        <f t="shared" si="4"/>
        <v>617.15090372952011</v>
      </c>
      <c r="Q63" s="136">
        <f t="shared" si="4"/>
        <v>730.75747441609656</v>
      </c>
      <c r="R63" s="136">
        <f t="shared" si="4"/>
        <v>1021.0180135693406</v>
      </c>
      <c r="S63" s="136">
        <f t="shared" si="4"/>
        <v>945.72860833116488</v>
      </c>
      <c r="T63" s="136">
        <f t="shared" si="4"/>
        <v>3031.6854798462846</v>
      </c>
      <c r="V63" s="522"/>
      <c r="W63" s="514"/>
      <c r="X63" s="514"/>
      <c r="Y63" s="514"/>
      <c r="Z63" s="523"/>
    </row>
    <row r="64" spans="1:26" x14ac:dyDescent="0.25">
      <c r="A64" s="139">
        <v>44258</v>
      </c>
      <c r="B64" s="130" t="s">
        <v>233</v>
      </c>
      <c r="C64" s="137">
        <f t="shared" si="2"/>
        <v>6799.2958129285107</v>
      </c>
      <c r="D64" s="136">
        <f t="shared" si="3"/>
        <v>40.552845619664005</v>
      </c>
      <c r="E64" s="136">
        <f t="shared" si="4"/>
        <v>26.422531443833204</v>
      </c>
      <c r="F64" s="136">
        <f t="shared" si="4"/>
        <v>21.122264155051351</v>
      </c>
      <c r="G64" s="136">
        <f t="shared" si="4"/>
        <v>28.051896486521439</v>
      </c>
      <c r="H64" s="136">
        <f t="shared" si="4"/>
        <v>59.481972950217624</v>
      </c>
      <c r="I64" s="136">
        <f t="shared" si="4"/>
        <v>86.274191599341464</v>
      </c>
      <c r="J64" s="136">
        <f t="shared" si="4"/>
        <v>112.65682078934145</v>
      </c>
      <c r="K64" s="136">
        <f t="shared" si="4"/>
        <v>147.18710055840214</v>
      </c>
      <c r="L64" s="136">
        <f t="shared" si="4"/>
        <v>171.76869747004002</v>
      </c>
      <c r="M64" s="136">
        <f t="shared" si="4"/>
        <v>249.9113820003098</v>
      </c>
      <c r="N64" s="136">
        <f t="shared" si="4"/>
        <v>346.7656555681217</v>
      </c>
      <c r="O64" s="136">
        <f t="shared" si="4"/>
        <v>432.02807037374163</v>
      </c>
      <c r="P64" s="136">
        <f t="shared" si="4"/>
        <v>493.72072298361621</v>
      </c>
      <c r="Q64" s="136">
        <f t="shared" si="4"/>
        <v>584.6059795328772</v>
      </c>
      <c r="R64" s="136">
        <f t="shared" si="4"/>
        <v>816.81441085547237</v>
      </c>
      <c r="S64" s="136">
        <f t="shared" si="4"/>
        <v>756.58288666493195</v>
      </c>
      <c r="T64" s="136">
        <f t="shared" si="4"/>
        <v>2425.3483838770276</v>
      </c>
      <c r="V64" s="522"/>
      <c r="W64" s="514"/>
      <c r="X64" s="514"/>
      <c r="Y64" s="514"/>
      <c r="Z64" s="523"/>
    </row>
    <row r="65" spans="1:26" x14ac:dyDescent="0.25">
      <c r="A65" s="139">
        <v>44265</v>
      </c>
      <c r="B65" s="130" t="s">
        <v>233</v>
      </c>
      <c r="C65" s="137">
        <f t="shared" si="2"/>
        <v>4759.5070690499579</v>
      </c>
      <c r="D65" s="136">
        <f t="shared" si="3"/>
        <v>28.386991933764801</v>
      </c>
      <c r="E65" s="136">
        <f t="shared" si="4"/>
        <v>18.49577201068324</v>
      </c>
      <c r="F65" s="136">
        <f t="shared" si="4"/>
        <v>14.785584908535942</v>
      </c>
      <c r="G65" s="136">
        <f t="shared" si="4"/>
        <v>19.636327540565006</v>
      </c>
      <c r="H65" s="136">
        <f t="shared" si="4"/>
        <v>41.637381065152333</v>
      </c>
      <c r="I65" s="136">
        <f t="shared" si="4"/>
        <v>60.391934119539016</v>
      </c>
      <c r="J65" s="136">
        <f t="shared" si="4"/>
        <v>78.859774552539008</v>
      </c>
      <c r="K65" s="136">
        <f t="shared" si="4"/>
        <v>103.03097039088148</v>
      </c>
      <c r="L65" s="136">
        <f t="shared" si="4"/>
        <v>120.23808822902801</v>
      </c>
      <c r="M65" s="136">
        <f t="shared" si="4"/>
        <v>174.93796740021682</v>
      </c>
      <c r="N65" s="136">
        <f t="shared" si="4"/>
        <v>242.73595889768515</v>
      </c>
      <c r="O65" s="136">
        <f t="shared" si="4"/>
        <v>302.4196492616191</v>
      </c>
      <c r="P65" s="136">
        <f t="shared" si="4"/>
        <v>345.60450608853125</v>
      </c>
      <c r="Q65" s="136">
        <f t="shared" si="4"/>
        <v>409.22418567301401</v>
      </c>
      <c r="R65" s="136">
        <f t="shared" si="4"/>
        <v>571.77008759883063</v>
      </c>
      <c r="S65" s="136">
        <f t="shared" si="4"/>
        <v>529.60802066545227</v>
      </c>
      <c r="T65" s="136">
        <f t="shared" si="4"/>
        <v>1697.7438687139193</v>
      </c>
      <c r="V65" s="522"/>
      <c r="W65" s="514"/>
      <c r="X65" s="514"/>
      <c r="Y65" s="514"/>
      <c r="Z65" s="523"/>
    </row>
    <row r="66" spans="1:26" ht="15.75" thickBot="1" x14ac:dyDescent="0.3">
      <c r="A66" s="139">
        <v>44272</v>
      </c>
      <c r="B66" s="130" t="s">
        <v>233</v>
      </c>
      <c r="C66" s="137">
        <f t="shared" si="2"/>
        <v>3331.65494833497</v>
      </c>
      <c r="D66" s="136">
        <f t="shared" si="3"/>
        <v>19.870894353635357</v>
      </c>
      <c r="E66" s="136">
        <f t="shared" si="4"/>
        <v>12.947040407478267</v>
      </c>
      <c r="F66" s="136">
        <f t="shared" si="4"/>
        <v>10.349909435975158</v>
      </c>
      <c r="G66" s="136">
        <f t="shared" si="4"/>
        <v>13.745429278395504</v>
      </c>
      <c r="H66" s="136">
        <f t="shared" si="4"/>
        <v>29.146166745606628</v>
      </c>
      <c r="I66" s="136">
        <f t="shared" si="4"/>
        <v>42.274353883677307</v>
      </c>
      <c r="J66" s="136">
        <f t="shared" si="4"/>
        <v>55.201842186777299</v>
      </c>
      <c r="K66" s="136">
        <f t="shared" si="4"/>
        <v>72.121679273617033</v>
      </c>
      <c r="L66" s="136">
        <f t="shared" si="4"/>
        <v>84.166661760319599</v>
      </c>
      <c r="M66" s="136">
        <f t="shared" si="4"/>
        <v>122.45657718015177</v>
      </c>
      <c r="N66" s="136">
        <f t="shared" si="4"/>
        <v>169.91517122837959</v>
      </c>
      <c r="O66" s="136">
        <f t="shared" si="4"/>
        <v>211.69375448313338</v>
      </c>
      <c r="P66" s="136">
        <f t="shared" si="4"/>
        <v>241.92315426197189</v>
      </c>
      <c r="Q66" s="136">
        <f t="shared" si="4"/>
        <v>286.45692997110979</v>
      </c>
      <c r="R66" s="136">
        <f t="shared" si="4"/>
        <v>400.23906131918142</v>
      </c>
      <c r="S66" s="136">
        <f t="shared" si="4"/>
        <v>370.72561446581659</v>
      </c>
      <c r="T66" s="136">
        <f t="shared" si="4"/>
        <v>1188.4207080997435</v>
      </c>
      <c r="V66" s="524"/>
      <c r="W66" s="525"/>
      <c r="X66" s="525"/>
      <c r="Y66" s="525"/>
      <c r="Z66" s="526"/>
    </row>
    <row r="67" spans="1:26" ht="15.75" thickTop="1" x14ac:dyDescent="0.25">
      <c r="A67" s="139">
        <v>44279</v>
      </c>
      <c r="B67" s="130" t="s">
        <v>233</v>
      </c>
      <c r="C67" s="137">
        <f t="shared" si="2"/>
        <v>2332.1584638344789</v>
      </c>
      <c r="D67" s="136">
        <f t="shared" si="3"/>
        <v>13.909626047544752</v>
      </c>
      <c r="E67" s="136">
        <f t="shared" si="4"/>
        <v>9.0629282852347863</v>
      </c>
      <c r="F67" s="136">
        <f t="shared" si="4"/>
        <v>7.2449366051826116</v>
      </c>
      <c r="G67" s="136">
        <f t="shared" si="4"/>
        <v>9.6218004948768527</v>
      </c>
      <c r="H67" s="136">
        <f t="shared" si="4"/>
        <v>20.402316721924642</v>
      </c>
      <c r="I67" s="136">
        <f t="shared" si="4"/>
        <v>29.592047718574115</v>
      </c>
      <c r="J67" s="136">
        <f t="shared" si="4"/>
        <v>38.64128953074411</v>
      </c>
      <c r="K67" s="136">
        <f t="shared" si="4"/>
        <v>50.485175491531919</v>
      </c>
      <c r="L67" s="136">
        <f t="shared" si="4"/>
        <v>58.916663232223719</v>
      </c>
      <c r="M67" s="136">
        <f t="shared" si="4"/>
        <v>85.719604026106239</v>
      </c>
      <c r="N67" s="136">
        <f t="shared" si="4"/>
        <v>118.94061985986572</v>
      </c>
      <c r="O67" s="136">
        <f t="shared" si="4"/>
        <v>148.18562813819335</v>
      </c>
      <c r="P67" s="136">
        <f t="shared" si="4"/>
        <v>169.34620798338031</v>
      </c>
      <c r="Q67" s="136">
        <f t="shared" si="4"/>
        <v>200.51985097977683</v>
      </c>
      <c r="R67" s="136">
        <f t="shared" si="4"/>
        <v>280.16734292342699</v>
      </c>
      <c r="S67" s="136">
        <f t="shared" si="4"/>
        <v>259.50793012607159</v>
      </c>
      <c r="T67" s="136">
        <f t="shared" si="4"/>
        <v>831.89449566982034</v>
      </c>
    </row>
    <row r="68" spans="1:26" x14ac:dyDescent="0.25">
      <c r="A68" s="139">
        <v>44286</v>
      </c>
      <c r="B68" s="130" t="s">
        <v>233</v>
      </c>
      <c r="C68" s="137">
        <f t="shared" si="2"/>
        <v>1632.5109246841348</v>
      </c>
      <c r="D68" s="136">
        <f t="shared" si="3"/>
        <v>9.7367382332813257</v>
      </c>
      <c r="E68" s="136">
        <f t="shared" si="4"/>
        <v>6.3440497996643508</v>
      </c>
      <c r="F68" s="136">
        <f t="shared" si="4"/>
        <v>5.0714556236278279</v>
      </c>
      <c r="G68" s="136">
        <f t="shared" si="4"/>
        <v>6.7352603464137957</v>
      </c>
      <c r="H68" s="136">
        <f t="shared" si="4"/>
        <v>14.281621705347247</v>
      </c>
      <c r="I68" s="136">
        <f t="shared" si="4"/>
        <v>20.71443340300188</v>
      </c>
      <c r="J68" s="136">
        <f t="shared" si="4"/>
        <v>27.048902671520874</v>
      </c>
      <c r="K68" s="136">
        <f t="shared" si="4"/>
        <v>35.339622844072338</v>
      </c>
      <c r="L68" s="136">
        <f t="shared" si="4"/>
        <v>41.241664262556597</v>
      </c>
      <c r="M68" s="136">
        <f t="shared" si="4"/>
        <v>60.003722818274362</v>
      </c>
      <c r="N68" s="136">
        <f t="shared" si="4"/>
        <v>83.258433901905988</v>
      </c>
      <c r="O68" s="136">
        <f t="shared" si="4"/>
        <v>103.72993969673533</v>
      </c>
      <c r="P68" s="136">
        <f t="shared" si="4"/>
        <v>118.54234558836622</v>
      </c>
      <c r="Q68" s="136">
        <f t="shared" si="4"/>
        <v>140.3638956858438</v>
      </c>
      <c r="R68" s="136">
        <f t="shared" si="4"/>
        <v>196.11714004639887</v>
      </c>
      <c r="S68" s="136">
        <f t="shared" si="4"/>
        <v>181.65555108825012</v>
      </c>
      <c r="T68" s="136">
        <f t="shared" si="4"/>
        <v>582.32614696887424</v>
      </c>
    </row>
    <row r="69" spans="1:26" x14ac:dyDescent="0.25">
      <c r="A69" s="139">
        <v>44293</v>
      </c>
      <c r="B69" s="130" t="s">
        <v>233</v>
      </c>
      <c r="C69" s="137">
        <f t="shared" si="2"/>
        <v>1142.7576472788946</v>
      </c>
      <c r="D69" s="136">
        <f t="shared" si="3"/>
        <v>6.8157167632969271</v>
      </c>
      <c r="E69" s="136">
        <f t="shared" si="4"/>
        <v>4.4408348597650447</v>
      </c>
      <c r="F69" s="136">
        <f t="shared" si="4"/>
        <v>3.550018936539479</v>
      </c>
      <c r="G69" s="136">
        <f t="shared" si="4"/>
        <v>4.7146822424896566</v>
      </c>
      <c r="H69" s="136">
        <f t="shared" si="4"/>
        <v>9.9971351937430732</v>
      </c>
      <c r="I69" s="136">
        <f t="shared" si="4"/>
        <v>14.500103382101315</v>
      </c>
      <c r="J69" s="136">
        <f t="shared" si="4"/>
        <v>18.934231870064611</v>
      </c>
      <c r="K69" s="136">
        <f t="shared" si="4"/>
        <v>24.737735990850641</v>
      </c>
      <c r="L69" s="136">
        <f t="shared" si="4"/>
        <v>28.86916498378962</v>
      </c>
      <c r="M69" s="136">
        <f t="shared" si="4"/>
        <v>42.002605972792054</v>
      </c>
      <c r="N69" s="136">
        <f t="shared" si="4"/>
        <v>58.280903731334199</v>
      </c>
      <c r="O69" s="136">
        <f t="shared" si="4"/>
        <v>72.610957787714725</v>
      </c>
      <c r="P69" s="136">
        <f t="shared" si="4"/>
        <v>82.979641911856334</v>
      </c>
      <c r="Q69" s="136">
        <f t="shared" si="4"/>
        <v>98.254726980090652</v>
      </c>
      <c r="R69" s="136">
        <f t="shared" si="4"/>
        <v>137.28199803247921</v>
      </c>
      <c r="S69" s="136">
        <f t="shared" si="4"/>
        <v>127.15888576177508</v>
      </c>
      <c r="T69" s="136">
        <f t="shared" si="4"/>
        <v>407.62830287821197</v>
      </c>
    </row>
    <row r="70" spans="1:26" x14ac:dyDescent="0.25">
      <c r="A70" s="139">
        <v>44300</v>
      </c>
      <c r="B70" s="130" t="s">
        <v>233</v>
      </c>
      <c r="C70" s="137">
        <f t="shared" si="2"/>
        <v>799.93035309522611</v>
      </c>
      <c r="D70" s="136">
        <f t="shared" si="3"/>
        <v>4.7710017343078484</v>
      </c>
      <c r="E70" s="136">
        <f t="shared" si="4"/>
        <v>3.1085844018355311</v>
      </c>
      <c r="F70" s="136">
        <f t="shared" si="4"/>
        <v>2.485013255577635</v>
      </c>
      <c r="G70" s="136">
        <f t="shared" si="4"/>
        <v>3.30027756974276</v>
      </c>
      <c r="H70" s="136">
        <f t="shared" si="4"/>
        <v>6.9979946356201506</v>
      </c>
      <c r="I70" s="136">
        <f t="shared" si="4"/>
        <v>10.150072367470921</v>
      </c>
      <c r="J70" s="136">
        <f t="shared" si="4"/>
        <v>13.253962309045226</v>
      </c>
      <c r="K70" s="136">
        <f t="shared" si="4"/>
        <v>17.316415193595446</v>
      </c>
      <c r="L70" s="136">
        <f t="shared" si="4"/>
        <v>20.208415488652733</v>
      </c>
      <c r="M70" s="136">
        <f t="shared" si="4"/>
        <v>29.401824180954431</v>
      </c>
      <c r="N70" s="136">
        <f t="shared" si="4"/>
        <v>40.796632611933937</v>
      </c>
      <c r="O70" s="136">
        <f t="shared" si="4"/>
        <v>50.827670451400309</v>
      </c>
      <c r="P70" s="136">
        <f t="shared" si="4"/>
        <v>58.085749338299436</v>
      </c>
      <c r="Q70" s="136">
        <f t="shared" si="4"/>
        <v>68.778308886063442</v>
      </c>
      <c r="R70" s="136">
        <f t="shared" si="4"/>
        <v>96.09739862273544</v>
      </c>
      <c r="S70" s="136">
        <f t="shared" si="4"/>
        <v>89.011220033242537</v>
      </c>
      <c r="T70" s="136">
        <f t="shared" si="4"/>
        <v>285.33981201474836</v>
      </c>
    </row>
    <row r="71" spans="1:26" x14ac:dyDescent="0.25">
      <c r="A71" s="139">
        <v>44307</v>
      </c>
      <c r="B71" s="130" t="s">
        <v>233</v>
      </c>
      <c r="C71" s="137">
        <f t="shared" si="2"/>
        <v>559.95124716665828</v>
      </c>
      <c r="D71" s="136">
        <f t="shared" si="3"/>
        <v>3.339701214015494</v>
      </c>
      <c r="E71" s="136">
        <f t="shared" si="4"/>
        <v>2.1760090812848718</v>
      </c>
      <c r="F71" s="136">
        <f t="shared" si="4"/>
        <v>1.7395092789043447</v>
      </c>
      <c r="G71" s="136">
        <f t="shared" si="4"/>
        <v>2.310194298819932</v>
      </c>
      <c r="H71" s="136">
        <f t="shared" si="4"/>
        <v>4.8985962449341054</v>
      </c>
      <c r="I71" s="136">
        <f t="shared" si="4"/>
        <v>7.1050506572296444</v>
      </c>
      <c r="J71" s="136">
        <f t="shared" si="4"/>
        <v>9.2777736163316593</v>
      </c>
      <c r="K71" s="136">
        <f t="shared" si="4"/>
        <v>12.121490635516812</v>
      </c>
      <c r="L71" s="136">
        <f t="shared" si="4"/>
        <v>14.145890842056911</v>
      </c>
      <c r="M71" s="136">
        <f t="shared" si="4"/>
        <v>20.581276926668103</v>
      </c>
      <c r="N71" s="136">
        <f t="shared" si="4"/>
        <v>28.557642828353757</v>
      </c>
      <c r="O71" s="136">
        <f t="shared" si="4"/>
        <v>35.579369315980216</v>
      </c>
      <c r="P71" s="136">
        <f t="shared" si="4"/>
        <v>40.660024536809608</v>
      </c>
      <c r="Q71" s="136">
        <f t="shared" si="4"/>
        <v>48.144816220244415</v>
      </c>
      <c r="R71" s="136">
        <f t="shared" si="4"/>
        <v>67.268179035914798</v>
      </c>
      <c r="S71" s="136">
        <f t="shared" si="4"/>
        <v>62.307854023269776</v>
      </c>
      <c r="T71" s="136">
        <f t="shared" si="4"/>
        <v>199.73786841032384</v>
      </c>
    </row>
    <row r="72" spans="1:26" x14ac:dyDescent="0.25">
      <c r="A72" s="139">
        <v>44314</v>
      </c>
      <c r="B72" s="130" t="s">
        <v>233</v>
      </c>
      <c r="C72" s="137">
        <f t="shared" si="2"/>
        <v>391.96587301666079</v>
      </c>
      <c r="D72" s="136">
        <f t="shared" si="3"/>
        <v>2.3377908498108457</v>
      </c>
      <c r="E72" s="136">
        <f t="shared" si="4"/>
        <v>1.5232063568994103</v>
      </c>
      <c r="F72" s="136">
        <f t="shared" si="4"/>
        <v>1.2176564952330413</v>
      </c>
      <c r="G72" s="136">
        <f t="shared" si="4"/>
        <v>1.6171360091739524</v>
      </c>
      <c r="H72" s="136">
        <f t="shared" si="4"/>
        <v>3.4290173714538739</v>
      </c>
      <c r="I72" s="136">
        <f t="shared" si="4"/>
        <v>4.9735354600607504</v>
      </c>
      <c r="J72" s="136">
        <f t="shared" si="4"/>
        <v>6.4944415314321606</v>
      </c>
      <c r="K72" s="136">
        <f t="shared" si="4"/>
        <v>8.485043444861768</v>
      </c>
      <c r="L72" s="136">
        <f t="shared" si="4"/>
        <v>9.9021235894398369</v>
      </c>
      <c r="M72" s="136">
        <f t="shared" si="4"/>
        <v>14.40689384866767</v>
      </c>
      <c r="N72" s="136">
        <f t="shared" si="4"/>
        <v>19.990349979847625</v>
      </c>
      <c r="O72" s="136">
        <f t="shared" si="4"/>
        <v>24.905558521186151</v>
      </c>
      <c r="P72" s="136">
        <f t="shared" si="4"/>
        <v>28.462017175766718</v>
      </c>
      <c r="Q72" s="136">
        <f t="shared" si="4"/>
        <v>33.701371354171087</v>
      </c>
      <c r="R72" s="136">
        <f t="shared" si="4"/>
        <v>47.087725325140362</v>
      </c>
      <c r="S72" s="136">
        <f t="shared" si="4"/>
        <v>43.615497816288844</v>
      </c>
      <c r="T72" s="136">
        <f t="shared" si="4"/>
        <v>139.81650788722669</v>
      </c>
    </row>
    <row r="74" spans="1:26" x14ac:dyDescent="0.25">
      <c r="A74" s="14" t="s">
        <v>287</v>
      </c>
    </row>
    <row r="75" spans="1:26" x14ac:dyDescent="0.25">
      <c r="A75" t="s">
        <v>288</v>
      </c>
    </row>
    <row r="76" spans="1:26" x14ac:dyDescent="0.25">
      <c r="A76" s="133" t="s">
        <v>231</v>
      </c>
      <c r="B76" s="133" t="s">
        <v>232</v>
      </c>
      <c r="C76" s="137" t="s">
        <v>82</v>
      </c>
      <c r="D76" s="292" t="s">
        <v>179</v>
      </c>
      <c r="E76" s="138" t="s">
        <v>182</v>
      </c>
      <c r="F76" s="138" t="s">
        <v>184</v>
      </c>
      <c r="G76" s="138" t="s">
        <v>186</v>
      </c>
      <c r="H76" s="138" t="s">
        <v>188</v>
      </c>
      <c r="I76" s="138" t="s">
        <v>190</v>
      </c>
      <c r="J76" s="138" t="s">
        <v>191</v>
      </c>
      <c r="K76" s="138" t="s">
        <v>192</v>
      </c>
      <c r="L76" s="138" t="s">
        <v>193</v>
      </c>
      <c r="M76" s="138" t="s">
        <v>194</v>
      </c>
      <c r="N76" s="138" t="s">
        <v>195</v>
      </c>
      <c r="O76" s="138" t="s">
        <v>197</v>
      </c>
      <c r="P76" s="138" t="s">
        <v>199</v>
      </c>
      <c r="Q76" s="138" t="s">
        <v>201</v>
      </c>
      <c r="R76" s="138" t="s">
        <v>203</v>
      </c>
      <c r="S76" s="138" t="s">
        <v>205</v>
      </c>
      <c r="T76" s="138" t="s">
        <v>189</v>
      </c>
    </row>
    <row r="77" spans="1:26" x14ac:dyDescent="0.25">
      <c r="A77" s="139">
        <v>44104</v>
      </c>
      <c r="B77" s="130" t="s">
        <v>233</v>
      </c>
      <c r="C77" s="137">
        <f>C7-C42</f>
        <v>0</v>
      </c>
      <c r="D77" s="136">
        <f>$C77/$C7*D7</f>
        <v>0</v>
      </c>
      <c r="E77" s="136">
        <f t="shared" ref="E77:T92" si="5">$C77/$C7*E7</f>
        <v>0</v>
      </c>
      <c r="F77" s="136">
        <f t="shared" si="5"/>
        <v>0</v>
      </c>
      <c r="G77" s="136">
        <f t="shared" si="5"/>
        <v>0</v>
      </c>
      <c r="H77" s="136">
        <f t="shared" si="5"/>
        <v>0</v>
      </c>
      <c r="I77" s="136">
        <f t="shared" si="5"/>
        <v>0</v>
      </c>
      <c r="J77" s="136">
        <f t="shared" si="5"/>
        <v>0</v>
      </c>
      <c r="K77" s="136">
        <f t="shared" si="5"/>
        <v>0</v>
      </c>
      <c r="L77" s="136">
        <f t="shared" si="5"/>
        <v>0</v>
      </c>
      <c r="M77" s="136">
        <f t="shared" si="5"/>
        <v>0</v>
      </c>
      <c r="N77" s="136">
        <f t="shared" si="5"/>
        <v>0</v>
      </c>
      <c r="O77" s="136">
        <f t="shared" si="5"/>
        <v>0</v>
      </c>
      <c r="P77" s="136">
        <f t="shared" si="5"/>
        <v>0</v>
      </c>
      <c r="Q77" s="136">
        <f t="shared" si="5"/>
        <v>0</v>
      </c>
      <c r="R77" s="136">
        <f t="shared" si="5"/>
        <v>0</v>
      </c>
      <c r="S77" s="136">
        <f t="shared" si="5"/>
        <v>0</v>
      </c>
      <c r="T77" s="136">
        <f t="shared" si="5"/>
        <v>0</v>
      </c>
    </row>
    <row r="78" spans="1:26" x14ac:dyDescent="0.25">
      <c r="A78" s="139">
        <v>44111</v>
      </c>
      <c r="B78" s="130" t="s">
        <v>233</v>
      </c>
      <c r="C78" s="137">
        <f t="shared" ref="C78:C107" si="6">C8-C43</f>
        <v>0</v>
      </c>
      <c r="D78" s="136">
        <f t="shared" ref="D78:S107" si="7">$C78/$C8*D8</f>
        <v>0</v>
      </c>
      <c r="E78" s="136">
        <f t="shared" si="7"/>
        <v>0</v>
      </c>
      <c r="F78" s="136">
        <f t="shared" si="7"/>
        <v>0</v>
      </c>
      <c r="G78" s="136">
        <f t="shared" si="7"/>
        <v>0</v>
      </c>
      <c r="H78" s="136">
        <f t="shared" si="7"/>
        <v>0</v>
      </c>
      <c r="I78" s="136">
        <f t="shared" si="7"/>
        <v>0</v>
      </c>
      <c r="J78" s="136">
        <f t="shared" si="7"/>
        <v>0</v>
      </c>
      <c r="K78" s="136">
        <f t="shared" si="7"/>
        <v>0</v>
      </c>
      <c r="L78" s="136">
        <f t="shared" si="7"/>
        <v>0</v>
      </c>
      <c r="M78" s="136">
        <f t="shared" si="7"/>
        <v>0</v>
      </c>
      <c r="N78" s="136">
        <f t="shared" si="7"/>
        <v>0</v>
      </c>
      <c r="O78" s="136">
        <f t="shared" si="7"/>
        <v>0</v>
      </c>
      <c r="P78" s="136">
        <f t="shared" si="7"/>
        <v>0</v>
      </c>
      <c r="Q78" s="136">
        <f t="shared" si="7"/>
        <v>0</v>
      </c>
      <c r="R78" s="136">
        <f t="shared" si="7"/>
        <v>0</v>
      </c>
      <c r="S78" s="136">
        <f t="shared" si="7"/>
        <v>0</v>
      </c>
      <c r="T78" s="136">
        <f t="shared" si="5"/>
        <v>0</v>
      </c>
    </row>
    <row r="79" spans="1:26" x14ac:dyDescent="0.25">
      <c r="A79" s="139">
        <v>44118</v>
      </c>
      <c r="B79" s="130" t="s">
        <v>233</v>
      </c>
      <c r="C79" s="137">
        <f t="shared" si="6"/>
        <v>0</v>
      </c>
      <c r="D79" s="136">
        <f t="shared" si="7"/>
        <v>0</v>
      </c>
      <c r="E79" s="136">
        <f t="shared" si="5"/>
        <v>0</v>
      </c>
      <c r="F79" s="136">
        <f t="shared" si="5"/>
        <v>0</v>
      </c>
      <c r="G79" s="136">
        <f t="shared" si="5"/>
        <v>0</v>
      </c>
      <c r="H79" s="136">
        <f t="shared" si="5"/>
        <v>0</v>
      </c>
      <c r="I79" s="136">
        <f t="shared" si="5"/>
        <v>0</v>
      </c>
      <c r="J79" s="136">
        <f t="shared" si="5"/>
        <v>0</v>
      </c>
      <c r="K79" s="136">
        <f t="shared" si="5"/>
        <v>0</v>
      </c>
      <c r="L79" s="136">
        <f t="shared" si="5"/>
        <v>0</v>
      </c>
      <c r="M79" s="136">
        <f t="shared" si="5"/>
        <v>0</v>
      </c>
      <c r="N79" s="136">
        <f t="shared" si="5"/>
        <v>0</v>
      </c>
      <c r="O79" s="136">
        <f t="shared" si="5"/>
        <v>0</v>
      </c>
      <c r="P79" s="136">
        <f t="shared" si="5"/>
        <v>0</v>
      </c>
      <c r="Q79" s="136">
        <f t="shared" si="5"/>
        <v>0</v>
      </c>
      <c r="R79" s="136">
        <f t="shared" si="5"/>
        <v>0</v>
      </c>
      <c r="S79" s="136">
        <f t="shared" si="5"/>
        <v>0</v>
      </c>
      <c r="T79" s="136">
        <f t="shared" si="5"/>
        <v>0</v>
      </c>
    </row>
    <row r="80" spans="1:26" x14ac:dyDescent="0.25">
      <c r="A80" s="139">
        <v>44125</v>
      </c>
      <c r="B80" s="130" t="s">
        <v>233</v>
      </c>
      <c r="C80" s="137">
        <f t="shared" si="6"/>
        <v>0</v>
      </c>
      <c r="D80" s="136">
        <f t="shared" si="7"/>
        <v>0</v>
      </c>
      <c r="E80" s="136">
        <f t="shared" si="5"/>
        <v>0</v>
      </c>
      <c r="F80" s="136">
        <f t="shared" si="5"/>
        <v>0</v>
      </c>
      <c r="G80" s="136">
        <f t="shared" si="5"/>
        <v>0</v>
      </c>
      <c r="H80" s="136">
        <f t="shared" si="5"/>
        <v>0</v>
      </c>
      <c r="I80" s="136">
        <f t="shared" si="5"/>
        <v>0</v>
      </c>
      <c r="J80" s="136">
        <f t="shared" si="5"/>
        <v>0</v>
      </c>
      <c r="K80" s="136">
        <f t="shared" si="5"/>
        <v>0</v>
      </c>
      <c r="L80" s="136">
        <f t="shared" si="5"/>
        <v>0</v>
      </c>
      <c r="M80" s="136">
        <f t="shared" si="5"/>
        <v>0</v>
      </c>
      <c r="N80" s="136">
        <f t="shared" si="5"/>
        <v>0</v>
      </c>
      <c r="O80" s="136">
        <f t="shared" si="5"/>
        <v>0</v>
      </c>
      <c r="P80" s="136">
        <f t="shared" si="5"/>
        <v>0</v>
      </c>
      <c r="Q80" s="136">
        <f t="shared" si="5"/>
        <v>0</v>
      </c>
      <c r="R80" s="136">
        <f t="shared" si="5"/>
        <v>0</v>
      </c>
      <c r="S80" s="136">
        <f t="shared" si="5"/>
        <v>0</v>
      </c>
      <c r="T80" s="136">
        <f t="shared" si="5"/>
        <v>0</v>
      </c>
    </row>
    <row r="81" spans="1:26" ht="15.75" thickBot="1" x14ac:dyDescent="0.3">
      <c r="A81" s="139">
        <v>44132</v>
      </c>
      <c r="B81" s="130" t="s">
        <v>233</v>
      </c>
      <c r="C81" s="137">
        <f>C11-C46</f>
        <v>0</v>
      </c>
      <c r="D81" s="136">
        <f>$C81/$C11*D11</f>
        <v>0</v>
      </c>
      <c r="E81" s="136">
        <f t="shared" si="5"/>
        <v>0</v>
      </c>
      <c r="F81" s="136">
        <f t="shared" si="5"/>
        <v>0</v>
      </c>
      <c r="G81" s="136">
        <f t="shared" si="5"/>
        <v>0</v>
      </c>
      <c r="H81" s="136">
        <f t="shared" si="5"/>
        <v>0</v>
      </c>
      <c r="I81" s="136">
        <f t="shared" si="5"/>
        <v>0</v>
      </c>
      <c r="J81" s="136">
        <f t="shared" si="5"/>
        <v>0</v>
      </c>
      <c r="K81" s="136">
        <f t="shared" si="5"/>
        <v>0</v>
      </c>
      <c r="L81" s="136">
        <f t="shared" si="5"/>
        <v>0</v>
      </c>
      <c r="M81" s="136">
        <f t="shared" si="5"/>
        <v>0</v>
      </c>
      <c r="N81" s="136">
        <f t="shared" si="5"/>
        <v>0</v>
      </c>
      <c r="O81" s="136">
        <f t="shared" si="5"/>
        <v>0</v>
      </c>
      <c r="P81" s="136">
        <f t="shared" si="5"/>
        <v>0</v>
      </c>
      <c r="Q81" s="136">
        <f t="shared" si="5"/>
        <v>0</v>
      </c>
      <c r="R81" s="136">
        <f t="shared" si="5"/>
        <v>0</v>
      </c>
      <c r="S81" s="136">
        <f t="shared" si="5"/>
        <v>0</v>
      </c>
      <c r="T81" s="136">
        <f t="shared" si="5"/>
        <v>0</v>
      </c>
    </row>
    <row r="82" spans="1:26" ht="14.45" customHeight="1" thickTop="1" x14ac:dyDescent="0.25">
      <c r="A82" s="139">
        <v>44139</v>
      </c>
      <c r="B82" s="130" t="s">
        <v>233</v>
      </c>
      <c r="C82" s="137">
        <f t="shared" si="6"/>
        <v>0</v>
      </c>
      <c r="D82" s="136">
        <f t="shared" si="7"/>
        <v>0</v>
      </c>
      <c r="E82" s="136">
        <f t="shared" si="5"/>
        <v>0</v>
      </c>
      <c r="F82" s="136">
        <f t="shared" si="5"/>
        <v>0</v>
      </c>
      <c r="G82" s="136">
        <f t="shared" si="5"/>
        <v>0</v>
      </c>
      <c r="H82" s="136">
        <f t="shared" si="5"/>
        <v>0</v>
      </c>
      <c r="I82" s="136">
        <f t="shared" si="5"/>
        <v>0</v>
      </c>
      <c r="J82" s="136">
        <f t="shared" si="5"/>
        <v>0</v>
      </c>
      <c r="K82" s="136">
        <f t="shared" si="5"/>
        <v>0</v>
      </c>
      <c r="L82" s="136">
        <f t="shared" si="5"/>
        <v>0</v>
      </c>
      <c r="M82" s="136">
        <f t="shared" si="5"/>
        <v>0</v>
      </c>
      <c r="N82" s="136">
        <f t="shared" si="5"/>
        <v>0</v>
      </c>
      <c r="O82" s="136">
        <f t="shared" si="5"/>
        <v>0</v>
      </c>
      <c r="P82" s="136">
        <f t="shared" si="5"/>
        <v>0</v>
      </c>
      <c r="Q82" s="136">
        <f t="shared" si="5"/>
        <v>0</v>
      </c>
      <c r="R82" s="136">
        <f t="shared" si="5"/>
        <v>0</v>
      </c>
      <c r="S82" s="136">
        <f t="shared" si="5"/>
        <v>0</v>
      </c>
      <c r="T82" s="136">
        <f t="shared" si="5"/>
        <v>0</v>
      </c>
      <c r="V82" s="519" t="s">
        <v>289</v>
      </c>
      <c r="W82" s="520"/>
      <c r="X82" s="520"/>
      <c r="Y82" s="520"/>
      <c r="Z82" s="521"/>
    </row>
    <row r="83" spans="1:26" x14ac:dyDescent="0.25">
      <c r="A83" s="139">
        <v>44146</v>
      </c>
      <c r="B83" s="130" t="s">
        <v>233</v>
      </c>
      <c r="C83" s="137">
        <f t="shared" si="6"/>
        <v>0</v>
      </c>
      <c r="D83" s="136">
        <f t="shared" si="7"/>
        <v>0</v>
      </c>
      <c r="E83" s="136">
        <f t="shared" si="5"/>
        <v>0</v>
      </c>
      <c r="F83" s="136">
        <f t="shared" si="5"/>
        <v>0</v>
      </c>
      <c r="G83" s="136">
        <f t="shared" si="5"/>
        <v>0</v>
      </c>
      <c r="H83" s="136">
        <f t="shared" si="5"/>
        <v>0</v>
      </c>
      <c r="I83" s="136">
        <f t="shared" si="5"/>
        <v>0</v>
      </c>
      <c r="J83" s="136">
        <f t="shared" si="5"/>
        <v>0</v>
      </c>
      <c r="K83" s="136">
        <f t="shared" si="5"/>
        <v>0</v>
      </c>
      <c r="L83" s="136">
        <f t="shared" si="5"/>
        <v>0</v>
      </c>
      <c r="M83" s="136">
        <f t="shared" si="5"/>
        <v>0</v>
      </c>
      <c r="N83" s="136">
        <f t="shared" si="5"/>
        <v>0</v>
      </c>
      <c r="O83" s="136">
        <f t="shared" si="5"/>
        <v>0</v>
      </c>
      <c r="P83" s="136">
        <f t="shared" si="5"/>
        <v>0</v>
      </c>
      <c r="Q83" s="136">
        <f t="shared" si="5"/>
        <v>0</v>
      </c>
      <c r="R83" s="136">
        <f t="shared" si="5"/>
        <v>0</v>
      </c>
      <c r="S83" s="136">
        <f t="shared" si="5"/>
        <v>0</v>
      </c>
      <c r="T83" s="136">
        <f t="shared" si="5"/>
        <v>0</v>
      </c>
      <c r="V83" s="522"/>
      <c r="W83" s="514"/>
      <c r="X83" s="514"/>
      <c r="Y83" s="514"/>
      <c r="Z83" s="523"/>
    </row>
    <row r="84" spans="1:26" x14ac:dyDescent="0.25">
      <c r="A84" s="139">
        <v>44153</v>
      </c>
      <c r="B84" s="130" t="s">
        <v>233</v>
      </c>
      <c r="C84" s="137">
        <f t="shared" si="6"/>
        <v>0</v>
      </c>
      <c r="D84" s="136">
        <f t="shared" si="7"/>
        <v>0</v>
      </c>
      <c r="E84" s="136">
        <f t="shared" si="5"/>
        <v>0</v>
      </c>
      <c r="F84" s="136">
        <f t="shared" si="5"/>
        <v>0</v>
      </c>
      <c r="G84" s="136">
        <f t="shared" si="5"/>
        <v>0</v>
      </c>
      <c r="H84" s="136">
        <f t="shared" si="5"/>
        <v>0</v>
      </c>
      <c r="I84" s="136">
        <f t="shared" si="5"/>
        <v>0</v>
      </c>
      <c r="J84" s="136">
        <f t="shared" si="5"/>
        <v>0</v>
      </c>
      <c r="K84" s="136">
        <f t="shared" si="5"/>
        <v>0</v>
      </c>
      <c r="L84" s="136">
        <f t="shared" si="5"/>
        <v>0</v>
      </c>
      <c r="M84" s="136">
        <f t="shared" si="5"/>
        <v>0</v>
      </c>
      <c r="N84" s="136">
        <f t="shared" si="5"/>
        <v>0</v>
      </c>
      <c r="O84" s="136">
        <f t="shared" si="5"/>
        <v>0</v>
      </c>
      <c r="P84" s="136">
        <f t="shared" si="5"/>
        <v>0</v>
      </c>
      <c r="Q84" s="136">
        <f t="shared" si="5"/>
        <v>0</v>
      </c>
      <c r="R84" s="136">
        <f t="shared" si="5"/>
        <v>0</v>
      </c>
      <c r="S84" s="136">
        <f t="shared" si="5"/>
        <v>0</v>
      </c>
      <c r="T84" s="136">
        <f t="shared" si="5"/>
        <v>0</v>
      </c>
      <c r="V84" s="522"/>
      <c r="W84" s="514"/>
      <c r="X84" s="514"/>
      <c r="Y84" s="514"/>
      <c r="Z84" s="523"/>
    </row>
    <row r="85" spans="1:26" x14ac:dyDescent="0.25">
      <c r="A85" s="139">
        <v>44160</v>
      </c>
      <c r="B85" s="130" t="s">
        <v>233</v>
      </c>
      <c r="C85" s="137">
        <f t="shared" si="6"/>
        <v>0</v>
      </c>
      <c r="D85" s="136">
        <f t="shared" si="7"/>
        <v>0</v>
      </c>
      <c r="E85" s="136">
        <f t="shared" si="5"/>
        <v>0</v>
      </c>
      <c r="F85" s="136">
        <f t="shared" si="5"/>
        <v>0</v>
      </c>
      <c r="G85" s="136">
        <f t="shared" si="5"/>
        <v>0</v>
      </c>
      <c r="H85" s="136">
        <f t="shared" si="5"/>
        <v>0</v>
      </c>
      <c r="I85" s="136">
        <f t="shared" si="5"/>
        <v>0</v>
      </c>
      <c r="J85" s="136">
        <f t="shared" si="5"/>
        <v>0</v>
      </c>
      <c r="K85" s="136">
        <f t="shared" si="5"/>
        <v>0</v>
      </c>
      <c r="L85" s="136">
        <f t="shared" si="5"/>
        <v>0</v>
      </c>
      <c r="M85" s="136">
        <f t="shared" si="5"/>
        <v>0</v>
      </c>
      <c r="N85" s="136">
        <f t="shared" si="5"/>
        <v>0</v>
      </c>
      <c r="O85" s="136">
        <f t="shared" si="5"/>
        <v>0</v>
      </c>
      <c r="P85" s="136">
        <f t="shared" si="5"/>
        <v>0</v>
      </c>
      <c r="Q85" s="136">
        <f t="shared" si="5"/>
        <v>0</v>
      </c>
      <c r="R85" s="136">
        <f t="shared" si="5"/>
        <v>0</v>
      </c>
      <c r="S85" s="136">
        <f t="shared" si="5"/>
        <v>0</v>
      </c>
      <c r="T85" s="136">
        <f t="shared" si="5"/>
        <v>0</v>
      </c>
      <c r="V85" s="522"/>
      <c r="W85" s="514"/>
      <c r="X85" s="514"/>
      <c r="Y85" s="514"/>
      <c r="Z85" s="523"/>
    </row>
    <row r="86" spans="1:26" x14ac:dyDescent="0.25">
      <c r="A86" s="139">
        <v>44167</v>
      </c>
      <c r="B86" s="130" t="s">
        <v>233</v>
      </c>
      <c r="C86" s="137">
        <f t="shared" si="6"/>
        <v>0</v>
      </c>
      <c r="D86" s="136">
        <f t="shared" si="7"/>
        <v>0</v>
      </c>
      <c r="E86" s="136">
        <f t="shared" si="5"/>
        <v>0</v>
      </c>
      <c r="F86" s="136">
        <f t="shared" si="5"/>
        <v>0</v>
      </c>
      <c r="G86" s="136">
        <f t="shared" si="5"/>
        <v>0</v>
      </c>
      <c r="H86" s="136">
        <f t="shared" si="5"/>
        <v>0</v>
      </c>
      <c r="I86" s="136">
        <f t="shared" si="5"/>
        <v>0</v>
      </c>
      <c r="J86" s="136">
        <f t="shared" si="5"/>
        <v>0</v>
      </c>
      <c r="K86" s="136">
        <f t="shared" si="5"/>
        <v>0</v>
      </c>
      <c r="L86" s="136">
        <f t="shared" si="5"/>
        <v>0</v>
      </c>
      <c r="M86" s="136">
        <f t="shared" si="5"/>
        <v>0</v>
      </c>
      <c r="N86" s="136">
        <f t="shared" si="5"/>
        <v>0</v>
      </c>
      <c r="O86" s="136">
        <f t="shared" si="5"/>
        <v>0</v>
      </c>
      <c r="P86" s="136">
        <f t="shared" si="5"/>
        <v>0</v>
      </c>
      <c r="Q86" s="136">
        <f t="shared" si="5"/>
        <v>0</v>
      </c>
      <c r="R86" s="136">
        <f t="shared" si="5"/>
        <v>0</v>
      </c>
      <c r="S86" s="136">
        <f t="shared" si="5"/>
        <v>0</v>
      </c>
      <c r="T86" s="136">
        <f t="shared" si="5"/>
        <v>0</v>
      </c>
      <c r="V86" s="522"/>
      <c r="W86" s="514"/>
      <c r="X86" s="514"/>
      <c r="Y86" s="514"/>
      <c r="Z86" s="523"/>
    </row>
    <row r="87" spans="1:26" x14ac:dyDescent="0.25">
      <c r="A87" s="139">
        <v>44174</v>
      </c>
      <c r="B87" s="130" t="s">
        <v>233</v>
      </c>
      <c r="C87" s="137">
        <f t="shared" si="6"/>
        <v>0</v>
      </c>
      <c r="D87" s="136">
        <f t="shared" si="7"/>
        <v>0</v>
      </c>
      <c r="E87" s="136">
        <f t="shared" si="5"/>
        <v>0</v>
      </c>
      <c r="F87" s="136">
        <f t="shared" si="5"/>
        <v>0</v>
      </c>
      <c r="G87" s="136">
        <f t="shared" si="5"/>
        <v>0</v>
      </c>
      <c r="H87" s="136">
        <f t="shared" si="5"/>
        <v>0</v>
      </c>
      <c r="I87" s="136">
        <f t="shared" si="5"/>
        <v>0</v>
      </c>
      <c r="J87" s="136">
        <f t="shared" si="5"/>
        <v>0</v>
      </c>
      <c r="K87" s="136">
        <f t="shared" si="5"/>
        <v>0</v>
      </c>
      <c r="L87" s="136">
        <f t="shared" si="5"/>
        <v>0</v>
      </c>
      <c r="M87" s="136">
        <f t="shared" si="5"/>
        <v>0</v>
      </c>
      <c r="N87" s="136">
        <f t="shared" si="5"/>
        <v>0</v>
      </c>
      <c r="O87" s="136">
        <f t="shared" si="5"/>
        <v>0</v>
      </c>
      <c r="P87" s="136">
        <f t="shared" si="5"/>
        <v>0</v>
      </c>
      <c r="Q87" s="136">
        <f t="shared" si="5"/>
        <v>0</v>
      </c>
      <c r="R87" s="136">
        <f t="shared" si="5"/>
        <v>0</v>
      </c>
      <c r="S87" s="136">
        <f t="shared" si="5"/>
        <v>0</v>
      </c>
      <c r="T87" s="136">
        <f t="shared" si="5"/>
        <v>0</v>
      </c>
      <c r="V87" s="522"/>
      <c r="W87" s="514"/>
      <c r="X87" s="514"/>
      <c r="Y87" s="514"/>
      <c r="Z87" s="523"/>
    </row>
    <row r="88" spans="1:26" x14ac:dyDescent="0.25">
      <c r="A88" s="139">
        <v>44181</v>
      </c>
      <c r="B88" s="130" t="s">
        <v>233</v>
      </c>
      <c r="C88" s="137">
        <f t="shared" si="6"/>
        <v>0</v>
      </c>
      <c r="D88" s="136">
        <f t="shared" si="7"/>
        <v>0</v>
      </c>
      <c r="E88" s="136">
        <f t="shared" si="5"/>
        <v>0</v>
      </c>
      <c r="F88" s="136">
        <f t="shared" si="5"/>
        <v>0</v>
      </c>
      <c r="G88" s="136">
        <f t="shared" si="5"/>
        <v>0</v>
      </c>
      <c r="H88" s="136">
        <f t="shared" si="5"/>
        <v>0</v>
      </c>
      <c r="I88" s="136">
        <f t="shared" si="5"/>
        <v>0</v>
      </c>
      <c r="J88" s="136">
        <f t="shared" si="5"/>
        <v>0</v>
      </c>
      <c r="K88" s="136">
        <f t="shared" si="5"/>
        <v>0</v>
      </c>
      <c r="L88" s="136">
        <f t="shared" si="5"/>
        <v>0</v>
      </c>
      <c r="M88" s="136">
        <f t="shared" si="5"/>
        <v>0</v>
      </c>
      <c r="N88" s="136">
        <f t="shared" si="5"/>
        <v>0</v>
      </c>
      <c r="O88" s="136">
        <f t="shared" si="5"/>
        <v>0</v>
      </c>
      <c r="P88" s="136">
        <f t="shared" si="5"/>
        <v>0</v>
      </c>
      <c r="Q88" s="136">
        <f t="shared" si="5"/>
        <v>0</v>
      </c>
      <c r="R88" s="136">
        <f t="shared" si="5"/>
        <v>0</v>
      </c>
      <c r="S88" s="136">
        <f t="shared" si="5"/>
        <v>0</v>
      </c>
      <c r="T88" s="136">
        <f t="shared" si="5"/>
        <v>0</v>
      </c>
      <c r="V88" s="522"/>
      <c r="W88" s="514"/>
      <c r="X88" s="514"/>
      <c r="Y88" s="514"/>
      <c r="Z88" s="523"/>
    </row>
    <row r="89" spans="1:26" x14ac:dyDescent="0.25">
      <c r="A89" s="139">
        <v>44188</v>
      </c>
      <c r="B89" s="130" t="s">
        <v>233</v>
      </c>
      <c r="C89" s="137">
        <f t="shared" si="6"/>
        <v>0</v>
      </c>
      <c r="D89" s="136">
        <f t="shared" si="7"/>
        <v>0</v>
      </c>
      <c r="E89" s="136">
        <f t="shared" si="5"/>
        <v>0</v>
      </c>
      <c r="F89" s="136">
        <f t="shared" si="5"/>
        <v>0</v>
      </c>
      <c r="G89" s="136">
        <f t="shared" si="5"/>
        <v>0</v>
      </c>
      <c r="H89" s="136">
        <f t="shared" si="5"/>
        <v>0</v>
      </c>
      <c r="I89" s="136">
        <f t="shared" si="5"/>
        <v>0</v>
      </c>
      <c r="J89" s="136">
        <f t="shared" si="5"/>
        <v>0</v>
      </c>
      <c r="K89" s="136">
        <f t="shared" si="5"/>
        <v>0</v>
      </c>
      <c r="L89" s="136">
        <f t="shared" si="5"/>
        <v>0</v>
      </c>
      <c r="M89" s="136">
        <f t="shared" si="5"/>
        <v>0</v>
      </c>
      <c r="N89" s="136">
        <f t="shared" si="5"/>
        <v>0</v>
      </c>
      <c r="O89" s="136">
        <f t="shared" si="5"/>
        <v>0</v>
      </c>
      <c r="P89" s="136">
        <f t="shared" si="5"/>
        <v>0</v>
      </c>
      <c r="Q89" s="136">
        <f t="shared" si="5"/>
        <v>0</v>
      </c>
      <c r="R89" s="136">
        <f t="shared" si="5"/>
        <v>0</v>
      </c>
      <c r="S89" s="136">
        <f t="shared" si="5"/>
        <v>0</v>
      </c>
      <c r="T89" s="136">
        <f t="shared" si="5"/>
        <v>0</v>
      </c>
      <c r="V89" s="522"/>
      <c r="W89" s="514"/>
      <c r="X89" s="514"/>
      <c r="Y89" s="514"/>
      <c r="Z89" s="523"/>
    </row>
    <row r="90" spans="1:26" x14ac:dyDescent="0.25">
      <c r="A90" s="139">
        <v>44195</v>
      </c>
      <c r="B90" s="130" t="s">
        <v>233</v>
      </c>
      <c r="C90" s="137">
        <f t="shared" si="6"/>
        <v>0</v>
      </c>
      <c r="D90" s="136">
        <f t="shared" si="7"/>
        <v>0</v>
      </c>
      <c r="E90" s="136">
        <f t="shared" si="5"/>
        <v>0</v>
      </c>
      <c r="F90" s="136">
        <f t="shared" si="5"/>
        <v>0</v>
      </c>
      <c r="G90" s="136">
        <f t="shared" si="5"/>
        <v>0</v>
      </c>
      <c r="H90" s="136">
        <f t="shared" si="5"/>
        <v>0</v>
      </c>
      <c r="I90" s="136">
        <f t="shared" si="5"/>
        <v>0</v>
      </c>
      <c r="J90" s="136">
        <f t="shared" si="5"/>
        <v>0</v>
      </c>
      <c r="K90" s="136">
        <f t="shared" si="5"/>
        <v>0</v>
      </c>
      <c r="L90" s="136">
        <f t="shared" si="5"/>
        <v>0</v>
      </c>
      <c r="M90" s="136">
        <f t="shared" si="5"/>
        <v>0</v>
      </c>
      <c r="N90" s="136">
        <f t="shared" si="5"/>
        <v>0</v>
      </c>
      <c r="O90" s="136">
        <f t="shared" si="5"/>
        <v>0</v>
      </c>
      <c r="P90" s="136">
        <f t="shared" si="5"/>
        <v>0</v>
      </c>
      <c r="Q90" s="136">
        <f t="shared" si="5"/>
        <v>0</v>
      </c>
      <c r="R90" s="136">
        <f t="shared" si="5"/>
        <v>0</v>
      </c>
      <c r="S90" s="136">
        <f t="shared" si="5"/>
        <v>0</v>
      </c>
      <c r="T90" s="136">
        <f t="shared" si="5"/>
        <v>0</v>
      </c>
      <c r="V90" s="522"/>
      <c r="W90" s="514"/>
      <c r="X90" s="514"/>
      <c r="Y90" s="514"/>
      <c r="Z90" s="523"/>
    </row>
    <row r="91" spans="1:26" x14ac:dyDescent="0.25">
      <c r="A91" s="139">
        <v>44202</v>
      </c>
      <c r="B91" s="130" t="s">
        <v>233</v>
      </c>
      <c r="C91" s="137">
        <f t="shared" si="6"/>
        <v>0</v>
      </c>
      <c r="D91" s="136">
        <f t="shared" si="7"/>
        <v>0</v>
      </c>
      <c r="E91" s="136">
        <f t="shared" si="5"/>
        <v>0</v>
      </c>
      <c r="F91" s="136">
        <f t="shared" si="5"/>
        <v>0</v>
      </c>
      <c r="G91" s="136">
        <f t="shared" si="5"/>
        <v>0</v>
      </c>
      <c r="H91" s="136">
        <f t="shared" si="5"/>
        <v>0</v>
      </c>
      <c r="I91" s="136">
        <f t="shared" si="5"/>
        <v>0</v>
      </c>
      <c r="J91" s="136">
        <f t="shared" si="5"/>
        <v>0</v>
      </c>
      <c r="K91" s="136">
        <f t="shared" si="5"/>
        <v>0</v>
      </c>
      <c r="L91" s="136">
        <f t="shared" si="5"/>
        <v>0</v>
      </c>
      <c r="M91" s="136">
        <f t="shared" si="5"/>
        <v>0</v>
      </c>
      <c r="N91" s="136">
        <f t="shared" si="5"/>
        <v>0</v>
      </c>
      <c r="O91" s="136">
        <f t="shared" si="5"/>
        <v>0</v>
      </c>
      <c r="P91" s="136">
        <f t="shared" si="5"/>
        <v>0</v>
      </c>
      <c r="Q91" s="136">
        <f t="shared" si="5"/>
        <v>0</v>
      </c>
      <c r="R91" s="136">
        <f t="shared" si="5"/>
        <v>0</v>
      </c>
      <c r="S91" s="136">
        <f t="shared" si="5"/>
        <v>0</v>
      </c>
      <c r="T91" s="136">
        <f t="shared" si="5"/>
        <v>0</v>
      </c>
      <c r="V91" s="522"/>
      <c r="W91" s="514"/>
      <c r="X91" s="514"/>
      <c r="Y91" s="514"/>
      <c r="Z91" s="523"/>
    </row>
    <row r="92" spans="1:26" x14ac:dyDescent="0.25">
      <c r="A92" s="139">
        <v>44209</v>
      </c>
      <c r="B92" s="130" t="s">
        <v>233</v>
      </c>
      <c r="C92" s="137">
        <f t="shared" si="6"/>
        <v>0</v>
      </c>
      <c r="D92" s="136">
        <f t="shared" si="7"/>
        <v>0</v>
      </c>
      <c r="E92" s="136">
        <f t="shared" si="5"/>
        <v>0</v>
      </c>
      <c r="F92" s="136">
        <f t="shared" si="5"/>
        <v>0</v>
      </c>
      <c r="G92" s="136">
        <f t="shared" si="5"/>
        <v>0</v>
      </c>
      <c r="H92" s="136">
        <f t="shared" si="5"/>
        <v>0</v>
      </c>
      <c r="I92" s="136">
        <f t="shared" si="5"/>
        <v>0</v>
      </c>
      <c r="J92" s="136">
        <f t="shared" si="5"/>
        <v>0</v>
      </c>
      <c r="K92" s="136">
        <f t="shared" si="5"/>
        <v>0</v>
      </c>
      <c r="L92" s="136">
        <f t="shared" si="5"/>
        <v>0</v>
      </c>
      <c r="M92" s="136">
        <f t="shared" si="5"/>
        <v>0</v>
      </c>
      <c r="N92" s="136">
        <f t="shared" si="5"/>
        <v>0</v>
      </c>
      <c r="O92" s="136">
        <f t="shared" si="5"/>
        <v>0</v>
      </c>
      <c r="P92" s="136">
        <f t="shared" si="5"/>
        <v>0</v>
      </c>
      <c r="Q92" s="136">
        <f t="shared" si="5"/>
        <v>0</v>
      </c>
      <c r="R92" s="136">
        <f t="shared" si="5"/>
        <v>0</v>
      </c>
      <c r="S92" s="136">
        <f t="shared" si="5"/>
        <v>0</v>
      </c>
      <c r="T92" s="136">
        <f t="shared" si="5"/>
        <v>0</v>
      </c>
      <c r="V92" s="522"/>
      <c r="W92" s="514"/>
      <c r="X92" s="514"/>
      <c r="Y92" s="514"/>
      <c r="Z92" s="523"/>
    </row>
    <row r="93" spans="1:26" x14ac:dyDescent="0.25">
      <c r="A93" s="139">
        <v>44216</v>
      </c>
      <c r="B93" s="130" t="s">
        <v>233</v>
      </c>
      <c r="C93" s="137">
        <f t="shared" si="6"/>
        <v>0</v>
      </c>
      <c r="D93" s="136">
        <f t="shared" si="7"/>
        <v>0</v>
      </c>
      <c r="E93" s="136">
        <f t="shared" ref="E93:T107" si="8">$C93/$C23*E23</f>
        <v>0</v>
      </c>
      <c r="F93" s="136">
        <f t="shared" si="8"/>
        <v>0</v>
      </c>
      <c r="G93" s="136">
        <f t="shared" si="8"/>
        <v>0</v>
      </c>
      <c r="H93" s="136">
        <f t="shared" si="8"/>
        <v>0</v>
      </c>
      <c r="I93" s="136">
        <f t="shared" si="8"/>
        <v>0</v>
      </c>
      <c r="J93" s="136">
        <f t="shared" si="8"/>
        <v>0</v>
      </c>
      <c r="K93" s="136">
        <f t="shared" si="8"/>
        <v>0</v>
      </c>
      <c r="L93" s="136">
        <f t="shared" si="8"/>
        <v>0</v>
      </c>
      <c r="M93" s="136">
        <f t="shared" si="8"/>
        <v>0</v>
      </c>
      <c r="N93" s="136">
        <f t="shared" si="8"/>
        <v>0</v>
      </c>
      <c r="O93" s="136">
        <f t="shared" si="8"/>
        <v>0</v>
      </c>
      <c r="P93" s="136">
        <f t="shared" si="8"/>
        <v>0</v>
      </c>
      <c r="Q93" s="136">
        <f t="shared" si="8"/>
        <v>0</v>
      </c>
      <c r="R93" s="136">
        <f t="shared" si="8"/>
        <v>0</v>
      </c>
      <c r="S93" s="136">
        <f t="shared" si="8"/>
        <v>0</v>
      </c>
      <c r="T93" s="136">
        <f t="shared" si="8"/>
        <v>0</v>
      </c>
      <c r="V93" s="522"/>
      <c r="W93" s="514"/>
      <c r="X93" s="514"/>
      <c r="Y93" s="514"/>
      <c r="Z93" s="523"/>
    </row>
    <row r="94" spans="1:26" x14ac:dyDescent="0.25">
      <c r="A94" s="139">
        <v>44223</v>
      </c>
      <c r="B94" s="130" t="s">
        <v>233</v>
      </c>
      <c r="C94" s="137">
        <f t="shared" si="6"/>
        <v>0</v>
      </c>
      <c r="D94" s="136">
        <f t="shared" si="7"/>
        <v>0</v>
      </c>
      <c r="E94" s="136">
        <f t="shared" si="8"/>
        <v>0</v>
      </c>
      <c r="F94" s="136">
        <f t="shared" si="8"/>
        <v>0</v>
      </c>
      <c r="G94" s="136">
        <f t="shared" si="8"/>
        <v>0</v>
      </c>
      <c r="H94" s="136">
        <f t="shared" si="8"/>
        <v>0</v>
      </c>
      <c r="I94" s="136">
        <f t="shared" si="8"/>
        <v>0</v>
      </c>
      <c r="J94" s="136">
        <f t="shared" si="8"/>
        <v>0</v>
      </c>
      <c r="K94" s="136">
        <f t="shared" si="8"/>
        <v>0</v>
      </c>
      <c r="L94" s="136">
        <f t="shared" si="8"/>
        <v>0</v>
      </c>
      <c r="M94" s="136">
        <f t="shared" si="8"/>
        <v>0</v>
      </c>
      <c r="N94" s="136">
        <f t="shared" si="8"/>
        <v>0</v>
      </c>
      <c r="O94" s="136">
        <f t="shared" si="8"/>
        <v>0</v>
      </c>
      <c r="P94" s="136">
        <f t="shared" si="8"/>
        <v>0</v>
      </c>
      <c r="Q94" s="136">
        <f t="shared" si="8"/>
        <v>0</v>
      </c>
      <c r="R94" s="136">
        <f t="shared" si="8"/>
        <v>0</v>
      </c>
      <c r="S94" s="136">
        <f t="shared" si="8"/>
        <v>0</v>
      </c>
      <c r="T94" s="136">
        <f t="shared" si="8"/>
        <v>0</v>
      </c>
      <c r="V94" s="522"/>
      <c r="W94" s="514"/>
      <c r="X94" s="514"/>
      <c r="Y94" s="514"/>
      <c r="Z94" s="523"/>
    </row>
    <row r="95" spans="1:26" ht="15.75" thickBot="1" x14ac:dyDescent="0.3">
      <c r="A95" s="139">
        <v>44230</v>
      </c>
      <c r="B95" s="130" t="s">
        <v>233</v>
      </c>
      <c r="C95" s="137">
        <f t="shared" si="6"/>
        <v>0</v>
      </c>
      <c r="D95" s="136">
        <f t="shared" si="7"/>
        <v>0</v>
      </c>
      <c r="E95" s="136">
        <f t="shared" si="8"/>
        <v>0</v>
      </c>
      <c r="F95" s="136">
        <f t="shared" si="8"/>
        <v>0</v>
      </c>
      <c r="G95" s="136">
        <f t="shared" si="8"/>
        <v>0</v>
      </c>
      <c r="H95" s="136">
        <f t="shared" si="8"/>
        <v>0</v>
      </c>
      <c r="I95" s="136">
        <f t="shared" si="8"/>
        <v>0</v>
      </c>
      <c r="J95" s="136">
        <f t="shared" si="8"/>
        <v>0</v>
      </c>
      <c r="K95" s="136">
        <f t="shared" si="8"/>
        <v>0</v>
      </c>
      <c r="L95" s="136">
        <f t="shared" si="8"/>
        <v>0</v>
      </c>
      <c r="M95" s="136">
        <f t="shared" si="8"/>
        <v>0</v>
      </c>
      <c r="N95" s="136">
        <f t="shared" si="8"/>
        <v>0</v>
      </c>
      <c r="O95" s="136">
        <f t="shared" si="8"/>
        <v>0</v>
      </c>
      <c r="P95" s="136">
        <f t="shared" si="8"/>
        <v>0</v>
      </c>
      <c r="Q95" s="136">
        <f t="shared" si="8"/>
        <v>0</v>
      </c>
      <c r="R95" s="136">
        <f t="shared" si="8"/>
        <v>0</v>
      </c>
      <c r="S95" s="136">
        <f t="shared" si="8"/>
        <v>0</v>
      </c>
      <c r="T95" s="136">
        <f t="shared" si="8"/>
        <v>0</v>
      </c>
      <c r="V95" s="524"/>
      <c r="W95" s="525"/>
      <c r="X95" s="525"/>
      <c r="Y95" s="525"/>
      <c r="Z95" s="526"/>
    </row>
    <row r="96" spans="1:26" ht="15.75" thickTop="1" x14ac:dyDescent="0.25">
      <c r="A96" s="139">
        <v>44237</v>
      </c>
      <c r="B96" s="130" t="s">
        <v>233</v>
      </c>
      <c r="C96" s="137">
        <f t="shared" si="6"/>
        <v>0</v>
      </c>
      <c r="D96" s="136">
        <f t="shared" si="7"/>
        <v>0</v>
      </c>
      <c r="E96" s="136">
        <f t="shared" si="8"/>
        <v>0</v>
      </c>
      <c r="F96" s="136">
        <f t="shared" si="8"/>
        <v>0</v>
      </c>
      <c r="G96" s="136">
        <f t="shared" si="8"/>
        <v>0</v>
      </c>
      <c r="H96" s="136">
        <f t="shared" si="8"/>
        <v>0</v>
      </c>
      <c r="I96" s="136">
        <f t="shared" si="8"/>
        <v>0</v>
      </c>
      <c r="J96" s="136">
        <f t="shared" si="8"/>
        <v>0</v>
      </c>
      <c r="K96" s="136">
        <f t="shared" si="8"/>
        <v>0</v>
      </c>
      <c r="L96" s="136">
        <f t="shared" si="8"/>
        <v>0</v>
      </c>
      <c r="M96" s="136">
        <f t="shared" si="8"/>
        <v>0</v>
      </c>
      <c r="N96" s="136">
        <f t="shared" si="8"/>
        <v>0</v>
      </c>
      <c r="O96" s="136">
        <f t="shared" si="8"/>
        <v>0</v>
      </c>
      <c r="P96" s="136">
        <f t="shared" si="8"/>
        <v>0</v>
      </c>
      <c r="Q96" s="136">
        <f t="shared" si="8"/>
        <v>0</v>
      </c>
      <c r="R96" s="136">
        <f t="shared" si="8"/>
        <v>0</v>
      </c>
      <c r="S96" s="136">
        <f t="shared" si="8"/>
        <v>0</v>
      </c>
      <c r="T96" s="136">
        <f t="shared" si="8"/>
        <v>0</v>
      </c>
    </row>
    <row r="97" spans="1:20" x14ac:dyDescent="0.25">
      <c r="A97" s="139">
        <v>44244</v>
      </c>
      <c r="B97" s="130" t="s">
        <v>233</v>
      </c>
      <c r="C97" s="137">
        <f t="shared" si="6"/>
        <v>0</v>
      </c>
      <c r="D97" s="136">
        <f t="shared" si="7"/>
        <v>0</v>
      </c>
      <c r="E97" s="136">
        <f t="shared" si="8"/>
        <v>0</v>
      </c>
      <c r="F97" s="136">
        <f t="shared" si="8"/>
        <v>0</v>
      </c>
      <c r="G97" s="136">
        <f t="shared" si="8"/>
        <v>0</v>
      </c>
      <c r="H97" s="136">
        <f t="shared" si="8"/>
        <v>0</v>
      </c>
      <c r="I97" s="136">
        <f t="shared" si="8"/>
        <v>0</v>
      </c>
      <c r="J97" s="136">
        <f t="shared" si="8"/>
        <v>0</v>
      </c>
      <c r="K97" s="136">
        <f t="shared" si="8"/>
        <v>0</v>
      </c>
      <c r="L97" s="136">
        <f t="shared" si="8"/>
        <v>0</v>
      </c>
      <c r="M97" s="136">
        <f t="shared" si="8"/>
        <v>0</v>
      </c>
      <c r="N97" s="136">
        <f t="shared" si="8"/>
        <v>0</v>
      </c>
      <c r="O97" s="136">
        <f t="shared" si="8"/>
        <v>0</v>
      </c>
      <c r="P97" s="136">
        <f t="shared" si="8"/>
        <v>0</v>
      </c>
      <c r="Q97" s="136">
        <f t="shared" si="8"/>
        <v>0</v>
      </c>
      <c r="R97" s="136">
        <f t="shared" si="8"/>
        <v>0</v>
      </c>
      <c r="S97" s="136">
        <f t="shared" si="8"/>
        <v>0</v>
      </c>
      <c r="T97" s="136">
        <f t="shared" si="8"/>
        <v>0</v>
      </c>
    </row>
    <row r="98" spans="1:20" x14ac:dyDescent="0.25">
      <c r="A98" s="139">
        <v>44251</v>
      </c>
      <c r="B98" s="130" t="s">
        <v>233</v>
      </c>
      <c r="C98" s="137">
        <f t="shared" si="6"/>
        <v>0</v>
      </c>
      <c r="D98" s="136">
        <f t="shared" si="7"/>
        <v>0</v>
      </c>
      <c r="E98" s="136">
        <f t="shared" si="8"/>
        <v>0</v>
      </c>
      <c r="F98" s="136">
        <f t="shared" si="8"/>
        <v>0</v>
      </c>
      <c r="G98" s="136">
        <f t="shared" si="8"/>
        <v>0</v>
      </c>
      <c r="H98" s="136">
        <f t="shared" si="8"/>
        <v>0</v>
      </c>
      <c r="I98" s="136">
        <f t="shared" si="8"/>
        <v>0</v>
      </c>
      <c r="J98" s="136">
        <f t="shared" si="8"/>
        <v>0</v>
      </c>
      <c r="K98" s="136">
        <f t="shared" si="8"/>
        <v>0</v>
      </c>
      <c r="L98" s="136">
        <f t="shared" si="8"/>
        <v>0</v>
      </c>
      <c r="M98" s="136">
        <f t="shared" si="8"/>
        <v>0</v>
      </c>
      <c r="N98" s="136">
        <f t="shared" si="8"/>
        <v>0</v>
      </c>
      <c r="O98" s="136">
        <f t="shared" si="8"/>
        <v>0</v>
      </c>
      <c r="P98" s="136">
        <f t="shared" si="8"/>
        <v>0</v>
      </c>
      <c r="Q98" s="136">
        <f t="shared" si="8"/>
        <v>0</v>
      </c>
      <c r="R98" s="136">
        <f t="shared" si="8"/>
        <v>0</v>
      </c>
      <c r="S98" s="136">
        <f t="shared" si="8"/>
        <v>0</v>
      </c>
      <c r="T98" s="136">
        <f t="shared" si="8"/>
        <v>0</v>
      </c>
    </row>
    <row r="99" spans="1:20" x14ac:dyDescent="0.25">
      <c r="A99" s="139">
        <v>44258</v>
      </c>
      <c r="B99" s="130" t="s">
        <v>233</v>
      </c>
      <c r="C99" s="137">
        <f t="shared" si="6"/>
        <v>0</v>
      </c>
      <c r="D99" s="136">
        <f t="shared" si="7"/>
        <v>0</v>
      </c>
      <c r="E99" s="136">
        <f t="shared" si="8"/>
        <v>0</v>
      </c>
      <c r="F99" s="136">
        <f t="shared" si="8"/>
        <v>0</v>
      </c>
      <c r="G99" s="136">
        <f t="shared" si="8"/>
        <v>0</v>
      </c>
      <c r="H99" s="136">
        <f t="shared" si="8"/>
        <v>0</v>
      </c>
      <c r="I99" s="136">
        <f t="shared" si="8"/>
        <v>0</v>
      </c>
      <c r="J99" s="136">
        <f t="shared" si="8"/>
        <v>0</v>
      </c>
      <c r="K99" s="136">
        <f t="shared" si="8"/>
        <v>0</v>
      </c>
      <c r="L99" s="136">
        <f t="shared" si="8"/>
        <v>0</v>
      </c>
      <c r="M99" s="136">
        <f t="shared" si="8"/>
        <v>0</v>
      </c>
      <c r="N99" s="136">
        <f t="shared" si="8"/>
        <v>0</v>
      </c>
      <c r="O99" s="136">
        <f t="shared" si="8"/>
        <v>0</v>
      </c>
      <c r="P99" s="136">
        <f t="shared" si="8"/>
        <v>0</v>
      </c>
      <c r="Q99" s="136">
        <f t="shared" si="8"/>
        <v>0</v>
      </c>
      <c r="R99" s="136">
        <f t="shared" si="8"/>
        <v>0</v>
      </c>
      <c r="S99" s="136">
        <f t="shared" si="8"/>
        <v>0</v>
      </c>
      <c r="T99" s="136">
        <f t="shared" si="8"/>
        <v>0</v>
      </c>
    </row>
    <row r="100" spans="1:20" x14ac:dyDescent="0.25">
      <c r="A100" s="139">
        <v>44265</v>
      </c>
      <c r="B100" s="130" t="s">
        <v>233</v>
      </c>
      <c r="C100" s="137">
        <f t="shared" si="6"/>
        <v>0</v>
      </c>
      <c r="D100" s="136">
        <f t="shared" si="7"/>
        <v>0</v>
      </c>
      <c r="E100" s="136">
        <f t="shared" si="8"/>
        <v>0</v>
      </c>
      <c r="F100" s="136">
        <f t="shared" si="8"/>
        <v>0</v>
      </c>
      <c r="G100" s="136">
        <f t="shared" si="8"/>
        <v>0</v>
      </c>
      <c r="H100" s="136">
        <f t="shared" si="8"/>
        <v>0</v>
      </c>
      <c r="I100" s="136">
        <f t="shared" si="8"/>
        <v>0</v>
      </c>
      <c r="J100" s="136">
        <f t="shared" si="8"/>
        <v>0</v>
      </c>
      <c r="K100" s="136">
        <f t="shared" si="8"/>
        <v>0</v>
      </c>
      <c r="L100" s="136">
        <f t="shared" si="8"/>
        <v>0</v>
      </c>
      <c r="M100" s="136">
        <f t="shared" si="8"/>
        <v>0</v>
      </c>
      <c r="N100" s="136">
        <f t="shared" si="8"/>
        <v>0</v>
      </c>
      <c r="O100" s="136">
        <f t="shared" si="8"/>
        <v>0</v>
      </c>
      <c r="P100" s="136">
        <f t="shared" si="8"/>
        <v>0</v>
      </c>
      <c r="Q100" s="136">
        <f t="shared" si="8"/>
        <v>0</v>
      </c>
      <c r="R100" s="136">
        <f t="shared" si="8"/>
        <v>0</v>
      </c>
      <c r="S100" s="136">
        <f t="shared" si="8"/>
        <v>0</v>
      </c>
      <c r="T100" s="136">
        <f t="shared" si="8"/>
        <v>0</v>
      </c>
    </row>
    <row r="101" spans="1:20" x14ac:dyDescent="0.25">
      <c r="A101" s="139">
        <v>44272</v>
      </c>
      <c r="B101" s="130" t="s">
        <v>233</v>
      </c>
      <c r="C101" s="137">
        <f t="shared" si="6"/>
        <v>0</v>
      </c>
      <c r="D101" s="136">
        <f t="shared" si="7"/>
        <v>0</v>
      </c>
      <c r="E101" s="136">
        <f t="shared" si="8"/>
        <v>0</v>
      </c>
      <c r="F101" s="136">
        <f t="shared" si="8"/>
        <v>0</v>
      </c>
      <c r="G101" s="136">
        <f t="shared" si="8"/>
        <v>0</v>
      </c>
      <c r="H101" s="136">
        <f t="shared" si="8"/>
        <v>0</v>
      </c>
      <c r="I101" s="136">
        <f t="shared" si="8"/>
        <v>0</v>
      </c>
      <c r="J101" s="136">
        <f t="shared" si="8"/>
        <v>0</v>
      </c>
      <c r="K101" s="136">
        <f t="shared" si="8"/>
        <v>0</v>
      </c>
      <c r="L101" s="136">
        <f t="shared" si="8"/>
        <v>0</v>
      </c>
      <c r="M101" s="136">
        <f t="shared" si="8"/>
        <v>0</v>
      </c>
      <c r="N101" s="136">
        <f t="shared" si="8"/>
        <v>0</v>
      </c>
      <c r="O101" s="136">
        <f t="shared" si="8"/>
        <v>0</v>
      </c>
      <c r="P101" s="136">
        <f t="shared" si="8"/>
        <v>0</v>
      </c>
      <c r="Q101" s="136">
        <f t="shared" si="8"/>
        <v>0</v>
      </c>
      <c r="R101" s="136">
        <f t="shared" si="8"/>
        <v>0</v>
      </c>
      <c r="S101" s="136">
        <f t="shared" si="8"/>
        <v>0</v>
      </c>
      <c r="T101" s="136">
        <f t="shared" si="8"/>
        <v>0</v>
      </c>
    </row>
    <row r="102" spans="1:20" x14ac:dyDescent="0.25">
      <c r="A102" s="139">
        <v>44279</v>
      </c>
      <c r="B102" s="130" t="s">
        <v>233</v>
      </c>
      <c r="C102" s="137">
        <f t="shared" si="6"/>
        <v>0</v>
      </c>
      <c r="D102" s="136">
        <f t="shared" si="7"/>
        <v>0</v>
      </c>
      <c r="E102" s="136">
        <f t="shared" si="8"/>
        <v>0</v>
      </c>
      <c r="F102" s="136">
        <f t="shared" si="8"/>
        <v>0</v>
      </c>
      <c r="G102" s="136">
        <f t="shared" si="8"/>
        <v>0</v>
      </c>
      <c r="H102" s="136">
        <f t="shared" si="8"/>
        <v>0</v>
      </c>
      <c r="I102" s="136">
        <f t="shared" si="8"/>
        <v>0</v>
      </c>
      <c r="J102" s="136">
        <f t="shared" si="8"/>
        <v>0</v>
      </c>
      <c r="K102" s="136">
        <f t="shared" si="8"/>
        <v>0</v>
      </c>
      <c r="L102" s="136">
        <f t="shared" si="8"/>
        <v>0</v>
      </c>
      <c r="M102" s="136">
        <f t="shared" si="8"/>
        <v>0</v>
      </c>
      <c r="N102" s="136">
        <f t="shared" si="8"/>
        <v>0</v>
      </c>
      <c r="O102" s="136">
        <f t="shared" si="8"/>
        <v>0</v>
      </c>
      <c r="P102" s="136">
        <f t="shared" si="8"/>
        <v>0</v>
      </c>
      <c r="Q102" s="136">
        <f t="shared" si="8"/>
        <v>0</v>
      </c>
      <c r="R102" s="136">
        <f t="shared" si="8"/>
        <v>0</v>
      </c>
      <c r="S102" s="136">
        <f t="shared" si="8"/>
        <v>0</v>
      </c>
      <c r="T102" s="136">
        <f t="shared" si="8"/>
        <v>0</v>
      </c>
    </row>
    <row r="103" spans="1:20" x14ac:dyDescent="0.25">
      <c r="A103" s="139">
        <v>44286</v>
      </c>
      <c r="B103" s="130" t="s">
        <v>233</v>
      </c>
      <c r="C103" s="137">
        <f t="shared" si="6"/>
        <v>0</v>
      </c>
      <c r="D103" s="136">
        <f t="shared" si="7"/>
        <v>0</v>
      </c>
      <c r="E103" s="136">
        <f t="shared" si="8"/>
        <v>0</v>
      </c>
      <c r="F103" s="136">
        <f t="shared" si="8"/>
        <v>0</v>
      </c>
      <c r="G103" s="136">
        <f t="shared" si="8"/>
        <v>0</v>
      </c>
      <c r="H103" s="136">
        <f t="shared" si="8"/>
        <v>0</v>
      </c>
      <c r="I103" s="136">
        <f t="shared" si="8"/>
        <v>0</v>
      </c>
      <c r="J103" s="136">
        <f t="shared" si="8"/>
        <v>0</v>
      </c>
      <c r="K103" s="136">
        <f t="shared" si="8"/>
        <v>0</v>
      </c>
      <c r="L103" s="136">
        <f t="shared" si="8"/>
        <v>0</v>
      </c>
      <c r="M103" s="136">
        <f t="shared" si="8"/>
        <v>0</v>
      </c>
      <c r="N103" s="136">
        <f t="shared" si="8"/>
        <v>0</v>
      </c>
      <c r="O103" s="136">
        <f t="shared" si="8"/>
        <v>0</v>
      </c>
      <c r="P103" s="136">
        <f t="shared" si="8"/>
        <v>0</v>
      </c>
      <c r="Q103" s="136">
        <f t="shared" si="8"/>
        <v>0</v>
      </c>
      <c r="R103" s="136">
        <f t="shared" si="8"/>
        <v>0</v>
      </c>
      <c r="S103" s="136">
        <f t="shared" si="8"/>
        <v>0</v>
      </c>
      <c r="T103" s="136">
        <f t="shared" si="8"/>
        <v>0</v>
      </c>
    </row>
    <row r="104" spans="1:20" x14ac:dyDescent="0.25">
      <c r="A104" s="139">
        <v>44293</v>
      </c>
      <c r="B104" s="130" t="s">
        <v>233</v>
      </c>
      <c r="C104" s="137">
        <f t="shared" si="6"/>
        <v>0</v>
      </c>
      <c r="D104" s="136">
        <f t="shared" si="7"/>
        <v>0</v>
      </c>
      <c r="E104" s="136">
        <f t="shared" si="8"/>
        <v>0</v>
      </c>
      <c r="F104" s="136">
        <f t="shared" si="8"/>
        <v>0</v>
      </c>
      <c r="G104" s="136">
        <f t="shared" si="8"/>
        <v>0</v>
      </c>
      <c r="H104" s="136">
        <f t="shared" si="8"/>
        <v>0</v>
      </c>
      <c r="I104" s="136">
        <f t="shared" si="8"/>
        <v>0</v>
      </c>
      <c r="J104" s="136">
        <f t="shared" si="8"/>
        <v>0</v>
      </c>
      <c r="K104" s="136">
        <f t="shared" si="8"/>
        <v>0</v>
      </c>
      <c r="L104" s="136">
        <f t="shared" si="8"/>
        <v>0</v>
      </c>
      <c r="M104" s="136">
        <f t="shared" si="8"/>
        <v>0</v>
      </c>
      <c r="N104" s="136">
        <f t="shared" si="8"/>
        <v>0</v>
      </c>
      <c r="O104" s="136">
        <f t="shared" si="8"/>
        <v>0</v>
      </c>
      <c r="P104" s="136">
        <f t="shared" si="8"/>
        <v>0</v>
      </c>
      <c r="Q104" s="136">
        <f t="shared" si="8"/>
        <v>0</v>
      </c>
      <c r="R104" s="136">
        <f t="shared" si="8"/>
        <v>0</v>
      </c>
      <c r="S104" s="136">
        <f t="shared" si="8"/>
        <v>0</v>
      </c>
      <c r="T104" s="136">
        <f t="shared" si="8"/>
        <v>0</v>
      </c>
    </row>
    <row r="105" spans="1:20" x14ac:dyDescent="0.25">
      <c r="A105" s="139">
        <v>44300</v>
      </c>
      <c r="B105" s="130" t="s">
        <v>233</v>
      </c>
      <c r="C105" s="137">
        <f t="shared" si="6"/>
        <v>0</v>
      </c>
      <c r="D105" s="136">
        <f t="shared" si="7"/>
        <v>0</v>
      </c>
      <c r="E105" s="136">
        <f t="shared" si="8"/>
        <v>0</v>
      </c>
      <c r="F105" s="136">
        <f t="shared" si="8"/>
        <v>0</v>
      </c>
      <c r="G105" s="136">
        <f t="shared" si="8"/>
        <v>0</v>
      </c>
      <c r="H105" s="136">
        <f t="shared" si="8"/>
        <v>0</v>
      </c>
      <c r="I105" s="136">
        <f t="shared" si="8"/>
        <v>0</v>
      </c>
      <c r="J105" s="136">
        <f t="shared" si="8"/>
        <v>0</v>
      </c>
      <c r="K105" s="136">
        <f t="shared" si="8"/>
        <v>0</v>
      </c>
      <c r="L105" s="136">
        <f t="shared" si="8"/>
        <v>0</v>
      </c>
      <c r="M105" s="136">
        <f t="shared" si="8"/>
        <v>0</v>
      </c>
      <c r="N105" s="136">
        <f t="shared" si="8"/>
        <v>0</v>
      </c>
      <c r="O105" s="136">
        <f t="shared" si="8"/>
        <v>0</v>
      </c>
      <c r="P105" s="136">
        <f t="shared" si="8"/>
        <v>0</v>
      </c>
      <c r="Q105" s="136">
        <f t="shared" si="8"/>
        <v>0</v>
      </c>
      <c r="R105" s="136">
        <f t="shared" si="8"/>
        <v>0</v>
      </c>
      <c r="S105" s="136">
        <f t="shared" si="8"/>
        <v>0</v>
      </c>
      <c r="T105" s="136">
        <f t="shared" si="8"/>
        <v>0</v>
      </c>
    </row>
    <row r="106" spans="1:20" x14ac:dyDescent="0.25">
      <c r="A106" s="139">
        <v>44307</v>
      </c>
      <c r="B106" s="130" t="s">
        <v>233</v>
      </c>
      <c r="C106" s="137">
        <f t="shared" si="6"/>
        <v>0</v>
      </c>
      <c r="D106" s="136">
        <f t="shared" si="7"/>
        <v>0</v>
      </c>
      <c r="E106" s="136">
        <f t="shared" si="8"/>
        <v>0</v>
      </c>
      <c r="F106" s="136">
        <f t="shared" si="8"/>
        <v>0</v>
      </c>
      <c r="G106" s="136">
        <f t="shared" si="8"/>
        <v>0</v>
      </c>
      <c r="H106" s="136">
        <f t="shared" si="8"/>
        <v>0</v>
      </c>
      <c r="I106" s="136">
        <f t="shared" si="8"/>
        <v>0</v>
      </c>
      <c r="J106" s="136">
        <f t="shared" si="8"/>
        <v>0</v>
      </c>
      <c r="K106" s="136">
        <f t="shared" si="8"/>
        <v>0</v>
      </c>
      <c r="L106" s="136">
        <f t="shared" si="8"/>
        <v>0</v>
      </c>
      <c r="M106" s="136">
        <f t="shared" si="8"/>
        <v>0</v>
      </c>
      <c r="N106" s="136">
        <f t="shared" si="8"/>
        <v>0</v>
      </c>
      <c r="O106" s="136">
        <f t="shared" si="8"/>
        <v>0</v>
      </c>
      <c r="P106" s="136">
        <f t="shared" si="8"/>
        <v>0</v>
      </c>
      <c r="Q106" s="136">
        <f t="shared" si="8"/>
        <v>0</v>
      </c>
      <c r="R106" s="136">
        <f t="shared" si="8"/>
        <v>0</v>
      </c>
      <c r="S106" s="136">
        <f t="shared" si="8"/>
        <v>0</v>
      </c>
      <c r="T106" s="136">
        <f t="shared" si="8"/>
        <v>0</v>
      </c>
    </row>
    <row r="107" spans="1:20" x14ac:dyDescent="0.25">
      <c r="A107" s="139">
        <v>44314</v>
      </c>
      <c r="B107" s="130" t="s">
        <v>233</v>
      </c>
      <c r="C107" s="137">
        <f t="shared" si="6"/>
        <v>0</v>
      </c>
      <c r="D107" s="136">
        <f t="shared" si="7"/>
        <v>0</v>
      </c>
      <c r="E107" s="136">
        <f t="shared" si="8"/>
        <v>0</v>
      </c>
      <c r="F107" s="136">
        <f t="shared" si="8"/>
        <v>0</v>
      </c>
      <c r="G107" s="136">
        <f t="shared" si="8"/>
        <v>0</v>
      </c>
      <c r="H107" s="136">
        <f t="shared" si="8"/>
        <v>0</v>
      </c>
      <c r="I107" s="136">
        <f t="shared" si="8"/>
        <v>0</v>
      </c>
      <c r="J107" s="136">
        <f t="shared" si="8"/>
        <v>0</v>
      </c>
      <c r="K107" s="136">
        <f t="shared" si="8"/>
        <v>0</v>
      </c>
      <c r="L107" s="136">
        <f t="shared" si="8"/>
        <v>0</v>
      </c>
      <c r="M107" s="136">
        <f t="shared" si="8"/>
        <v>0</v>
      </c>
      <c r="N107" s="136">
        <f t="shared" si="8"/>
        <v>0</v>
      </c>
      <c r="O107" s="136">
        <f t="shared" si="8"/>
        <v>0</v>
      </c>
      <c r="P107" s="136">
        <f t="shared" si="8"/>
        <v>0</v>
      </c>
      <c r="Q107" s="136">
        <f t="shared" si="8"/>
        <v>0</v>
      </c>
      <c r="R107" s="136">
        <f t="shared" si="8"/>
        <v>0</v>
      </c>
      <c r="S107" s="136">
        <f t="shared" si="8"/>
        <v>0</v>
      </c>
      <c r="T107" s="136">
        <f t="shared" si="8"/>
        <v>0</v>
      </c>
    </row>
    <row r="110" spans="1:20" ht="18.75" x14ac:dyDescent="0.3">
      <c r="B110" s="252" t="s">
        <v>141</v>
      </c>
      <c r="C110" s="253"/>
      <c r="D110" s="253"/>
      <c r="E110" s="253"/>
      <c r="F110" s="253"/>
      <c r="G110" s="253"/>
      <c r="H110" s="253"/>
      <c r="I110" s="253"/>
      <c r="J110" s="253"/>
      <c r="K110" s="253"/>
      <c r="L110" s="253"/>
      <c r="M110" s="253"/>
      <c r="N110" s="253"/>
      <c r="O110" s="253"/>
      <c r="P110" s="253"/>
      <c r="Q110" s="253"/>
      <c r="R110" s="253"/>
      <c r="S110" s="253"/>
    </row>
    <row r="111" spans="1:20" x14ac:dyDescent="0.25">
      <c r="C111" s="463"/>
      <c r="D111" s="463"/>
      <c r="E111" s="463"/>
      <c r="F111" s="463"/>
      <c r="G111" s="463"/>
      <c r="H111" s="463"/>
      <c r="I111" s="463"/>
      <c r="J111" s="463"/>
      <c r="K111" s="463"/>
      <c r="L111" s="463"/>
      <c r="M111" s="463"/>
      <c r="N111" s="463"/>
      <c r="O111" s="463"/>
      <c r="P111" s="463"/>
      <c r="Q111" s="463"/>
      <c r="R111" s="463"/>
      <c r="S111" s="463"/>
    </row>
    <row r="112" spans="1:20" x14ac:dyDescent="0.25">
      <c r="C112" s="463"/>
      <c r="D112" s="463"/>
      <c r="E112" s="463"/>
      <c r="F112" s="463"/>
      <c r="G112" s="463"/>
      <c r="H112" s="463"/>
      <c r="I112" s="463"/>
      <c r="J112" s="463"/>
      <c r="K112" s="463"/>
      <c r="L112" s="463"/>
      <c r="M112" s="463"/>
      <c r="N112" s="463"/>
      <c r="O112" s="463"/>
      <c r="P112" s="463"/>
      <c r="Q112" s="463"/>
      <c r="R112" s="463"/>
      <c r="S112" s="463"/>
    </row>
    <row r="113" spans="2:19" x14ac:dyDescent="0.25">
      <c r="C113" s="463"/>
      <c r="D113" s="463"/>
      <c r="E113" s="463"/>
      <c r="F113" s="463"/>
      <c r="G113" s="463"/>
      <c r="H113" s="463"/>
      <c r="I113" s="463"/>
      <c r="J113" s="463"/>
      <c r="K113" s="463"/>
      <c r="L113" s="463"/>
      <c r="M113" s="463"/>
      <c r="N113" s="463"/>
      <c r="O113" s="463"/>
      <c r="P113" s="463"/>
      <c r="Q113" s="463"/>
      <c r="R113" s="463"/>
      <c r="S113" s="463"/>
    </row>
    <row r="114" spans="2:19" ht="18.75" x14ac:dyDescent="0.3">
      <c r="B114" s="252" t="s">
        <v>143</v>
      </c>
      <c r="C114" s="255"/>
      <c r="D114" s="255"/>
      <c r="E114" s="255"/>
      <c r="F114" s="255"/>
      <c r="G114" s="255"/>
      <c r="H114" s="255"/>
      <c r="I114" s="255"/>
      <c r="J114" s="255"/>
      <c r="K114" s="255"/>
      <c r="L114" s="255"/>
      <c r="M114" s="255"/>
      <c r="N114" s="255"/>
      <c r="O114" s="255"/>
      <c r="P114" s="255"/>
      <c r="Q114" s="255"/>
      <c r="R114" s="255"/>
      <c r="S114" s="255"/>
    </row>
    <row r="115" spans="2:19" x14ac:dyDescent="0.25">
      <c r="C115" s="463"/>
      <c r="D115" s="463"/>
      <c r="E115" s="463"/>
      <c r="F115" s="463"/>
      <c r="G115" s="463"/>
      <c r="H115" s="463"/>
      <c r="I115" s="463"/>
      <c r="J115" s="463"/>
      <c r="K115" s="463"/>
      <c r="L115" s="463"/>
      <c r="M115" s="463"/>
      <c r="N115" s="463"/>
      <c r="O115" s="463"/>
      <c r="P115" s="463"/>
      <c r="Q115" s="463"/>
      <c r="R115" s="463"/>
      <c r="S115" s="463"/>
    </row>
    <row r="116" spans="2:19" x14ac:dyDescent="0.25">
      <c r="C116" s="463"/>
      <c r="D116" s="463"/>
      <c r="E116" s="463"/>
      <c r="F116" s="463"/>
      <c r="G116" s="463"/>
      <c r="H116" s="463"/>
      <c r="I116" s="463"/>
      <c r="J116" s="463"/>
      <c r="K116" s="463"/>
      <c r="L116" s="463"/>
      <c r="M116" s="463"/>
      <c r="N116" s="463"/>
      <c r="O116" s="463"/>
      <c r="P116" s="463"/>
      <c r="Q116" s="463"/>
      <c r="R116" s="463"/>
      <c r="S116" s="463"/>
    </row>
    <row r="117" spans="2:19" x14ac:dyDescent="0.25">
      <c r="C117" s="463"/>
      <c r="D117" s="463"/>
      <c r="E117" s="463"/>
      <c r="F117" s="463"/>
      <c r="G117" s="463"/>
      <c r="H117" s="463"/>
      <c r="I117" s="463"/>
      <c r="J117" s="463"/>
      <c r="K117" s="463"/>
      <c r="L117" s="463"/>
      <c r="M117" s="463"/>
      <c r="N117" s="463"/>
      <c r="O117" s="463"/>
      <c r="P117" s="463"/>
      <c r="Q117" s="463"/>
      <c r="R117" s="463"/>
      <c r="S117" s="463"/>
    </row>
    <row r="118" spans="2:19" x14ac:dyDescent="0.25">
      <c r="C118" s="463"/>
      <c r="D118" s="463"/>
      <c r="E118" s="463"/>
      <c r="F118" s="463"/>
      <c r="G118" s="463"/>
      <c r="H118" s="463"/>
      <c r="I118" s="463"/>
      <c r="J118" s="463"/>
      <c r="K118" s="463"/>
      <c r="L118" s="463"/>
      <c r="M118" s="463"/>
      <c r="N118" s="463"/>
      <c r="O118" s="463"/>
      <c r="P118" s="463"/>
      <c r="Q118" s="463"/>
      <c r="R118" s="463"/>
      <c r="S118" s="463"/>
    </row>
    <row r="119" spans="2:19" x14ac:dyDescent="0.25">
      <c r="C119" s="463"/>
      <c r="D119" s="463"/>
      <c r="E119" s="463"/>
      <c r="F119" s="463"/>
      <c r="G119" s="463"/>
      <c r="H119" s="463"/>
      <c r="I119" s="463"/>
      <c r="J119" s="463"/>
      <c r="K119" s="463"/>
      <c r="L119" s="463"/>
      <c r="M119" s="463"/>
      <c r="N119" s="463"/>
      <c r="O119" s="463"/>
      <c r="P119" s="463"/>
      <c r="Q119" s="463"/>
      <c r="R119" s="463"/>
      <c r="S119" s="463"/>
    </row>
    <row r="120" spans="2:19" x14ac:dyDescent="0.25">
      <c r="C120" s="463"/>
      <c r="D120" s="463"/>
      <c r="E120" s="463"/>
      <c r="F120" s="463"/>
      <c r="G120" s="463"/>
      <c r="H120" s="463"/>
      <c r="I120" s="463"/>
      <c r="J120" s="463"/>
      <c r="K120" s="463"/>
      <c r="L120" s="463"/>
      <c r="M120" s="463"/>
      <c r="N120" s="463"/>
      <c r="O120" s="463"/>
      <c r="P120" s="463"/>
      <c r="Q120" s="463"/>
      <c r="R120" s="463"/>
      <c r="S120" s="463"/>
    </row>
    <row r="121" spans="2:19" x14ac:dyDescent="0.25">
      <c r="C121" s="463"/>
      <c r="D121" s="463"/>
      <c r="E121" s="463"/>
      <c r="F121" s="463"/>
      <c r="G121" s="463"/>
      <c r="H121" s="463"/>
      <c r="I121" s="463"/>
      <c r="J121" s="463"/>
      <c r="K121" s="463"/>
      <c r="L121" s="463"/>
      <c r="M121" s="463"/>
      <c r="N121" s="463"/>
      <c r="O121" s="463"/>
      <c r="P121" s="463"/>
      <c r="Q121" s="463"/>
      <c r="R121" s="463"/>
      <c r="S121" s="463"/>
    </row>
    <row r="122" spans="2:19" x14ac:dyDescent="0.25">
      <c r="C122" s="463"/>
      <c r="D122" s="463"/>
      <c r="E122" s="463"/>
      <c r="F122" s="463"/>
      <c r="G122" s="463"/>
      <c r="H122" s="463"/>
      <c r="I122" s="463"/>
      <c r="J122" s="463"/>
      <c r="K122" s="463"/>
      <c r="L122" s="463"/>
      <c r="M122" s="463"/>
      <c r="N122" s="463"/>
      <c r="O122" s="463"/>
      <c r="P122" s="463"/>
      <c r="Q122" s="463"/>
      <c r="R122" s="463"/>
      <c r="S122" s="463"/>
    </row>
    <row r="123" spans="2:19" x14ac:dyDescent="0.25">
      <c r="C123" s="463"/>
      <c r="D123" s="463"/>
      <c r="E123" s="463"/>
      <c r="F123" s="463"/>
      <c r="G123" s="463"/>
      <c r="H123" s="463"/>
      <c r="I123" s="463"/>
      <c r="J123" s="463"/>
      <c r="K123" s="463"/>
      <c r="L123" s="463"/>
      <c r="M123" s="463"/>
      <c r="N123" s="463"/>
      <c r="O123" s="463"/>
      <c r="P123" s="463"/>
      <c r="Q123" s="463"/>
      <c r="R123" s="463"/>
      <c r="S123" s="463"/>
    </row>
    <row r="124" spans="2:19" x14ac:dyDescent="0.25">
      <c r="C124" s="463"/>
      <c r="D124" s="463"/>
      <c r="E124" s="463"/>
      <c r="F124" s="463"/>
      <c r="G124" s="463"/>
      <c r="H124" s="463"/>
      <c r="I124" s="463"/>
      <c r="J124" s="463"/>
      <c r="K124" s="463"/>
      <c r="L124" s="463"/>
      <c r="M124" s="463"/>
      <c r="N124" s="463"/>
      <c r="O124" s="463"/>
      <c r="P124" s="463"/>
      <c r="Q124" s="463"/>
      <c r="R124" s="463"/>
      <c r="S124" s="463"/>
    </row>
    <row r="125" spans="2:19" x14ac:dyDescent="0.25">
      <c r="C125" s="463"/>
      <c r="D125" s="463"/>
      <c r="E125" s="463"/>
      <c r="F125" s="463"/>
      <c r="G125" s="463"/>
      <c r="H125" s="463"/>
      <c r="I125" s="463"/>
      <c r="J125" s="463"/>
      <c r="K125" s="463"/>
      <c r="L125" s="463"/>
      <c r="M125" s="463"/>
      <c r="N125" s="463"/>
      <c r="O125" s="463"/>
      <c r="P125" s="463"/>
      <c r="Q125" s="463"/>
      <c r="R125" s="463"/>
      <c r="S125" s="463"/>
    </row>
  </sheetData>
  <mergeCells count="3">
    <mergeCell ref="V8:Y21"/>
    <mergeCell ref="V46:Z66"/>
    <mergeCell ref="V82:Z95"/>
  </mergeCells>
  <pageMargins left="0.7" right="0.7" top="0.75" bottom="0.75" header="0.3" footer="0.3"/>
  <pageSetup paperSize="9" orientation="portrait" r:id="rId1"/>
  <headerFooter>
    <oddHeader>&amp;L&amp;"Calibri"&amp;12&amp;K008000Classification: Public&amp;1#</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869EEF-59C8-4924-92E0-6B325AD6F8D6}">
  <sheetPr codeName="Sheet8">
    <tabColor theme="5" tint="0.79998168889431442"/>
  </sheetPr>
  <dimension ref="A1:AB154"/>
  <sheetViews>
    <sheetView showGridLines="0" topLeftCell="A105" zoomScale="90" zoomScaleNormal="90" workbookViewId="0">
      <selection activeCell="V117" sqref="V117:Y130"/>
    </sheetView>
  </sheetViews>
  <sheetFormatPr defaultRowHeight="15" x14ac:dyDescent="0.25"/>
  <cols>
    <col min="1" max="1" width="17.28515625" bestFit="1" customWidth="1"/>
  </cols>
  <sheetData>
    <row r="1" spans="1:28" ht="26.25" x14ac:dyDescent="0.4">
      <c r="A1" s="448"/>
      <c r="B1" s="448" t="s">
        <v>290</v>
      </c>
      <c r="C1" s="253"/>
      <c r="D1" s="253"/>
      <c r="E1" s="253"/>
      <c r="F1" s="253"/>
      <c r="G1" s="253"/>
      <c r="H1" s="253"/>
      <c r="I1" s="253"/>
      <c r="J1" s="253"/>
      <c r="K1" s="253"/>
      <c r="L1" s="253"/>
      <c r="M1" s="253"/>
      <c r="N1" s="253"/>
      <c r="O1" s="253"/>
      <c r="P1" s="253"/>
      <c r="Q1" s="253"/>
      <c r="R1" s="253"/>
      <c r="S1" s="253"/>
      <c r="T1" s="253"/>
      <c r="U1" s="253"/>
      <c r="V1" s="253"/>
      <c r="W1" s="253"/>
      <c r="X1" s="253"/>
      <c r="Y1" s="253"/>
      <c r="Z1" s="253"/>
      <c r="AA1" s="253"/>
      <c r="AB1" s="253"/>
    </row>
    <row r="2" spans="1:28" ht="18.75" x14ac:dyDescent="0.3">
      <c r="A2" s="410" t="s">
        <v>291</v>
      </c>
    </row>
    <row r="3" spans="1:28" ht="18.75" x14ac:dyDescent="0.3">
      <c r="A3" s="410" t="s">
        <v>292</v>
      </c>
    </row>
    <row r="4" spans="1:28" ht="18.75" x14ac:dyDescent="0.3">
      <c r="A4" s="410" t="s">
        <v>293</v>
      </c>
    </row>
    <row r="5" spans="1:28" ht="26.25" x14ac:dyDescent="0.4">
      <c r="A5" s="206"/>
    </row>
    <row r="6" spans="1:28" x14ac:dyDescent="0.25">
      <c r="A6" t="s">
        <v>294</v>
      </c>
    </row>
    <row r="7" spans="1:28" x14ac:dyDescent="0.25">
      <c r="A7" s="133" t="s">
        <v>231</v>
      </c>
      <c r="B7" s="133" t="s">
        <v>232</v>
      </c>
      <c r="C7" s="137" t="s">
        <v>82</v>
      </c>
      <c r="D7" s="292" t="s">
        <v>179</v>
      </c>
      <c r="E7" s="138" t="s">
        <v>182</v>
      </c>
      <c r="F7" s="138" t="s">
        <v>184</v>
      </c>
      <c r="G7" s="138" t="s">
        <v>186</v>
      </c>
      <c r="H7" s="138" t="s">
        <v>188</v>
      </c>
      <c r="I7" s="138" t="s">
        <v>190</v>
      </c>
      <c r="J7" s="138" t="s">
        <v>191</v>
      </c>
      <c r="K7" s="138" t="s">
        <v>192</v>
      </c>
      <c r="L7" s="138" t="s">
        <v>193</v>
      </c>
      <c r="M7" s="138" t="s">
        <v>194</v>
      </c>
      <c r="N7" s="138" t="s">
        <v>195</v>
      </c>
      <c r="O7" s="138" t="s">
        <v>197</v>
      </c>
      <c r="P7" s="138" t="s">
        <v>199</v>
      </c>
      <c r="Q7" s="138" t="s">
        <v>201</v>
      </c>
      <c r="R7" s="138" t="s">
        <v>203</v>
      </c>
      <c r="S7" s="138" t="s">
        <v>205</v>
      </c>
      <c r="T7" s="138" t="s">
        <v>189</v>
      </c>
    </row>
    <row r="8" spans="1:28" x14ac:dyDescent="0.25">
      <c r="A8" s="139">
        <v>44104</v>
      </c>
      <c r="B8" s="130" t="s">
        <v>233</v>
      </c>
      <c r="C8" s="137">
        <f>SUM(D8:T8)</f>
        <v>221.81976402724467</v>
      </c>
      <c r="D8" s="136">
        <f>'New patients in hospital'!D5*VLOOKUP(D$7,'Splitting Admissions CCU Ward'!$B$62:$D$79,2,FALSE)</f>
        <v>0</v>
      </c>
      <c r="E8" s="136">
        <f>'New patients in hospital'!E5*VLOOKUP(E$7,'Splitting Admissions CCU Ward'!$B$62:$D$79,2,FALSE)</f>
        <v>0</v>
      </c>
      <c r="F8" s="136">
        <f>'New patients in hospital'!F5*VLOOKUP(F$7,'Splitting Admissions CCU Ward'!$B$62:$D$79,2,FALSE)</f>
        <v>0</v>
      </c>
      <c r="G8" s="136">
        <f>'New patients in hospital'!G5*VLOOKUP(G$7,'Splitting Admissions CCU Ward'!$B$62:$D$79,2,FALSE)</f>
        <v>0.98553716598520857</v>
      </c>
      <c r="H8" s="136">
        <f>'New patients in hospital'!H5*VLOOKUP(H$7,'Splitting Admissions CCU Ward'!$B$62:$D$79,2,FALSE)</f>
        <v>2.0897587112063261</v>
      </c>
      <c r="I8" s="136">
        <f>'New patients in hospital'!I5*VLOOKUP(I$7,'Splitting Admissions CCU Ward'!$B$62:$D$79,2,FALSE)</f>
        <v>3.0310400698695696</v>
      </c>
      <c r="J8" s="136">
        <f>'New patients in hospital'!J5*VLOOKUP(J$7,'Splitting Admissions CCU Ward'!$B$62:$D$79,2,FALSE)</f>
        <v>4.8970363682906992</v>
      </c>
      <c r="K8" s="136">
        <f>'New patients in hospital'!K5*VLOOKUP(K$7,'Splitting Admissions CCU Ward'!$B$62:$D$79,2,FALSE)</f>
        <v>6.398019927488928</v>
      </c>
      <c r="L8" s="136">
        <f>'New patients in hospital'!L5*VLOOKUP(L$7,'Splitting Admissions CCU Ward'!$B$62:$D$79,2,FALSE)</f>
        <v>10.555164906663517</v>
      </c>
      <c r="M8" s="136">
        <f>'New patients in hospital'!M5*VLOOKUP(M$7,'Splitting Admissions CCU Ward'!$B$62:$D$79,2,FALSE)</f>
        <v>15.357023066007393</v>
      </c>
      <c r="N8" s="136">
        <f>'New patients in hospital'!N5*VLOOKUP(N$7,'Splitting Admissions CCU Ward'!$B$62:$D$79,2,FALSE)</f>
        <v>22.385031726557116</v>
      </c>
      <c r="O8" s="136">
        <f>'New patients in hospital'!O5*VLOOKUP(O$7,'Splitting Admissions CCU Ward'!$B$62:$D$79,2,FALSE)</f>
        <v>27.889042374265948</v>
      </c>
      <c r="P8" s="136">
        <f>'New patients in hospital'!P5*VLOOKUP(P$7,'Splitting Admissions CCU Ward'!$B$62:$D$79,2,FALSE)</f>
        <v>29.102554889003439</v>
      </c>
      <c r="Q8" s="136">
        <f>'New patients in hospital'!Q5*VLOOKUP(Q$7,'Splitting Admissions CCU Ward'!$B$62:$D$79,2,FALSE)</f>
        <v>34.459820736266252</v>
      </c>
      <c r="R8" s="136">
        <f>'New patients in hospital'!R5*VLOOKUP(R$7,'Splitting Admissions CCU Ward'!$B$62:$D$79,2,FALSE)</f>
        <v>27.249062256787653</v>
      </c>
      <c r="S8" s="136">
        <f>'New patients in hospital'!S5*VLOOKUP(S$7,'Splitting Admissions CCU Ward'!$B$62:$D$79,2,FALSE)</f>
        <v>25.239728764776512</v>
      </c>
      <c r="T8" s="136">
        <f>'New patients in hospital'!T5*VLOOKUP(T$7,'Splitting Admissions CCU Ward'!$B$62:$D$79,2,FALSE)</f>
        <v>12.180943064076072</v>
      </c>
    </row>
    <row r="9" spans="1:28" x14ac:dyDescent="0.25">
      <c r="A9" s="139">
        <v>44111</v>
      </c>
      <c r="B9" s="130" t="s">
        <v>233</v>
      </c>
      <c r="C9" s="137">
        <f t="shared" ref="C9:C38" si="0">SUM(D9:T9)</f>
        <v>332.14240699031831</v>
      </c>
      <c r="D9" s="136">
        <f>'New patients in hospital'!D6*VLOOKUP(D$7,'Splitting Admissions CCU Ward'!$B$62:$D$79,2,FALSE)</f>
        <v>0</v>
      </c>
      <c r="E9" s="136">
        <f>'New patients in hospital'!E6*VLOOKUP(E$7,'Splitting Admissions CCU Ward'!$B$62:$D$79,2,FALSE)</f>
        <v>0</v>
      </c>
      <c r="F9" s="136">
        <f>'New patients in hospital'!F6*VLOOKUP(F$7,'Splitting Admissions CCU Ward'!$B$62:$D$79,2,FALSE)</f>
        <v>0</v>
      </c>
      <c r="G9" s="136">
        <f>'New patients in hospital'!G6*VLOOKUP(G$7,'Splitting Admissions CCU Ward'!$B$62:$D$79,2,FALSE)</f>
        <v>1.4756966671758753</v>
      </c>
      <c r="H9" s="136">
        <f>'New patients in hospital'!H6*VLOOKUP(H$7,'Splitting Admissions CCU Ward'!$B$62:$D$79,2,FALSE)</f>
        <v>3.1291057017074606</v>
      </c>
      <c r="I9" s="136">
        <f>'New patients in hospital'!I6*VLOOKUP(I$7,'Splitting Admissions CCU Ward'!$B$62:$D$79,2,FALSE)</f>
        <v>4.5385358194093586</v>
      </c>
      <c r="J9" s="136">
        <f>'New patients in hospital'!J6*VLOOKUP(J$7,'Splitting Admissions CCU Ward'!$B$62:$D$79,2,FALSE)</f>
        <v>7.3325902839001582</v>
      </c>
      <c r="K9" s="136">
        <f>'New patients in hospital'!K6*VLOOKUP(K$7,'Splitting Admissions CCU Ward'!$B$62:$D$79,2,FALSE)</f>
        <v>9.5800919634338282</v>
      </c>
      <c r="L9" s="136">
        <f>'New patients in hospital'!L6*VLOOKUP(L$7,'Splitting Admissions CCU Ward'!$B$62:$D$79,2,FALSE)</f>
        <v>15.804803930132946</v>
      </c>
      <c r="M9" s="136">
        <f>'New patients in hospital'!M6*VLOOKUP(M$7,'Splitting Admissions CCU Ward'!$B$62:$D$79,2,FALSE)</f>
        <v>22.994878872574429</v>
      </c>
      <c r="N9" s="136">
        <f>'New patients in hospital'!N6*VLOOKUP(N$7,'Splitting Admissions CCU Ward'!$B$62:$D$79,2,FALSE)</f>
        <v>33.51828612215153</v>
      </c>
      <c r="O9" s="136">
        <f>'New patients in hospital'!O6*VLOOKUP(O$7,'Splitting Admissions CCU Ward'!$B$62:$D$79,2,FALSE)</f>
        <v>41.75973093951152</v>
      </c>
      <c r="P9" s="136">
        <f>'New patients in hospital'!P6*VLOOKUP(P$7,'Splitting Admissions CCU Ward'!$B$62:$D$79,2,FALSE)</f>
        <v>43.576787094653227</v>
      </c>
      <c r="Q9" s="136">
        <f>'New patients in hospital'!Q6*VLOOKUP(Q$7,'Splitting Admissions CCU Ward'!$B$62:$D$79,2,FALSE)</f>
        <v>51.598503199167467</v>
      </c>
      <c r="R9" s="136">
        <f>'New patients in hospital'!R6*VLOOKUP(R$7,'Splitting Admissions CCU Ward'!$B$62:$D$79,2,FALSE)</f>
        <v>40.801455027636152</v>
      </c>
      <c r="S9" s="136">
        <f>'New patients in hospital'!S6*VLOOKUP(S$7,'Splitting Admissions CCU Ward'!$B$62:$D$79,2,FALSE)</f>
        <v>37.792774239386503</v>
      </c>
      <c r="T9" s="136">
        <f>'New patients in hospital'!T6*VLOOKUP(T$7,'Splitting Admissions CCU Ward'!$B$62:$D$79,2,FALSE)</f>
        <v>18.239167129477835</v>
      </c>
    </row>
    <row r="10" spans="1:28" x14ac:dyDescent="0.25">
      <c r="A10" s="139">
        <v>44118</v>
      </c>
      <c r="B10" s="130" t="s">
        <v>233</v>
      </c>
      <c r="C10" s="137">
        <f t="shared" si="0"/>
        <v>457.49836964743753</v>
      </c>
      <c r="D10" s="136">
        <f>'New patients in hospital'!D7*VLOOKUP(D$7,'Splitting Admissions CCU Ward'!$B$62:$D$79,2,FALSE)</f>
        <v>0</v>
      </c>
      <c r="E10" s="136">
        <f>'New patients in hospital'!E7*VLOOKUP(E$7,'Splitting Admissions CCU Ward'!$B$62:$D$79,2,FALSE)</f>
        <v>0</v>
      </c>
      <c r="F10" s="136">
        <f>'New patients in hospital'!F7*VLOOKUP(F$7,'Splitting Admissions CCU Ward'!$B$62:$D$79,2,FALSE)</f>
        <v>0</v>
      </c>
      <c r="G10" s="136">
        <f>'New patients in hospital'!G7*VLOOKUP(G$7,'Splitting Admissions CCU Ward'!$B$62:$D$79,2,FALSE)</f>
        <v>2.0326486624961433</v>
      </c>
      <c r="H10" s="136">
        <f>'New patients in hospital'!H7*VLOOKUP(H$7,'Splitting Admissions CCU Ward'!$B$62:$D$79,2,FALSE)</f>
        <v>4.3100812388205307</v>
      </c>
      <c r="I10" s="136">
        <f>'New patients in hospital'!I7*VLOOKUP(I$7,'Splitting Admissions CCU Ward'!$B$62:$D$79,2,FALSE)</f>
        <v>6.2514532750610288</v>
      </c>
      <c r="J10" s="136">
        <f>'New patients in hospital'!J7*VLOOKUP(J$7,'Splitting Admissions CCU Ward'!$B$62:$D$79,2,FALSE)</f>
        <v>10.100029474028435</v>
      </c>
      <c r="K10" s="136">
        <f>'New patients in hospital'!K7*VLOOKUP(K$7,'Splitting Admissions CCU Ward'!$B$62:$D$79,2,FALSE)</f>
        <v>13.195774951047586</v>
      </c>
      <c r="L10" s="136">
        <f>'New patients in hospital'!L7*VLOOKUP(L$7,'Splitting Admissions CCU Ward'!$B$62:$D$79,2,FALSE)</f>
        <v>21.769794758077982</v>
      </c>
      <c r="M10" s="136">
        <f>'New patients in hospital'!M7*VLOOKUP(M$7,'Splitting Admissions CCU Ward'!$B$62:$D$79,2,FALSE)</f>
        <v>31.673521275919938</v>
      </c>
      <c r="N10" s="136">
        <f>'New patients in hospital'!N7*VLOOKUP(N$7,'Splitting Admissions CCU Ward'!$B$62:$D$79,2,FALSE)</f>
        <v>46.168634090460017</v>
      </c>
      <c r="O10" s="136">
        <f>'New patients in hospital'!O7*VLOOKUP(O$7,'Splitting Admissions CCU Ward'!$B$62:$D$79,2,FALSE)</f>
        <v>57.520534625074461</v>
      </c>
      <c r="P10" s="136">
        <f>'New patients in hospital'!P7*VLOOKUP(P$7,'Splitting Admissions CCU Ward'!$B$62:$D$79,2,FALSE)</f>
        <v>60.023377414912495</v>
      </c>
      <c r="Q10" s="136">
        <f>'New patients in hospital'!Q7*VLOOKUP(Q$7,'Splitting Admissions CCU Ward'!$B$62:$D$79,2,FALSE)</f>
        <v>71.072620036005546</v>
      </c>
      <c r="R10" s="136">
        <f>'New patients in hospital'!R7*VLOOKUP(R$7,'Splitting Admissions CCU Ward'!$B$62:$D$79,2,FALSE)</f>
        <v>56.200589751644991</v>
      </c>
      <c r="S10" s="136">
        <f>'New patients in hospital'!S7*VLOOKUP(S$7,'Splitting Admissions CCU Ward'!$B$62:$D$79,2,FALSE)</f>
        <v>52.056383753120073</v>
      </c>
      <c r="T10" s="136">
        <f>'New patients in hospital'!T7*VLOOKUP(T$7,'Splitting Admissions CCU Ward'!$B$62:$D$79,2,FALSE)</f>
        <v>25.122926340768263</v>
      </c>
    </row>
    <row r="11" spans="1:28" ht="15.75" thickBot="1" x14ac:dyDescent="0.3">
      <c r="A11" s="139">
        <v>44125</v>
      </c>
      <c r="B11" s="130" t="s">
        <v>233</v>
      </c>
      <c r="C11" s="137">
        <f t="shared" si="0"/>
        <v>595.06890455596863</v>
      </c>
      <c r="D11" s="136">
        <f>'New patients in hospital'!D8*VLOOKUP(D$7,'Splitting Admissions CCU Ward'!$B$62:$D$79,2,FALSE)</f>
        <v>0</v>
      </c>
      <c r="E11" s="136">
        <f>'New patients in hospital'!E8*VLOOKUP(E$7,'Splitting Admissions CCU Ward'!$B$62:$D$79,2,FALSE)</f>
        <v>0</v>
      </c>
      <c r="F11" s="136">
        <f>'New patients in hospital'!F8*VLOOKUP(F$7,'Splitting Admissions CCU Ward'!$B$62:$D$79,2,FALSE)</f>
        <v>0</v>
      </c>
      <c r="G11" s="136">
        <f>'New patients in hospital'!G8*VLOOKUP(G$7,'Splitting Admissions CCU Ward'!$B$62:$D$79,2,FALSE)</f>
        <v>2.6438695592967121</v>
      </c>
      <c r="H11" s="136">
        <f>'New patients in hospital'!H8*VLOOKUP(H$7,'Splitting Admissions CCU Ward'!$B$62:$D$79,2,FALSE)</f>
        <v>5.6061299700557985</v>
      </c>
      <c r="I11" s="136">
        <f>'New patients in hospital'!I8*VLOOKUP(I$7,'Splitting Admissions CCU Ward'!$B$62:$D$79,2,FALSE)</f>
        <v>8.1312758669286005</v>
      </c>
      <c r="J11" s="136">
        <f>'New patients in hospital'!J8*VLOOKUP(J$7,'Splitting Admissions CCU Ward'!$B$62:$D$79,2,FALSE)</f>
        <v>13.137125449703253</v>
      </c>
      <c r="K11" s="136">
        <f>'New patients in hospital'!K8*VLOOKUP(K$7,'Splitting Admissions CCU Ward'!$B$62:$D$79,2,FALSE)</f>
        <v>17.16376683689229</v>
      </c>
      <c r="L11" s="136">
        <f>'New patients in hospital'!L8*VLOOKUP(L$7,'Splitting Admissions CCU Ward'!$B$62:$D$79,2,FALSE)</f>
        <v>28.316008927159452</v>
      </c>
      <c r="M11" s="136">
        <f>'New patients in hospital'!M8*VLOOKUP(M$7,'Splitting Admissions CCU Ward'!$B$62:$D$79,2,FALSE)</f>
        <v>41.197802789147964</v>
      </c>
      <c r="N11" s="136">
        <f>'New patients in hospital'!N8*VLOOKUP(N$7,'Splitting Admissions CCU Ward'!$B$62:$D$79,2,FALSE)</f>
        <v>60.051620586598688</v>
      </c>
      <c r="O11" s="136">
        <f>'New patients in hospital'!O8*VLOOKUP(O$7,'Splitting Admissions CCU Ward'!$B$62:$D$79,2,FALSE)</f>
        <v>74.817056845895237</v>
      </c>
      <c r="P11" s="136">
        <f>'New patients in hospital'!P8*VLOOKUP(P$7,'Splitting Admissions CCU Ward'!$B$62:$D$79,2,FALSE)</f>
        <v>78.072508703291973</v>
      </c>
      <c r="Q11" s="136">
        <f>'New patients in hospital'!Q8*VLOOKUP(Q$7,'Splitting Admissions CCU Ward'!$B$62:$D$79,2,FALSE)</f>
        <v>92.444277301667313</v>
      </c>
      <c r="R11" s="136">
        <f>'New patients in hospital'!R8*VLOOKUP(R$7,'Splitting Admissions CCU Ward'!$B$62:$D$79,2,FALSE)</f>
        <v>73.100202312596593</v>
      </c>
      <c r="S11" s="136">
        <f>'New patients in hospital'!S8*VLOOKUP(S$7,'Splitting Admissions CCU Ward'!$B$62:$D$79,2,FALSE)</f>
        <v>67.709826548641544</v>
      </c>
      <c r="T11" s="136">
        <f>'New patients in hospital'!T8*VLOOKUP(T$7,'Splitting Admissions CCU Ward'!$B$62:$D$79,2,FALSE)</f>
        <v>32.67743285809324</v>
      </c>
    </row>
    <row r="12" spans="1:28" ht="14.45" customHeight="1" thickTop="1" x14ac:dyDescent="0.25">
      <c r="A12" s="139">
        <v>44132</v>
      </c>
      <c r="B12" s="130" t="s">
        <v>233</v>
      </c>
      <c r="C12" s="137">
        <f t="shared" si="0"/>
        <v>762.86267593273715</v>
      </c>
      <c r="D12" s="136">
        <f>'New patients in hospital'!D9*VLOOKUP(D$7,'Splitting Admissions CCU Ward'!$B$62:$D$79,2,FALSE)</f>
        <v>0</v>
      </c>
      <c r="E12" s="136">
        <f>'New patients in hospital'!E9*VLOOKUP(E$7,'Splitting Admissions CCU Ward'!$B$62:$D$79,2,FALSE)</f>
        <v>0</v>
      </c>
      <c r="F12" s="136">
        <f>'New patients in hospital'!F9*VLOOKUP(F$7,'Splitting Admissions CCU Ward'!$B$62:$D$79,2,FALSE)</f>
        <v>0</v>
      </c>
      <c r="G12" s="136">
        <f>'New patients in hospital'!G9*VLOOKUP(G$7,'Splitting Admissions CCU Ward'!$B$62:$D$79,2,FALSE)</f>
        <v>3.3893711995036666</v>
      </c>
      <c r="H12" s="136">
        <f>'New patients in hospital'!H9*VLOOKUP(H$7,'Splitting Admissions CCU Ward'!$B$62:$D$79,2,FALSE)</f>
        <v>7.1869110918754808</v>
      </c>
      <c r="I12" s="136">
        <f>'New patients in hospital'!I9*VLOOKUP(I$7,'Splitting Admissions CCU Ward'!$B$62:$D$79,2,FALSE)</f>
        <v>10.424081680458601</v>
      </c>
      <c r="J12" s="136">
        <f>'New patients in hospital'!J9*VLOOKUP(J$7,'Splitting Admissions CCU Ward'!$B$62:$D$79,2,FALSE)</f>
        <v>16.841449112691947</v>
      </c>
      <c r="K12" s="136">
        <f>'New patients in hospital'!K9*VLOOKUP(K$7,'Splitting Admissions CCU Ward'!$B$62:$D$79,2,FALSE)</f>
        <v>22.003497406821261</v>
      </c>
      <c r="L12" s="136">
        <f>'New patients in hospital'!L9*VLOOKUP(L$7,'Splitting Admissions CCU Ward'!$B$62:$D$79,2,FALSE)</f>
        <v>36.300378286488751</v>
      </c>
      <c r="M12" s="136">
        <f>'New patients in hospital'!M9*VLOOKUP(M$7,'Splitting Admissions CCU Ward'!$B$62:$D$79,2,FALSE)</f>
        <v>52.814499022982709</v>
      </c>
      <c r="N12" s="136">
        <f>'New patients in hospital'!N9*VLOOKUP(N$7,'Splitting Admissions CCU Ward'!$B$62:$D$79,2,FALSE)</f>
        <v>76.984597286214608</v>
      </c>
      <c r="O12" s="136">
        <f>'New patients in hospital'!O9*VLOOKUP(O$7,'Splitting Admissions CCU Ward'!$B$62:$D$79,2,FALSE)</f>
        <v>95.913498006520697</v>
      </c>
      <c r="P12" s="136">
        <f>'New patients in hospital'!P9*VLOOKUP(P$7,'Splitting Admissions CCU Ward'!$B$62:$D$79,2,FALSE)</f>
        <v>100.08690161791758</v>
      </c>
      <c r="Q12" s="136">
        <f>'New patients in hospital'!Q9*VLOOKUP(Q$7,'Splitting Admissions CCU Ward'!$B$62:$D$79,2,FALSE)</f>
        <v>118.51113075659798</v>
      </c>
      <c r="R12" s="136">
        <f>'New patients in hospital'!R9*VLOOKUP(R$7,'Splitting Admissions CCU Ward'!$B$62:$D$79,2,FALSE)</f>
        <v>93.712535675214298</v>
      </c>
      <c r="S12" s="136">
        <f>'New patients in hospital'!S9*VLOOKUP(S$7,'Splitting Admissions CCU Ward'!$B$62:$D$79,2,FALSE)</f>
        <v>86.802215797817709</v>
      </c>
      <c r="T12" s="136">
        <f>'New patients in hospital'!T9*VLOOKUP(T$7,'Splitting Admissions CCU Ward'!$B$62:$D$79,2,FALSE)</f>
        <v>41.891608991631898</v>
      </c>
      <c r="V12" s="519" t="s">
        <v>295</v>
      </c>
      <c r="W12" s="520"/>
      <c r="X12" s="520"/>
      <c r="Y12" s="521"/>
    </row>
    <row r="13" spans="1:28" x14ac:dyDescent="0.25">
      <c r="A13" s="139">
        <v>44139</v>
      </c>
      <c r="B13" s="130" t="s">
        <v>233</v>
      </c>
      <c r="C13" s="137">
        <f t="shared" si="0"/>
        <v>834.66243717981922</v>
      </c>
      <c r="D13" s="136">
        <f>'New patients in hospital'!D10*VLOOKUP(D$7,'Splitting Admissions CCU Ward'!$B$62:$D$79,2,FALSE)</f>
        <v>0</v>
      </c>
      <c r="E13" s="136">
        <f>'New patients in hospital'!E10*VLOOKUP(E$7,'Splitting Admissions CCU Ward'!$B$62:$D$79,2,FALSE)</f>
        <v>0</v>
      </c>
      <c r="F13" s="136">
        <f>'New patients in hospital'!F10*VLOOKUP(F$7,'Splitting Admissions CCU Ward'!$B$62:$D$79,2,FALSE)</f>
        <v>0</v>
      </c>
      <c r="G13" s="136">
        <f>'New patients in hospital'!G10*VLOOKUP(G$7,'Splitting Admissions CCU Ward'!$B$62:$D$79,2,FALSE)</f>
        <v>3.7083749344872303</v>
      </c>
      <c r="H13" s="136">
        <f>'New patients in hospital'!H10*VLOOKUP(H$7,'Splitting Admissions CCU Ward'!$B$62:$D$79,2,FALSE)</f>
        <v>7.8633349316835286</v>
      </c>
      <c r="I13" s="136">
        <f>'New patients in hospital'!I10*VLOOKUP(I$7,'Splitting Admissions CCU Ward'!$B$62:$D$79,2,FALSE)</f>
        <v>11.405184308086696</v>
      </c>
      <c r="J13" s="136">
        <f>'New patients in hospital'!J10*VLOOKUP(J$7,'Splitting Admissions CCU Ward'!$B$62:$D$79,2,FALSE)</f>
        <v>18.426547012346933</v>
      </c>
      <c r="K13" s="136">
        <f>'New patients in hospital'!K10*VLOOKUP(K$7,'Splitting Admissions CCU Ward'!$B$62:$D$79,2,FALSE)</f>
        <v>24.074441379114713</v>
      </c>
      <c r="L13" s="136">
        <f>'New patients in hospital'!L10*VLOOKUP(L$7,'Splitting Admissions CCU Ward'!$B$62:$D$79,2,FALSE)</f>
        <v>39.716928310989438</v>
      </c>
      <c r="M13" s="136">
        <f>'New patients in hospital'!M10*VLOOKUP(M$7,'Splitting Admissions CCU Ward'!$B$62:$D$79,2,FALSE)</f>
        <v>57.785339175304905</v>
      </c>
      <c r="N13" s="136">
        <f>'New patients in hospital'!N10*VLOOKUP(N$7,'Splitting Admissions CCU Ward'!$B$62:$D$79,2,FALSE)</f>
        <v>84.230299401729212</v>
      </c>
      <c r="O13" s="136">
        <f>'New patients in hospital'!O10*VLOOKUP(O$7,'Splitting Admissions CCU Ward'!$B$62:$D$79,2,FALSE)</f>
        <v>104.94076657595305</v>
      </c>
      <c r="P13" s="136">
        <f>'New patients in hospital'!P10*VLOOKUP(P$7,'Splitting Admissions CCU Ward'!$B$62:$D$79,2,FALSE)</f>
        <v>109.50696615488057</v>
      </c>
      <c r="Q13" s="136">
        <f>'New patients in hospital'!Q10*VLOOKUP(Q$7,'Splitting Admissions CCU Ward'!$B$62:$D$79,2,FALSE)</f>
        <v>129.665262636286</v>
      </c>
      <c r="R13" s="136">
        <f>'New patients in hospital'!R10*VLOOKUP(R$7,'Splitting Admissions CCU Ward'!$B$62:$D$79,2,FALSE)</f>
        <v>102.53265219108944</v>
      </c>
      <c r="S13" s="136">
        <f>'New patients in hospital'!S10*VLOOKUP(S$7,'Splitting Admissions CCU Ward'!$B$62:$D$79,2,FALSE)</f>
        <v>94.971940922173545</v>
      </c>
      <c r="T13" s="136">
        <f>'New patients in hospital'!T10*VLOOKUP(T$7,'Splitting Admissions CCU Ward'!$B$62:$D$79,2,FALSE)</f>
        <v>45.834399245693938</v>
      </c>
      <c r="V13" s="522"/>
      <c r="W13" s="514"/>
      <c r="X13" s="514"/>
      <c r="Y13" s="523"/>
    </row>
    <row r="14" spans="1:28" x14ac:dyDescent="0.25">
      <c r="A14" s="139">
        <v>44146</v>
      </c>
      <c r="B14" s="130" t="s">
        <v>233</v>
      </c>
      <c r="C14" s="137">
        <f t="shared" si="0"/>
        <v>925.48874366467749</v>
      </c>
      <c r="D14" s="136">
        <f>'New patients in hospital'!D11*VLOOKUP(D$7,'Splitting Admissions CCU Ward'!$B$62:$D$79,2,FALSE)</f>
        <v>0</v>
      </c>
      <c r="E14" s="136">
        <f>'New patients in hospital'!E11*VLOOKUP(E$7,'Splitting Admissions CCU Ward'!$B$62:$D$79,2,FALSE)</f>
        <v>0</v>
      </c>
      <c r="F14" s="136">
        <f>'New patients in hospital'!F11*VLOOKUP(F$7,'Splitting Admissions CCU Ward'!$B$62:$D$79,2,FALSE)</f>
        <v>0</v>
      </c>
      <c r="G14" s="136">
        <f>'New patients in hospital'!G11*VLOOKUP(G$7,'Splitting Admissions CCU Ward'!$B$62:$D$79,2,FALSE)</f>
        <v>4.1119129198535704</v>
      </c>
      <c r="H14" s="136">
        <f>'New patients in hospital'!H11*VLOOKUP(H$7,'Splitting Admissions CCU Ward'!$B$62:$D$79,2,FALSE)</f>
        <v>8.7190074007973077</v>
      </c>
      <c r="I14" s="136">
        <f>'New patients in hospital'!I11*VLOOKUP(I$7,'Splitting Admissions CCU Ward'!$B$62:$D$79,2,FALSE)</f>
        <v>12.64627378251264</v>
      </c>
      <c r="J14" s="136">
        <f>'New patients in hospital'!J11*VLOOKUP(J$7,'Splitting Admissions CCU Ward'!$B$62:$D$79,2,FALSE)</f>
        <v>20.431687212564796</v>
      </c>
      <c r="K14" s="136">
        <f>'New patients in hospital'!K11*VLOOKUP(K$7,'Splitting Admissions CCU Ward'!$B$62:$D$79,2,FALSE)</f>
        <v>26.69417421211406</v>
      </c>
      <c r="L14" s="136">
        <f>'New patients in hospital'!L11*VLOOKUP(L$7,'Splitting Admissions CCU Ward'!$B$62:$D$79,2,FALSE)</f>
        <v>44.038845463029567</v>
      </c>
      <c r="M14" s="136">
        <f>'New patients in hospital'!M11*VLOOKUP(M$7,'Splitting Admissions CCU Ward'!$B$62:$D$79,2,FALSE)</f>
        <v>64.073424864174854</v>
      </c>
      <c r="N14" s="136">
        <f>'New patients in hospital'!N11*VLOOKUP(N$7,'Splitting Admissions CCU Ward'!$B$62:$D$79,2,FALSE)</f>
        <v>93.396073070210065</v>
      </c>
      <c r="O14" s="136">
        <f>'New patients in hospital'!O11*VLOOKUP(O$7,'Splitting Admissions CCU Ward'!$B$62:$D$79,2,FALSE)</f>
        <v>116.36021209453708</v>
      </c>
      <c r="P14" s="136">
        <f>'New patients in hospital'!P11*VLOOKUP(P$7,'Splitting Admissions CCU Ward'!$B$62:$D$79,2,FALSE)</f>
        <v>121.42329643064619</v>
      </c>
      <c r="Q14" s="136">
        <f>'New patients in hospital'!Q11*VLOOKUP(Q$7,'Splitting Admissions CCU Ward'!$B$62:$D$79,2,FALSE)</f>
        <v>143.77517864548784</v>
      </c>
      <c r="R14" s="136">
        <f>'New patients in hospital'!R11*VLOOKUP(R$7,'Splitting Admissions CCU Ward'!$B$62:$D$79,2,FALSE)</f>
        <v>113.69005149143314</v>
      </c>
      <c r="S14" s="136">
        <f>'New patients in hospital'!S11*VLOOKUP(S$7,'Splitting Admissions CCU Ward'!$B$62:$D$79,2,FALSE)</f>
        <v>105.30659865854513</v>
      </c>
      <c r="T14" s="136">
        <f>'New patients in hospital'!T11*VLOOKUP(T$7,'Splitting Admissions CCU Ward'!$B$62:$D$79,2,FALSE)</f>
        <v>50.822007418771328</v>
      </c>
      <c r="V14" s="522"/>
      <c r="W14" s="514"/>
      <c r="X14" s="514"/>
      <c r="Y14" s="523"/>
    </row>
    <row r="15" spans="1:28" x14ac:dyDescent="0.25">
      <c r="A15" s="139">
        <v>44153</v>
      </c>
      <c r="B15" s="130" t="s">
        <v>233</v>
      </c>
      <c r="C15" s="137">
        <f t="shared" si="0"/>
        <v>948.11702174581899</v>
      </c>
      <c r="D15" s="136">
        <f>'New patients in hospital'!D12*VLOOKUP(D$7,'Splitting Admissions CCU Ward'!$B$62:$D$79,2,FALSE)</f>
        <v>0</v>
      </c>
      <c r="E15" s="136">
        <f>'New patients in hospital'!E12*VLOOKUP(E$7,'Splitting Admissions CCU Ward'!$B$62:$D$79,2,FALSE)</f>
        <v>0</v>
      </c>
      <c r="F15" s="136">
        <f>'New patients in hospital'!F12*VLOOKUP(F$7,'Splitting Admissions CCU Ward'!$B$62:$D$79,2,FALSE)</f>
        <v>0</v>
      </c>
      <c r="G15" s="136">
        <f>'New patients in hospital'!G12*VLOOKUP(G$7,'Splitting Admissions CCU Ward'!$B$62:$D$79,2,FALSE)</f>
        <v>4.2124495386215646</v>
      </c>
      <c r="H15" s="136">
        <f>'New patients in hospital'!H12*VLOOKUP(H$7,'Splitting Admissions CCU Ward'!$B$62:$D$79,2,FALSE)</f>
        <v>8.9321878693954826</v>
      </c>
      <c r="I15" s="136">
        <f>'New patients in hospital'!I12*VLOOKUP(I$7,'Splitting Admissions CCU Ward'!$B$62:$D$79,2,FALSE)</f>
        <v>12.955476246399796</v>
      </c>
      <c r="J15" s="136">
        <f>'New patients in hospital'!J12*VLOOKUP(J$7,'Splitting Admissions CCU Ward'!$B$62:$D$79,2,FALSE)</f>
        <v>20.931243693481143</v>
      </c>
      <c r="K15" s="136">
        <f>'New patients in hospital'!K12*VLOOKUP(K$7,'Splitting Admissions CCU Ward'!$B$62:$D$79,2,FALSE)</f>
        <v>27.346849029990622</v>
      </c>
      <c r="L15" s="136">
        <f>'New patients in hospital'!L12*VLOOKUP(L$7,'Splitting Admissions CCU Ward'!$B$62:$D$79,2,FALSE)</f>
        <v>45.115598960391289</v>
      </c>
      <c r="M15" s="136">
        <f>'New patients in hospital'!M12*VLOOKUP(M$7,'Splitting Admissions CCU Ward'!$B$62:$D$79,2,FALSE)</f>
        <v>65.640025522867461</v>
      </c>
      <c r="N15" s="136">
        <f>'New patients in hospital'!N12*VLOOKUP(N$7,'Splitting Admissions CCU Ward'!$B$62:$D$79,2,FALSE)</f>
        <v>95.67961495830572</v>
      </c>
      <c r="O15" s="136">
        <f>'New patients in hospital'!O12*VLOOKUP(O$7,'Splitting Admissions CCU Ward'!$B$62:$D$79,2,FALSE)</f>
        <v>119.20522912459808</v>
      </c>
      <c r="P15" s="136">
        <f>'New patients in hospital'!P12*VLOOKUP(P$7,'Splitting Admissions CCU Ward'!$B$62:$D$79,2,FALSE)</f>
        <v>124.39210630107401</v>
      </c>
      <c r="Q15" s="136">
        <f>'New patients in hospital'!Q12*VLOOKUP(Q$7,'Splitting Admissions CCU Ward'!$B$62:$D$79,2,FALSE)</f>
        <v>147.29049392709075</v>
      </c>
      <c r="R15" s="136">
        <f>'New patients in hospital'!R12*VLOOKUP(R$7,'Splitting Admissions CCU Ward'!$B$62:$D$79,2,FALSE)</f>
        <v>116.46978286884635</v>
      </c>
      <c r="S15" s="136">
        <f>'New patients in hospital'!S12*VLOOKUP(S$7,'Splitting Admissions CCU Ward'!$B$62:$D$79,2,FALSE)</f>
        <v>107.88135390493427</v>
      </c>
      <c r="T15" s="136">
        <f>'New patients in hospital'!T12*VLOOKUP(T$7,'Splitting Admissions CCU Ward'!$B$62:$D$79,2,FALSE)</f>
        <v>52.064609799822506</v>
      </c>
      <c r="V15" s="522"/>
      <c r="W15" s="514"/>
      <c r="X15" s="514"/>
      <c r="Y15" s="523"/>
    </row>
    <row r="16" spans="1:28" x14ac:dyDescent="0.25">
      <c r="A16" s="139">
        <v>44160</v>
      </c>
      <c r="B16" s="130" t="s">
        <v>233</v>
      </c>
      <c r="C16" s="137">
        <f t="shared" si="0"/>
        <v>851.34002621540094</v>
      </c>
      <c r="D16" s="136">
        <f>'New patients in hospital'!D13*VLOOKUP(D$7,'Splitting Admissions CCU Ward'!$B$62:$D$79,2,FALSE)</f>
        <v>0</v>
      </c>
      <c r="E16" s="136">
        <f>'New patients in hospital'!E13*VLOOKUP(E$7,'Splitting Admissions CCU Ward'!$B$62:$D$79,2,FALSE)</f>
        <v>0</v>
      </c>
      <c r="F16" s="136">
        <f>'New patients in hospital'!F13*VLOOKUP(F$7,'Splitting Admissions CCU Ward'!$B$62:$D$79,2,FALSE)</f>
        <v>0</v>
      </c>
      <c r="G16" s="136">
        <f>'New patients in hospital'!G13*VLOOKUP(G$7,'Splitting Admissions CCU Ward'!$B$62:$D$79,2,FALSE)</f>
        <v>3.7824728576622566</v>
      </c>
      <c r="H16" s="136">
        <f>'New patients in hospital'!H13*VLOOKUP(H$7,'Splitting Admissions CCU Ward'!$B$62:$D$79,2,FALSE)</f>
        <v>8.0204541005811461</v>
      </c>
      <c r="I16" s="136">
        <f>'New patients in hospital'!I13*VLOOKUP(I$7,'Splitting Admissions CCU Ward'!$B$62:$D$79,2,FALSE)</f>
        <v>11.633074013304562</v>
      </c>
      <c r="J16" s="136">
        <f>'New patients in hospital'!J13*VLOOKUP(J$7,'Splitting Admissions CCU Ward'!$B$62:$D$79,2,FALSE)</f>
        <v>18.794732238766247</v>
      </c>
      <c r="K16" s="136">
        <f>'New patients in hospital'!K13*VLOOKUP(K$7,'Splitting Admissions CCU Ward'!$B$62:$D$79,2,FALSE)</f>
        <v>24.555478528622352</v>
      </c>
      <c r="L16" s="136">
        <f>'New patients in hospital'!L13*VLOOKUP(L$7,'Splitting Admissions CCU Ward'!$B$62:$D$79,2,FALSE)</f>
        <v>40.51052171907957</v>
      </c>
      <c r="M16" s="136">
        <f>'New patients in hospital'!M13*VLOOKUP(M$7,'Splitting Admissions CCU Ward'!$B$62:$D$79,2,FALSE)</f>
        <v>58.939961806106027</v>
      </c>
      <c r="N16" s="136">
        <f>'New patients in hospital'!N13*VLOOKUP(N$7,'Splitting Admissions CCU Ward'!$B$62:$D$79,2,FALSE)</f>
        <v>85.913325083958881</v>
      </c>
      <c r="O16" s="136">
        <f>'New patients in hospital'!O13*VLOOKUP(O$7,'Splitting Admissions CCU Ward'!$B$62:$D$79,2,FALSE)</f>
        <v>107.03761303755512</v>
      </c>
      <c r="P16" s="136">
        <f>'New patients in hospital'!P13*VLOOKUP(P$7,'Splitting Admissions CCU Ward'!$B$62:$D$79,2,FALSE)</f>
        <v>111.69505093827547</v>
      </c>
      <c r="Q16" s="136">
        <f>'New patients in hospital'!Q13*VLOOKUP(Q$7,'Splitting Admissions CCU Ward'!$B$62:$D$79,2,FALSE)</f>
        <v>132.25613514487219</v>
      </c>
      <c r="R16" s="136">
        <f>'New patients in hospital'!R13*VLOOKUP(R$7,'Splitting Admissions CCU Ward'!$B$62:$D$79,2,FALSE)</f>
        <v>104.58138154537667</v>
      </c>
      <c r="S16" s="136">
        <f>'New patients in hospital'!S13*VLOOKUP(S$7,'Splitting Admissions CCU Ward'!$B$62:$D$79,2,FALSE)</f>
        <v>96.86959790307624</v>
      </c>
      <c r="T16" s="136">
        <f>'New patients in hospital'!T13*VLOOKUP(T$7,'Splitting Admissions CCU Ward'!$B$62:$D$79,2,FALSE)</f>
        <v>46.750227298164184</v>
      </c>
      <c r="V16" s="522"/>
      <c r="W16" s="514"/>
      <c r="X16" s="514"/>
      <c r="Y16" s="523"/>
    </row>
    <row r="17" spans="1:25" x14ac:dyDescent="0.25">
      <c r="A17" s="139">
        <v>44167</v>
      </c>
      <c r="B17" s="130" t="s">
        <v>233</v>
      </c>
      <c r="C17" s="137">
        <f t="shared" si="0"/>
        <v>758.32136060849439</v>
      </c>
      <c r="D17" s="136">
        <f>'New patients in hospital'!D14*VLOOKUP(D$7,'Splitting Admissions CCU Ward'!$B$62:$D$79,2,FALSE)</f>
        <v>0</v>
      </c>
      <c r="E17" s="136">
        <f>'New patients in hospital'!E14*VLOOKUP(E$7,'Splitting Admissions CCU Ward'!$B$62:$D$79,2,FALSE)</f>
        <v>0</v>
      </c>
      <c r="F17" s="136">
        <f>'New patients in hospital'!F14*VLOOKUP(F$7,'Splitting Admissions CCU Ward'!$B$62:$D$79,2,FALSE)</f>
        <v>0</v>
      </c>
      <c r="G17" s="136">
        <f>'New patients in hospital'!G14*VLOOKUP(G$7,'Splitting Admissions CCU Ward'!$B$62:$D$79,2,FALSE)</f>
        <v>3.3691943002353497</v>
      </c>
      <c r="H17" s="136">
        <f>'New patients in hospital'!H14*VLOOKUP(H$7,'Splitting Admissions CCU Ward'!$B$62:$D$79,2,FALSE)</f>
        <v>7.1441274684197911</v>
      </c>
      <c r="I17" s="136">
        <f>'New patients in hospital'!I14*VLOOKUP(I$7,'Splitting Admissions CCU Ward'!$B$62:$D$79,2,FALSE)</f>
        <v>10.362027206737302</v>
      </c>
      <c r="J17" s="136">
        <f>'New patients in hospital'!J14*VLOOKUP(J$7,'Splitting Admissions CCU Ward'!$B$62:$D$79,2,FALSE)</f>
        <v>16.741192102681055</v>
      </c>
      <c r="K17" s="136">
        <f>'New patients in hospital'!K14*VLOOKUP(K$7,'Splitting Admissions CCU Ward'!$B$62:$D$79,2,FALSE)</f>
        <v>21.872510765171292</v>
      </c>
      <c r="L17" s="136">
        <f>'New patients in hospital'!L14*VLOOKUP(L$7,'Splitting Admissions CCU Ward'!$B$62:$D$79,2,FALSE)</f>
        <v>36.084282428886752</v>
      </c>
      <c r="M17" s="136">
        <f>'New patients in hospital'!M14*VLOOKUP(M$7,'Splitting Admissions CCU Ward'!$B$62:$D$79,2,FALSE)</f>
        <v>52.500094738539211</v>
      </c>
      <c r="N17" s="136">
        <f>'New patients in hospital'!N14*VLOOKUP(N$7,'Splitting Admissions CCU Ward'!$B$62:$D$79,2,FALSE)</f>
        <v>76.526308602790564</v>
      </c>
      <c r="O17" s="136">
        <f>'New patients in hospital'!O14*VLOOKUP(O$7,'Splitting Admissions CCU Ward'!$B$62:$D$79,2,FALSE)</f>
        <v>95.34252573059149</v>
      </c>
      <c r="P17" s="136">
        <f>'New patients in hospital'!P14*VLOOKUP(P$7,'Splitting Admissions CCU Ward'!$B$62:$D$79,2,FALSE)</f>
        <v>99.491085104129311</v>
      </c>
      <c r="Q17" s="136">
        <f>'New patients in hospital'!Q14*VLOOKUP(Q$7,'Splitting Admissions CCU Ward'!$B$62:$D$79,2,FALSE)</f>
        <v>117.80563495613789</v>
      </c>
      <c r="R17" s="136">
        <f>'New patients in hospital'!R14*VLOOKUP(R$7,'Splitting Admissions CCU Ward'!$B$62:$D$79,2,FALSE)</f>
        <v>93.154665710197108</v>
      </c>
      <c r="S17" s="136">
        <f>'New patients in hospital'!S14*VLOOKUP(S$7,'Splitting Admissions CCU Ward'!$B$62:$D$79,2,FALSE)</f>
        <v>86.285482910999121</v>
      </c>
      <c r="T17" s="136">
        <f>'New patients in hospital'!T14*VLOOKUP(T$7,'Splitting Admissions CCU Ward'!$B$62:$D$79,2,FALSE)</f>
        <v>41.642228582978035</v>
      </c>
      <c r="V17" s="522"/>
      <c r="W17" s="514"/>
      <c r="X17" s="514"/>
      <c r="Y17" s="523"/>
    </row>
    <row r="18" spans="1:25" x14ac:dyDescent="0.25">
      <c r="A18" s="139">
        <v>44174</v>
      </c>
      <c r="B18" s="130" t="s">
        <v>233</v>
      </c>
      <c r="C18" s="137">
        <f t="shared" si="0"/>
        <v>859.79626854330161</v>
      </c>
      <c r="D18" s="136">
        <f>'New patients in hospital'!D15*VLOOKUP(D$7,'Splitting Admissions CCU Ward'!$B$62:$D$79,2,FALSE)</f>
        <v>0</v>
      </c>
      <c r="E18" s="136">
        <f>'New patients in hospital'!E15*VLOOKUP(E$7,'Splitting Admissions CCU Ward'!$B$62:$D$79,2,FALSE)</f>
        <v>0</v>
      </c>
      <c r="F18" s="136">
        <f>'New patients in hospital'!F15*VLOOKUP(F$7,'Splitting Admissions CCU Ward'!$B$62:$D$79,2,FALSE)</f>
        <v>0</v>
      </c>
      <c r="G18" s="136">
        <f>'New patients in hospital'!G15*VLOOKUP(G$7,'Splitting Admissions CCU Ward'!$B$62:$D$79,2,FALSE)</f>
        <v>3.820043635610157</v>
      </c>
      <c r="H18" s="136">
        <f>'New patients in hospital'!H15*VLOOKUP(H$7,'Splitting Admissions CCU Ward'!$B$62:$D$79,2,FALSE)</f>
        <v>8.100120158050359</v>
      </c>
      <c r="I18" s="136">
        <f>'New patients in hospital'!I15*VLOOKUP(I$7,'Splitting Admissions CCU Ward'!$B$62:$D$79,2,FALSE)</f>
        <v>11.748623722992496</v>
      </c>
      <c r="J18" s="136">
        <f>'New patients in hospital'!J15*VLOOKUP(J$7,'Splitting Admissions CCU Ward'!$B$62:$D$79,2,FALSE)</f>
        <v>18.981417705683082</v>
      </c>
      <c r="K18" s="136">
        <f>'New patients in hospital'!K15*VLOOKUP(K$7,'Splitting Admissions CCU Ward'!$B$62:$D$79,2,FALSE)</f>
        <v>24.799384688936083</v>
      </c>
      <c r="L18" s="136">
        <f>'New patients in hospital'!L15*VLOOKUP(L$7,'Splitting Admissions CCU Ward'!$B$62:$D$79,2,FALSE)</f>
        <v>40.912907109097098</v>
      </c>
      <c r="M18" s="136">
        <f>'New patients in hospital'!M15*VLOOKUP(M$7,'Splitting Admissions CCU Ward'!$B$62:$D$79,2,FALSE)</f>
        <v>59.52540426679392</v>
      </c>
      <c r="N18" s="136">
        <f>'New patients in hospital'!N15*VLOOKUP(N$7,'Splitting Admissions CCU Ward'!$B$62:$D$79,2,FALSE)</f>
        <v>86.766690218610549</v>
      </c>
      <c r="O18" s="136">
        <f>'New patients in hospital'!O15*VLOOKUP(O$7,'Splitting Admissions CCU Ward'!$B$62:$D$79,2,FALSE)</f>
        <v>108.10080279273363</v>
      </c>
      <c r="P18" s="136">
        <f>'New patients in hospital'!P15*VLOOKUP(P$7,'Splitting Admissions CCU Ward'!$B$62:$D$79,2,FALSE)</f>
        <v>112.8045023777433</v>
      </c>
      <c r="Q18" s="136">
        <f>'New patients in hospital'!Q15*VLOOKUP(Q$7,'Splitting Admissions CCU Ward'!$B$62:$D$79,2,FALSE)</f>
        <v>133.56981698021167</v>
      </c>
      <c r="R18" s="136">
        <f>'New patients in hospital'!R15*VLOOKUP(R$7,'Splitting Admissions CCU Ward'!$B$62:$D$79,2,FALSE)</f>
        <v>105.62017389402936</v>
      </c>
      <c r="S18" s="136">
        <f>'New patients in hospital'!S15*VLOOKUP(S$7,'Splitting Admissions CCU Ward'!$B$62:$D$79,2,FALSE)</f>
        <v>97.83179017508327</v>
      </c>
      <c r="T18" s="136">
        <f>'New patients in hospital'!T15*VLOOKUP(T$7,'Splitting Admissions CCU Ward'!$B$62:$D$79,2,FALSE)</f>
        <v>47.214590817726567</v>
      </c>
      <c r="V18" s="522"/>
      <c r="W18" s="514"/>
      <c r="X18" s="514"/>
      <c r="Y18" s="523"/>
    </row>
    <row r="19" spans="1:25" x14ac:dyDescent="0.25">
      <c r="A19" s="139">
        <v>44181</v>
      </c>
      <c r="B19" s="130" t="s">
        <v>233</v>
      </c>
      <c r="C19" s="137">
        <f t="shared" si="0"/>
        <v>1016.2367516094627</v>
      </c>
      <c r="D19" s="136">
        <f>'New patients in hospital'!D16*VLOOKUP(D$7,'Splitting Admissions CCU Ward'!$B$62:$D$79,2,FALSE)</f>
        <v>0</v>
      </c>
      <c r="E19" s="136">
        <f>'New patients in hospital'!E16*VLOOKUP(E$7,'Splitting Admissions CCU Ward'!$B$62:$D$79,2,FALSE)</f>
        <v>0</v>
      </c>
      <c r="F19" s="136">
        <f>'New patients in hospital'!F16*VLOOKUP(F$7,'Splitting Admissions CCU Ward'!$B$62:$D$79,2,FALSE)</f>
        <v>0</v>
      </c>
      <c r="G19" s="136">
        <f>'New patients in hospital'!G16*VLOOKUP(G$7,'Splitting Admissions CCU Ward'!$B$62:$D$79,2,FALSE)</f>
        <v>4.5151030276463198</v>
      </c>
      <c r="H19" s="136">
        <f>'New patients in hospital'!H16*VLOOKUP(H$7,'Splitting Admissions CCU Ward'!$B$62:$D$79,2,FALSE)</f>
        <v>9.5739422212308174</v>
      </c>
      <c r="I19" s="136">
        <f>'New patients in hospital'!I16*VLOOKUP(I$7,'Splitting Admissions CCU Ward'!$B$62:$D$79,2,FALSE)</f>
        <v>13.886293352219251</v>
      </c>
      <c r="J19" s="136">
        <f>'New patients in hospital'!J16*VLOOKUP(J$7,'Splitting Admissions CCU Ward'!$B$62:$D$79,2,FALSE)</f>
        <v>22.435098843644543</v>
      </c>
      <c r="K19" s="136">
        <f>'New patients in hospital'!K16*VLOOKUP(K$7,'Splitting Admissions CCU Ward'!$B$62:$D$79,2,FALSE)</f>
        <v>29.311648654740136</v>
      </c>
      <c r="L19" s="136">
        <f>'New patients in hospital'!L16*VLOOKUP(L$7,'Splitting Admissions CCU Ward'!$B$62:$D$79,2,FALSE)</f>
        <v>48.357036824421385</v>
      </c>
      <c r="M19" s="136">
        <f>'New patients in hospital'!M16*VLOOKUP(M$7,'Splitting Admissions CCU Ward'!$B$62:$D$79,2,FALSE)</f>
        <v>70.356089789519928</v>
      </c>
      <c r="N19" s="136">
        <f>'New patients in hospital'!N16*VLOOKUP(N$7,'Splitting Admissions CCU Ward'!$B$62:$D$79,2,FALSE)</f>
        <v>102.55394520966635</v>
      </c>
      <c r="O19" s="136">
        <f>'New patients in hospital'!O16*VLOOKUP(O$7,'Splitting Admissions CCU Ward'!$B$62:$D$79,2,FALSE)</f>
        <v>127.76981326353609</v>
      </c>
      <c r="P19" s="136">
        <f>'New patients in hospital'!P16*VLOOKUP(P$7,'Splitting Admissions CCU Ward'!$B$62:$D$79,2,FALSE)</f>
        <v>133.32935400789822</v>
      </c>
      <c r="Q19" s="136">
        <f>'New patients in hospital'!Q16*VLOOKUP(Q$7,'Splitting Admissions CCU Ward'!$B$62:$D$79,2,FALSE)</f>
        <v>157.87293093399211</v>
      </c>
      <c r="R19" s="136">
        <f>'New patients in hospital'!R16*VLOOKUP(R$7,'Splitting Admissions CCU Ward'!$B$62:$D$79,2,FALSE)</f>
        <v>124.83783234410411</v>
      </c>
      <c r="S19" s="136">
        <f>'New patients in hospital'!S16*VLOOKUP(S$7,'Splitting Admissions CCU Ward'!$B$62:$D$79,2,FALSE)</f>
        <v>115.63234720721297</v>
      </c>
      <c r="T19" s="136">
        <f>'New patients in hospital'!T16*VLOOKUP(T$7,'Splitting Admissions CCU Ward'!$B$62:$D$79,2,FALSE)</f>
        <v>55.805315929630545</v>
      </c>
      <c r="V19" s="522"/>
      <c r="W19" s="514"/>
      <c r="X19" s="514"/>
      <c r="Y19" s="523"/>
    </row>
    <row r="20" spans="1:25" x14ac:dyDescent="0.25">
      <c r="A20" s="139">
        <v>44188</v>
      </c>
      <c r="B20" s="130" t="s">
        <v>233</v>
      </c>
      <c r="C20" s="137">
        <f t="shared" si="0"/>
        <v>1205.2494273460559</v>
      </c>
      <c r="D20" s="136">
        <f>'New patients in hospital'!D17*VLOOKUP(D$7,'Splitting Admissions CCU Ward'!$B$62:$D$79,2,FALSE)</f>
        <v>0</v>
      </c>
      <c r="E20" s="136">
        <f>'New patients in hospital'!E17*VLOOKUP(E$7,'Splitting Admissions CCU Ward'!$B$62:$D$79,2,FALSE)</f>
        <v>0</v>
      </c>
      <c r="F20" s="136">
        <f>'New patients in hospital'!F17*VLOOKUP(F$7,'Splitting Admissions CCU Ward'!$B$62:$D$79,2,FALSE)</f>
        <v>0</v>
      </c>
      <c r="G20" s="136">
        <f>'New patients in hospital'!G17*VLOOKUP(G$7,'Splitting Admissions CCU Ward'!$B$62:$D$79,2,FALSE)</f>
        <v>5.354879490296617</v>
      </c>
      <c r="H20" s="136">
        <f>'New patients in hospital'!H17*VLOOKUP(H$7,'Splitting Admissions CCU Ward'!$B$62:$D$79,2,FALSE)</f>
        <v>11.354626135403803</v>
      </c>
      <c r="I20" s="136">
        <f>'New patients in hospital'!I17*VLOOKUP(I$7,'Splitting Admissions CCU Ward'!$B$62:$D$79,2,FALSE)</f>
        <v>16.469043344688416</v>
      </c>
      <c r="J20" s="136">
        <f>'New patients in hospital'!J17*VLOOKUP(J$7,'Splitting Admissions CCU Ward'!$B$62:$D$79,2,FALSE)</f>
        <v>26.607864743063445</v>
      </c>
      <c r="K20" s="136">
        <f>'New patients in hospital'!K17*VLOOKUP(K$7,'Splitting Admissions CCU Ward'!$B$62:$D$79,2,FALSE)</f>
        <v>34.763403015826711</v>
      </c>
      <c r="L20" s="136">
        <f>'New patients in hospital'!L17*VLOOKUP(L$7,'Splitting Admissions CCU Ward'!$B$62:$D$79,2,FALSE)</f>
        <v>57.351095449442823</v>
      </c>
      <c r="M20" s="136">
        <f>'New patients in hospital'!M17*VLOOKUP(M$7,'Splitting Admissions CCU Ward'!$B$62:$D$79,2,FALSE)</f>
        <v>83.441812938599284</v>
      </c>
      <c r="N20" s="136">
        <f>'New patients in hospital'!N17*VLOOKUP(N$7,'Splitting Admissions CCU Ward'!$B$62:$D$79,2,FALSE)</f>
        <v>121.628236274936</v>
      </c>
      <c r="O20" s="136">
        <f>'New patients in hospital'!O17*VLOOKUP(O$7,'Splitting Admissions CCU Ward'!$B$62:$D$79,2,FALSE)</f>
        <v>151.53407316169285</v>
      </c>
      <c r="P20" s="136">
        <f>'New patients in hospital'!P17*VLOOKUP(P$7,'Splitting Admissions CCU Ward'!$B$62:$D$79,2,FALSE)</f>
        <v>158.12764821970703</v>
      </c>
      <c r="Q20" s="136">
        <f>'New patients in hospital'!Q17*VLOOKUP(Q$7,'Splitting Admissions CCU Ward'!$B$62:$D$79,2,FALSE)</f>
        <v>187.23615269796906</v>
      </c>
      <c r="R20" s="136">
        <f>'New patients in hospital'!R17*VLOOKUP(R$7,'Splitting Admissions CCU Ward'!$B$62:$D$79,2,FALSE)</f>
        <v>148.05676502602623</v>
      </c>
      <c r="S20" s="136">
        <f>'New patients in hospital'!S17*VLOOKUP(S$7,'Splitting Admissions CCU Ward'!$B$62:$D$79,2,FALSE)</f>
        <v>137.13912632411044</v>
      </c>
      <c r="T20" s="136">
        <f>'New patients in hospital'!T17*VLOOKUP(T$7,'Splitting Admissions CCU Ward'!$B$62:$D$79,2,FALSE)</f>
        <v>66.184700524293319</v>
      </c>
      <c r="V20" s="522"/>
      <c r="W20" s="514"/>
      <c r="X20" s="514"/>
      <c r="Y20" s="523"/>
    </row>
    <row r="21" spans="1:25" x14ac:dyDescent="0.25">
      <c r="A21" s="139">
        <v>44195</v>
      </c>
      <c r="B21" s="130" t="s">
        <v>233</v>
      </c>
      <c r="C21" s="137">
        <f>SUM(D21:T21)</f>
        <v>1512.8843912934772</v>
      </c>
      <c r="D21" s="136">
        <f>'New patients in hospital'!D18*VLOOKUP(D$7,'Splitting Admissions CCU Ward'!$B$62:$D$79,2,FALSE)</f>
        <v>0</v>
      </c>
      <c r="E21" s="136">
        <f>'New patients in hospital'!E18*VLOOKUP(E$7,'Splitting Admissions CCU Ward'!$B$62:$D$79,2,FALSE)</f>
        <v>0</v>
      </c>
      <c r="F21" s="136">
        <f>'New patients in hospital'!F18*VLOOKUP(F$7,'Splitting Admissions CCU Ward'!$B$62:$D$79,2,FALSE)</f>
        <v>0</v>
      </c>
      <c r="G21" s="136">
        <f>'New patients in hospital'!G18*VLOOKUP(G$7,'Splitting Admissions CCU Ward'!$B$62:$D$79,2,FALSE)</f>
        <v>6.7216904769382992</v>
      </c>
      <c r="H21" s="136">
        <f>'New patients in hospital'!H18*VLOOKUP(H$7,'Splitting Admissions CCU Ward'!$B$62:$D$79,2,FALSE)</f>
        <v>14.252847800186599</v>
      </c>
      <c r="I21" s="136">
        <f>'New patients in hospital'!I18*VLOOKUP(I$7,'Splitting Admissions CCU Ward'!$B$62:$D$79,2,FALSE)</f>
        <v>20.672698986946635</v>
      </c>
      <c r="J21" s="136">
        <f>'New patients in hospital'!J18*VLOOKUP(J$7,'Splitting Admissions CCU Ward'!$B$62:$D$79,2,FALSE)</f>
        <v>33.399412886732406</v>
      </c>
      <c r="K21" s="136">
        <f>'New patients in hospital'!K18*VLOOKUP(K$7,'Splitting Admissions CCU Ward'!$B$62:$D$79,2,FALSE)</f>
        <v>43.636618792425374</v>
      </c>
      <c r="L21" s="136">
        <f>'New patients in hospital'!L18*VLOOKUP(L$7,'Splitting Admissions CCU Ward'!$B$62:$D$79,2,FALSE)</f>
        <v>71.989726906654596</v>
      </c>
      <c r="M21" s="136">
        <f>'New patients in hospital'!M18*VLOOKUP(M$7,'Splitting Admissions CCU Ward'!$B$62:$D$79,2,FALSE)</f>
        <v>104.7399928278838</v>
      </c>
      <c r="N21" s="136">
        <f>'New patients in hospital'!N18*VLOOKUP(N$7,'Splitting Admissions CCU Ward'!$B$62:$D$79,2,FALSE)</f>
        <v>152.67334381240263</v>
      </c>
      <c r="O21" s="136">
        <f>'New patients in hospital'!O18*VLOOKUP(O$7,'Splitting Admissions CCU Ward'!$B$62:$D$79,2,FALSE)</f>
        <v>190.21252268110365</v>
      </c>
      <c r="P21" s="136">
        <f>'New patients in hospital'!P18*VLOOKUP(P$7,'Splitting Admissions CCU Ward'!$B$62:$D$79,2,FALSE)</f>
        <v>198.48908067960625</v>
      </c>
      <c r="Q21" s="136">
        <f>'New patients in hospital'!Q18*VLOOKUP(Q$7,'Splitting Admissions CCU Ward'!$B$62:$D$79,2,FALSE)</f>
        <v>235.02741131879156</v>
      </c>
      <c r="R21" s="136">
        <f>'New patients in hospital'!R18*VLOOKUP(R$7,'Splitting Admissions CCU Ward'!$B$62:$D$79,2,FALSE)</f>
        <v>185.84764593210414</v>
      </c>
      <c r="S21" s="136">
        <f>'New patients in hospital'!S18*VLOOKUP(S$7,'Splitting Admissions CCU Ward'!$B$62:$D$79,2,FALSE)</f>
        <v>172.14332481221734</v>
      </c>
      <c r="T21" s="136">
        <f>'New patients in hospital'!T18*VLOOKUP(T$7,'Splitting Admissions CCU Ward'!$B$62:$D$79,2,FALSE)</f>
        <v>83.078073379483897</v>
      </c>
      <c r="V21" s="522"/>
      <c r="W21" s="514"/>
      <c r="X21" s="514"/>
      <c r="Y21" s="523"/>
    </row>
    <row r="22" spans="1:25" x14ac:dyDescent="0.25">
      <c r="A22" s="139">
        <v>44202</v>
      </c>
      <c r="B22" s="130" t="s">
        <v>233</v>
      </c>
      <c r="C22" s="137">
        <f t="shared" si="0"/>
        <v>2021.5117076086838</v>
      </c>
      <c r="D22" s="136">
        <f>'New patients in hospital'!D19*VLOOKUP(D$7,'Splitting Admissions CCU Ward'!$B$62:$D$79,2,FALSE)</f>
        <v>0</v>
      </c>
      <c r="E22" s="136">
        <f>'New patients in hospital'!E19*VLOOKUP(E$7,'Splitting Admissions CCU Ward'!$B$62:$D$79,2,FALSE)</f>
        <v>0</v>
      </c>
      <c r="F22" s="136">
        <f>'New patients in hospital'!F19*VLOOKUP(F$7,'Splitting Admissions CCU Ward'!$B$62:$D$79,2,FALSE)</f>
        <v>0</v>
      </c>
      <c r="G22" s="136">
        <f>'New patients in hospital'!G19*VLOOKUP(G$7,'Splitting Admissions CCU Ward'!$B$62:$D$79,2,FALSE)</f>
        <v>8.9815031949898039</v>
      </c>
      <c r="H22" s="136">
        <f>'New patients in hospital'!H19*VLOOKUP(H$7,'Splitting Admissions CCU Ward'!$B$62:$D$79,2,FALSE)</f>
        <v>19.044613627223764</v>
      </c>
      <c r="I22" s="136">
        <f>'New patients in hospital'!I19*VLOOKUP(I$7,'Splitting Admissions CCU Ward'!$B$62:$D$79,2,FALSE)</f>
        <v>27.622800043731925</v>
      </c>
      <c r="J22" s="136">
        <f>'New patients in hospital'!J19*VLOOKUP(J$7,'Splitting Admissions CCU Ward'!$B$62:$D$79,2,FALSE)</f>
        <v>44.628198007952449</v>
      </c>
      <c r="K22" s="136">
        <f>'New patients in hospital'!K19*VLOOKUP(K$7,'Splitting Admissions CCU Ward'!$B$62:$D$79,2,FALSE)</f>
        <v>58.307122657221733</v>
      </c>
      <c r="L22" s="136">
        <f>'New patients in hospital'!L19*VLOOKUP(L$7,'Splitting Admissions CCU Ward'!$B$62:$D$79,2,FALSE)</f>
        <v>96.192462958079318</v>
      </c>
      <c r="M22" s="136">
        <f>'New patients in hospital'!M19*VLOOKUP(M$7,'Splitting Admissions CCU Ward'!$B$62:$D$79,2,FALSE)</f>
        <v>139.95327268555553</v>
      </c>
      <c r="N22" s="136">
        <f>'New patients in hospital'!N19*VLOOKUP(N$7,'Splitting Admissions CCU Ward'!$B$62:$D$79,2,FALSE)</f>
        <v>204.0016763558954</v>
      </c>
      <c r="O22" s="136">
        <f>'New patients in hospital'!O19*VLOOKUP(O$7,'Splitting Admissions CCU Ward'!$B$62:$D$79,2,FALSE)</f>
        <v>254.16141758517412</v>
      </c>
      <c r="P22" s="136">
        <f>'New patients in hospital'!P19*VLOOKUP(P$7,'Splitting Admissions CCU Ward'!$B$62:$D$79,2,FALSE)</f>
        <v>265.22053022389372</v>
      </c>
      <c r="Q22" s="136">
        <f>'New patients in hospital'!Q19*VLOOKUP(Q$7,'Splitting Admissions CCU Ward'!$B$62:$D$79,2,FALSE)</f>
        <v>314.04294097032198</v>
      </c>
      <c r="R22" s="136">
        <f>'New patients in hospital'!R19*VLOOKUP(R$7,'Splitting Admissions CCU Ward'!$B$62:$D$79,2,FALSE)</f>
        <v>248.32908201402881</v>
      </c>
      <c r="S22" s="136">
        <f>'New patients in hospital'!S19*VLOOKUP(S$7,'Splitting Admissions CCU Ward'!$B$62:$D$79,2,FALSE)</f>
        <v>230.01740813589834</v>
      </c>
      <c r="T22" s="136">
        <f>'New patients in hospital'!T19*VLOOKUP(T$7,'Splitting Admissions CCU Ward'!$B$62:$D$79,2,FALSE)</f>
        <v>111.00867914871728</v>
      </c>
      <c r="V22" s="522"/>
      <c r="W22" s="514"/>
      <c r="X22" s="514"/>
      <c r="Y22" s="523"/>
    </row>
    <row r="23" spans="1:25" x14ac:dyDescent="0.25">
      <c r="A23" s="139">
        <v>44209</v>
      </c>
      <c r="B23" s="130" t="s">
        <v>233</v>
      </c>
      <c r="C23" s="137">
        <f t="shared" si="0"/>
        <v>2305.6571095341592</v>
      </c>
      <c r="D23" s="136">
        <f>'New patients in hospital'!D20*VLOOKUP(D$7,'Splitting Admissions CCU Ward'!$B$62:$D$79,2,FALSE)</f>
        <v>0</v>
      </c>
      <c r="E23" s="136">
        <f>'New patients in hospital'!E20*VLOOKUP(E$7,'Splitting Admissions CCU Ward'!$B$62:$D$79,2,FALSE)</f>
        <v>0</v>
      </c>
      <c r="F23" s="136">
        <f>'New patients in hospital'!F20*VLOOKUP(F$7,'Splitting Admissions CCU Ward'!$B$62:$D$79,2,FALSE)</f>
        <v>0</v>
      </c>
      <c r="G23" s="136">
        <f>'New patients in hospital'!G20*VLOOKUP(G$7,'Splitting Admissions CCU Ward'!$B$62:$D$79,2,FALSE)</f>
        <v>10.243950909553984</v>
      </c>
      <c r="H23" s="136">
        <f>'New patients in hospital'!H20*VLOOKUP(H$7,'Splitting Admissions CCU Ward'!$B$62:$D$79,2,FALSE)</f>
        <v>21.721540687925408</v>
      </c>
      <c r="I23" s="136">
        <f>'New patients in hospital'!I20*VLOOKUP(I$7,'Splitting Admissions CCU Ward'!$B$62:$D$79,2,FALSE)</f>
        <v>31.50548427019033</v>
      </c>
      <c r="J23" s="136">
        <f>'New patients in hospital'!J20*VLOOKUP(J$7,'Splitting Admissions CCU Ward'!$B$62:$D$79,2,FALSE)</f>
        <v>50.901175410185751</v>
      </c>
      <c r="K23" s="136">
        <f>'New patients in hospital'!K20*VLOOKUP(K$7,'Splitting Admissions CCU Ward'!$B$62:$D$79,2,FALSE)</f>
        <v>66.5028213218378</v>
      </c>
      <c r="L23" s="136">
        <f>'New patients in hospital'!L20*VLOOKUP(L$7,'Splitting Admissions CCU Ward'!$B$62:$D$79,2,FALSE)</f>
        <v>109.71335722079793</v>
      </c>
      <c r="M23" s="136">
        <f>'New patients in hospital'!M20*VLOOKUP(M$7,'Splitting Admissions CCU Ward'!$B$62:$D$79,2,FALSE)</f>
        <v>159.62522351737371</v>
      </c>
      <c r="N23" s="136">
        <f>'New patients in hospital'!N20*VLOOKUP(N$7,'Splitting Admissions CCU Ward'!$B$62:$D$79,2,FALSE)</f>
        <v>232.67632518599626</v>
      </c>
      <c r="O23" s="136">
        <f>'New patients in hospital'!O20*VLOOKUP(O$7,'Splitting Admissions CCU Ward'!$B$62:$D$79,2,FALSE)</f>
        <v>289.88656222908912</v>
      </c>
      <c r="P23" s="136">
        <f>'New patients in hospital'!P20*VLOOKUP(P$7,'Splitting Admissions CCU Ward'!$B$62:$D$79,2,FALSE)</f>
        <v>302.50015312971561</v>
      </c>
      <c r="Q23" s="136">
        <f>'New patients in hospital'!Q20*VLOOKUP(Q$7,'Splitting Admissions CCU Ward'!$B$62:$D$79,2,FALSE)</f>
        <v>358.18508338186808</v>
      </c>
      <c r="R23" s="136">
        <f>'New patients in hospital'!R20*VLOOKUP(R$7,'Splitting Admissions CCU Ward'!$B$62:$D$79,2,FALSE)</f>
        <v>283.23442861829369</v>
      </c>
      <c r="S23" s="136">
        <f>'New patients in hospital'!S20*VLOOKUP(S$7,'Splitting Admissions CCU Ward'!$B$62:$D$79,2,FALSE)</f>
        <v>262.34885031287467</v>
      </c>
      <c r="T23" s="136">
        <f>'New patients in hospital'!T20*VLOOKUP(T$7,'Splitting Admissions CCU Ward'!$B$62:$D$79,2,FALSE)</f>
        <v>126.61215333845679</v>
      </c>
      <c r="V23" s="522"/>
      <c r="W23" s="514"/>
      <c r="X23" s="514"/>
      <c r="Y23" s="523"/>
    </row>
    <row r="24" spans="1:25" x14ac:dyDescent="0.25">
      <c r="A24" s="139">
        <v>44216</v>
      </c>
      <c r="B24" s="130" t="s">
        <v>233</v>
      </c>
      <c r="C24" s="137">
        <f t="shared" si="0"/>
        <v>2171.5317103888469</v>
      </c>
      <c r="D24" s="136">
        <f>'New patients in hospital'!D21*VLOOKUP(D$7,'Splitting Admissions CCU Ward'!$B$62:$D$79,2,FALSE)</f>
        <v>0</v>
      </c>
      <c r="E24" s="136">
        <f>'New patients in hospital'!E21*VLOOKUP(E$7,'Splitting Admissions CCU Ward'!$B$62:$D$79,2,FALSE)</f>
        <v>0</v>
      </c>
      <c r="F24" s="136">
        <f>'New patients in hospital'!F21*VLOOKUP(F$7,'Splitting Admissions CCU Ward'!$B$62:$D$79,2,FALSE)</f>
        <v>0</v>
      </c>
      <c r="G24" s="136">
        <f>'New patients in hospital'!G21*VLOOKUP(G$7,'Splitting Admissions CCU Ward'!$B$62:$D$79,2,FALSE)</f>
        <v>9.6480366259914501</v>
      </c>
      <c r="H24" s="136">
        <f>'New patients in hospital'!H21*VLOOKUP(H$7,'Splitting Admissions CCU Ward'!$B$62:$D$79,2,FALSE)</f>
        <v>20.457948498622041</v>
      </c>
      <c r="I24" s="136">
        <f>'New patients in hospital'!I21*VLOOKUP(I$7,'Splitting Admissions CCU Ward'!$B$62:$D$79,2,FALSE)</f>
        <v>29.6727374859734</v>
      </c>
      <c r="J24" s="136">
        <f>'New patients in hospital'!J21*VLOOKUP(J$7,'Splitting Admissions CCU Ward'!$B$62:$D$79,2,FALSE)</f>
        <v>47.940136476588165</v>
      </c>
      <c r="K24" s="136">
        <f>'New patients in hospital'!K21*VLOOKUP(K$7,'Splitting Admissions CCU Ward'!$B$62:$D$79,2,FALSE)</f>
        <v>62.634198612417208</v>
      </c>
      <c r="L24" s="136">
        <f>'New patients in hospital'!L21*VLOOKUP(L$7,'Splitting Admissions CCU Ward'!$B$62:$D$79,2,FALSE)</f>
        <v>103.33107784024214</v>
      </c>
      <c r="M24" s="136">
        <f>'New patients in hospital'!M21*VLOOKUP(M$7,'Splitting Admissions CCU Ward'!$B$62:$D$79,2,FALSE)</f>
        <v>150.33945559924072</v>
      </c>
      <c r="N24" s="136">
        <f>'New patients in hospital'!N21*VLOOKUP(N$7,'Splitting Admissions CCU Ward'!$B$62:$D$79,2,FALSE)</f>
        <v>219.14100596693788</v>
      </c>
      <c r="O24" s="136">
        <f>'New patients in hospital'!O21*VLOOKUP(O$7,'Splitting Admissions CCU Ward'!$B$62:$D$79,2,FALSE)</f>
        <v>273.0231913900077</v>
      </c>
      <c r="P24" s="136">
        <f>'New patients in hospital'!P21*VLOOKUP(P$7,'Splitting Admissions CCU Ward'!$B$62:$D$79,2,FALSE)</f>
        <v>284.90302057593414</v>
      </c>
      <c r="Q24" s="136">
        <f>'New patients in hospital'!Q21*VLOOKUP(Q$7,'Splitting Admissions CCU Ward'!$B$62:$D$79,2,FALSE)</f>
        <v>337.34862982690021</v>
      </c>
      <c r="R24" s="136">
        <f>'New patients in hospital'!R21*VLOOKUP(R$7,'Splitting Admissions CCU Ward'!$B$62:$D$79,2,FALSE)</f>
        <v>266.75802775494134</v>
      </c>
      <c r="S24" s="136">
        <f>'New patients in hospital'!S21*VLOOKUP(S$7,'Splitting Admissions CCU Ward'!$B$62:$D$79,2,FALSE)</f>
        <v>247.08741177631902</v>
      </c>
      <c r="T24" s="136">
        <f>'New patients in hospital'!T21*VLOOKUP(T$7,'Splitting Admissions CCU Ward'!$B$62:$D$79,2,FALSE)</f>
        <v>119.24683195873129</v>
      </c>
      <c r="V24" s="522"/>
      <c r="W24" s="514"/>
      <c r="X24" s="514"/>
      <c r="Y24" s="523"/>
    </row>
    <row r="25" spans="1:25" ht="15.75" thickBot="1" x14ac:dyDescent="0.3">
      <c r="A25" s="139">
        <v>44223</v>
      </c>
      <c r="B25" s="130" t="s">
        <v>233</v>
      </c>
      <c r="C25" s="137">
        <f t="shared" si="0"/>
        <v>1751.1468487360839</v>
      </c>
      <c r="D25" s="136">
        <f>'New patients in hospital'!D22*VLOOKUP(D$7,'Splitting Admissions CCU Ward'!$B$62:$D$79,2,FALSE)</f>
        <v>0</v>
      </c>
      <c r="E25" s="136">
        <f>'New patients in hospital'!E22*VLOOKUP(E$7,'Splitting Admissions CCU Ward'!$B$62:$D$79,2,FALSE)</f>
        <v>0</v>
      </c>
      <c r="F25" s="136">
        <f>'New patients in hospital'!F22*VLOOKUP(F$7,'Splitting Admissions CCU Ward'!$B$62:$D$79,2,FALSE)</f>
        <v>0</v>
      </c>
      <c r="G25" s="136">
        <f>'New patients in hospital'!G22*VLOOKUP(G$7,'Splitting Admissions CCU Ward'!$B$62:$D$79,2,FALSE)</f>
        <v>7.7802819333777595</v>
      </c>
      <c r="H25" s="136">
        <f>'New patients in hospital'!H22*VLOOKUP(H$7,'Splitting Admissions CCU Ward'!$B$62:$D$79,2,FALSE)</f>
        <v>16.497512734249732</v>
      </c>
      <c r="I25" s="136">
        <f>'New patients in hospital'!I22*VLOOKUP(I$7,'Splitting Admissions CCU Ward'!$B$62:$D$79,2,FALSE)</f>
        <v>23.928419047876073</v>
      </c>
      <c r="J25" s="136">
        <f>'New patients in hospital'!J22*VLOOKUP(J$7,'Splitting Admissions CCU Ward'!$B$62:$D$79,2,FALSE)</f>
        <v>38.659448774028064</v>
      </c>
      <c r="K25" s="136">
        <f>'New patients in hospital'!K22*VLOOKUP(K$7,'Splitting Admissions CCU Ward'!$B$62:$D$79,2,FALSE)</f>
        <v>50.508900698302114</v>
      </c>
      <c r="L25" s="136">
        <f>'New patients in hospital'!L22*VLOOKUP(L$7,'Splitting Admissions CCU Ward'!$B$62:$D$79,2,FALSE)</f>
        <v>83.327307849463295</v>
      </c>
      <c r="M25" s="136">
        <f>'New patients in hospital'!M22*VLOOKUP(M$7,'Splitting Admissions CCU Ward'!$B$62:$D$79,2,FALSE)</f>
        <v>121.23537623411765</v>
      </c>
      <c r="N25" s="136">
        <f>'New patients in hospital'!N22*VLOOKUP(N$7,'Splitting Admissions CCU Ward'!$B$62:$D$79,2,FALSE)</f>
        <v>176.71769663411575</v>
      </c>
      <c r="O25" s="136">
        <f>'New patients in hospital'!O22*VLOOKUP(O$7,'Splitting Admissions CCU Ward'!$B$62:$D$79,2,FALSE)</f>
        <v>220.16887846821672</v>
      </c>
      <c r="P25" s="136">
        <f>'New patients in hospital'!P22*VLOOKUP(P$7,'Splitting Admissions CCU Ward'!$B$62:$D$79,2,FALSE)</f>
        <v>229.74890225646382</v>
      </c>
      <c r="Q25" s="136">
        <f>'New patients in hospital'!Q22*VLOOKUP(Q$7,'Splitting Admissions CCU Ward'!$B$62:$D$79,2,FALSE)</f>
        <v>272.04161340155127</v>
      </c>
      <c r="R25" s="136">
        <f>'New patients in hospital'!R22*VLOOKUP(R$7,'Splitting Admissions CCU Ward'!$B$62:$D$79,2,FALSE)</f>
        <v>215.11658220016091</v>
      </c>
      <c r="S25" s="136">
        <f>'New patients in hospital'!S22*VLOOKUP(S$7,'Splitting Admissions CCU Ward'!$B$62:$D$79,2,FALSE)</f>
        <v>199.2539829947853</v>
      </c>
      <c r="T25" s="136">
        <f>'New patients in hospital'!T22*VLOOKUP(T$7,'Splitting Admissions CCU Ward'!$B$62:$D$79,2,FALSE)</f>
        <v>96.161945509375698</v>
      </c>
      <c r="V25" s="524"/>
      <c r="W25" s="525"/>
      <c r="X25" s="525"/>
      <c r="Y25" s="526"/>
    </row>
    <row r="26" spans="1:25" ht="15.75" thickTop="1" x14ac:dyDescent="0.25">
      <c r="A26" s="139">
        <v>44230</v>
      </c>
      <c r="B26" s="130" t="s">
        <v>233</v>
      </c>
      <c r="C26" s="137">
        <f t="shared" si="0"/>
        <v>1410.1567067174994</v>
      </c>
      <c r="D26" s="136">
        <f>'New patients in hospital'!D23*VLOOKUP(D$7,'Splitting Admissions CCU Ward'!$B$62:$D$79,2,FALSE)</f>
        <v>0</v>
      </c>
      <c r="E26" s="136">
        <f>'New patients in hospital'!E23*VLOOKUP(E$7,'Splitting Admissions CCU Ward'!$B$62:$D$79,2,FALSE)</f>
        <v>0</v>
      </c>
      <c r="F26" s="136">
        <f>'New patients in hospital'!F23*VLOOKUP(F$7,'Splitting Admissions CCU Ward'!$B$62:$D$79,2,FALSE)</f>
        <v>0</v>
      </c>
      <c r="G26" s="136">
        <f>'New patients in hospital'!G23*VLOOKUP(G$7,'Splitting Admissions CCU Ward'!$B$62:$D$79,2,FALSE)</f>
        <v>6.2652751003860248</v>
      </c>
      <c r="H26" s="136">
        <f>'New patients in hospital'!H23*VLOOKUP(H$7,'Splitting Admissions CCU Ward'!$B$62:$D$79,2,FALSE)</f>
        <v>13.285052731671703</v>
      </c>
      <c r="I26" s="136">
        <f>'New patients in hospital'!I23*VLOOKUP(I$7,'Splitting Admissions CCU Ward'!$B$62:$D$79,2,FALSE)</f>
        <v>19.268983995182118</v>
      </c>
      <c r="J26" s="136">
        <f>'New patients in hospital'!J23*VLOOKUP(J$7,'Splitting Admissions CCU Ward'!$B$62:$D$79,2,FALSE)</f>
        <v>31.131530177520471</v>
      </c>
      <c r="K26" s="136">
        <f>'New patients in hospital'!K23*VLOOKUP(K$7,'Splitting Admissions CCU Ward'!$B$62:$D$79,2,FALSE)</f>
        <v>40.67361062268818</v>
      </c>
      <c r="L26" s="136">
        <f>'New patients in hospital'!L23*VLOOKUP(L$7,'Splitting Admissions CCU Ward'!$B$62:$D$79,2,FALSE)</f>
        <v>67.101489576071288</v>
      </c>
      <c r="M26" s="136">
        <f>'New patients in hospital'!M23*VLOOKUP(M$7,'Splitting Admissions CCU Ward'!$B$62:$D$79,2,FALSE)</f>
        <v>97.627951083230897</v>
      </c>
      <c r="N26" s="136">
        <f>'New patients in hospital'!N23*VLOOKUP(N$7,'Splitting Admissions CCU Ward'!$B$62:$D$79,2,FALSE)</f>
        <v>142.30653773218978</v>
      </c>
      <c r="O26" s="136">
        <f>'New patients in hospital'!O23*VLOOKUP(O$7,'Splitting Admissions CCU Ward'!$B$62:$D$79,2,FALSE)</f>
        <v>177.29673602560172</v>
      </c>
      <c r="P26" s="136">
        <f>'New patients in hospital'!P23*VLOOKUP(P$7,'Splitting Admissions CCU Ward'!$B$62:$D$79,2,FALSE)</f>
        <v>185.01130022977478</v>
      </c>
      <c r="Q26" s="136">
        <f>'New patients in hospital'!Q23*VLOOKUP(Q$7,'Splitting Admissions CCU Ward'!$B$62:$D$79,2,FALSE)</f>
        <v>219.06860976355637</v>
      </c>
      <c r="R26" s="136">
        <f>'New patients in hospital'!R23*VLOOKUP(R$7,'Splitting Admissions CCU Ward'!$B$62:$D$79,2,FALSE)</f>
        <v>173.22824258550853</v>
      </c>
      <c r="S26" s="136">
        <f>'New patients in hospital'!S23*VLOOKUP(S$7,'Splitting Admissions CCU Ward'!$B$62:$D$79,2,FALSE)</f>
        <v>160.45447054487292</v>
      </c>
      <c r="T26" s="136">
        <f>'New patients in hospital'!T23*VLOOKUP(T$7,'Splitting Admissions CCU Ward'!$B$62:$D$79,2,FALSE)</f>
        <v>77.436916549244643</v>
      </c>
    </row>
    <row r="27" spans="1:25" x14ac:dyDescent="0.25">
      <c r="A27" s="139">
        <v>44237</v>
      </c>
      <c r="B27" s="130" t="s">
        <v>233</v>
      </c>
      <c r="C27" s="137">
        <f t="shared" si="0"/>
        <v>1128.1253653739996</v>
      </c>
      <c r="D27" s="136">
        <f>'New patients in hospital'!D24*VLOOKUP(D$7,'Splitting Admissions CCU Ward'!$B$62:$D$79,2,FALSE)</f>
        <v>0</v>
      </c>
      <c r="E27" s="136">
        <f>'New patients in hospital'!E24*VLOOKUP(E$7,'Splitting Admissions CCU Ward'!$B$62:$D$79,2,FALSE)</f>
        <v>0</v>
      </c>
      <c r="F27" s="136">
        <f>'New patients in hospital'!F24*VLOOKUP(F$7,'Splitting Admissions CCU Ward'!$B$62:$D$79,2,FALSE)</f>
        <v>0</v>
      </c>
      <c r="G27" s="136">
        <f>'New patients in hospital'!G24*VLOOKUP(G$7,'Splitting Admissions CCU Ward'!$B$62:$D$79,2,FALSE)</f>
        <v>5.0122200803088193</v>
      </c>
      <c r="H27" s="136">
        <f>'New patients in hospital'!H24*VLOOKUP(H$7,'Splitting Admissions CCU Ward'!$B$62:$D$79,2,FALSE)</f>
        <v>10.628042185337362</v>
      </c>
      <c r="I27" s="136">
        <f>'New patients in hospital'!I24*VLOOKUP(I$7,'Splitting Admissions CCU Ward'!$B$62:$D$79,2,FALSE)</f>
        <v>15.415187196145697</v>
      </c>
      <c r="J27" s="136">
        <f>'New patients in hospital'!J24*VLOOKUP(J$7,'Splitting Admissions CCU Ward'!$B$62:$D$79,2,FALSE)</f>
        <v>24.90522414201638</v>
      </c>
      <c r="K27" s="136">
        <f>'New patients in hospital'!K24*VLOOKUP(K$7,'Splitting Admissions CCU Ward'!$B$62:$D$79,2,FALSE)</f>
        <v>32.538888498150541</v>
      </c>
      <c r="L27" s="136">
        <f>'New patients in hospital'!L24*VLOOKUP(L$7,'Splitting Admissions CCU Ward'!$B$62:$D$79,2,FALSE)</f>
        <v>53.681191660857024</v>
      </c>
      <c r="M27" s="136">
        <f>'New patients in hospital'!M24*VLOOKUP(M$7,'Splitting Admissions CCU Ward'!$B$62:$D$79,2,FALSE)</f>
        <v>78.102360866584718</v>
      </c>
      <c r="N27" s="136">
        <f>'New patients in hospital'!N24*VLOOKUP(N$7,'Splitting Admissions CCU Ward'!$B$62:$D$79,2,FALSE)</f>
        <v>113.84523018575183</v>
      </c>
      <c r="O27" s="136">
        <f>'New patients in hospital'!O24*VLOOKUP(O$7,'Splitting Admissions CCU Ward'!$B$62:$D$79,2,FALSE)</f>
        <v>141.83738882048138</v>
      </c>
      <c r="P27" s="136">
        <f>'New patients in hospital'!P24*VLOOKUP(P$7,'Splitting Admissions CCU Ward'!$B$62:$D$79,2,FALSE)</f>
        <v>148.00904018381982</v>
      </c>
      <c r="Q27" s="136">
        <f>'New patients in hospital'!Q24*VLOOKUP(Q$7,'Splitting Admissions CCU Ward'!$B$62:$D$79,2,FALSE)</f>
        <v>175.2548878108451</v>
      </c>
      <c r="R27" s="136">
        <f>'New patients in hospital'!R24*VLOOKUP(R$7,'Splitting Admissions CCU Ward'!$B$62:$D$79,2,FALSE)</f>
        <v>138.58259406840682</v>
      </c>
      <c r="S27" s="136">
        <f>'New patients in hospital'!S24*VLOOKUP(S$7,'Splitting Admissions CCU Ward'!$B$62:$D$79,2,FALSE)</f>
        <v>128.36357643589832</v>
      </c>
      <c r="T27" s="136">
        <f>'New patients in hospital'!T24*VLOOKUP(T$7,'Splitting Admissions CCU Ward'!$B$62:$D$79,2,FALSE)</f>
        <v>61.949533239395713</v>
      </c>
    </row>
    <row r="28" spans="1:25" x14ac:dyDescent="0.25">
      <c r="A28" s="139">
        <v>44244</v>
      </c>
      <c r="B28" s="130" t="s">
        <v>233</v>
      </c>
      <c r="C28" s="137">
        <f t="shared" si="0"/>
        <v>902.50029229919983</v>
      </c>
      <c r="D28" s="136">
        <f>'New patients in hospital'!D25*VLOOKUP(D$7,'Splitting Admissions CCU Ward'!$B$62:$D$79,2,FALSE)</f>
        <v>0</v>
      </c>
      <c r="E28" s="136">
        <f>'New patients in hospital'!E25*VLOOKUP(E$7,'Splitting Admissions CCU Ward'!$B$62:$D$79,2,FALSE)</f>
        <v>0</v>
      </c>
      <c r="F28" s="136">
        <f>'New patients in hospital'!F25*VLOOKUP(F$7,'Splitting Admissions CCU Ward'!$B$62:$D$79,2,FALSE)</f>
        <v>0</v>
      </c>
      <c r="G28" s="136">
        <f>'New patients in hospital'!G25*VLOOKUP(G$7,'Splitting Admissions CCU Ward'!$B$62:$D$79,2,FALSE)</f>
        <v>4.0097760642470561</v>
      </c>
      <c r="H28" s="136">
        <f>'New patients in hospital'!H25*VLOOKUP(H$7,'Splitting Admissions CCU Ward'!$B$62:$D$79,2,FALSE)</f>
        <v>8.5024337482698904</v>
      </c>
      <c r="I28" s="136">
        <f>'New patients in hospital'!I25*VLOOKUP(I$7,'Splitting Admissions CCU Ward'!$B$62:$D$79,2,FALSE)</f>
        <v>12.332149756916557</v>
      </c>
      <c r="J28" s="136">
        <f>'New patients in hospital'!J25*VLOOKUP(J$7,'Splitting Admissions CCU Ward'!$B$62:$D$79,2,FALSE)</f>
        <v>19.924179313613106</v>
      </c>
      <c r="K28" s="136">
        <f>'New patients in hospital'!K25*VLOOKUP(K$7,'Splitting Admissions CCU Ward'!$B$62:$D$79,2,FALSE)</f>
        <v>26.031110798520434</v>
      </c>
      <c r="L28" s="136">
        <f>'New patients in hospital'!L25*VLOOKUP(L$7,'Splitting Admissions CCU Ward'!$B$62:$D$79,2,FALSE)</f>
        <v>42.944953328685628</v>
      </c>
      <c r="M28" s="136">
        <f>'New patients in hospital'!M25*VLOOKUP(M$7,'Splitting Admissions CCU Ward'!$B$62:$D$79,2,FALSE)</f>
        <v>62.481888693267777</v>
      </c>
      <c r="N28" s="136">
        <f>'New patients in hospital'!N25*VLOOKUP(N$7,'Splitting Admissions CCU Ward'!$B$62:$D$79,2,FALSE)</f>
        <v>91.07618414860147</v>
      </c>
      <c r="O28" s="136">
        <f>'New patients in hospital'!O25*VLOOKUP(O$7,'Splitting Admissions CCU Ward'!$B$62:$D$79,2,FALSE)</f>
        <v>113.46991105638513</v>
      </c>
      <c r="P28" s="136">
        <f>'New patients in hospital'!P25*VLOOKUP(P$7,'Splitting Admissions CCU Ward'!$B$62:$D$79,2,FALSE)</f>
        <v>118.40723214705588</v>
      </c>
      <c r="Q28" s="136">
        <f>'New patients in hospital'!Q25*VLOOKUP(Q$7,'Splitting Admissions CCU Ward'!$B$62:$D$79,2,FALSE)</f>
        <v>140.2039102486761</v>
      </c>
      <c r="R28" s="136">
        <f>'New patients in hospital'!R25*VLOOKUP(R$7,'Splitting Admissions CCU Ward'!$B$62:$D$79,2,FALSE)</f>
        <v>110.86607525472546</v>
      </c>
      <c r="S28" s="136">
        <f>'New patients in hospital'!S25*VLOOKUP(S$7,'Splitting Admissions CCU Ward'!$B$62:$D$79,2,FALSE)</f>
        <v>102.69086114871868</v>
      </c>
      <c r="T28" s="136">
        <f>'New patients in hospital'!T25*VLOOKUP(T$7,'Splitting Admissions CCU Ward'!$B$62:$D$79,2,FALSE)</f>
        <v>49.559626591516576</v>
      </c>
    </row>
    <row r="29" spans="1:25" x14ac:dyDescent="0.25">
      <c r="A29" s="139">
        <v>44251</v>
      </c>
      <c r="B29" s="130" t="s">
        <v>233</v>
      </c>
      <c r="C29" s="137">
        <f t="shared" si="0"/>
        <v>722.00023383935968</v>
      </c>
      <c r="D29" s="136">
        <f>'New patients in hospital'!D26*VLOOKUP(D$7,'Splitting Admissions CCU Ward'!$B$62:$D$79,2,FALSE)</f>
        <v>0</v>
      </c>
      <c r="E29" s="136">
        <f>'New patients in hospital'!E26*VLOOKUP(E$7,'Splitting Admissions CCU Ward'!$B$62:$D$79,2,FALSE)</f>
        <v>0</v>
      </c>
      <c r="F29" s="136">
        <f>'New patients in hospital'!F26*VLOOKUP(F$7,'Splitting Admissions CCU Ward'!$B$62:$D$79,2,FALSE)</f>
        <v>0</v>
      </c>
      <c r="G29" s="136">
        <f>'New patients in hospital'!G26*VLOOKUP(G$7,'Splitting Admissions CCU Ward'!$B$62:$D$79,2,FALSE)</f>
        <v>3.2078208513976452</v>
      </c>
      <c r="H29" s="136">
        <f>'New patients in hospital'!H26*VLOOKUP(H$7,'Splitting Admissions CCU Ward'!$B$62:$D$79,2,FALSE)</f>
        <v>6.8019469986159127</v>
      </c>
      <c r="I29" s="136">
        <f>'New patients in hospital'!I26*VLOOKUP(I$7,'Splitting Admissions CCU Ward'!$B$62:$D$79,2,FALSE)</f>
        <v>9.8657198055332458</v>
      </c>
      <c r="J29" s="136">
        <f>'New patients in hospital'!J26*VLOOKUP(J$7,'Splitting Admissions CCU Ward'!$B$62:$D$79,2,FALSE)</f>
        <v>15.939343450890485</v>
      </c>
      <c r="K29" s="136">
        <f>'New patients in hospital'!K26*VLOOKUP(K$7,'Splitting Admissions CCU Ward'!$B$62:$D$79,2,FALSE)</f>
        <v>20.824888638816347</v>
      </c>
      <c r="L29" s="136">
        <f>'New patients in hospital'!L26*VLOOKUP(L$7,'Splitting Admissions CCU Ward'!$B$62:$D$79,2,FALSE)</f>
        <v>34.355962662948492</v>
      </c>
      <c r="M29" s="136">
        <f>'New patients in hospital'!M26*VLOOKUP(M$7,'Splitting Admissions CCU Ward'!$B$62:$D$79,2,FALSE)</f>
        <v>49.98551095461422</v>
      </c>
      <c r="N29" s="136">
        <f>'New patients in hospital'!N26*VLOOKUP(N$7,'Splitting Admissions CCU Ward'!$B$62:$D$79,2,FALSE)</f>
        <v>72.860947318881173</v>
      </c>
      <c r="O29" s="136">
        <f>'New patients in hospital'!O26*VLOOKUP(O$7,'Splitting Admissions CCU Ward'!$B$62:$D$79,2,FALSE)</f>
        <v>90.775928845108098</v>
      </c>
      <c r="P29" s="136">
        <f>'New patients in hospital'!P26*VLOOKUP(P$7,'Splitting Admissions CCU Ward'!$B$62:$D$79,2,FALSE)</f>
        <v>94.725785717644698</v>
      </c>
      <c r="Q29" s="136">
        <f>'New patients in hospital'!Q26*VLOOKUP(Q$7,'Splitting Admissions CCU Ward'!$B$62:$D$79,2,FALSE)</f>
        <v>112.16312819894087</v>
      </c>
      <c r="R29" s="136">
        <f>'New patients in hospital'!R26*VLOOKUP(R$7,'Splitting Admissions CCU Ward'!$B$62:$D$79,2,FALSE)</f>
        <v>88.69286020378037</v>
      </c>
      <c r="S29" s="136">
        <f>'New patients in hospital'!S26*VLOOKUP(S$7,'Splitting Admissions CCU Ward'!$B$62:$D$79,2,FALSE)</f>
        <v>82.152688918974945</v>
      </c>
      <c r="T29" s="136">
        <f>'New patients in hospital'!T26*VLOOKUP(T$7,'Splitting Admissions CCU Ward'!$B$62:$D$79,2,FALSE)</f>
        <v>39.647701273213258</v>
      </c>
    </row>
    <row r="30" spans="1:25" x14ac:dyDescent="0.25">
      <c r="A30" s="139">
        <v>44258</v>
      </c>
      <c r="B30" s="130" t="s">
        <v>233</v>
      </c>
      <c r="C30" s="137">
        <f t="shared" si="0"/>
        <v>577.60018707148777</v>
      </c>
      <c r="D30" s="136">
        <f>'New patients in hospital'!D27*VLOOKUP(D$7,'Splitting Admissions CCU Ward'!$B$62:$D$79,2,FALSE)</f>
        <v>0</v>
      </c>
      <c r="E30" s="136">
        <f>'New patients in hospital'!E27*VLOOKUP(E$7,'Splitting Admissions CCU Ward'!$B$62:$D$79,2,FALSE)</f>
        <v>0</v>
      </c>
      <c r="F30" s="136">
        <f>'New patients in hospital'!F27*VLOOKUP(F$7,'Splitting Admissions CCU Ward'!$B$62:$D$79,2,FALSE)</f>
        <v>0</v>
      </c>
      <c r="G30" s="136">
        <f>'New patients in hospital'!G27*VLOOKUP(G$7,'Splitting Admissions CCU Ward'!$B$62:$D$79,2,FALSE)</f>
        <v>2.5662566811181158</v>
      </c>
      <c r="H30" s="136">
        <f>'New patients in hospital'!H27*VLOOKUP(H$7,'Splitting Admissions CCU Ward'!$B$62:$D$79,2,FALSE)</f>
        <v>5.4415575988927296</v>
      </c>
      <c r="I30" s="136">
        <f>'New patients in hospital'!I27*VLOOKUP(I$7,'Splitting Admissions CCU Ward'!$B$62:$D$79,2,FALSE)</f>
        <v>7.8925758444265961</v>
      </c>
      <c r="J30" s="136">
        <f>'New patients in hospital'!J27*VLOOKUP(J$7,'Splitting Admissions CCU Ward'!$B$62:$D$79,2,FALSE)</f>
        <v>12.751474760712387</v>
      </c>
      <c r="K30" s="136">
        <f>'New patients in hospital'!K27*VLOOKUP(K$7,'Splitting Admissions CCU Ward'!$B$62:$D$79,2,FALSE)</f>
        <v>16.659910911053078</v>
      </c>
      <c r="L30" s="136">
        <f>'New patients in hospital'!L27*VLOOKUP(L$7,'Splitting Admissions CCU Ward'!$B$62:$D$79,2,FALSE)</f>
        <v>27.4847701303588</v>
      </c>
      <c r="M30" s="136">
        <f>'New patients in hospital'!M27*VLOOKUP(M$7,'Splitting Admissions CCU Ward'!$B$62:$D$79,2,FALSE)</f>
        <v>39.988408763691382</v>
      </c>
      <c r="N30" s="136">
        <f>'New patients in hospital'!N27*VLOOKUP(N$7,'Splitting Admissions CCU Ward'!$B$62:$D$79,2,FALSE)</f>
        <v>58.28875785510494</v>
      </c>
      <c r="O30" s="136">
        <f>'New patients in hospital'!O27*VLOOKUP(O$7,'Splitting Admissions CCU Ward'!$B$62:$D$79,2,FALSE)</f>
        <v>72.620743076086484</v>
      </c>
      <c r="P30" s="136">
        <f>'New patients in hospital'!P27*VLOOKUP(P$7,'Splitting Admissions CCU Ward'!$B$62:$D$79,2,FALSE)</f>
        <v>75.780628574115767</v>
      </c>
      <c r="Q30" s="136">
        <f>'New patients in hospital'!Q27*VLOOKUP(Q$7,'Splitting Admissions CCU Ward'!$B$62:$D$79,2,FALSE)</f>
        <v>89.730502559152697</v>
      </c>
      <c r="R30" s="136">
        <f>'New patients in hospital'!R27*VLOOKUP(R$7,'Splitting Admissions CCU Ward'!$B$62:$D$79,2,FALSE)</f>
        <v>70.954288163024287</v>
      </c>
      <c r="S30" s="136">
        <f>'New patients in hospital'!S27*VLOOKUP(S$7,'Splitting Admissions CCU Ward'!$B$62:$D$79,2,FALSE)</f>
        <v>65.722151135179956</v>
      </c>
      <c r="T30" s="136">
        <f>'New patients in hospital'!T27*VLOOKUP(T$7,'Splitting Admissions CCU Ward'!$B$62:$D$79,2,FALSE)</f>
        <v>31.718161018570605</v>
      </c>
    </row>
    <row r="31" spans="1:25" x14ac:dyDescent="0.25">
      <c r="A31" s="139">
        <v>44265</v>
      </c>
      <c r="B31" s="130" t="s">
        <v>233</v>
      </c>
      <c r="C31" s="137">
        <f t="shared" si="0"/>
        <v>404.3201309500414</v>
      </c>
      <c r="D31" s="136">
        <f>'New patients in hospital'!D28*VLOOKUP(D$7,'Splitting Admissions CCU Ward'!$B$62:$D$79,2,FALSE)</f>
        <v>0</v>
      </c>
      <c r="E31" s="136">
        <f>'New patients in hospital'!E28*VLOOKUP(E$7,'Splitting Admissions CCU Ward'!$B$62:$D$79,2,FALSE)</f>
        <v>0</v>
      </c>
      <c r="F31" s="136">
        <f>'New patients in hospital'!F28*VLOOKUP(F$7,'Splitting Admissions CCU Ward'!$B$62:$D$79,2,FALSE)</f>
        <v>0</v>
      </c>
      <c r="G31" s="136">
        <f>'New patients in hospital'!G28*VLOOKUP(G$7,'Splitting Admissions CCU Ward'!$B$62:$D$79,2,FALSE)</f>
        <v>1.796379676782681</v>
      </c>
      <c r="H31" s="136">
        <f>'New patients in hospital'!H28*VLOOKUP(H$7,'Splitting Admissions CCU Ward'!$B$62:$D$79,2,FALSE)</f>
        <v>3.8090903192249104</v>
      </c>
      <c r="I31" s="136">
        <f>'New patients in hospital'!I28*VLOOKUP(I$7,'Splitting Admissions CCU Ward'!$B$62:$D$79,2,FALSE)</f>
        <v>5.524803091098617</v>
      </c>
      <c r="J31" s="136">
        <f>'New patients in hospital'!J28*VLOOKUP(J$7,'Splitting Admissions CCU Ward'!$B$62:$D$79,2,FALSE)</f>
        <v>8.9260323324986697</v>
      </c>
      <c r="K31" s="136">
        <f>'New patients in hospital'!K28*VLOOKUP(K$7,'Splitting Admissions CCU Ward'!$B$62:$D$79,2,FALSE)</f>
        <v>11.661937637737154</v>
      </c>
      <c r="L31" s="136">
        <f>'New patients in hospital'!L28*VLOOKUP(L$7,'Splitting Admissions CCU Ward'!$B$62:$D$79,2,FALSE)</f>
        <v>19.239339091251157</v>
      </c>
      <c r="M31" s="136">
        <f>'New patients in hospital'!M28*VLOOKUP(M$7,'Splitting Admissions CCU Ward'!$B$62:$D$79,2,FALSE)</f>
        <v>27.991886134583961</v>
      </c>
      <c r="N31" s="136">
        <f>'New patients in hospital'!N28*VLOOKUP(N$7,'Splitting Admissions CCU Ward'!$B$62:$D$79,2,FALSE)</f>
        <v>40.802130498573455</v>
      </c>
      <c r="O31" s="136">
        <f>'New patients in hospital'!O28*VLOOKUP(O$7,'Splitting Admissions CCU Ward'!$B$62:$D$79,2,FALSE)</f>
        <v>50.834520153260527</v>
      </c>
      <c r="P31" s="136">
        <f>'New patients in hospital'!P28*VLOOKUP(P$7,'Splitting Admissions CCU Ward'!$B$62:$D$79,2,FALSE)</f>
        <v>53.046440001881024</v>
      </c>
      <c r="Q31" s="136">
        <f>'New patients in hospital'!Q28*VLOOKUP(Q$7,'Splitting Admissions CCU Ward'!$B$62:$D$79,2,FALSE)</f>
        <v>62.811351791406878</v>
      </c>
      <c r="R31" s="136">
        <f>'New patients in hospital'!R28*VLOOKUP(R$7,'Splitting Admissions CCU Ward'!$B$62:$D$79,2,FALSE)</f>
        <v>49.668001714116997</v>
      </c>
      <c r="S31" s="136">
        <f>'New patients in hospital'!S28*VLOOKUP(S$7,'Splitting Admissions CCU Ward'!$B$62:$D$79,2,FALSE)</f>
        <v>46.005505794625961</v>
      </c>
      <c r="T31" s="136">
        <f>'New patients in hospital'!T28*VLOOKUP(T$7,'Splitting Admissions CCU Ward'!$B$62:$D$79,2,FALSE)</f>
        <v>22.202712712999421</v>
      </c>
    </row>
    <row r="32" spans="1:25" x14ac:dyDescent="0.25">
      <c r="A32" s="139">
        <v>44272</v>
      </c>
      <c r="B32" s="130" t="s">
        <v>233</v>
      </c>
      <c r="C32" s="137">
        <f t="shared" si="0"/>
        <v>283.024091665029</v>
      </c>
      <c r="D32" s="136">
        <f>'New patients in hospital'!D29*VLOOKUP(D$7,'Splitting Admissions CCU Ward'!$B$62:$D$79,2,FALSE)</f>
        <v>0</v>
      </c>
      <c r="E32" s="136">
        <f>'New patients in hospital'!E29*VLOOKUP(E$7,'Splitting Admissions CCU Ward'!$B$62:$D$79,2,FALSE)</f>
        <v>0</v>
      </c>
      <c r="F32" s="136">
        <f>'New patients in hospital'!F29*VLOOKUP(F$7,'Splitting Admissions CCU Ward'!$B$62:$D$79,2,FALSE)</f>
        <v>0</v>
      </c>
      <c r="G32" s="136">
        <f>'New patients in hospital'!G29*VLOOKUP(G$7,'Splitting Admissions CCU Ward'!$B$62:$D$79,2,FALSE)</f>
        <v>1.2574657737478765</v>
      </c>
      <c r="H32" s="136">
        <f>'New patients in hospital'!H29*VLOOKUP(H$7,'Splitting Admissions CCU Ward'!$B$62:$D$79,2,FALSE)</f>
        <v>2.666363223457437</v>
      </c>
      <c r="I32" s="136">
        <f>'New patients in hospital'!I29*VLOOKUP(I$7,'Splitting Admissions CCU Ward'!$B$62:$D$79,2,FALSE)</f>
        <v>3.8673621637690316</v>
      </c>
      <c r="J32" s="136">
        <f>'New patients in hospital'!J29*VLOOKUP(J$7,'Splitting Admissions CCU Ward'!$B$62:$D$79,2,FALSE)</f>
        <v>6.2482226327490684</v>
      </c>
      <c r="K32" s="136">
        <f>'New patients in hospital'!K29*VLOOKUP(K$7,'Splitting Admissions CCU Ward'!$B$62:$D$79,2,FALSE)</f>
        <v>8.1633563464160073</v>
      </c>
      <c r="L32" s="136">
        <f>'New patients in hospital'!L29*VLOOKUP(L$7,'Splitting Admissions CCU Ward'!$B$62:$D$79,2,FALSE)</f>
        <v>13.467537363875808</v>
      </c>
      <c r="M32" s="136">
        <f>'New patients in hospital'!M29*VLOOKUP(M$7,'Splitting Admissions CCU Ward'!$B$62:$D$79,2,FALSE)</f>
        <v>19.594320294208771</v>
      </c>
      <c r="N32" s="136">
        <f>'New patients in hospital'!N29*VLOOKUP(N$7,'Splitting Admissions CCU Ward'!$B$62:$D$79,2,FALSE)</f>
        <v>28.561491349001415</v>
      </c>
      <c r="O32" s="136">
        <f>'New patients in hospital'!O29*VLOOKUP(O$7,'Splitting Admissions CCU Ward'!$B$62:$D$79,2,FALSE)</f>
        <v>35.584164107282369</v>
      </c>
      <c r="P32" s="136">
        <f>'New patients in hospital'!P29*VLOOKUP(P$7,'Splitting Admissions CCU Ward'!$B$62:$D$79,2,FALSE)</f>
        <v>37.132508001316715</v>
      </c>
      <c r="Q32" s="136">
        <f>'New patients in hospital'!Q29*VLOOKUP(Q$7,'Splitting Admissions CCU Ward'!$B$62:$D$79,2,FALSE)</f>
        <v>43.967946253984813</v>
      </c>
      <c r="R32" s="136">
        <f>'New patients in hospital'!R29*VLOOKUP(R$7,'Splitting Admissions CCU Ward'!$B$62:$D$79,2,FALSE)</f>
        <v>34.767601199881895</v>
      </c>
      <c r="S32" s="136">
        <f>'New patients in hospital'!S29*VLOOKUP(S$7,'Splitting Admissions CCU Ward'!$B$62:$D$79,2,FALSE)</f>
        <v>32.203854056238171</v>
      </c>
      <c r="T32" s="136">
        <f>'New patients in hospital'!T29*VLOOKUP(T$7,'Splitting Admissions CCU Ward'!$B$62:$D$79,2,FALSE)</f>
        <v>15.541898899099595</v>
      </c>
    </row>
    <row r="33" spans="1:25" x14ac:dyDescent="0.25">
      <c r="A33" s="139">
        <v>44279</v>
      </c>
      <c r="B33" s="130" t="s">
        <v>233</v>
      </c>
      <c r="C33" s="137">
        <f t="shared" si="0"/>
        <v>198.1168641655203</v>
      </c>
      <c r="D33" s="136">
        <f>'New patients in hospital'!D30*VLOOKUP(D$7,'Splitting Admissions CCU Ward'!$B$62:$D$79,2,FALSE)</f>
        <v>0</v>
      </c>
      <c r="E33" s="136">
        <f>'New patients in hospital'!E30*VLOOKUP(E$7,'Splitting Admissions CCU Ward'!$B$62:$D$79,2,FALSE)</f>
        <v>0</v>
      </c>
      <c r="F33" s="136">
        <f>'New patients in hospital'!F30*VLOOKUP(F$7,'Splitting Admissions CCU Ward'!$B$62:$D$79,2,FALSE)</f>
        <v>0</v>
      </c>
      <c r="G33" s="136">
        <f>'New patients in hospital'!G30*VLOOKUP(G$7,'Splitting Admissions CCU Ward'!$B$62:$D$79,2,FALSE)</f>
        <v>0.88022604162351359</v>
      </c>
      <c r="H33" s="136">
        <f>'New patients in hospital'!H30*VLOOKUP(H$7,'Splitting Admissions CCU Ward'!$B$62:$D$79,2,FALSE)</f>
        <v>1.866454256420206</v>
      </c>
      <c r="I33" s="136">
        <f>'New patients in hospital'!I30*VLOOKUP(I$7,'Splitting Admissions CCU Ward'!$B$62:$D$79,2,FALSE)</f>
        <v>2.7071535146383221</v>
      </c>
      <c r="J33" s="136">
        <f>'New patients in hospital'!J30*VLOOKUP(J$7,'Splitting Admissions CCU Ward'!$B$62:$D$79,2,FALSE)</f>
        <v>4.3737558429243482</v>
      </c>
      <c r="K33" s="136">
        <f>'New patients in hospital'!K30*VLOOKUP(K$7,'Splitting Admissions CCU Ward'!$B$62:$D$79,2,FALSE)</f>
        <v>5.714349442491204</v>
      </c>
      <c r="L33" s="136">
        <f>'New patients in hospital'!L30*VLOOKUP(L$7,'Splitting Admissions CCU Ward'!$B$62:$D$79,2,FALSE)</f>
        <v>9.4272761547130663</v>
      </c>
      <c r="M33" s="136">
        <f>'New patients in hospital'!M30*VLOOKUP(M$7,'Splitting Admissions CCU Ward'!$B$62:$D$79,2,FALSE)</f>
        <v>13.716024205946141</v>
      </c>
      <c r="N33" s="136">
        <f>'New patients in hospital'!N30*VLOOKUP(N$7,'Splitting Admissions CCU Ward'!$B$62:$D$79,2,FALSE)</f>
        <v>19.99304394430099</v>
      </c>
      <c r="O33" s="136">
        <f>'New patients in hospital'!O30*VLOOKUP(O$7,'Splitting Admissions CCU Ward'!$B$62:$D$79,2,FALSE)</f>
        <v>24.908914875097658</v>
      </c>
      <c r="P33" s="136">
        <f>'New patients in hospital'!P30*VLOOKUP(P$7,'Splitting Admissions CCU Ward'!$B$62:$D$79,2,FALSE)</f>
        <v>25.992755600921701</v>
      </c>
      <c r="Q33" s="136">
        <f>'New patients in hospital'!Q30*VLOOKUP(Q$7,'Splitting Admissions CCU Ward'!$B$62:$D$79,2,FALSE)</f>
        <v>30.777562377789366</v>
      </c>
      <c r="R33" s="136">
        <f>'New patients in hospital'!R30*VLOOKUP(R$7,'Splitting Admissions CCU Ward'!$B$62:$D$79,2,FALSE)</f>
        <v>24.337320839917329</v>
      </c>
      <c r="S33" s="136">
        <f>'New patients in hospital'!S30*VLOOKUP(S$7,'Splitting Admissions CCU Ward'!$B$62:$D$79,2,FALSE)</f>
        <v>22.542697839366717</v>
      </c>
      <c r="T33" s="136">
        <f>'New patients in hospital'!T30*VLOOKUP(T$7,'Splitting Admissions CCU Ward'!$B$62:$D$79,2,FALSE)</f>
        <v>10.879329229369716</v>
      </c>
    </row>
    <row r="34" spans="1:25" x14ac:dyDescent="0.25">
      <c r="A34" s="139">
        <v>44286</v>
      </c>
      <c r="B34" s="130" t="s">
        <v>233</v>
      </c>
      <c r="C34" s="137">
        <f t="shared" si="0"/>
        <v>138.68180491586418</v>
      </c>
      <c r="D34" s="136">
        <f>'New patients in hospital'!D31*VLOOKUP(D$7,'Splitting Admissions CCU Ward'!$B$62:$D$79,2,FALSE)</f>
        <v>0</v>
      </c>
      <c r="E34" s="136">
        <f>'New patients in hospital'!E31*VLOOKUP(E$7,'Splitting Admissions CCU Ward'!$B$62:$D$79,2,FALSE)</f>
        <v>0</v>
      </c>
      <c r="F34" s="136">
        <f>'New patients in hospital'!F31*VLOOKUP(F$7,'Splitting Admissions CCU Ward'!$B$62:$D$79,2,FALSE)</f>
        <v>0</v>
      </c>
      <c r="G34" s="136">
        <f>'New patients in hospital'!G31*VLOOKUP(G$7,'Splitting Admissions CCU Ward'!$B$62:$D$79,2,FALSE)</f>
        <v>0.61615822913645946</v>
      </c>
      <c r="H34" s="136">
        <f>'New patients in hospital'!H31*VLOOKUP(H$7,'Splitting Admissions CCU Ward'!$B$62:$D$79,2,FALSE)</f>
        <v>1.3065179794941439</v>
      </c>
      <c r="I34" s="136">
        <f>'New patients in hospital'!I31*VLOOKUP(I$7,'Splitting Admissions CCU Ward'!$B$62:$D$79,2,FALSE)</f>
        <v>1.8950074602468254</v>
      </c>
      <c r="J34" s="136">
        <f>'New patients in hospital'!J31*VLOOKUP(J$7,'Splitting Admissions CCU Ward'!$B$62:$D$79,2,FALSE)</f>
        <v>3.0616290900470431</v>
      </c>
      <c r="K34" s="136">
        <f>'New patients in hospital'!K31*VLOOKUP(K$7,'Splitting Admissions CCU Ward'!$B$62:$D$79,2,FALSE)</f>
        <v>4.0000446097438429</v>
      </c>
      <c r="L34" s="136">
        <f>'New patients in hospital'!L31*VLOOKUP(L$7,'Splitting Admissions CCU Ward'!$B$62:$D$79,2,FALSE)</f>
        <v>6.5990933082991452</v>
      </c>
      <c r="M34" s="136">
        <f>'New patients in hospital'!M31*VLOOKUP(M$7,'Splitting Admissions CCU Ward'!$B$62:$D$79,2,FALSE)</f>
        <v>9.6012169441622977</v>
      </c>
      <c r="N34" s="136">
        <f>'New patients in hospital'!N31*VLOOKUP(N$7,'Splitting Admissions CCU Ward'!$B$62:$D$79,2,FALSE)</f>
        <v>13.995130761010692</v>
      </c>
      <c r="O34" s="136">
        <f>'New patients in hospital'!O31*VLOOKUP(O$7,'Splitting Admissions CCU Ward'!$B$62:$D$79,2,FALSE)</f>
        <v>17.43624041256836</v>
      </c>
      <c r="P34" s="136">
        <f>'New patients in hospital'!P31*VLOOKUP(P$7,'Splitting Admissions CCU Ward'!$B$62:$D$79,2,FALSE)</f>
        <v>18.194928920645189</v>
      </c>
      <c r="Q34" s="136">
        <f>'New patients in hospital'!Q31*VLOOKUP(Q$7,'Splitting Admissions CCU Ward'!$B$62:$D$79,2,FALSE)</f>
        <v>21.544293664452557</v>
      </c>
      <c r="R34" s="136">
        <f>'New patients in hospital'!R31*VLOOKUP(R$7,'Splitting Admissions CCU Ward'!$B$62:$D$79,2,FALSE)</f>
        <v>17.03612458794213</v>
      </c>
      <c r="S34" s="136">
        <f>'New patients in hospital'!S31*VLOOKUP(S$7,'Splitting Admissions CCU Ward'!$B$62:$D$79,2,FALSE)</f>
        <v>15.779888487556702</v>
      </c>
      <c r="T34" s="136">
        <f>'New patients in hospital'!T31*VLOOKUP(T$7,'Splitting Admissions CCU Ward'!$B$62:$D$79,2,FALSE)</f>
        <v>7.6155304605588015</v>
      </c>
    </row>
    <row r="35" spans="1:25" x14ac:dyDescent="0.25">
      <c r="A35" s="139">
        <v>44293</v>
      </c>
      <c r="B35" s="130" t="s">
        <v>233</v>
      </c>
      <c r="C35" s="137">
        <f t="shared" si="0"/>
        <v>97.077263441104932</v>
      </c>
      <c r="D35" s="136">
        <f>'New patients in hospital'!D32*VLOOKUP(D$7,'Splitting Admissions CCU Ward'!$B$62:$D$79,2,FALSE)</f>
        <v>0</v>
      </c>
      <c r="E35" s="136">
        <f>'New patients in hospital'!E32*VLOOKUP(E$7,'Splitting Admissions CCU Ward'!$B$62:$D$79,2,FALSE)</f>
        <v>0</v>
      </c>
      <c r="F35" s="136">
        <f>'New patients in hospital'!F32*VLOOKUP(F$7,'Splitting Admissions CCU Ward'!$B$62:$D$79,2,FALSE)</f>
        <v>0</v>
      </c>
      <c r="G35" s="136">
        <f>'New patients in hospital'!G32*VLOOKUP(G$7,'Splitting Admissions CCU Ward'!$B$62:$D$79,2,FALSE)</f>
        <v>0.43131076039552158</v>
      </c>
      <c r="H35" s="136">
        <f>'New patients in hospital'!H32*VLOOKUP(H$7,'Splitting Admissions CCU Ward'!$B$62:$D$79,2,FALSE)</f>
        <v>0.91456258564590076</v>
      </c>
      <c r="I35" s="136">
        <f>'New patients in hospital'!I32*VLOOKUP(I$7,'Splitting Admissions CCU Ward'!$B$62:$D$79,2,FALSE)</f>
        <v>1.3265052221727778</v>
      </c>
      <c r="J35" s="136">
        <f>'New patients in hospital'!J32*VLOOKUP(J$7,'Splitting Admissions CCU Ward'!$B$62:$D$79,2,FALSE)</f>
        <v>2.1431403630329302</v>
      </c>
      <c r="K35" s="136">
        <f>'New patients in hospital'!K32*VLOOKUP(K$7,'Splitting Admissions CCU Ward'!$B$62:$D$79,2,FALSE)</f>
        <v>2.8000312268206899</v>
      </c>
      <c r="L35" s="136">
        <f>'New patients in hospital'!L32*VLOOKUP(L$7,'Splitting Admissions CCU Ward'!$B$62:$D$79,2,FALSE)</f>
        <v>4.6193653158094019</v>
      </c>
      <c r="M35" s="136">
        <f>'New patients in hospital'!M32*VLOOKUP(M$7,'Splitting Admissions CCU Ward'!$B$62:$D$79,2,FALSE)</f>
        <v>6.7208518609136076</v>
      </c>
      <c r="N35" s="136">
        <f>'New patients in hospital'!N32*VLOOKUP(N$7,'Splitting Admissions CCU Ward'!$B$62:$D$79,2,FALSE)</f>
        <v>9.7965915327074846</v>
      </c>
      <c r="O35" s="136">
        <f>'New patients in hospital'!O32*VLOOKUP(O$7,'Splitting Admissions CCU Ward'!$B$62:$D$79,2,FALSE)</f>
        <v>12.20536828879785</v>
      </c>
      <c r="P35" s="136">
        <f>'New patients in hospital'!P32*VLOOKUP(P$7,'Splitting Admissions CCU Ward'!$B$62:$D$79,2,FALSE)</f>
        <v>12.73645024445163</v>
      </c>
      <c r="Q35" s="136">
        <f>'New patients in hospital'!Q32*VLOOKUP(Q$7,'Splitting Admissions CCU Ward'!$B$62:$D$79,2,FALSE)</f>
        <v>15.08100556511679</v>
      </c>
      <c r="R35" s="136">
        <f>'New patients in hospital'!R32*VLOOKUP(R$7,'Splitting Admissions CCU Ward'!$B$62:$D$79,2,FALSE)</f>
        <v>11.925287211559489</v>
      </c>
      <c r="S35" s="136">
        <f>'New patients in hospital'!S32*VLOOKUP(S$7,'Splitting Admissions CCU Ward'!$B$62:$D$79,2,FALSE)</f>
        <v>11.045921941289691</v>
      </c>
      <c r="T35" s="136">
        <f>'New patients in hospital'!T32*VLOOKUP(T$7,'Splitting Admissions CCU Ward'!$B$62:$D$79,2,FALSE)</f>
        <v>5.3308713223911601</v>
      </c>
    </row>
    <row r="36" spans="1:25" x14ac:dyDescent="0.25">
      <c r="A36" s="139">
        <v>44300</v>
      </c>
      <c r="B36" s="130" t="s">
        <v>233</v>
      </c>
      <c r="C36" s="137">
        <f t="shared" si="0"/>
        <v>67.95408440877344</v>
      </c>
      <c r="D36" s="136">
        <f>'New patients in hospital'!D33*VLOOKUP(D$7,'Splitting Admissions CCU Ward'!$B$62:$D$79,2,FALSE)</f>
        <v>0</v>
      </c>
      <c r="E36" s="136">
        <f>'New patients in hospital'!E33*VLOOKUP(E$7,'Splitting Admissions CCU Ward'!$B$62:$D$79,2,FALSE)</f>
        <v>0</v>
      </c>
      <c r="F36" s="136">
        <f>'New patients in hospital'!F33*VLOOKUP(F$7,'Splitting Admissions CCU Ward'!$B$62:$D$79,2,FALSE)</f>
        <v>0</v>
      </c>
      <c r="G36" s="136">
        <f>'New patients in hospital'!G33*VLOOKUP(G$7,'Splitting Admissions CCU Ward'!$B$62:$D$79,2,FALSE)</f>
        <v>0.30191753227686507</v>
      </c>
      <c r="H36" s="136">
        <f>'New patients in hospital'!H33*VLOOKUP(H$7,'Splitting Admissions CCU Ward'!$B$62:$D$79,2,FALSE)</f>
        <v>0.64019380995213049</v>
      </c>
      <c r="I36" s="136">
        <f>'New patients in hospital'!I33*VLOOKUP(I$7,'Splitting Admissions CCU Ward'!$B$62:$D$79,2,FALSE)</f>
        <v>0.92855365552094438</v>
      </c>
      <c r="J36" s="136">
        <f>'New patients in hospital'!J33*VLOOKUP(J$7,'Splitting Admissions CCU Ward'!$B$62:$D$79,2,FALSE)</f>
        <v>1.500198254123051</v>
      </c>
      <c r="K36" s="136">
        <f>'New patients in hospital'!K33*VLOOKUP(K$7,'Splitting Admissions CCU Ward'!$B$62:$D$79,2,FALSE)</f>
        <v>1.9600218587744829</v>
      </c>
      <c r="L36" s="136">
        <f>'New patients in hospital'!L33*VLOOKUP(L$7,'Splitting Admissions CCU Ward'!$B$62:$D$79,2,FALSE)</f>
        <v>3.2335557210665811</v>
      </c>
      <c r="M36" s="136">
        <f>'New patients in hospital'!M33*VLOOKUP(M$7,'Splitting Admissions CCU Ward'!$B$62:$D$79,2,FALSE)</f>
        <v>4.7045963026395246</v>
      </c>
      <c r="N36" s="136">
        <f>'New patients in hospital'!N33*VLOOKUP(N$7,'Splitting Admissions CCU Ward'!$B$62:$D$79,2,FALSE)</f>
        <v>6.8576140728952391</v>
      </c>
      <c r="O36" s="136">
        <f>'New patients in hospital'!O33*VLOOKUP(O$7,'Splitting Admissions CCU Ward'!$B$62:$D$79,2,FALSE)</f>
        <v>8.5437578021584955</v>
      </c>
      <c r="P36" s="136">
        <f>'New patients in hospital'!P33*VLOOKUP(P$7,'Splitting Admissions CCU Ward'!$B$62:$D$79,2,FALSE)</f>
        <v>8.9155151711161427</v>
      </c>
      <c r="Q36" s="136">
        <f>'New patients in hospital'!Q33*VLOOKUP(Q$7,'Splitting Admissions CCU Ward'!$B$62:$D$79,2,FALSE)</f>
        <v>10.55670389558175</v>
      </c>
      <c r="R36" s="136">
        <f>'New patients in hospital'!R33*VLOOKUP(R$7,'Splitting Admissions CCU Ward'!$B$62:$D$79,2,FALSE)</f>
        <v>8.3477010480916416</v>
      </c>
      <c r="S36" s="136">
        <f>'New patients in hospital'!S33*VLOOKUP(S$7,'Splitting Admissions CCU Ward'!$B$62:$D$79,2,FALSE)</f>
        <v>7.7321453589027831</v>
      </c>
      <c r="T36" s="136">
        <f>'New patients in hospital'!T33*VLOOKUP(T$7,'Splitting Admissions CCU Ward'!$B$62:$D$79,2,FALSE)</f>
        <v>3.731609925673812</v>
      </c>
    </row>
    <row r="37" spans="1:25" x14ac:dyDescent="0.25">
      <c r="A37" s="139">
        <v>44307</v>
      </c>
      <c r="B37" s="130" t="s">
        <v>233</v>
      </c>
      <c r="C37" s="137">
        <f t="shared" si="0"/>
        <v>47.567859086141411</v>
      </c>
      <c r="D37" s="136">
        <f>'New patients in hospital'!D34*VLOOKUP(D$7,'Splitting Admissions CCU Ward'!$B$62:$D$79,2,FALSE)</f>
        <v>0</v>
      </c>
      <c r="E37" s="136">
        <f>'New patients in hospital'!E34*VLOOKUP(E$7,'Splitting Admissions CCU Ward'!$B$62:$D$79,2,FALSE)</f>
        <v>0</v>
      </c>
      <c r="F37" s="136">
        <f>'New patients in hospital'!F34*VLOOKUP(F$7,'Splitting Admissions CCU Ward'!$B$62:$D$79,2,FALSE)</f>
        <v>0</v>
      </c>
      <c r="G37" s="136">
        <f>'New patients in hospital'!G34*VLOOKUP(G$7,'Splitting Admissions CCU Ward'!$B$62:$D$79,2,FALSE)</f>
        <v>0.21134227259380559</v>
      </c>
      <c r="H37" s="136">
        <f>'New patients in hospital'!H34*VLOOKUP(H$7,'Splitting Admissions CCU Ward'!$B$62:$D$79,2,FALSE)</f>
        <v>0.44813566696649137</v>
      </c>
      <c r="I37" s="136">
        <f>'New patients in hospital'!I34*VLOOKUP(I$7,'Splitting Admissions CCU Ward'!$B$62:$D$79,2,FALSE)</f>
        <v>0.64998755886466109</v>
      </c>
      <c r="J37" s="136">
        <f>'New patients in hospital'!J34*VLOOKUP(J$7,'Splitting Admissions CCU Ward'!$B$62:$D$79,2,FALSE)</f>
        <v>1.0501387778861357</v>
      </c>
      <c r="K37" s="136">
        <f>'New patients in hospital'!K34*VLOOKUP(K$7,'Splitting Admissions CCU Ward'!$B$62:$D$79,2,FALSE)</f>
        <v>1.3720153011421381</v>
      </c>
      <c r="L37" s="136">
        <f>'New patients in hospital'!L34*VLOOKUP(L$7,'Splitting Admissions CCU Ward'!$B$62:$D$79,2,FALSE)</f>
        <v>2.2634890047466065</v>
      </c>
      <c r="M37" s="136">
        <f>'New patients in hospital'!M34*VLOOKUP(M$7,'Splitting Admissions CCU Ward'!$B$62:$D$79,2,FALSE)</f>
        <v>3.2932174118476674</v>
      </c>
      <c r="N37" s="136">
        <f>'New patients in hospital'!N34*VLOOKUP(N$7,'Splitting Admissions CCU Ward'!$B$62:$D$79,2,FALSE)</f>
        <v>4.8003298510266674</v>
      </c>
      <c r="O37" s="136">
        <f>'New patients in hospital'!O34*VLOOKUP(O$7,'Splitting Admissions CCU Ward'!$B$62:$D$79,2,FALSE)</f>
        <v>5.9806304615109465</v>
      </c>
      <c r="P37" s="136">
        <f>'New patients in hospital'!P34*VLOOKUP(P$7,'Splitting Admissions CCU Ward'!$B$62:$D$79,2,FALSE)</f>
        <v>6.2408606197812988</v>
      </c>
      <c r="Q37" s="136">
        <f>'New patients in hospital'!Q34*VLOOKUP(Q$7,'Splitting Admissions CCU Ward'!$B$62:$D$79,2,FALSE)</f>
        <v>7.3896927269072261</v>
      </c>
      <c r="R37" s="136">
        <f>'New patients in hospital'!R34*VLOOKUP(R$7,'Splitting Admissions CCU Ward'!$B$62:$D$79,2,FALSE)</f>
        <v>5.8433907336641493</v>
      </c>
      <c r="S37" s="136">
        <f>'New patients in hospital'!S34*VLOOKUP(S$7,'Splitting Admissions CCU Ward'!$B$62:$D$79,2,FALSE)</f>
        <v>5.4125017512319484</v>
      </c>
      <c r="T37" s="136">
        <f>'New patients in hospital'!T34*VLOOKUP(T$7,'Splitting Admissions CCU Ward'!$B$62:$D$79,2,FALSE)</f>
        <v>2.6121269479716682</v>
      </c>
    </row>
    <row r="38" spans="1:25" x14ac:dyDescent="0.25">
      <c r="A38" s="139">
        <v>44314</v>
      </c>
      <c r="B38" s="130" t="s">
        <v>233</v>
      </c>
      <c r="C38" s="137">
        <f t="shared" si="0"/>
        <v>33.297501360298988</v>
      </c>
      <c r="D38" s="136">
        <f>'New patients in hospital'!D35*VLOOKUP(D$7,'Splitting Admissions CCU Ward'!$B$62:$D$79,2,FALSE)</f>
        <v>0</v>
      </c>
      <c r="E38" s="136">
        <f>'New patients in hospital'!E35*VLOOKUP(E$7,'Splitting Admissions CCU Ward'!$B$62:$D$79,2,FALSE)</f>
        <v>0</v>
      </c>
      <c r="F38" s="136">
        <f>'New patients in hospital'!F35*VLOOKUP(F$7,'Splitting Admissions CCU Ward'!$B$62:$D$79,2,FALSE)</f>
        <v>0</v>
      </c>
      <c r="G38" s="136">
        <f>'New patients in hospital'!G35*VLOOKUP(G$7,'Splitting Admissions CCU Ward'!$B$62:$D$79,2,FALSE)</f>
        <v>0.14793959081566391</v>
      </c>
      <c r="H38" s="136">
        <f>'New patients in hospital'!H35*VLOOKUP(H$7,'Splitting Admissions CCU Ward'!$B$62:$D$79,2,FALSE)</f>
        <v>0.31369496687654397</v>
      </c>
      <c r="I38" s="136">
        <f>'New patients in hospital'!I35*VLOOKUP(I$7,'Splitting Admissions CCU Ward'!$B$62:$D$79,2,FALSE)</f>
        <v>0.45499129120526266</v>
      </c>
      <c r="J38" s="136">
        <f>'New patients in hospital'!J35*VLOOKUP(J$7,'Splitting Admissions CCU Ward'!$B$62:$D$79,2,FALSE)</f>
        <v>0.73509714452029495</v>
      </c>
      <c r="K38" s="136">
        <f>'New patients in hospital'!K35*VLOOKUP(K$7,'Splitting Admissions CCU Ward'!$B$62:$D$79,2,FALSE)</f>
        <v>0.96041071079949658</v>
      </c>
      <c r="L38" s="136">
        <f>'New patients in hospital'!L35*VLOOKUP(L$7,'Splitting Admissions CCU Ward'!$B$62:$D$79,2,FALSE)</f>
        <v>1.5844423033226245</v>
      </c>
      <c r="M38" s="136">
        <f>'New patients in hospital'!M35*VLOOKUP(M$7,'Splitting Admissions CCU Ward'!$B$62:$D$79,2,FALSE)</f>
        <v>2.305252188293367</v>
      </c>
      <c r="N38" s="136">
        <f>'New patients in hospital'!N35*VLOOKUP(N$7,'Splitting Admissions CCU Ward'!$B$62:$D$79,2,FALSE)</f>
        <v>3.3602308957186668</v>
      </c>
      <c r="O38" s="136">
        <f>'New patients in hospital'!O35*VLOOKUP(O$7,'Splitting Admissions CCU Ward'!$B$62:$D$79,2,FALSE)</f>
        <v>4.1864413230576627</v>
      </c>
      <c r="P38" s="136">
        <f>'New patients in hospital'!P35*VLOOKUP(P$7,'Splitting Admissions CCU Ward'!$B$62:$D$79,2,FALSE)</f>
        <v>4.3686024338469087</v>
      </c>
      <c r="Q38" s="136">
        <f>'New patients in hospital'!Q35*VLOOKUP(Q$7,'Splitting Admissions CCU Ward'!$B$62:$D$79,2,FALSE)</f>
        <v>5.1727849088350579</v>
      </c>
      <c r="R38" s="136">
        <f>'New patients in hospital'!R35*VLOOKUP(R$7,'Splitting Admissions CCU Ward'!$B$62:$D$79,2,FALSE)</f>
        <v>4.0903735135649049</v>
      </c>
      <c r="S38" s="136">
        <f>'New patients in hospital'!S35*VLOOKUP(S$7,'Splitting Admissions CCU Ward'!$B$62:$D$79,2,FALSE)</f>
        <v>3.7887512258623635</v>
      </c>
      <c r="T38" s="136">
        <f>'New patients in hospital'!T35*VLOOKUP(T$7,'Splitting Admissions CCU Ward'!$B$62:$D$79,2,FALSE)</f>
        <v>1.8284888635801677</v>
      </c>
    </row>
    <row r="40" spans="1:25" x14ac:dyDescent="0.25">
      <c r="A40" s="138" t="s">
        <v>296</v>
      </c>
      <c r="B40" s="128"/>
      <c r="C40" s="142">
        <f>CC_Beds_Daily</f>
        <v>3444</v>
      </c>
    </row>
    <row r="41" spans="1:25" x14ac:dyDescent="0.25">
      <c r="A41" t="s">
        <v>297</v>
      </c>
    </row>
    <row r="42" spans="1:25" x14ac:dyDescent="0.25">
      <c r="A42" s="133" t="s">
        <v>231</v>
      </c>
      <c r="B42" s="133" t="s">
        <v>232</v>
      </c>
      <c r="C42" s="137" t="s">
        <v>82</v>
      </c>
      <c r="D42" s="292" t="s">
        <v>179</v>
      </c>
      <c r="E42" s="138" t="s">
        <v>182</v>
      </c>
      <c r="F42" s="138" t="s">
        <v>184</v>
      </c>
      <c r="G42" s="138" t="s">
        <v>186</v>
      </c>
      <c r="H42" s="138" t="s">
        <v>188</v>
      </c>
      <c r="I42" s="138" t="s">
        <v>190</v>
      </c>
      <c r="J42" s="138" t="s">
        <v>191</v>
      </c>
      <c r="K42" s="138" t="s">
        <v>192</v>
      </c>
      <c r="L42" s="138" t="s">
        <v>193</v>
      </c>
      <c r="M42" s="138" t="s">
        <v>194</v>
      </c>
      <c r="N42" s="138" t="s">
        <v>195</v>
      </c>
      <c r="O42" s="138" t="s">
        <v>197</v>
      </c>
      <c r="P42" s="138" t="s">
        <v>199</v>
      </c>
      <c r="Q42" s="138" t="s">
        <v>201</v>
      </c>
      <c r="R42" s="138" t="s">
        <v>203</v>
      </c>
      <c r="S42" s="138" t="s">
        <v>205</v>
      </c>
      <c r="T42" s="138" t="s">
        <v>189</v>
      </c>
    </row>
    <row r="43" spans="1:25" x14ac:dyDescent="0.25">
      <c r="A43" s="139">
        <v>44104</v>
      </c>
      <c r="B43" s="130" t="s">
        <v>233</v>
      </c>
      <c r="C43" s="137">
        <f>MIN(C8,$C$40)</f>
        <v>221.81976402724467</v>
      </c>
      <c r="D43" s="136">
        <f>$C43/$C8*D8</f>
        <v>0</v>
      </c>
      <c r="E43" s="136">
        <f t="shared" ref="E43:T58" si="1">$C43/$C8*E8</f>
        <v>0</v>
      </c>
      <c r="F43" s="136">
        <f t="shared" si="1"/>
        <v>0</v>
      </c>
      <c r="G43" s="136">
        <f t="shared" si="1"/>
        <v>0.98553716598520857</v>
      </c>
      <c r="H43" s="136">
        <f t="shared" si="1"/>
        <v>2.0897587112063261</v>
      </c>
      <c r="I43" s="136">
        <f t="shared" si="1"/>
        <v>3.0310400698695696</v>
      </c>
      <c r="J43" s="136">
        <f t="shared" si="1"/>
        <v>4.8970363682906992</v>
      </c>
      <c r="K43" s="136">
        <f t="shared" si="1"/>
        <v>6.398019927488928</v>
      </c>
      <c r="L43" s="136">
        <f t="shared" si="1"/>
        <v>10.555164906663517</v>
      </c>
      <c r="M43" s="136">
        <f t="shared" si="1"/>
        <v>15.357023066007393</v>
      </c>
      <c r="N43" s="136">
        <f t="shared" si="1"/>
        <v>22.385031726557116</v>
      </c>
      <c r="O43" s="136">
        <f t="shared" si="1"/>
        <v>27.889042374265948</v>
      </c>
      <c r="P43" s="136">
        <f t="shared" si="1"/>
        <v>29.102554889003439</v>
      </c>
      <c r="Q43" s="136">
        <f t="shared" si="1"/>
        <v>34.459820736266252</v>
      </c>
      <c r="R43" s="136">
        <f t="shared" si="1"/>
        <v>27.249062256787653</v>
      </c>
      <c r="S43" s="136">
        <f t="shared" si="1"/>
        <v>25.239728764776512</v>
      </c>
      <c r="T43" s="136">
        <f t="shared" si="1"/>
        <v>12.180943064076072</v>
      </c>
    </row>
    <row r="44" spans="1:25" x14ac:dyDescent="0.25">
      <c r="A44" s="139">
        <v>44111</v>
      </c>
      <c r="B44" s="130" t="s">
        <v>233</v>
      </c>
      <c r="C44" s="137">
        <f t="shared" ref="C44:C73" si="2">MIN(C9,$C$40)</f>
        <v>332.14240699031831</v>
      </c>
      <c r="D44" s="136">
        <f t="shared" ref="D44:S73" si="3">$C44/$C9*D9</f>
        <v>0</v>
      </c>
      <c r="E44" s="136">
        <f t="shared" si="3"/>
        <v>0</v>
      </c>
      <c r="F44" s="136">
        <f t="shared" si="3"/>
        <v>0</v>
      </c>
      <c r="G44" s="136">
        <f t="shared" si="3"/>
        <v>1.4756966671758753</v>
      </c>
      <c r="H44" s="136">
        <f t="shared" si="3"/>
        <v>3.1291057017074606</v>
      </c>
      <c r="I44" s="136">
        <f t="shared" si="3"/>
        <v>4.5385358194093586</v>
      </c>
      <c r="J44" s="136">
        <f t="shared" si="3"/>
        <v>7.3325902839001582</v>
      </c>
      <c r="K44" s="136">
        <f t="shared" si="3"/>
        <v>9.5800919634338282</v>
      </c>
      <c r="L44" s="136">
        <f t="shared" si="3"/>
        <v>15.804803930132946</v>
      </c>
      <c r="M44" s="136">
        <f t="shared" si="3"/>
        <v>22.994878872574429</v>
      </c>
      <c r="N44" s="136">
        <f t="shared" si="3"/>
        <v>33.51828612215153</v>
      </c>
      <c r="O44" s="136">
        <f t="shared" si="3"/>
        <v>41.75973093951152</v>
      </c>
      <c r="P44" s="136">
        <f t="shared" si="3"/>
        <v>43.576787094653227</v>
      </c>
      <c r="Q44" s="136">
        <f t="shared" si="3"/>
        <v>51.598503199167467</v>
      </c>
      <c r="R44" s="136">
        <f t="shared" si="3"/>
        <v>40.801455027636152</v>
      </c>
      <c r="S44" s="136">
        <f t="shared" si="3"/>
        <v>37.792774239386503</v>
      </c>
      <c r="T44" s="136">
        <f t="shared" si="1"/>
        <v>18.239167129477835</v>
      </c>
    </row>
    <row r="45" spans="1:25" ht="15.75" thickBot="1" x14ac:dyDescent="0.3">
      <c r="A45" s="139">
        <v>44118</v>
      </c>
      <c r="B45" s="130" t="s">
        <v>233</v>
      </c>
      <c r="C45" s="137">
        <f t="shared" si="2"/>
        <v>457.49836964743753</v>
      </c>
      <c r="D45" s="136">
        <f t="shared" si="3"/>
        <v>0</v>
      </c>
      <c r="E45" s="136">
        <f t="shared" si="1"/>
        <v>0</v>
      </c>
      <c r="F45" s="136">
        <f t="shared" si="1"/>
        <v>0</v>
      </c>
      <c r="G45" s="136">
        <f t="shared" si="1"/>
        <v>2.0326486624961433</v>
      </c>
      <c r="H45" s="136">
        <f t="shared" si="1"/>
        <v>4.3100812388205307</v>
      </c>
      <c r="I45" s="136">
        <f t="shared" si="1"/>
        <v>6.2514532750610288</v>
      </c>
      <c r="J45" s="136">
        <f t="shared" si="1"/>
        <v>10.100029474028435</v>
      </c>
      <c r="K45" s="136">
        <f t="shared" si="1"/>
        <v>13.195774951047586</v>
      </c>
      <c r="L45" s="136">
        <f t="shared" si="1"/>
        <v>21.769794758077982</v>
      </c>
      <c r="M45" s="136">
        <f t="shared" si="1"/>
        <v>31.673521275919938</v>
      </c>
      <c r="N45" s="136">
        <f t="shared" si="1"/>
        <v>46.168634090460017</v>
      </c>
      <c r="O45" s="136">
        <f t="shared" si="1"/>
        <v>57.520534625074461</v>
      </c>
      <c r="P45" s="136">
        <f t="shared" si="1"/>
        <v>60.023377414912495</v>
      </c>
      <c r="Q45" s="136">
        <f t="shared" si="1"/>
        <v>71.072620036005546</v>
      </c>
      <c r="R45" s="136">
        <f t="shared" si="1"/>
        <v>56.200589751644991</v>
      </c>
      <c r="S45" s="136">
        <f t="shared" si="1"/>
        <v>52.056383753120073</v>
      </c>
      <c r="T45" s="136">
        <f t="shared" si="1"/>
        <v>25.122926340768263</v>
      </c>
    </row>
    <row r="46" spans="1:25" ht="14.45" customHeight="1" thickTop="1" x14ac:dyDescent="0.25">
      <c r="A46" s="139">
        <v>44125</v>
      </c>
      <c r="B46" s="130" t="s">
        <v>233</v>
      </c>
      <c r="C46" s="137">
        <f t="shared" si="2"/>
        <v>595.06890455596863</v>
      </c>
      <c r="D46" s="136">
        <f t="shared" si="3"/>
        <v>0</v>
      </c>
      <c r="E46" s="136">
        <f t="shared" si="1"/>
        <v>0</v>
      </c>
      <c r="F46" s="136">
        <f t="shared" si="1"/>
        <v>0</v>
      </c>
      <c r="G46" s="136">
        <f t="shared" si="1"/>
        <v>2.6438695592967121</v>
      </c>
      <c r="H46" s="136">
        <f t="shared" si="1"/>
        <v>5.6061299700557985</v>
      </c>
      <c r="I46" s="136">
        <f t="shared" si="1"/>
        <v>8.1312758669286005</v>
      </c>
      <c r="J46" s="136">
        <f t="shared" si="1"/>
        <v>13.137125449703253</v>
      </c>
      <c r="K46" s="136">
        <f t="shared" si="1"/>
        <v>17.16376683689229</v>
      </c>
      <c r="L46" s="136">
        <f t="shared" si="1"/>
        <v>28.316008927159452</v>
      </c>
      <c r="M46" s="136">
        <f t="shared" si="1"/>
        <v>41.197802789147964</v>
      </c>
      <c r="N46" s="136">
        <f t="shared" si="1"/>
        <v>60.051620586598688</v>
      </c>
      <c r="O46" s="136">
        <f t="shared" si="1"/>
        <v>74.817056845895237</v>
      </c>
      <c r="P46" s="136">
        <f t="shared" si="1"/>
        <v>78.072508703291973</v>
      </c>
      <c r="Q46" s="136">
        <f t="shared" si="1"/>
        <v>92.444277301667313</v>
      </c>
      <c r="R46" s="136">
        <f t="shared" si="1"/>
        <v>73.100202312596593</v>
      </c>
      <c r="S46" s="136">
        <f t="shared" si="1"/>
        <v>67.709826548641544</v>
      </c>
      <c r="T46" s="136">
        <f t="shared" si="1"/>
        <v>32.67743285809324</v>
      </c>
      <c r="V46" s="519" t="s">
        <v>298</v>
      </c>
      <c r="W46" s="520"/>
      <c r="X46" s="520"/>
      <c r="Y46" s="521"/>
    </row>
    <row r="47" spans="1:25" x14ac:dyDescent="0.25">
      <c r="A47" s="139">
        <v>44132</v>
      </c>
      <c r="B47" s="130" t="s">
        <v>233</v>
      </c>
      <c r="C47" s="137">
        <f t="shared" si="2"/>
        <v>762.86267593273715</v>
      </c>
      <c r="D47" s="136">
        <f t="shared" si="3"/>
        <v>0</v>
      </c>
      <c r="E47" s="136">
        <f t="shared" si="1"/>
        <v>0</v>
      </c>
      <c r="F47" s="136">
        <f t="shared" si="1"/>
        <v>0</v>
      </c>
      <c r="G47" s="136">
        <f t="shared" si="1"/>
        <v>3.3893711995036666</v>
      </c>
      <c r="H47" s="136">
        <f t="shared" si="1"/>
        <v>7.1869110918754808</v>
      </c>
      <c r="I47" s="136">
        <f t="shared" si="1"/>
        <v>10.424081680458601</v>
      </c>
      <c r="J47" s="136">
        <f t="shared" si="1"/>
        <v>16.841449112691947</v>
      </c>
      <c r="K47" s="136">
        <f t="shared" si="1"/>
        <v>22.003497406821261</v>
      </c>
      <c r="L47" s="136">
        <f t="shared" si="1"/>
        <v>36.300378286488751</v>
      </c>
      <c r="M47" s="136">
        <f t="shared" si="1"/>
        <v>52.814499022982709</v>
      </c>
      <c r="N47" s="136">
        <f t="shared" si="1"/>
        <v>76.984597286214608</v>
      </c>
      <c r="O47" s="136">
        <f t="shared" si="1"/>
        <v>95.913498006520697</v>
      </c>
      <c r="P47" s="136">
        <f t="shared" si="1"/>
        <v>100.08690161791758</v>
      </c>
      <c r="Q47" s="136">
        <f t="shared" si="1"/>
        <v>118.51113075659798</v>
      </c>
      <c r="R47" s="136">
        <f t="shared" si="1"/>
        <v>93.712535675214298</v>
      </c>
      <c r="S47" s="136">
        <f t="shared" si="1"/>
        <v>86.802215797817709</v>
      </c>
      <c r="T47" s="136">
        <f t="shared" si="1"/>
        <v>41.891608991631898</v>
      </c>
      <c r="V47" s="522"/>
      <c r="W47" s="514"/>
      <c r="X47" s="514"/>
      <c r="Y47" s="523"/>
    </row>
    <row r="48" spans="1:25" x14ac:dyDescent="0.25">
      <c r="A48" s="139">
        <v>44139</v>
      </c>
      <c r="B48" s="130" t="s">
        <v>233</v>
      </c>
      <c r="C48" s="137">
        <f t="shared" si="2"/>
        <v>834.66243717981922</v>
      </c>
      <c r="D48" s="136">
        <f t="shared" si="3"/>
        <v>0</v>
      </c>
      <c r="E48" s="136">
        <f t="shared" si="1"/>
        <v>0</v>
      </c>
      <c r="F48" s="136">
        <f t="shared" si="1"/>
        <v>0</v>
      </c>
      <c r="G48" s="136">
        <f t="shared" si="1"/>
        <v>3.7083749344872303</v>
      </c>
      <c r="H48" s="136">
        <f t="shared" si="1"/>
        <v>7.8633349316835286</v>
      </c>
      <c r="I48" s="136">
        <f t="shared" si="1"/>
        <v>11.405184308086696</v>
      </c>
      <c r="J48" s="136">
        <f t="shared" si="1"/>
        <v>18.426547012346933</v>
      </c>
      <c r="K48" s="136">
        <f t="shared" si="1"/>
        <v>24.074441379114713</v>
      </c>
      <c r="L48" s="136">
        <f t="shared" si="1"/>
        <v>39.716928310989438</v>
      </c>
      <c r="M48" s="136">
        <f t="shared" si="1"/>
        <v>57.785339175304905</v>
      </c>
      <c r="N48" s="136">
        <f t="shared" si="1"/>
        <v>84.230299401729212</v>
      </c>
      <c r="O48" s="136">
        <f t="shared" si="1"/>
        <v>104.94076657595305</v>
      </c>
      <c r="P48" s="136">
        <f t="shared" si="1"/>
        <v>109.50696615488057</v>
      </c>
      <c r="Q48" s="136">
        <f t="shared" si="1"/>
        <v>129.665262636286</v>
      </c>
      <c r="R48" s="136">
        <f t="shared" si="1"/>
        <v>102.53265219108944</v>
      </c>
      <c r="S48" s="136">
        <f t="shared" si="1"/>
        <v>94.971940922173545</v>
      </c>
      <c r="T48" s="136">
        <f t="shared" si="1"/>
        <v>45.834399245693938</v>
      </c>
      <c r="V48" s="522"/>
      <c r="W48" s="514"/>
      <c r="X48" s="514"/>
      <c r="Y48" s="523"/>
    </row>
    <row r="49" spans="1:25" x14ac:dyDescent="0.25">
      <c r="A49" s="139">
        <v>44146</v>
      </c>
      <c r="B49" s="130" t="s">
        <v>233</v>
      </c>
      <c r="C49" s="137">
        <f t="shared" si="2"/>
        <v>925.48874366467749</v>
      </c>
      <c r="D49" s="136">
        <f t="shared" si="3"/>
        <v>0</v>
      </c>
      <c r="E49" s="136">
        <f t="shared" si="1"/>
        <v>0</v>
      </c>
      <c r="F49" s="136">
        <f t="shared" si="1"/>
        <v>0</v>
      </c>
      <c r="G49" s="136">
        <f t="shared" si="1"/>
        <v>4.1119129198535704</v>
      </c>
      <c r="H49" s="136">
        <f t="shared" si="1"/>
        <v>8.7190074007973077</v>
      </c>
      <c r="I49" s="136">
        <f t="shared" si="1"/>
        <v>12.64627378251264</v>
      </c>
      <c r="J49" s="136">
        <f t="shared" si="1"/>
        <v>20.431687212564796</v>
      </c>
      <c r="K49" s="136">
        <f t="shared" si="1"/>
        <v>26.69417421211406</v>
      </c>
      <c r="L49" s="136">
        <f t="shared" si="1"/>
        <v>44.038845463029567</v>
      </c>
      <c r="M49" s="136">
        <f t="shared" si="1"/>
        <v>64.073424864174854</v>
      </c>
      <c r="N49" s="136">
        <f t="shared" si="1"/>
        <v>93.396073070210065</v>
      </c>
      <c r="O49" s="136">
        <f t="shared" si="1"/>
        <v>116.36021209453708</v>
      </c>
      <c r="P49" s="136">
        <f t="shared" si="1"/>
        <v>121.42329643064619</v>
      </c>
      <c r="Q49" s="136">
        <f t="shared" si="1"/>
        <v>143.77517864548784</v>
      </c>
      <c r="R49" s="136">
        <f t="shared" si="1"/>
        <v>113.69005149143314</v>
      </c>
      <c r="S49" s="136">
        <f t="shared" si="1"/>
        <v>105.30659865854513</v>
      </c>
      <c r="T49" s="136">
        <f t="shared" si="1"/>
        <v>50.822007418771328</v>
      </c>
      <c r="V49" s="522"/>
      <c r="W49" s="514"/>
      <c r="X49" s="514"/>
      <c r="Y49" s="523"/>
    </row>
    <row r="50" spans="1:25" x14ac:dyDescent="0.25">
      <c r="A50" s="139">
        <v>44153</v>
      </c>
      <c r="B50" s="130" t="s">
        <v>233</v>
      </c>
      <c r="C50" s="137">
        <f t="shared" si="2"/>
        <v>948.11702174581899</v>
      </c>
      <c r="D50" s="136">
        <f t="shared" si="3"/>
        <v>0</v>
      </c>
      <c r="E50" s="136">
        <f t="shared" si="1"/>
        <v>0</v>
      </c>
      <c r="F50" s="136">
        <f t="shared" si="1"/>
        <v>0</v>
      </c>
      <c r="G50" s="136">
        <f>$C50/$C15*G15</f>
        <v>4.2124495386215646</v>
      </c>
      <c r="H50" s="136">
        <f t="shared" si="1"/>
        <v>8.9321878693954826</v>
      </c>
      <c r="I50" s="136">
        <f t="shared" si="1"/>
        <v>12.955476246399796</v>
      </c>
      <c r="J50" s="136">
        <f t="shared" si="1"/>
        <v>20.931243693481143</v>
      </c>
      <c r="K50" s="136">
        <f t="shared" si="1"/>
        <v>27.346849029990622</v>
      </c>
      <c r="L50" s="136">
        <f t="shared" si="1"/>
        <v>45.115598960391289</v>
      </c>
      <c r="M50" s="136">
        <f t="shared" si="1"/>
        <v>65.640025522867461</v>
      </c>
      <c r="N50" s="136">
        <f t="shared" si="1"/>
        <v>95.67961495830572</v>
      </c>
      <c r="O50" s="136">
        <f t="shared" si="1"/>
        <v>119.20522912459808</v>
      </c>
      <c r="P50" s="136">
        <f t="shared" si="1"/>
        <v>124.39210630107401</v>
      </c>
      <c r="Q50" s="136">
        <f t="shared" si="1"/>
        <v>147.29049392709075</v>
      </c>
      <c r="R50" s="136">
        <f t="shared" si="1"/>
        <v>116.46978286884635</v>
      </c>
      <c r="S50" s="136">
        <f t="shared" si="1"/>
        <v>107.88135390493427</v>
      </c>
      <c r="T50" s="136">
        <f t="shared" si="1"/>
        <v>52.064609799822506</v>
      </c>
      <c r="V50" s="522"/>
      <c r="W50" s="514"/>
      <c r="X50" s="514"/>
      <c r="Y50" s="523"/>
    </row>
    <row r="51" spans="1:25" x14ac:dyDescent="0.25">
      <c r="A51" s="139">
        <v>44160</v>
      </c>
      <c r="B51" s="130" t="s">
        <v>233</v>
      </c>
      <c r="C51" s="137">
        <f t="shared" si="2"/>
        <v>851.34002621540094</v>
      </c>
      <c r="D51" s="136">
        <f t="shared" si="3"/>
        <v>0</v>
      </c>
      <c r="E51" s="136">
        <f t="shared" si="1"/>
        <v>0</v>
      </c>
      <c r="F51" s="136">
        <f t="shared" si="1"/>
        <v>0</v>
      </c>
      <c r="G51" s="136">
        <f t="shared" si="1"/>
        <v>3.7824728576622566</v>
      </c>
      <c r="H51" s="136">
        <f t="shared" si="1"/>
        <v>8.0204541005811461</v>
      </c>
      <c r="I51" s="136">
        <f t="shared" si="1"/>
        <v>11.633074013304562</v>
      </c>
      <c r="J51" s="136">
        <f t="shared" si="1"/>
        <v>18.794732238766247</v>
      </c>
      <c r="K51" s="136">
        <f t="shared" si="1"/>
        <v>24.555478528622352</v>
      </c>
      <c r="L51" s="136">
        <f t="shared" si="1"/>
        <v>40.51052171907957</v>
      </c>
      <c r="M51" s="136">
        <f t="shared" si="1"/>
        <v>58.939961806106027</v>
      </c>
      <c r="N51" s="136">
        <f t="shared" si="1"/>
        <v>85.913325083958881</v>
      </c>
      <c r="O51" s="136">
        <f t="shared" si="1"/>
        <v>107.03761303755512</v>
      </c>
      <c r="P51" s="136">
        <f t="shared" si="1"/>
        <v>111.69505093827547</v>
      </c>
      <c r="Q51" s="136">
        <f t="shared" si="1"/>
        <v>132.25613514487219</v>
      </c>
      <c r="R51" s="136">
        <f t="shared" si="1"/>
        <v>104.58138154537667</v>
      </c>
      <c r="S51" s="136">
        <f t="shared" si="1"/>
        <v>96.86959790307624</v>
      </c>
      <c r="T51" s="136">
        <f t="shared" si="1"/>
        <v>46.750227298164184</v>
      </c>
      <c r="V51" s="522"/>
      <c r="W51" s="514"/>
      <c r="X51" s="514"/>
      <c r="Y51" s="523"/>
    </row>
    <row r="52" spans="1:25" x14ac:dyDescent="0.25">
      <c r="A52" s="139">
        <v>44167</v>
      </c>
      <c r="B52" s="130" t="s">
        <v>233</v>
      </c>
      <c r="C52" s="137">
        <f t="shared" si="2"/>
        <v>758.32136060849439</v>
      </c>
      <c r="D52" s="136">
        <f t="shared" si="3"/>
        <v>0</v>
      </c>
      <c r="E52" s="136">
        <f t="shared" si="1"/>
        <v>0</v>
      </c>
      <c r="F52" s="136">
        <f t="shared" si="1"/>
        <v>0</v>
      </c>
      <c r="G52" s="136">
        <f t="shared" si="1"/>
        <v>3.3691943002353497</v>
      </c>
      <c r="H52" s="136">
        <f t="shared" si="1"/>
        <v>7.1441274684197911</v>
      </c>
      <c r="I52" s="136">
        <f t="shared" si="1"/>
        <v>10.362027206737302</v>
      </c>
      <c r="J52" s="136">
        <f t="shared" si="1"/>
        <v>16.741192102681055</v>
      </c>
      <c r="K52" s="136">
        <f t="shared" si="1"/>
        <v>21.872510765171292</v>
      </c>
      <c r="L52" s="136">
        <f t="shared" si="1"/>
        <v>36.084282428886752</v>
      </c>
      <c r="M52" s="136">
        <f t="shared" si="1"/>
        <v>52.500094738539211</v>
      </c>
      <c r="N52" s="136">
        <f t="shared" si="1"/>
        <v>76.526308602790564</v>
      </c>
      <c r="O52" s="136">
        <f t="shared" si="1"/>
        <v>95.34252573059149</v>
      </c>
      <c r="P52" s="136">
        <f t="shared" si="1"/>
        <v>99.491085104129311</v>
      </c>
      <c r="Q52" s="136">
        <f t="shared" si="1"/>
        <v>117.80563495613789</v>
      </c>
      <c r="R52" s="136">
        <f t="shared" si="1"/>
        <v>93.154665710197108</v>
      </c>
      <c r="S52" s="136">
        <f t="shared" si="1"/>
        <v>86.285482910999121</v>
      </c>
      <c r="T52" s="136">
        <f t="shared" si="1"/>
        <v>41.642228582978035</v>
      </c>
      <c r="V52" s="522"/>
      <c r="W52" s="514"/>
      <c r="X52" s="514"/>
      <c r="Y52" s="523"/>
    </row>
    <row r="53" spans="1:25" x14ac:dyDescent="0.25">
      <c r="A53" s="139">
        <v>44174</v>
      </c>
      <c r="B53" s="130" t="s">
        <v>233</v>
      </c>
      <c r="C53" s="137">
        <f t="shared" si="2"/>
        <v>859.79626854330161</v>
      </c>
      <c r="D53" s="136">
        <f t="shared" si="3"/>
        <v>0</v>
      </c>
      <c r="E53" s="136">
        <f t="shared" si="1"/>
        <v>0</v>
      </c>
      <c r="F53" s="136">
        <f t="shared" si="1"/>
        <v>0</v>
      </c>
      <c r="G53" s="136">
        <f t="shared" si="1"/>
        <v>3.820043635610157</v>
      </c>
      <c r="H53" s="136">
        <f t="shared" si="1"/>
        <v>8.100120158050359</v>
      </c>
      <c r="I53" s="136">
        <f t="shared" si="1"/>
        <v>11.748623722992496</v>
      </c>
      <c r="J53" s="136">
        <f t="shared" si="1"/>
        <v>18.981417705683082</v>
      </c>
      <c r="K53" s="136">
        <f t="shared" si="1"/>
        <v>24.799384688936083</v>
      </c>
      <c r="L53" s="136">
        <f t="shared" si="1"/>
        <v>40.912907109097098</v>
      </c>
      <c r="M53" s="136">
        <f t="shared" si="1"/>
        <v>59.52540426679392</v>
      </c>
      <c r="N53" s="136">
        <f t="shared" si="1"/>
        <v>86.766690218610549</v>
      </c>
      <c r="O53" s="136">
        <f t="shared" si="1"/>
        <v>108.10080279273363</v>
      </c>
      <c r="P53" s="136">
        <f t="shared" si="1"/>
        <v>112.8045023777433</v>
      </c>
      <c r="Q53" s="136">
        <f t="shared" si="1"/>
        <v>133.56981698021167</v>
      </c>
      <c r="R53" s="136">
        <f t="shared" si="1"/>
        <v>105.62017389402936</v>
      </c>
      <c r="S53" s="136">
        <f t="shared" si="1"/>
        <v>97.83179017508327</v>
      </c>
      <c r="T53" s="136">
        <f t="shared" si="1"/>
        <v>47.214590817726567</v>
      </c>
      <c r="V53" s="522"/>
      <c r="W53" s="514"/>
      <c r="X53" s="514"/>
      <c r="Y53" s="523"/>
    </row>
    <row r="54" spans="1:25" x14ac:dyDescent="0.25">
      <c r="A54" s="139">
        <v>44181</v>
      </c>
      <c r="B54" s="130" t="s">
        <v>233</v>
      </c>
      <c r="C54" s="137">
        <f t="shared" si="2"/>
        <v>1016.2367516094627</v>
      </c>
      <c r="D54" s="136">
        <f t="shared" si="3"/>
        <v>0</v>
      </c>
      <c r="E54" s="136">
        <f t="shared" si="1"/>
        <v>0</v>
      </c>
      <c r="F54" s="136">
        <f t="shared" si="1"/>
        <v>0</v>
      </c>
      <c r="G54" s="136">
        <f t="shared" si="1"/>
        <v>4.5151030276463198</v>
      </c>
      <c r="H54" s="136">
        <f>$C54/$C19*H19</f>
        <v>9.5739422212308174</v>
      </c>
      <c r="I54" s="136">
        <f t="shared" si="1"/>
        <v>13.886293352219251</v>
      </c>
      <c r="J54" s="136">
        <f t="shared" si="1"/>
        <v>22.435098843644543</v>
      </c>
      <c r="K54" s="136">
        <f t="shared" si="1"/>
        <v>29.311648654740136</v>
      </c>
      <c r="L54" s="136">
        <f t="shared" si="1"/>
        <v>48.357036824421385</v>
      </c>
      <c r="M54" s="136">
        <f t="shared" si="1"/>
        <v>70.356089789519928</v>
      </c>
      <c r="N54" s="136">
        <f t="shared" si="1"/>
        <v>102.55394520966635</v>
      </c>
      <c r="O54" s="136">
        <f t="shared" si="1"/>
        <v>127.76981326353609</v>
      </c>
      <c r="P54" s="136">
        <f t="shared" si="1"/>
        <v>133.32935400789822</v>
      </c>
      <c r="Q54" s="136">
        <f t="shared" si="1"/>
        <v>157.87293093399211</v>
      </c>
      <c r="R54" s="136">
        <f t="shared" si="1"/>
        <v>124.83783234410411</v>
      </c>
      <c r="S54" s="136">
        <f t="shared" si="1"/>
        <v>115.63234720721297</v>
      </c>
      <c r="T54" s="136">
        <f t="shared" si="1"/>
        <v>55.805315929630545</v>
      </c>
      <c r="V54" s="522"/>
      <c r="W54" s="514"/>
      <c r="X54" s="514"/>
      <c r="Y54" s="523"/>
    </row>
    <row r="55" spans="1:25" x14ac:dyDescent="0.25">
      <c r="A55" s="139">
        <v>44188</v>
      </c>
      <c r="B55" s="130" t="s">
        <v>233</v>
      </c>
      <c r="C55" s="137">
        <f t="shared" si="2"/>
        <v>1205.2494273460559</v>
      </c>
      <c r="D55" s="136">
        <f t="shared" si="3"/>
        <v>0</v>
      </c>
      <c r="E55" s="136">
        <f t="shared" si="1"/>
        <v>0</v>
      </c>
      <c r="F55" s="136">
        <f t="shared" si="1"/>
        <v>0</v>
      </c>
      <c r="G55" s="136">
        <f t="shared" si="1"/>
        <v>5.354879490296617</v>
      </c>
      <c r="H55" s="136">
        <f t="shared" si="1"/>
        <v>11.354626135403803</v>
      </c>
      <c r="I55" s="136">
        <f t="shared" si="1"/>
        <v>16.469043344688416</v>
      </c>
      <c r="J55" s="136">
        <f t="shared" si="1"/>
        <v>26.607864743063445</v>
      </c>
      <c r="K55" s="136">
        <f t="shared" si="1"/>
        <v>34.763403015826711</v>
      </c>
      <c r="L55" s="136">
        <f t="shared" si="1"/>
        <v>57.351095449442823</v>
      </c>
      <c r="M55" s="136">
        <f t="shared" si="1"/>
        <v>83.441812938599284</v>
      </c>
      <c r="N55" s="136">
        <f t="shared" si="1"/>
        <v>121.628236274936</v>
      </c>
      <c r="O55" s="136">
        <f t="shared" si="1"/>
        <v>151.53407316169285</v>
      </c>
      <c r="P55" s="136">
        <f t="shared" si="1"/>
        <v>158.12764821970703</v>
      </c>
      <c r="Q55" s="136">
        <f t="shared" si="1"/>
        <v>187.23615269796906</v>
      </c>
      <c r="R55" s="136">
        <f t="shared" si="1"/>
        <v>148.05676502602623</v>
      </c>
      <c r="S55" s="136">
        <f t="shared" si="1"/>
        <v>137.13912632411044</v>
      </c>
      <c r="T55" s="136">
        <f t="shared" si="1"/>
        <v>66.184700524293319</v>
      </c>
      <c r="V55" s="522"/>
      <c r="W55" s="514"/>
      <c r="X55" s="514"/>
      <c r="Y55" s="523"/>
    </row>
    <row r="56" spans="1:25" x14ac:dyDescent="0.25">
      <c r="A56" s="139">
        <v>44195</v>
      </c>
      <c r="B56" s="130" t="s">
        <v>233</v>
      </c>
      <c r="C56" s="137">
        <f t="shared" si="2"/>
        <v>1512.8843912934772</v>
      </c>
      <c r="D56" s="136">
        <f t="shared" si="3"/>
        <v>0</v>
      </c>
      <c r="E56" s="136">
        <f t="shared" si="1"/>
        <v>0</v>
      </c>
      <c r="F56" s="136">
        <f t="shared" si="1"/>
        <v>0</v>
      </c>
      <c r="G56" s="136">
        <f t="shared" si="1"/>
        <v>6.7216904769382992</v>
      </c>
      <c r="H56" s="136">
        <f t="shared" si="1"/>
        <v>14.252847800186599</v>
      </c>
      <c r="I56" s="136">
        <f t="shared" si="1"/>
        <v>20.672698986946635</v>
      </c>
      <c r="J56" s="136">
        <f t="shared" si="1"/>
        <v>33.399412886732406</v>
      </c>
      <c r="K56" s="136">
        <f t="shared" si="1"/>
        <v>43.636618792425374</v>
      </c>
      <c r="L56" s="136">
        <f t="shared" si="1"/>
        <v>71.989726906654596</v>
      </c>
      <c r="M56" s="136">
        <f t="shared" si="1"/>
        <v>104.7399928278838</v>
      </c>
      <c r="N56" s="136">
        <f t="shared" si="1"/>
        <v>152.67334381240263</v>
      </c>
      <c r="O56" s="136">
        <f t="shared" si="1"/>
        <v>190.21252268110365</v>
      </c>
      <c r="P56" s="136">
        <f t="shared" si="1"/>
        <v>198.48908067960625</v>
      </c>
      <c r="Q56" s="136">
        <f t="shared" si="1"/>
        <v>235.02741131879156</v>
      </c>
      <c r="R56" s="136">
        <f t="shared" si="1"/>
        <v>185.84764593210414</v>
      </c>
      <c r="S56" s="136">
        <f t="shared" si="1"/>
        <v>172.14332481221734</v>
      </c>
      <c r="T56" s="136">
        <f t="shared" si="1"/>
        <v>83.078073379483897</v>
      </c>
      <c r="V56" s="522"/>
      <c r="W56" s="514"/>
      <c r="X56" s="514"/>
      <c r="Y56" s="523"/>
    </row>
    <row r="57" spans="1:25" x14ac:dyDescent="0.25">
      <c r="A57" s="139">
        <v>44202</v>
      </c>
      <c r="B57" s="130" t="s">
        <v>233</v>
      </c>
      <c r="C57" s="137">
        <f t="shared" si="2"/>
        <v>2021.5117076086838</v>
      </c>
      <c r="D57" s="136">
        <f t="shared" si="3"/>
        <v>0</v>
      </c>
      <c r="E57" s="136">
        <f t="shared" si="1"/>
        <v>0</v>
      </c>
      <c r="F57" s="136">
        <f t="shared" si="1"/>
        <v>0</v>
      </c>
      <c r="G57" s="136">
        <f t="shared" si="1"/>
        <v>8.9815031949898039</v>
      </c>
      <c r="H57" s="136">
        <f t="shared" si="1"/>
        <v>19.044613627223764</v>
      </c>
      <c r="I57" s="136">
        <f t="shared" si="1"/>
        <v>27.622800043731925</v>
      </c>
      <c r="J57" s="136">
        <f t="shared" si="1"/>
        <v>44.628198007952449</v>
      </c>
      <c r="K57" s="136">
        <f t="shared" si="1"/>
        <v>58.307122657221733</v>
      </c>
      <c r="L57" s="136">
        <f t="shared" si="1"/>
        <v>96.192462958079318</v>
      </c>
      <c r="M57" s="136">
        <f t="shared" si="1"/>
        <v>139.95327268555553</v>
      </c>
      <c r="N57" s="136">
        <f t="shared" si="1"/>
        <v>204.0016763558954</v>
      </c>
      <c r="O57" s="136">
        <f t="shared" si="1"/>
        <v>254.16141758517412</v>
      </c>
      <c r="P57" s="136">
        <f t="shared" si="1"/>
        <v>265.22053022389372</v>
      </c>
      <c r="Q57" s="136">
        <f t="shared" si="1"/>
        <v>314.04294097032198</v>
      </c>
      <c r="R57" s="136">
        <f t="shared" si="1"/>
        <v>248.32908201402881</v>
      </c>
      <c r="S57" s="136">
        <f t="shared" si="1"/>
        <v>230.01740813589834</v>
      </c>
      <c r="T57" s="136">
        <f t="shared" si="1"/>
        <v>111.00867914871728</v>
      </c>
      <c r="V57" s="522"/>
      <c r="W57" s="514"/>
      <c r="X57" s="514"/>
      <c r="Y57" s="523"/>
    </row>
    <row r="58" spans="1:25" x14ac:dyDescent="0.25">
      <c r="A58" s="139">
        <v>44209</v>
      </c>
      <c r="B58" s="130" t="s">
        <v>233</v>
      </c>
      <c r="C58" s="137">
        <f t="shared" si="2"/>
        <v>2305.6571095341592</v>
      </c>
      <c r="D58" s="136">
        <f t="shared" si="3"/>
        <v>0</v>
      </c>
      <c r="E58" s="136">
        <f t="shared" si="1"/>
        <v>0</v>
      </c>
      <c r="F58" s="136">
        <f t="shared" si="1"/>
        <v>0</v>
      </c>
      <c r="G58" s="136">
        <f t="shared" si="1"/>
        <v>10.243950909553984</v>
      </c>
      <c r="H58" s="136">
        <f t="shared" si="1"/>
        <v>21.721540687925408</v>
      </c>
      <c r="I58" s="136">
        <f t="shared" si="1"/>
        <v>31.50548427019033</v>
      </c>
      <c r="J58" s="136">
        <f t="shared" si="1"/>
        <v>50.901175410185751</v>
      </c>
      <c r="K58" s="136">
        <f t="shared" si="1"/>
        <v>66.5028213218378</v>
      </c>
      <c r="L58" s="136">
        <f t="shared" si="1"/>
        <v>109.71335722079793</v>
      </c>
      <c r="M58" s="136">
        <f t="shared" si="1"/>
        <v>159.62522351737371</v>
      </c>
      <c r="N58" s="136">
        <f t="shared" si="1"/>
        <v>232.67632518599626</v>
      </c>
      <c r="O58" s="136">
        <f t="shared" si="1"/>
        <v>289.88656222908912</v>
      </c>
      <c r="P58" s="136">
        <f t="shared" si="1"/>
        <v>302.50015312971561</v>
      </c>
      <c r="Q58" s="136">
        <f t="shared" si="1"/>
        <v>358.18508338186808</v>
      </c>
      <c r="R58" s="136">
        <f t="shared" si="1"/>
        <v>283.23442861829369</v>
      </c>
      <c r="S58" s="136">
        <f t="shared" si="1"/>
        <v>262.34885031287467</v>
      </c>
      <c r="T58" s="136">
        <f t="shared" si="1"/>
        <v>126.61215333845679</v>
      </c>
      <c r="V58" s="522"/>
      <c r="W58" s="514"/>
      <c r="X58" s="514"/>
      <c r="Y58" s="523"/>
    </row>
    <row r="59" spans="1:25" ht="15.75" thickBot="1" x14ac:dyDescent="0.3">
      <c r="A59" s="139">
        <v>44216</v>
      </c>
      <c r="B59" s="130" t="s">
        <v>233</v>
      </c>
      <c r="C59" s="137">
        <f t="shared" si="2"/>
        <v>2171.5317103888469</v>
      </c>
      <c r="D59" s="136">
        <f t="shared" si="3"/>
        <v>0</v>
      </c>
      <c r="E59" s="136">
        <f t="shared" ref="E59:T73" si="4">$C59/$C24*E24</f>
        <v>0</v>
      </c>
      <c r="F59" s="136">
        <f t="shared" si="4"/>
        <v>0</v>
      </c>
      <c r="G59" s="136">
        <f t="shared" si="4"/>
        <v>9.6480366259914501</v>
      </c>
      <c r="H59" s="136">
        <f t="shared" si="4"/>
        <v>20.457948498622041</v>
      </c>
      <c r="I59" s="136">
        <f t="shared" si="4"/>
        <v>29.6727374859734</v>
      </c>
      <c r="J59" s="136">
        <f t="shared" si="4"/>
        <v>47.940136476588165</v>
      </c>
      <c r="K59" s="136">
        <f t="shared" si="4"/>
        <v>62.634198612417208</v>
      </c>
      <c r="L59" s="136">
        <f t="shared" si="4"/>
        <v>103.33107784024214</v>
      </c>
      <c r="M59" s="136">
        <f t="shared" si="4"/>
        <v>150.33945559924072</v>
      </c>
      <c r="N59" s="136">
        <f t="shared" si="4"/>
        <v>219.14100596693788</v>
      </c>
      <c r="O59" s="136">
        <f t="shared" si="4"/>
        <v>273.0231913900077</v>
      </c>
      <c r="P59" s="136">
        <f t="shared" si="4"/>
        <v>284.90302057593414</v>
      </c>
      <c r="Q59" s="136">
        <f t="shared" si="4"/>
        <v>337.34862982690021</v>
      </c>
      <c r="R59" s="136">
        <f t="shared" si="4"/>
        <v>266.75802775494134</v>
      </c>
      <c r="S59" s="136">
        <f t="shared" si="4"/>
        <v>247.08741177631902</v>
      </c>
      <c r="T59" s="136">
        <f t="shared" si="4"/>
        <v>119.24683195873129</v>
      </c>
      <c r="V59" s="524"/>
      <c r="W59" s="525"/>
      <c r="X59" s="525"/>
      <c r="Y59" s="526"/>
    </row>
    <row r="60" spans="1:25" ht="15.75" thickTop="1" x14ac:dyDescent="0.25">
      <c r="A60" s="139">
        <v>44223</v>
      </c>
      <c r="B60" s="130" t="s">
        <v>233</v>
      </c>
      <c r="C60" s="137">
        <f t="shared" si="2"/>
        <v>1751.1468487360839</v>
      </c>
      <c r="D60" s="136">
        <f t="shared" si="3"/>
        <v>0</v>
      </c>
      <c r="E60" s="136">
        <f t="shared" si="4"/>
        <v>0</v>
      </c>
      <c r="F60" s="136">
        <f t="shared" si="4"/>
        <v>0</v>
      </c>
      <c r="G60" s="136">
        <f t="shared" si="4"/>
        <v>7.7802819333777595</v>
      </c>
      <c r="H60" s="136">
        <f t="shared" si="4"/>
        <v>16.497512734249732</v>
      </c>
      <c r="I60" s="136">
        <f t="shared" si="4"/>
        <v>23.928419047876073</v>
      </c>
      <c r="J60" s="136">
        <f t="shared" si="4"/>
        <v>38.659448774028064</v>
      </c>
      <c r="K60" s="136">
        <f t="shared" si="4"/>
        <v>50.508900698302114</v>
      </c>
      <c r="L60" s="136">
        <f t="shared" si="4"/>
        <v>83.327307849463295</v>
      </c>
      <c r="M60" s="136">
        <f t="shared" si="4"/>
        <v>121.23537623411765</v>
      </c>
      <c r="N60" s="136">
        <f t="shared" si="4"/>
        <v>176.71769663411575</v>
      </c>
      <c r="O60" s="136">
        <f t="shared" si="4"/>
        <v>220.16887846821672</v>
      </c>
      <c r="P60" s="136">
        <f t="shared" si="4"/>
        <v>229.74890225646382</v>
      </c>
      <c r="Q60" s="136">
        <f t="shared" si="4"/>
        <v>272.04161340155127</v>
      </c>
      <c r="R60" s="136">
        <f t="shared" si="4"/>
        <v>215.11658220016091</v>
      </c>
      <c r="S60" s="136">
        <f t="shared" si="4"/>
        <v>199.2539829947853</v>
      </c>
      <c r="T60" s="136">
        <f t="shared" si="4"/>
        <v>96.161945509375698</v>
      </c>
    </row>
    <row r="61" spans="1:25" x14ac:dyDescent="0.25">
      <c r="A61" s="139">
        <v>44230</v>
      </c>
      <c r="B61" s="130" t="s">
        <v>233</v>
      </c>
      <c r="C61" s="137">
        <f t="shared" si="2"/>
        <v>1410.1567067174994</v>
      </c>
      <c r="D61" s="136">
        <f t="shared" si="3"/>
        <v>0</v>
      </c>
      <c r="E61" s="136">
        <f t="shared" si="4"/>
        <v>0</v>
      </c>
      <c r="F61" s="136">
        <f t="shared" si="4"/>
        <v>0</v>
      </c>
      <c r="G61" s="136">
        <f t="shared" si="4"/>
        <v>6.2652751003860248</v>
      </c>
      <c r="H61" s="136">
        <f t="shared" si="4"/>
        <v>13.285052731671703</v>
      </c>
      <c r="I61" s="136">
        <f t="shared" si="4"/>
        <v>19.268983995182118</v>
      </c>
      <c r="J61" s="136">
        <f t="shared" si="4"/>
        <v>31.131530177520471</v>
      </c>
      <c r="K61" s="136">
        <f t="shared" si="4"/>
        <v>40.67361062268818</v>
      </c>
      <c r="L61" s="136">
        <f t="shared" si="4"/>
        <v>67.101489576071288</v>
      </c>
      <c r="M61" s="136">
        <f t="shared" si="4"/>
        <v>97.627951083230897</v>
      </c>
      <c r="N61" s="136">
        <f t="shared" si="4"/>
        <v>142.30653773218978</v>
      </c>
      <c r="O61" s="136">
        <f t="shared" si="4"/>
        <v>177.29673602560172</v>
      </c>
      <c r="P61" s="136">
        <f t="shared" si="4"/>
        <v>185.01130022977478</v>
      </c>
      <c r="Q61" s="136">
        <f t="shared" si="4"/>
        <v>219.06860976355637</v>
      </c>
      <c r="R61" s="136">
        <f t="shared" si="4"/>
        <v>173.22824258550853</v>
      </c>
      <c r="S61" s="136">
        <f t="shared" si="4"/>
        <v>160.45447054487292</v>
      </c>
      <c r="T61" s="136">
        <f t="shared" si="4"/>
        <v>77.436916549244643</v>
      </c>
    </row>
    <row r="62" spans="1:25" x14ac:dyDescent="0.25">
      <c r="A62" s="139">
        <v>44237</v>
      </c>
      <c r="B62" s="130" t="s">
        <v>233</v>
      </c>
      <c r="C62" s="137">
        <f t="shared" si="2"/>
        <v>1128.1253653739996</v>
      </c>
      <c r="D62" s="136">
        <f t="shared" si="3"/>
        <v>0</v>
      </c>
      <c r="E62" s="136">
        <f t="shared" si="4"/>
        <v>0</v>
      </c>
      <c r="F62" s="136">
        <f t="shared" si="4"/>
        <v>0</v>
      </c>
      <c r="G62" s="136">
        <f t="shared" si="4"/>
        <v>5.0122200803088193</v>
      </c>
      <c r="H62" s="136">
        <f t="shared" si="4"/>
        <v>10.628042185337362</v>
      </c>
      <c r="I62" s="136">
        <f t="shared" si="4"/>
        <v>15.415187196145697</v>
      </c>
      <c r="J62" s="136">
        <f t="shared" si="4"/>
        <v>24.90522414201638</v>
      </c>
      <c r="K62" s="136">
        <f t="shared" si="4"/>
        <v>32.538888498150541</v>
      </c>
      <c r="L62" s="136">
        <f t="shared" si="4"/>
        <v>53.681191660857024</v>
      </c>
      <c r="M62" s="136">
        <f t="shared" si="4"/>
        <v>78.102360866584718</v>
      </c>
      <c r="N62" s="136">
        <f t="shared" si="4"/>
        <v>113.84523018575183</v>
      </c>
      <c r="O62" s="136">
        <f t="shared" si="4"/>
        <v>141.83738882048138</v>
      </c>
      <c r="P62" s="136">
        <f t="shared" si="4"/>
        <v>148.00904018381982</v>
      </c>
      <c r="Q62" s="136">
        <f t="shared" si="4"/>
        <v>175.2548878108451</v>
      </c>
      <c r="R62" s="136">
        <f t="shared" si="4"/>
        <v>138.58259406840682</v>
      </c>
      <c r="S62" s="136">
        <f t="shared" si="4"/>
        <v>128.36357643589832</v>
      </c>
      <c r="T62" s="136">
        <f t="shared" si="4"/>
        <v>61.949533239395713</v>
      </c>
    </row>
    <row r="63" spans="1:25" x14ac:dyDescent="0.25">
      <c r="A63" s="139">
        <v>44244</v>
      </c>
      <c r="B63" s="130" t="s">
        <v>233</v>
      </c>
      <c r="C63" s="137">
        <f t="shared" si="2"/>
        <v>902.50029229919983</v>
      </c>
      <c r="D63" s="136">
        <f t="shared" si="3"/>
        <v>0</v>
      </c>
      <c r="E63" s="136">
        <f t="shared" si="4"/>
        <v>0</v>
      </c>
      <c r="F63" s="136">
        <f t="shared" si="4"/>
        <v>0</v>
      </c>
      <c r="G63" s="136">
        <f t="shared" si="4"/>
        <v>4.0097760642470561</v>
      </c>
      <c r="H63" s="136">
        <f t="shared" si="4"/>
        <v>8.5024337482698904</v>
      </c>
      <c r="I63" s="136">
        <f t="shared" si="4"/>
        <v>12.332149756916557</v>
      </c>
      <c r="J63" s="136">
        <f t="shared" si="4"/>
        <v>19.924179313613106</v>
      </c>
      <c r="K63" s="136">
        <f t="shared" si="4"/>
        <v>26.031110798520434</v>
      </c>
      <c r="L63" s="136">
        <f t="shared" si="4"/>
        <v>42.944953328685628</v>
      </c>
      <c r="M63" s="136">
        <f t="shared" si="4"/>
        <v>62.481888693267777</v>
      </c>
      <c r="N63" s="136">
        <f t="shared" si="4"/>
        <v>91.07618414860147</v>
      </c>
      <c r="O63" s="136">
        <f t="shared" si="4"/>
        <v>113.46991105638513</v>
      </c>
      <c r="P63" s="136">
        <f t="shared" si="4"/>
        <v>118.40723214705588</v>
      </c>
      <c r="Q63" s="136">
        <f t="shared" si="4"/>
        <v>140.2039102486761</v>
      </c>
      <c r="R63" s="136">
        <f t="shared" si="4"/>
        <v>110.86607525472546</v>
      </c>
      <c r="S63" s="136">
        <f t="shared" si="4"/>
        <v>102.69086114871868</v>
      </c>
      <c r="T63" s="136">
        <f t="shared" si="4"/>
        <v>49.559626591516576</v>
      </c>
    </row>
    <row r="64" spans="1:25" x14ac:dyDescent="0.25">
      <c r="A64" s="139">
        <v>44251</v>
      </c>
      <c r="B64" s="130" t="s">
        <v>233</v>
      </c>
      <c r="C64" s="137">
        <f t="shared" si="2"/>
        <v>722.00023383935968</v>
      </c>
      <c r="D64" s="136">
        <f t="shared" si="3"/>
        <v>0</v>
      </c>
      <c r="E64" s="136">
        <f t="shared" si="4"/>
        <v>0</v>
      </c>
      <c r="F64" s="136">
        <f t="shared" si="4"/>
        <v>0</v>
      </c>
      <c r="G64" s="136">
        <f t="shared" si="4"/>
        <v>3.2078208513976452</v>
      </c>
      <c r="H64" s="136">
        <f t="shared" si="4"/>
        <v>6.8019469986159127</v>
      </c>
      <c r="I64" s="136">
        <f t="shared" si="4"/>
        <v>9.8657198055332458</v>
      </c>
      <c r="J64" s="136">
        <f t="shared" si="4"/>
        <v>15.939343450890485</v>
      </c>
      <c r="K64" s="136">
        <f t="shared" si="4"/>
        <v>20.824888638816347</v>
      </c>
      <c r="L64" s="136">
        <f t="shared" si="4"/>
        <v>34.355962662948492</v>
      </c>
      <c r="M64" s="136">
        <f t="shared" si="4"/>
        <v>49.98551095461422</v>
      </c>
      <c r="N64" s="136">
        <f t="shared" si="4"/>
        <v>72.860947318881173</v>
      </c>
      <c r="O64" s="136">
        <f t="shared" si="4"/>
        <v>90.775928845108098</v>
      </c>
      <c r="P64" s="136">
        <f t="shared" si="4"/>
        <v>94.725785717644698</v>
      </c>
      <c r="Q64" s="136">
        <f t="shared" si="4"/>
        <v>112.16312819894087</v>
      </c>
      <c r="R64" s="136">
        <f t="shared" si="4"/>
        <v>88.69286020378037</v>
      </c>
      <c r="S64" s="136">
        <f t="shared" si="4"/>
        <v>82.152688918974945</v>
      </c>
      <c r="T64" s="136">
        <f t="shared" si="4"/>
        <v>39.647701273213258</v>
      </c>
    </row>
    <row r="65" spans="1:22" x14ac:dyDescent="0.25">
      <c r="A65" s="139">
        <v>44258</v>
      </c>
      <c r="B65" s="130" t="s">
        <v>233</v>
      </c>
      <c r="C65" s="137">
        <f t="shared" si="2"/>
        <v>577.60018707148777</v>
      </c>
      <c r="D65" s="136">
        <f t="shared" si="3"/>
        <v>0</v>
      </c>
      <c r="E65" s="136">
        <f t="shared" si="4"/>
        <v>0</v>
      </c>
      <c r="F65" s="136">
        <f t="shared" si="4"/>
        <v>0</v>
      </c>
      <c r="G65" s="136">
        <f t="shared" si="4"/>
        <v>2.5662566811181158</v>
      </c>
      <c r="H65" s="136">
        <f t="shared" si="4"/>
        <v>5.4415575988927296</v>
      </c>
      <c r="I65" s="136">
        <f t="shared" si="4"/>
        <v>7.8925758444265961</v>
      </c>
      <c r="J65" s="136">
        <f t="shared" si="4"/>
        <v>12.751474760712387</v>
      </c>
      <c r="K65" s="136">
        <f t="shared" si="4"/>
        <v>16.659910911053078</v>
      </c>
      <c r="L65" s="136">
        <f t="shared" si="4"/>
        <v>27.4847701303588</v>
      </c>
      <c r="M65" s="136">
        <f t="shared" si="4"/>
        <v>39.988408763691382</v>
      </c>
      <c r="N65" s="136">
        <f t="shared" si="4"/>
        <v>58.28875785510494</v>
      </c>
      <c r="O65" s="136">
        <f t="shared" si="4"/>
        <v>72.620743076086484</v>
      </c>
      <c r="P65" s="136">
        <f t="shared" si="4"/>
        <v>75.780628574115767</v>
      </c>
      <c r="Q65" s="136">
        <f t="shared" si="4"/>
        <v>89.730502559152697</v>
      </c>
      <c r="R65" s="136">
        <f t="shared" si="4"/>
        <v>70.954288163024287</v>
      </c>
      <c r="S65" s="136">
        <f t="shared" si="4"/>
        <v>65.722151135179956</v>
      </c>
      <c r="T65" s="136">
        <f t="shared" si="4"/>
        <v>31.718161018570605</v>
      </c>
    </row>
    <row r="66" spans="1:22" x14ac:dyDescent="0.25">
      <c r="A66" s="139">
        <v>44265</v>
      </c>
      <c r="B66" s="130" t="s">
        <v>233</v>
      </c>
      <c r="C66" s="137">
        <f t="shared" si="2"/>
        <v>404.3201309500414</v>
      </c>
      <c r="D66" s="136">
        <f t="shared" si="3"/>
        <v>0</v>
      </c>
      <c r="E66" s="136">
        <f t="shared" si="4"/>
        <v>0</v>
      </c>
      <c r="F66" s="136">
        <f t="shared" si="4"/>
        <v>0</v>
      </c>
      <c r="G66" s="136">
        <f t="shared" si="4"/>
        <v>1.796379676782681</v>
      </c>
      <c r="H66" s="136">
        <f t="shared" si="4"/>
        <v>3.8090903192249104</v>
      </c>
      <c r="I66" s="136">
        <f t="shared" si="4"/>
        <v>5.524803091098617</v>
      </c>
      <c r="J66" s="136">
        <f t="shared" si="4"/>
        <v>8.9260323324986697</v>
      </c>
      <c r="K66" s="136">
        <f t="shared" si="4"/>
        <v>11.661937637737154</v>
      </c>
      <c r="L66" s="136">
        <f t="shared" si="4"/>
        <v>19.239339091251157</v>
      </c>
      <c r="M66" s="136">
        <f t="shared" si="4"/>
        <v>27.991886134583961</v>
      </c>
      <c r="N66" s="136">
        <f t="shared" si="4"/>
        <v>40.802130498573455</v>
      </c>
      <c r="O66" s="136">
        <f t="shared" si="4"/>
        <v>50.834520153260527</v>
      </c>
      <c r="P66" s="136">
        <f t="shared" si="4"/>
        <v>53.046440001881024</v>
      </c>
      <c r="Q66" s="136">
        <f t="shared" si="4"/>
        <v>62.811351791406878</v>
      </c>
      <c r="R66" s="136">
        <f t="shared" si="4"/>
        <v>49.668001714116997</v>
      </c>
      <c r="S66" s="136">
        <f t="shared" si="4"/>
        <v>46.005505794625961</v>
      </c>
      <c r="T66" s="136">
        <f t="shared" si="4"/>
        <v>22.202712712999421</v>
      </c>
    </row>
    <row r="67" spans="1:22" x14ac:dyDescent="0.25">
      <c r="A67" s="139">
        <v>44272</v>
      </c>
      <c r="B67" s="130" t="s">
        <v>233</v>
      </c>
      <c r="C67" s="137">
        <f t="shared" si="2"/>
        <v>283.024091665029</v>
      </c>
      <c r="D67" s="136">
        <f t="shared" si="3"/>
        <v>0</v>
      </c>
      <c r="E67" s="136">
        <f t="shared" si="4"/>
        <v>0</v>
      </c>
      <c r="F67" s="136">
        <f t="shared" si="4"/>
        <v>0</v>
      </c>
      <c r="G67" s="136">
        <f t="shared" si="4"/>
        <v>1.2574657737478765</v>
      </c>
      <c r="H67" s="136">
        <f t="shared" si="4"/>
        <v>2.666363223457437</v>
      </c>
      <c r="I67" s="136">
        <f t="shared" si="4"/>
        <v>3.8673621637690316</v>
      </c>
      <c r="J67" s="136">
        <f t="shared" si="4"/>
        <v>6.2482226327490684</v>
      </c>
      <c r="K67" s="136">
        <f t="shared" si="4"/>
        <v>8.1633563464160073</v>
      </c>
      <c r="L67" s="136">
        <f t="shared" si="4"/>
        <v>13.467537363875808</v>
      </c>
      <c r="M67" s="136">
        <f t="shared" si="4"/>
        <v>19.594320294208771</v>
      </c>
      <c r="N67" s="136">
        <f t="shared" si="4"/>
        <v>28.561491349001415</v>
      </c>
      <c r="O67" s="136">
        <f t="shared" si="4"/>
        <v>35.584164107282369</v>
      </c>
      <c r="P67" s="136">
        <f t="shared" si="4"/>
        <v>37.132508001316715</v>
      </c>
      <c r="Q67" s="136">
        <f t="shared" si="4"/>
        <v>43.967946253984813</v>
      </c>
      <c r="R67" s="136">
        <f t="shared" si="4"/>
        <v>34.767601199881895</v>
      </c>
      <c r="S67" s="136">
        <f t="shared" si="4"/>
        <v>32.203854056238171</v>
      </c>
      <c r="T67" s="136">
        <f t="shared" si="4"/>
        <v>15.541898899099595</v>
      </c>
    </row>
    <row r="68" spans="1:22" x14ac:dyDescent="0.25">
      <c r="A68" s="139">
        <v>44279</v>
      </c>
      <c r="B68" s="130" t="s">
        <v>233</v>
      </c>
      <c r="C68" s="137">
        <f t="shared" si="2"/>
        <v>198.1168641655203</v>
      </c>
      <c r="D68" s="136">
        <f t="shared" si="3"/>
        <v>0</v>
      </c>
      <c r="E68" s="136">
        <f t="shared" si="4"/>
        <v>0</v>
      </c>
      <c r="F68" s="136">
        <f t="shared" si="4"/>
        <v>0</v>
      </c>
      <c r="G68" s="136">
        <f t="shared" si="4"/>
        <v>0.88022604162351359</v>
      </c>
      <c r="H68" s="136">
        <f t="shared" si="4"/>
        <v>1.866454256420206</v>
      </c>
      <c r="I68" s="136">
        <f t="shared" si="4"/>
        <v>2.7071535146383221</v>
      </c>
      <c r="J68" s="136">
        <f t="shared" si="4"/>
        <v>4.3737558429243482</v>
      </c>
      <c r="K68" s="136">
        <f t="shared" si="4"/>
        <v>5.714349442491204</v>
      </c>
      <c r="L68" s="136">
        <f t="shared" si="4"/>
        <v>9.4272761547130663</v>
      </c>
      <c r="M68" s="136">
        <f t="shared" si="4"/>
        <v>13.716024205946141</v>
      </c>
      <c r="N68" s="136">
        <f t="shared" si="4"/>
        <v>19.99304394430099</v>
      </c>
      <c r="O68" s="136">
        <f t="shared" si="4"/>
        <v>24.908914875097658</v>
      </c>
      <c r="P68" s="136">
        <f t="shared" si="4"/>
        <v>25.992755600921701</v>
      </c>
      <c r="Q68" s="136">
        <f t="shared" si="4"/>
        <v>30.777562377789366</v>
      </c>
      <c r="R68" s="136">
        <f t="shared" si="4"/>
        <v>24.337320839917329</v>
      </c>
      <c r="S68" s="136">
        <f t="shared" si="4"/>
        <v>22.542697839366717</v>
      </c>
      <c r="T68" s="136">
        <f t="shared" si="4"/>
        <v>10.879329229369716</v>
      </c>
    </row>
    <row r="69" spans="1:22" x14ac:dyDescent="0.25">
      <c r="A69" s="139">
        <v>44286</v>
      </c>
      <c r="B69" s="130" t="s">
        <v>233</v>
      </c>
      <c r="C69" s="137">
        <f t="shared" si="2"/>
        <v>138.68180491586418</v>
      </c>
      <c r="D69" s="136">
        <f t="shared" si="3"/>
        <v>0</v>
      </c>
      <c r="E69" s="136">
        <f t="shared" si="4"/>
        <v>0</v>
      </c>
      <c r="F69" s="136">
        <f t="shared" si="4"/>
        <v>0</v>
      </c>
      <c r="G69" s="136">
        <f t="shared" si="4"/>
        <v>0.61615822913645946</v>
      </c>
      <c r="H69" s="136">
        <f t="shared" si="4"/>
        <v>1.3065179794941439</v>
      </c>
      <c r="I69" s="136">
        <f t="shared" si="4"/>
        <v>1.8950074602468254</v>
      </c>
      <c r="J69" s="136">
        <f t="shared" si="4"/>
        <v>3.0616290900470431</v>
      </c>
      <c r="K69" s="136">
        <f t="shared" si="4"/>
        <v>4.0000446097438429</v>
      </c>
      <c r="L69" s="136">
        <f t="shared" si="4"/>
        <v>6.5990933082991452</v>
      </c>
      <c r="M69" s="136">
        <f t="shared" si="4"/>
        <v>9.6012169441622977</v>
      </c>
      <c r="N69" s="136">
        <f t="shared" si="4"/>
        <v>13.995130761010692</v>
      </c>
      <c r="O69" s="136">
        <f t="shared" si="4"/>
        <v>17.43624041256836</v>
      </c>
      <c r="P69" s="136">
        <f t="shared" si="4"/>
        <v>18.194928920645189</v>
      </c>
      <c r="Q69" s="136">
        <f t="shared" si="4"/>
        <v>21.544293664452557</v>
      </c>
      <c r="R69" s="136">
        <f t="shared" si="4"/>
        <v>17.03612458794213</v>
      </c>
      <c r="S69" s="136">
        <f t="shared" si="4"/>
        <v>15.779888487556702</v>
      </c>
      <c r="T69" s="136">
        <f t="shared" si="4"/>
        <v>7.6155304605588015</v>
      </c>
    </row>
    <row r="70" spans="1:22" x14ac:dyDescent="0.25">
      <c r="A70" s="139">
        <v>44293</v>
      </c>
      <c r="B70" s="130" t="s">
        <v>233</v>
      </c>
      <c r="C70" s="137">
        <f t="shared" si="2"/>
        <v>97.077263441104932</v>
      </c>
      <c r="D70" s="136">
        <f t="shared" si="3"/>
        <v>0</v>
      </c>
      <c r="E70" s="136">
        <f t="shared" si="4"/>
        <v>0</v>
      </c>
      <c r="F70" s="136">
        <f t="shared" si="4"/>
        <v>0</v>
      </c>
      <c r="G70" s="136">
        <f t="shared" si="4"/>
        <v>0.43131076039552158</v>
      </c>
      <c r="H70" s="136">
        <f t="shared" si="4"/>
        <v>0.91456258564590076</v>
      </c>
      <c r="I70" s="136">
        <f t="shared" si="4"/>
        <v>1.3265052221727778</v>
      </c>
      <c r="J70" s="136">
        <f t="shared" si="4"/>
        <v>2.1431403630329302</v>
      </c>
      <c r="K70" s="136">
        <f t="shared" si="4"/>
        <v>2.8000312268206899</v>
      </c>
      <c r="L70" s="136">
        <f t="shared" si="4"/>
        <v>4.6193653158094019</v>
      </c>
      <c r="M70" s="136">
        <f t="shared" si="4"/>
        <v>6.7208518609136076</v>
      </c>
      <c r="N70" s="136">
        <f t="shared" si="4"/>
        <v>9.7965915327074846</v>
      </c>
      <c r="O70" s="136">
        <f t="shared" si="4"/>
        <v>12.20536828879785</v>
      </c>
      <c r="P70" s="136">
        <f t="shared" si="4"/>
        <v>12.73645024445163</v>
      </c>
      <c r="Q70" s="136">
        <f t="shared" si="4"/>
        <v>15.08100556511679</v>
      </c>
      <c r="R70" s="136">
        <f t="shared" si="4"/>
        <v>11.925287211559489</v>
      </c>
      <c r="S70" s="136">
        <f t="shared" si="4"/>
        <v>11.045921941289691</v>
      </c>
      <c r="T70" s="136">
        <f t="shared" si="4"/>
        <v>5.3308713223911601</v>
      </c>
    </row>
    <row r="71" spans="1:22" x14ac:dyDescent="0.25">
      <c r="A71" s="139">
        <v>44300</v>
      </c>
      <c r="B71" s="130" t="s">
        <v>233</v>
      </c>
      <c r="C71" s="137">
        <f t="shared" si="2"/>
        <v>67.95408440877344</v>
      </c>
      <c r="D71" s="136">
        <f t="shared" si="3"/>
        <v>0</v>
      </c>
      <c r="E71" s="136">
        <f t="shared" si="4"/>
        <v>0</v>
      </c>
      <c r="F71" s="136">
        <f t="shared" si="4"/>
        <v>0</v>
      </c>
      <c r="G71" s="136">
        <f t="shared" si="4"/>
        <v>0.30191753227686507</v>
      </c>
      <c r="H71" s="136">
        <f t="shared" si="4"/>
        <v>0.64019380995213049</v>
      </c>
      <c r="I71" s="136">
        <f t="shared" si="4"/>
        <v>0.92855365552094438</v>
      </c>
      <c r="J71" s="136">
        <f t="shared" si="4"/>
        <v>1.500198254123051</v>
      </c>
      <c r="K71" s="136">
        <f t="shared" si="4"/>
        <v>1.9600218587744829</v>
      </c>
      <c r="L71" s="136">
        <f t="shared" si="4"/>
        <v>3.2335557210665811</v>
      </c>
      <c r="M71" s="136">
        <f t="shared" si="4"/>
        <v>4.7045963026395246</v>
      </c>
      <c r="N71" s="136">
        <f t="shared" si="4"/>
        <v>6.8576140728952391</v>
      </c>
      <c r="O71" s="136">
        <f t="shared" si="4"/>
        <v>8.5437578021584955</v>
      </c>
      <c r="P71" s="136">
        <f t="shared" si="4"/>
        <v>8.9155151711161427</v>
      </c>
      <c r="Q71" s="136">
        <f t="shared" si="4"/>
        <v>10.55670389558175</v>
      </c>
      <c r="R71" s="136">
        <f t="shared" si="4"/>
        <v>8.3477010480916416</v>
      </c>
      <c r="S71" s="136">
        <f t="shared" si="4"/>
        <v>7.7321453589027831</v>
      </c>
      <c r="T71" s="136">
        <f t="shared" si="4"/>
        <v>3.731609925673812</v>
      </c>
    </row>
    <row r="72" spans="1:22" x14ac:dyDescent="0.25">
      <c r="A72" s="139">
        <v>44307</v>
      </c>
      <c r="B72" s="130" t="s">
        <v>233</v>
      </c>
      <c r="C72" s="137">
        <f t="shared" si="2"/>
        <v>47.567859086141411</v>
      </c>
      <c r="D72" s="136">
        <f t="shared" si="3"/>
        <v>0</v>
      </c>
      <c r="E72" s="136">
        <f t="shared" si="4"/>
        <v>0</v>
      </c>
      <c r="F72" s="136">
        <f t="shared" si="4"/>
        <v>0</v>
      </c>
      <c r="G72" s="136">
        <f t="shared" si="4"/>
        <v>0.21134227259380559</v>
      </c>
      <c r="H72" s="136">
        <f t="shared" si="4"/>
        <v>0.44813566696649137</v>
      </c>
      <c r="I72" s="136">
        <f t="shared" si="4"/>
        <v>0.64998755886466109</v>
      </c>
      <c r="J72" s="136">
        <f t="shared" si="4"/>
        <v>1.0501387778861357</v>
      </c>
      <c r="K72" s="136">
        <f t="shared" si="4"/>
        <v>1.3720153011421381</v>
      </c>
      <c r="L72" s="136">
        <f t="shared" si="4"/>
        <v>2.2634890047466065</v>
      </c>
      <c r="M72" s="136">
        <f t="shared" si="4"/>
        <v>3.2932174118476674</v>
      </c>
      <c r="N72" s="136">
        <f t="shared" si="4"/>
        <v>4.8003298510266674</v>
      </c>
      <c r="O72" s="136">
        <f t="shared" si="4"/>
        <v>5.9806304615109465</v>
      </c>
      <c r="P72" s="136">
        <f t="shared" si="4"/>
        <v>6.2408606197812988</v>
      </c>
      <c r="Q72" s="136">
        <f t="shared" si="4"/>
        <v>7.3896927269072261</v>
      </c>
      <c r="R72" s="136">
        <f t="shared" si="4"/>
        <v>5.8433907336641493</v>
      </c>
      <c r="S72" s="136">
        <f t="shared" si="4"/>
        <v>5.4125017512319484</v>
      </c>
      <c r="T72" s="136">
        <f t="shared" si="4"/>
        <v>2.6121269479716682</v>
      </c>
    </row>
    <row r="73" spans="1:22" x14ac:dyDescent="0.25">
      <c r="A73" s="139">
        <v>44314</v>
      </c>
      <c r="B73" s="130" t="s">
        <v>233</v>
      </c>
      <c r="C73" s="137">
        <f t="shared" si="2"/>
        <v>33.297501360298988</v>
      </c>
      <c r="D73" s="136">
        <f t="shared" si="3"/>
        <v>0</v>
      </c>
      <c r="E73" s="136">
        <f t="shared" si="4"/>
        <v>0</v>
      </c>
      <c r="F73" s="136">
        <f t="shared" si="4"/>
        <v>0</v>
      </c>
      <c r="G73" s="136">
        <f t="shared" si="4"/>
        <v>0.14793959081566391</v>
      </c>
      <c r="H73" s="136">
        <f t="shared" si="4"/>
        <v>0.31369496687654397</v>
      </c>
      <c r="I73" s="136">
        <f t="shared" si="4"/>
        <v>0.45499129120526266</v>
      </c>
      <c r="J73" s="136">
        <f t="shared" si="4"/>
        <v>0.73509714452029495</v>
      </c>
      <c r="K73" s="136">
        <f t="shared" si="4"/>
        <v>0.96041071079949658</v>
      </c>
      <c r="L73" s="136">
        <f t="shared" si="4"/>
        <v>1.5844423033226245</v>
      </c>
      <c r="M73" s="136">
        <f t="shared" si="4"/>
        <v>2.305252188293367</v>
      </c>
      <c r="N73" s="136">
        <f t="shared" si="4"/>
        <v>3.3602308957186668</v>
      </c>
      <c r="O73" s="136">
        <f t="shared" si="4"/>
        <v>4.1864413230576627</v>
      </c>
      <c r="P73" s="136">
        <f t="shared" si="4"/>
        <v>4.3686024338469087</v>
      </c>
      <c r="Q73" s="136">
        <f t="shared" si="4"/>
        <v>5.1727849088350579</v>
      </c>
      <c r="R73" s="136">
        <f t="shared" si="4"/>
        <v>4.0903735135649049</v>
      </c>
      <c r="S73" s="136">
        <f t="shared" si="4"/>
        <v>3.7887512258623635</v>
      </c>
      <c r="T73" s="136">
        <f t="shared" si="4"/>
        <v>1.8284888635801677</v>
      </c>
    </row>
    <row r="75" spans="1:22" x14ac:dyDescent="0.25">
      <c r="A75" s="14" t="s">
        <v>299</v>
      </c>
    </row>
    <row r="76" spans="1:22" x14ac:dyDescent="0.25">
      <c r="A76" t="s">
        <v>300</v>
      </c>
    </row>
    <row r="77" spans="1:22" x14ac:dyDescent="0.25">
      <c r="A77" s="133" t="s">
        <v>231</v>
      </c>
      <c r="B77" s="133" t="s">
        <v>232</v>
      </c>
      <c r="C77" s="137" t="s">
        <v>82</v>
      </c>
      <c r="D77" s="292" t="s">
        <v>179</v>
      </c>
      <c r="E77" s="138" t="s">
        <v>182</v>
      </c>
      <c r="F77" s="138" t="s">
        <v>184</v>
      </c>
      <c r="G77" s="138" t="s">
        <v>186</v>
      </c>
      <c r="H77" s="138" t="s">
        <v>188</v>
      </c>
      <c r="I77" s="138" t="s">
        <v>190</v>
      </c>
      <c r="J77" s="138" t="s">
        <v>191</v>
      </c>
      <c r="K77" s="138" t="s">
        <v>192</v>
      </c>
      <c r="L77" s="138" t="s">
        <v>193</v>
      </c>
      <c r="M77" s="138" t="s">
        <v>194</v>
      </c>
      <c r="N77" s="138" t="s">
        <v>195</v>
      </c>
      <c r="O77" s="138" t="s">
        <v>197</v>
      </c>
      <c r="P77" s="138" t="s">
        <v>199</v>
      </c>
      <c r="Q77" s="138" t="s">
        <v>201</v>
      </c>
      <c r="R77" s="138" t="s">
        <v>203</v>
      </c>
      <c r="S77" s="138" t="s">
        <v>205</v>
      </c>
      <c r="T77" s="138" t="s">
        <v>189</v>
      </c>
      <c r="V77" s="28" t="s">
        <v>120</v>
      </c>
    </row>
    <row r="78" spans="1:22" x14ac:dyDescent="0.25">
      <c r="A78" s="139">
        <v>44104</v>
      </c>
      <c r="B78" s="130" t="s">
        <v>233</v>
      </c>
      <c r="C78" s="137">
        <f>MIN(C8-C43,V78)</f>
        <v>0</v>
      </c>
      <c r="D78" s="136">
        <f>$C78/$C8*D8</f>
        <v>0</v>
      </c>
      <c r="E78" s="136">
        <f t="shared" ref="E78:T93" si="5">$C78/$C8*E8</f>
        <v>0</v>
      </c>
      <c r="F78" s="136">
        <f t="shared" si="5"/>
        <v>0</v>
      </c>
      <c r="G78" s="136">
        <f t="shared" si="5"/>
        <v>0</v>
      </c>
      <c r="H78" s="136">
        <f t="shared" si="5"/>
        <v>0</v>
      </c>
      <c r="I78" s="136">
        <f t="shared" si="5"/>
        <v>0</v>
      </c>
      <c r="J78" s="136">
        <f t="shared" si="5"/>
        <v>0</v>
      </c>
      <c r="K78" s="136">
        <f t="shared" si="5"/>
        <v>0</v>
      </c>
      <c r="L78" s="136">
        <f t="shared" si="5"/>
        <v>0</v>
      </c>
      <c r="M78" s="136">
        <f t="shared" si="5"/>
        <v>0</v>
      </c>
      <c r="N78" s="136">
        <f t="shared" si="5"/>
        <v>0</v>
      </c>
      <c r="O78" s="136">
        <f t="shared" si="5"/>
        <v>0</v>
      </c>
      <c r="P78" s="136">
        <f t="shared" si="5"/>
        <v>0</v>
      </c>
      <c r="Q78" s="136">
        <f t="shared" si="5"/>
        <v>0</v>
      </c>
      <c r="R78" s="136">
        <f t="shared" si="5"/>
        <v>0</v>
      </c>
      <c r="S78" s="136">
        <f t="shared" si="5"/>
        <v>0</v>
      </c>
      <c r="T78" s="136">
        <f t="shared" si="5"/>
        <v>0</v>
      </c>
      <c r="V78" s="143">
        <f>MAX(0,'Ward Demand'!$C$39-'Ward Demand'!C7)</f>
        <v>84562.619764027244</v>
      </c>
    </row>
    <row r="79" spans="1:22" x14ac:dyDescent="0.25">
      <c r="A79" s="139">
        <v>44111</v>
      </c>
      <c r="B79" s="130" t="s">
        <v>233</v>
      </c>
      <c r="C79" s="137">
        <f t="shared" ref="C79:C108" si="6">MIN(C9-C44,V79)</f>
        <v>0</v>
      </c>
      <c r="D79" s="136">
        <f t="shared" ref="D79:S108" si="7">$C79/$C9*D9</f>
        <v>0</v>
      </c>
      <c r="E79" s="136">
        <f t="shared" si="7"/>
        <v>0</v>
      </c>
      <c r="F79" s="136">
        <f t="shared" si="7"/>
        <v>0</v>
      </c>
      <c r="G79" s="136">
        <f t="shared" si="7"/>
        <v>0</v>
      </c>
      <c r="H79" s="136">
        <f t="shared" si="7"/>
        <v>0</v>
      </c>
      <c r="I79" s="136">
        <f t="shared" si="7"/>
        <v>0</v>
      </c>
      <c r="J79" s="136">
        <f t="shared" si="7"/>
        <v>0</v>
      </c>
      <c r="K79" s="136">
        <f t="shared" si="7"/>
        <v>0</v>
      </c>
      <c r="L79" s="136">
        <f t="shared" si="7"/>
        <v>0</v>
      </c>
      <c r="M79" s="136">
        <f t="shared" si="7"/>
        <v>0</v>
      </c>
      <c r="N79" s="136">
        <f t="shared" si="7"/>
        <v>0</v>
      </c>
      <c r="O79" s="136">
        <f t="shared" si="7"/>
        <v>0</v>
      </c>
      <c r="P79" s="136">
        <f t="shared" si="7"/>
        <v>0</v>
      </c>
      <c r="Q79" s="136">
        <f t="shared" si="7"/>
        <v>0</v>
      </c>
      <c r="R79" s="136">
        <f t="shared" si="7"/>
        <v>0</v>
      </c>
      <c r="S79" s="136">
        <f t="shared" si="7"/>
        <v>0</v>
      </c>
      <c r="T79" s="136">
        <f t="shared" si="5"/>
        <v>0</v>
      </c>
      <c r="V79" s="143">
        <f>MAX(0,'Ward Demand'!$C$39-'Ward Demand'!C8)</f>
        <v>83263.942406990318</v>
      </c>
    </row>
    <row r="80" spans="1:22" x14ac:dyDescent="0.25">
      <c r="A80" s="139">
        <v>44118</v>
      </c>
      <c r="B80" s="130" t="s">
        <v>233</v>
      </c>
      <c r="C80" s="137">
        <f t="shared" si="6"/>
        <v>0</v>
      </c>
      <c r="D80" s="136">
        <f t="shared" si="7"/>
        <v>0</v>
      </c>
      <c r="E80" s="136">
        <f t="shared" si="5"/>
        <v>0</v>
      </c>
      <c r="F80" s="136">
        <f t="shared" si="5"/>
        <v>0</v>
      </c>
      <c r="G80" s="136">
        <f t="shared" si="5"/>
        <v>0</v>
      </c>
      <c r="H80" s="136">
        <f t="shared" si="5"/>
        <v>0</v>
      </c>
      <c r="I80" s="136">
        <f t="shared" si="5"/>
        <v>0</v>
      </c>
      <c r="J80" s="136">
        <f t="shared" si="5"/>
        <v>0</v>
      </c>
      <c r="K80" s="136">
        <f t="shared" si="5"/>
        <v>0</v>
      </c>
      <c r="L80" s="136">
        <f t="shared" si="5"/>
        <v>0</v>
      </c>
      <c r="M80" s="136">
        <f t="shared" si="5"/>
        <v>0</v>
      </c>
      <c r="N80" s="136">
        <f t="shared" si="5"/>
        <v>0</v>
      </c>
      <c r="O80" s="136">
        <f t="shared" si="5"/>
        <v>0</v>
      </c>
      <c r="P80" s="136">
        <f t="shared" si="5"/>
        <v>0</v>
      </c>
      <c r="Q80" s="136">
        <f t="shared" si="5"/>
        <v>0</v>
      </c>
      <c r="R80" s="136">
        <f t="shared" si="5"/>
        <v>0</v>
      </c>
      <c r="S80" s="136">
        <f t="shared" si="5"/>
        <v>0</v>
      </c>
      <c r="T80" s="136">
        <f>$C80/$C10*T10</f>
        <v>0</v>
      </c>
      <c r="V80" s="143">
        <f>MAX(0,'Ward Demand'!$C$39-'Ward Demand'!C9)</f>
        <v>81788.29836964744</v>
      </c>
    </row>
    <row r="81" spans="1:27" x14ac:dyDescent="0.25">
      <c r="A81" s="139">
        <v>44125</v>
      </c>
      <c r="B81" s="130" t="s">
        <v>233</v>
      </c>
      <c r="C81" s="137">
        <f t="shared" si="6"/>
        <v>0</v>
      </c>
      <c r="D81" s="136">
        <f t="shared" si="7"/>
        <v>0</v>
      </c>
      <c r="E81" s="136">
        <f t="shared" si="5"/>
        <v>0</v>
      </c>
      <c r="F81" s="136">
        <f t="shared" si="5"/>
        <v>0</v>
      </c>
      <c r="G81" s="136">
        <f t="shared" si="5"/>
        <v>0</v>
      </c>
      <c r="H81" s="136">
        <f t="shared" si="5"/>
        <v>0</v>
      </c>
      <c r="I81" s="136">
        <f t="shared" si="5"/>
        <v>0</v>
      </c>
      <c r="J81" s="136">
        <f t="shared" si="5"/>
        <v>0</v>
      </c>
      <c r="K81" s="136">
        <f t="shared" si="5"/>
        <v>0</v>
      </c>
      <c r="L81" s="136">
        <f t="shared" si="5"/>
        <v>0</v>
      </c>
      <c r="M81" s="136">
        <f t="shared" si="5"/>
        <v>0</v>
      </c>
      <c r="N81" s="136">
        <f t="shared" si="5"/>
        <v>0</v>
      </c>
      <c r="O81" s="136">
        <f t="shared" si="5"/>
        <v>0</v>
      </c>
      <c r="P81" s="136">
        <f t="shared" si="5"/>
        <v>0</v>
      </c>
      <c r="Q81" s="136">
        <f t="shared" si="5"/>
        <v>0</v>
      </c>
      <c r="R81" s="136">
        <f t="shared" si="5"/>
        <v>0</v>
      </c>
      <c r="S81" s="136">
        <f t="shared" si="5"/>
        <v>0</v>
      </c>
      <c r="T81" s="136">
        <f t="shared" si="5"/>
        <v>0</v>
      </c>
      <c r="V81" s="143">
        <f>MAX(0,'Ward Demand'!$C$39-'Ward Demand'!C10)</f>
        <v>80168.868904555973</v>
      </c>
    </row>
    <row r="82" spans="1:27" x14ac:dyDescent="0.25">
      <c r="A82" s="139">
        <v>44132</v>
      </c>
      <c r="B82" s="130" t="s">
        <v>233</v>
      </c>
      <c r="C82" s="137">
        <f t="shared" si="6"/>
        <v>0</v>
      </c>
      <c r="D82" s="136">
        <f t="shared" si="7"/>
        <v>0</v>
      </c>
      <c r="E82" s="136">
        <f t="shared" si="5"/>
        <v>0</v>
      </c>
      <c r="F82" s="136">
        <f t="shared" si="5"/>
        <v>0</v>
      </c>
      <c r="G82" s="136">
        <f t="shared" si="5"/>
        <v>0</v>
      </c>
      <c r="H82" s="136">
        <f t="shared" si="5"/>
        <v>0</v>
      </c>
      <c r="I82" s="136">
        <f t="shared" si="5"/>
        <v>0</v>
      </c>
      <c r="J82" s="136">
        <f t="shared" si="5"/>
        <v>0</v>
      </c>
      <c r="K82" s="136">
        <f t="shared" si="5"/>
        <v>0</v>
      </c>
      <c r="L82" s="136">
        <f t="shared" si="5"/>
        <v>0</v>
      </c>
      <c r="M82" s="136">
        <f t="shared" si="5"/>
        <v>0</v>
      </c>
      <c r="N82" s="136">
        <f t="shared" si="5"/>
        <v>0</v>
      </c>
      <c r="O82" s="136">
        <f t="shared" si="5"/>
        <v>0</v>
      </c>
      <c r="P82" s="136">
        <f t="shared" si="5"/>
        <v>0</v>
      </c>
      <c r="Q82" s="136">
        <f t="shared" si="5"/>
        <v>0</v>
      </c>
      <c r="R82" s="136">
        <f t="shared" si="5"/>
        <v>0</v>
      </c>
      <c r="S82" s="136">
        <f t="shared" si="5"/>
        <v>0</v>
      </c>
      <c r="T82" s="136">
        <f t="shared" si="5"/>
        <v>0</v>
      </c>
      <c r="V82" s="143">
        <f>MAX(0,'Ward Demand'!$C$39-'Ward Demand'!C11)</f>
        <v>78193.662675932748</v>
      </c>
    </row>
    <row r="83" spans="1:27" ht="15.75" thickBot="1" x14ac:dyDescent="0.3">
      <c r="A83" s="139">
        <v>44139</v>
      </c>
      <c r="B83" s="130" t="s">
        <v>233</v>
      </c>
      <c r="C83" s="137">
        <f t="shared" si="6"/>
        <v>0</v>
      </c>
      <c r="D83" s="136">
        <f t="shared" si="7"/>
        <v>0</v>
      </c>
      <c r="E83" s="136">
        <f t="shared" si="5"/>
        <v>0</v>
      </c>
      <c r="F83" s="136">
        <f t="shared" si="5"/>
        <v>0</v>
      </c>
      <c r="G83" s="136">
        <f t="shared" si="5"/>
        <v>0</v>
      </c>
      <c r="H83" s="136">
        <f t="shared" si="5"/>
        <v>0</v>
      </c>
      <c r="I83" s="136">
        <f t="shared" si="5"/>
        <v>0</v>
      </c>
      <c r="J83" s="136">
        <f t="shared" si="5"/>
        <v>0</v>
      </c>
      <c r="K83" s="136">
        <f t="shared" si="5"/>
        <v>0</v>
      </c>
      <c r="L83" s="136">
        <f t="shared" si="5"/>
        <v>0</v>
      </c>
      <c r="M83" s="136">
        <f t="shared" si="5"/>
        <v>0</v>
      </c>
      <c r="N83" s="136">
        <f t="shared" si="5"/>
        <v>0</v>
      </c>
      <c r="O83" s="136">
        <f t="shared" si="5"/>
        <v>0</v>
      </c>
      <c r="P83" s="136">
        <f t="shared" si="5"/>
        <v>0</v>
      </c>
      <c r="Q83" s="136">
        <f t="shared" si="5"/>
        <v>0</v>
      </c>
      <c r="R83" s="136">
        <f t="shared" si="5"/>
        <v>0</v>
      </c>
      <c r="S83" s="136">
        <f t="shared" si="5"/>
        <v>0</v>
      </c>
      <c r="T83" s="136">
        <f t="shared" si="5"/>
        <v>0</v>
      </c>
      <c r="V83" s="143">
        <f>MAX(0,'Ward Demand'!$C$39-'Ward Demand'!C12)</f>
        <v>77348.462437179827</v>
      </c>
    </row>
    <row r="84" spans="1:27" ht="14.45" customHeight="1" thickTop="1" x14ac:dyDescent="0.25">
      <c r="A84" s="139">
        <v>44146</v>
      </c>
      <c r="B84" s="130" t="s">
        <v>233</v>
      </c>
      <c r="C84" s="137">
        <f t="shared" si="6"/>
        <v>0</v>
      </c>
      <c r="D84" s="136">
        <f t="shared" si="7"/>
        <v>0</v>
      </c>
      <c r="E84" s="136">
        <f t="shared" si="5"/>
        <v>0</v>
      </c>
      <c r="F84" s="136">
        <f t="shared" si="5"/>
        <v>0</v>
      </c>
      <c r="G84" s="136">
        <f t="shared" si="5"/>
        <v>0</v>
      </c>
      <c r="H84" s="136">
        <f t="shared" si="5"/>
        <v>0</v>
      </c>
      <c r="I84" s="136">
        <f t="shared" si="5"/>
        <v>0</v>
      </c>
      <c r="J84" s="136">
        <f t="shared" si="5"/>
        <v>0</v>
      </c>
      <c r="K84" s="136">
        <f t="shared" si="5"/>
        <v>0</v>
      </c>
      <c r="L84" s="136">
        <f t="shared" si="5"/>
        <v>0</v>
      </c>
      <c r="M84" s="136">
        <f t="shared" si="5"/>
        <v>0</v>
      </c>
      <c r="N84" s="136">
        <f t="shared" si="5"/>
        <v>0</v>
      </c>
      <c r="O84" s="136">
        <f t="shared" si="5"/>
        <v>0</v>
      </c>
      <c r="P84" s="136">
        <f t="shared" si="5"/>
        <v>0</v>
      </c>
      <c r="Q84" s="136">
        <f t="shared" si="5"/>
        <v>0</v>
      </c>
      <c r="R84" s="136">
        <f t="shared" si="5"/>
        <v>0</v>
      </c>
      <c r="S84" s="136">
        <f t="shared" si="5"/>
        <v>0</v>
      </c>
      <c r="T84" s="136">
        <f t="shared" si="5"/>
        <v>0</v>
      </c>
      <c r="V84" s="143">
        <f>MAX(0,'Ward Demand'!$C$39-'Ward Demand'!C13)</f>
        <v>76279.288743664685</v>
      </c>
      <c r="X84" s="537" t="s">
        <v>301</v>
      </c>
      <c r="Y84" s="538"/>
      <c r="Z84" s="538"/>
      <c r="AA84" s="539"/>
    </row>
    <row r="85" spans="1:27" x14ac:dyDescent="0.25">
      <c r="A85" s="139">
        <v>44153</v>
      </c>
      <c r="B85" s="130" t="s">
        <v>233</v>
      </c>
      <c r="C85" s="137">
        <f t="shared" si="6"/>
        <v>0</v>
      </c>
      <c r="D85" s="136">
        <f t="shared" si="7"/>
        <v>0</v>
      </c>
      <c r="E85" s="136">
        <f t="shared" si="5"/>
        <v>0</v>
      </c>
      <c r="F85" s="136">
        <f t="shared" si="5"/>
        <v>0</v>
      </c>
      <c r="G85" s="136">
        <f t="shared" si="5"/>
        <v>0</v>
      </c>
      <c r="H85" s="136">
        <f t="shared" si="5"/>
        <v>0</v>
      </c>
      <c r="I85" s="136">
        <f t="shared" si="5"/>
        <v>0</v>
      </c>
      <c r="J85" s="136">
        <f t="shared" si="5"/>
        <v>0</v>
      </c>
      <c r="K85" s="136">
        <f t="shared" si="5"/>
        <v>0</v>
      </c>
      <c r="L85" s="136">
        <f t="shared" si="5"/>
        <v>0</v>
      </c>
      <c r="M85" s="136">
        <f t="shared" si="5"/>
        <v>0</v>
      </c>
      <c r="N85" s="136">
        <f t="shared" si="5"/>
        <v>0</v>
      </c>
      <c r="O85" s="136">
        <f t="shared" si="5"/>
        <v>0</v>
      </c>
      <c r="P85" s="136">
        <f t="shared" si="5"/>
        <v>0</v>
      </c>
      <c r="Q85" s="136">
        <f t="shared" si="5"/>
        <v>0</v>
      </c>
      <c r="R85" s="136">
        <f t="shared" si="5"/>
        <v>0</v>
      </c>
      <c r="S85" s="136">
        <f t="shared" si="5"/>
        <v>0</v>
      </c>
      <c r="T85" s="136">
        <f t="shared" si="5"/>
        <v>0</v>
      </c>
      <c r="V85" s="143">
        <f>MAX(0,'Ward Demand'!$C$39-'Ward Demand'!C14)</f>
        <v>76012.917021745816</v>
      </c>
      <c r="X85" s="540"/>
      <c r="Y85" s="541"/>
      <c r="Z85" s="541"/>
      <c r="AA85" s="542"/>
    </row>
    <row r="86" spans="1:27" x14ac:dyDescent="0.25">
      <c r="A86" s="139">
        <v>44160</v>
      </c>
      <c r="B86" s="130" t="s">
        <v>233</v>
      </c>
      <c r="C86" s="137">
        <f t="shared" si="6"/>
        <v>0</v>
      </c>
      <c r="D86" s="136">
        <f t="shared" si="7"/>
        <v>0</v>
      </c>
      <c r="E86" s="136">
        <f t="shared" si="5"/>
        <v>0</v>
      </c>
      <c r="F86" s="136">
        <f t="shared" si="5"/>
        <v>0</v>
      </c>
      <c r="G86" s="136">
        <f t="shared" si="5"/>
        <v>0</v>
      </c>
      <c r="H86" s="136">
        <f t="shared" si="5"/>
        <v>0</v>
      </c>
      <c r="I86" s="136">
        <f t="shared" si="5"/>
        <v>0</v>
      </c>
      <c r="J86" s="136">
        <f t="shared" si="5"/>
        <v>0</v>
      </c>
      <c r="K86" s="136">
        <f t="shared" si="5"/>
        <v>0</v>
      </c>
      <c r="L86" s="136">
        <f t="shared" si="5"/>
        <v>0</v>
      </c>
      <c r="M86" s="136">
        <f t="shared" si="5"/>
        <v>0</v>
      </c>
      <c r="N86" s="136">
        <f t="shared" si="5"/>
        <v>0</v>
      </c>
      <c r="O86" s="136">
        <f t="shared" si="5"/>
        <v>0</v>
      </c>
      <c r="P86" s="136">
        <f t="shared" si="5"/>
        <v>0</v>
      </c>
      <c r="Q86" s="136">
        <f t="shared" si="5"/>
        <v>0</v>
      </c>
      <c r="R86" s="136">
        <f t="shared" si="5"/>
        <v>0</v>
      </c>
      <c r="S86" s="136">
        <f t="shared" si="5"/>
        <v>0</v>
      </c>
      <c r="T86" s="136">
        <f t="shared" si="5"/>
        <v>0</v>
      </c>
      <c r="V86" s="143">
        <f>MAX(0,'Ward Demand'!$C$39-'Ward Demand'!C15)</f>
        <v>77152.140026215406</v>
      </c>
      <c r="X86" s="540"/>
      <c r="Y86" s="541"/>
      <c r="Z86" s="541"/>
      <c r="AA86" s="542"/>
    </row>
    <row r="87" spans="1:27" x14ac:dyDescent="0.25">
      <c r="A87" s="139">
        <v>44167</v>
      </c>
      <c r="B87" s="130" t="s">
        <v>233</v>
      </c>
      <c r="C87" s="137">
        <f t="shared" si="6"/>
        <v>0</v>
      </c>
      <c r="D87" s="136">
        <f t="shared" si="7"/>
        <v>0</v>
      </c>
      <c r="E87" s="136">
        <f t="shared" si="5"/>
        <v>0</v>
      </c>
      <c r="F87" s="136">
        <f t="shared" si="5"/>
        <v>0</v>
      </c>
      <c r="G87" s="136">
        <f t="shared" si="5"/>
        <v>0</v>
      </c>
      <c r="H87" s="136">
        <f t="shared" si="5"/>
        <v>0</v>
      </c>
      <c r="I87" s="136">
        <f t="shared" si="5"/>
        <v>0</v>
      </c>
      <c r="J87" s="136">
        <f t="shared" si="5"/>
        <v>0</v>
      </c>
      <c r="K87" s="136">
        <f t="shared" si="5"/>
        <v>0</v>
      </c>
      <c r="L87" s="136">
        <f t="shared" si="5"/>
        <v>0</v>
      </c>
      <c r="M87" s="136">
        <f t="shared" si="5"/>
        <v>0</v>
      </c>
      <c r="N87" s="136">
        <f t="shared" si="5"/>
        <v>0</v>
      </c>
      <c r="O87" s="136">
        <f t="shared" si="5"/>
        <v>0</v>
      </c>
      <c r="P87" s="136">
        <f t="shared" si="5"/>
        <v>0</v>
      </c>
      <c r="Q87" s="136">
        <f t="shared" si="5"/>
        <v>0</v>
      </c>
      <c r="R87" s="136">
        <f t="shared" si="5"/>
        <v>0</v>
      </c>
      <c r="S87" s="136">
        <f t="shared" si="5"/>
        <v>0</v>
      </c>
      <c r="T87" s="136">
        <f t="shared" si="5"/>
        <v>0</v>
      </c>
      <c r="V87" s="143">
        <f>MAX(0,'Ward Demand'!$C$39-'Ward Demand'!C16)</f>
        <v>78247.121360608493</v>
      </c>
      <c r="X87" s="540"/>
      <c r="Y87" s="541"/>
      <c r="Z87" s="541"/>
      <c r="AA87" s="542"/>
    </row>
    <row r="88" spans="1:27" x14ac:dyDescent="0.25">
      <c r="A88" s="139">
        <v>44174</v>
      </c>
      <c r="B88" s="130" t="s">
        <v>233</v>
      </c>
      <c r="C88" s="137">
        <f t="shared" si="6"/>
        <v>0</v>
      </c>
      <c r="D88" s="136">
        <f t="shared" si="7"/>
        <v>0</v>
      </c>
      <c r="E88" s="136">
        <f t="shared" si="5"/>
        <v>0</v>
      </c>
      <c r="F88" s="136">
        <f t="shared" si="5"/>
        <v>0</v>
      </c>
      <c r="G88" s="136">
        <f t="shared" si="5"/>
        <v>0</v>
      </c>
      <c r="H88" s="136">
        <f t="shared" si="5"/>
        <v>0</v>
      </c>
      <c r="I88" s="136">
        <f t="shared" si="5"/>
        <v>0</v>
      </c>
      <c r="J88" s="136">
        <f t="shared" si="5"/>
        <v>0</v>
      </c>
      <c r="K88" s="136">
        <f t="shared" si="5"/>
        <v>0</v>
      </c>
      <c r="L88" s="136">
        <f t="shared" si="5"/>
        <v>0</v>
      </c>
      <c r="M88" s="136">
        <f t="shared" si="5"/>
        <v>0</v>
      </c>
      <c r="N88" s="136">
        <f t="shared" si="5"/>
        <v>0</v>
      </c>
      <c r="O88" s="136">
        <f t="shared" si="5"/>
        <v>0</v>
      </c>
      <c r="P88" s="136">
        <f t="shared" si="5"/>
        <v>0</v>
      </c>
      <c r="Q88" s="136">
        <f t="shared" si="5"/>
        <v>0</v>
      </c>
      <c r="R88" s="136">
        <f t="shared" si="5"/>
        <v>0</v>
      </c>
      <c r="S88" s="136">
        <f t="shared" si="5"/>
        <v>0</v>
      </c>
      <c r="T88" s="136">
        <f t="shared" si="5"/>
        <v>0</v>
      </c>
      <c r="V88" s="143">
        <f>MAX(0,'Ward Demand'!$C$39-'Ward Demand'!C17)</f>
        <v>77052.596268543304</v>
      </c>
      <c r="X88" s="540"/>
      <c r="Y88" s="541"/>
      <c r="Z88" s="541"/>
      <c r="AA88" s="542"/>
    </row>
    <row r="89" spans="1:27" x14ac:dyDescent="0.25">
      <c r="A89" s="139">
        <v>44181</v>
      </c>
      <c r="B89" s="130" t="s">
        <v>233</v>
      </c>
      <c r="C89" s="137">
        <f t="shared" si="6"/>
        <v>0</v>
      </c>
      <c r="D89" s="136">
        <f t="shared" si="7"/>
        <v>0</v>
      </c>
      <c r="E89" s="136">
        <f t="shared" si="5"/>
        <v>0</v>
      </c>
      <c r="F89" s="136">
        <f t="shared" si="5"/>
        <v>0</v>
      </c>
      <c r="G89" s="136">
        <f t="shared" si="5"/>
        <v>0</v>
      </c>
      <c r="H89" s="136">
        <f t="shared" si="5"/>
        <v>0</v>
      </c>
      <c r="I89" s="136">
        <f t="shared" si="5"/>
        <v>0</v>
      </c>
      <c r="J89" s="136">
        <f t="shared" si="5"/>
        <v>0</v>
      </c>
      <c r="K89" s="136">
        <f t="shared" si="5"/>
        <v>0</v>
      </c>
      <c r="L89" s="136">
        <f t="shared" si="5"/>
        <v>0</v>
      </c>
      <c r="M89" s="136">
        <f t="shared" si="5"/>
        <v>0</v>
      </c>
      <c r="N89" s="136">
        <f t="shared" si="5"/>
        <v>0</v>
      </c>
      <c r="O89" s="136">
        <f t="shared" si="5"/>
        <v>0</v>
      </c>
      <c r="P89" s="136">
        <f t="shared" si="5"/>
        <v>0</v>
      </c>
      <c r="Q89" s="136">
        <f t="shared" si="5"/>
        <v>0</v>
      </c>
      <c r="R89" s="136">
        <f t="shared" si="5"/>
        <v>0</v>
      </c>
      <c r="S89" s="136">
        <f t="shared" si="5"/>
        <v>0</v>
      </c>
      <c r="T89" s="136">
        <f t="shared" si="5"/>
        <v>0</v>
      </c>
      <c r="V89" s="143">
        <f>MAX(0,'Ward Demand'!$C$39-'Ward Demand'!C18)</f>
        <v>75211.03675160947</v>
      </c>
      <c r="X89" s="540"/>
      <c r="Y89" s="541"/>
      <c r="Z89" s="541"/>
      <c r="AA89" s="542"/>
    </row>
    <row r="90" spans="1:27" x14ac:dyDescent="0.25">
      <c r="A90" s="139">
        <v>44188</v>
      </c>
      <c r="B90" s="130" t="s">
        <v>233</v>
      </c>
      <c r="C90" s="137">
        <f t="shared" si="6"/>
        <v>0</v>
      </c>
      <c r="D90" s="136">
        <f t="shared" si="7"/>
        <v>0</v>
      </c>
      <c r="E90" s="136">
        <f t="shared" si="5"/>
        <v>0</v>
      </c>
      <c r="F90" s="136">
        <f t="shared" si="5"/>
        <v>0</v>
      </c>
      <c r="G90" s="136">
        <f t="shared" si="5"/>
        <v>0</v>
      </c>
      <c r="H90" s="136">
        <f t="shared" si="5"/>
        <v>0</v>
      </c>
      <c r="I90" s="136">
        <f t="shared" si="5"/>
        <v>0</v>
      </c>
      <c r="J90" s="136">
        <f t="shared" si="5"/>
        <v>0</v>
      </c>
      <c r="K90" s="136">
        <f t="shared" si="5"/>
        <v>0</v>
      </c>
      <c r="L90" s="136">
        <f t="shared" si="5"/>
        <v>0</v>
      </c>
      <c r="M90" s="136">
        <f t="shared" si="5"/>
        <v>0</v>
      </c>
      <c r="N90" s="136">
        <f t="shared" si="5"/>
        <v>0</v>
      </c>
      <c r="O90" s="136">
        <f t="shared" si="5"/>
        <v>0</v>
      </c>
      <c r="P90" s="136">
        <f t="shared" si="5"/>
        <v>0</v>
      </c>
      <c r="Q90" s="136">
        <f t="shared" si="5"/>
        <v>0</v>
      </c>
      <c r="R90" s="136">
        <f t="shared" si="5"/>
        <v>0</v>
      </c>
      <c r="S90" s="136">
        <f t="shared" si="5"/>
        <v>0</v>
      </c>
      <c r="T90" s="136">
        <f t="shared" si="5"/>
        <v>0</v>
      </c>
      <c r="V90" s="143">
        <f>MAX(0,'Ward Demand'!$C$39-'Ward Demand'!C19)</f>
        <v>72986.049427346064</v>
      </c>
      <c r="X90" s="540"/>
      <c r="Y90" s="541"/>
      <c r="Z90" s="541"/>
      <c r="AA90" s="542"/>
    </row>
    <row r="91" spans="1:27" x14ac:dyDescent="0.25">
      <c r="A91" s="139">
        <v>44195</v>
      </c>
      <c r="B91" s="130" t="s">
        <v>233</v>
      </c>
      <c r="C91" s="137">
        <f t="shared" si="6"/>
        <v>0</v>
      </c>
      <c r="D91" s="136">
        <f t="shared" si="7"/>
        <v>0</v>
      </c>
      <c r="E91" s="136">
        <f t="shared" si="5"/>
        <v>0</v>
      </c>
      <c r="F91" s="136">
        <f t="shared" si="5"/>
        <v>0</v>
      </c>
      <c r="G91" s="136">
        <f t="shared" si="5"/>
        <v>0</v>
      </c>
      <c r="H91" s="136">
        <f t="shared" si="5"/>
        <v>0</v>
      </c>
      <c r="I91" s="136">
        <f t="shared" si="5"/>
        <v>0</v>
      </c>
      <c r="J91" s="136">
        <f t="shared" si="5"/>
        <v>0</v>
      </c>
      <c r="K91" s="136">
        <f t="shared" si="5"/>
        <v>0</v>
      </c>
      <c r="L91" s="136">
        <f t="shared" si="5"/>
        <v>0</v>
      </c>
      <c r="M91" s="136">
        <f t="shared" si="5"/>
        <v>0</v>
      </c>
      <c r="N91" s="136">
        <f t="shared" si="5"/>
        <v>0</v>
      </c>
      <c r="O91" s="136">
        <f t="shared" si="5"/>
        <v>0</v>
      </c>
      <c r="P91" s="136">
        <f t="shared" si="5"/>
        <v>0</v>
      </c>
      <c r="Q91" s="136">
        <f t="shared" si="5"/>
        <v>0</v>
      </c>
      <c r="R91" s="136">
        <f t="shared" si="5"/>
        <v>0</v>
      </c>
      <c r="S91" s="136">
        <f t="shared" si="5"/>
        <v>0</v>
      </c>
      <c r="T91" s="136">
        <f t="shared" si="5"/>
        <v>0</v>
      </c>
      <c r="V91" s="143">
        <f>MAX(0,'Ward Demand'!$C$39-'Ward Demand'!C20)</f>
        <v>69364.684391293486</v>
      </c>
      <c r="X91" s="540"/>
      <c r="Y91" s="541"/>
      <c r="Z91" s="541"/>
      <c r="AA91" s="542"/>
    </row>
    <row r="92" spans="1:27" x14ac:dyDescent="0.25">
      <c r="A92" s="139">
        <v>44202</v>
      </c>
      <c r="B92" s="130" t="s">
        <v>233</v>
      </c>
      <c r="C92" s="137">
        <f t="shared" si="6"/>
        <v>0</v>
      </c>
      <c r="D92" s="136">
        <f t="shared" si="7"/>
        <v>0</v>
      </c>
      <c r="E92" s="136">
        <f t="shared" si="5"/>
        <v>0</v>
      </c>
      <c r="F92" s="136">
        <f t="shared" si="5"/>
        <v>0</v>
      </c>
      <c r="G92" s="136">
        <f t="shared" si="5"/>
        <v>0</v>
      </c>
      <c r="H92" s="136">
        <f t="shared" si="5"/>
        <v>0</v>
      </c>
      <c r="I92" s="136">
        <f t="shared" si="5"/>
        <v>0</v>
      </c>
      <c r="J92" s="136">
        <f t="shared" si="5"/>
        <v>0</v>
      </c>
      <c r="K92" s="136">
        <f t="shared" si="5"/>
        <v>0</v>
      </c>
      <c r="L92" s="136">
        <f t="shared" si="5"/>
        <v>0</v>
      </c>
      <c r="M92" s="136">
        <f t="shared" si="5"/>
        <v>0</v>
      </c>
      <c r="N92" s="136">
        <f t="shared" si="5"/>
        <v>0</v>
      </c>
      <c r="O92" s="136">
        <f t="shared" si="5"/>
        <v>0</v>
      </c>
      <c r="P92" s="136">
        <f t="shared" si="5"/>
        <v>0</v>
      </c>
      <c r="Q92" s="136">
        <f t="shared" si="5"/>
        <v>0</v>
      </c>
      <c r="R92" s="136">
        <f t="shared" si="5"/>
        <v>0</v>
      </c>
      <c r="S92" s="136">
        <f t="shared" si="5"/>
        <v>0</v>
      </c>
      <c r="T92" s="136">
        <f t="shared" si="5"/>
        <v>0</v>
      </c>
      <c r="V92" s="143">
        <f>MAX(0,'Ward Demand'!$C$39-'Ward Demand'!C21)</f>
        <v>63377.311707608693</v>
      </c>
      <c r="X92" s="540"/>
      <c r="Y92" s="541"/>
      <c r="Z92" s="541"/>
      <c r="AA92" s="542"/>
    </row>
    <row r="93" spans="1:27" x14ac:dyDescent="0.25">
      <c r="A93" s="139">
        <v>44209</v>
      </c>
      <c r="B93" s="130" t="s">
        <v>233</v>
      </c>
      <c r="C93" s="137">
        <f t="shared" si="6"/>
        <v>0</v>
      </c>
      <c r="D93" s="136">
        <f t="shared" si="7"/>
        <v>0</v>
      </c>
      <c r="E93" s="136">
        <f t="shared" si="5"/>
        <v>0</v>
      </c>
      <c r="F93" s="136">
        <f t="shared" si="5"/>
        <v>0</v>
      </c>
      <c r="G93" s="136">
        <f t="shared" si="5"/>
        <v>0</v>
      </c>
      <c r="H93" s="136">
        <f t="shared" si="5"/>
        <v>0</v>
      </c>
      <c r="I93" s="136">
        <f t="shared" si="5"/>
        <v>0</v>
      </c>
      <c r="J93" s="136">
        <f t="shared" si="5"/>
        <v>0</v>
      </c>
      <c r="K93" s="136">
        <f t="shared" si="5"/>
        <v>0</v>
      </c>
      <c r="L93" s="136">
        <f t="shared" si="5"/>
        <v>0</v>
      </c>
      <c r="M93" s="136">
        <f t="shared" si="5"/>
        <v>0</v>
      </c>
      <c r="N93" s="136">
        <f t="shared" si="5"/>
        <v>0</v>
      </c>
      <c r="O93" s="136">
        <f t="shared" si="5"/>
        <v>0</v>
      </c>
      <c r="P93" s="136">
        <f t="shared" si="5"/>
        <v>0</v>
      </c>
      <c r="Q93" s="136">
        <f t="shared" si="5"/>
        <v>0</v>
      </c>
      <c r="R93" s="136">
        <f t="shared" si="5"/>
        <v>0</v>
      </c>
      <c r="S93" s="136">
        <f t="shared" si="5"/>
        <v>0</v>
      </c>
      <c r="T93" s="136">
        <f t="shared" si="5"/>
        <v>0</v>
      </c>
      <c r="V93" s="143">
        <f>MAX(0,'Ward Demand'!$C$39-'Ward Demand'!C22)</f>
        <v>60032.457109534167</v>
      </c>
      <c r="X93" s="540"/>
      <c r="Y93" s="541"/>
      <c r="Z93" s="541"/>
      <c r="AA93" s="542"/>
    </row>
    <row r="94" spans="1:27" x14ac:dyDescent="0.25">
      <c r="A94" s="139">
        <v>44216</v>
      </c>
      <c r="B94" s="130" t="s">
        <v>233</v>
      </c>
      <c r="C94" s="137">
        <f t="shared" si="6"/>
        <v>0</v>
      </c>
      <c r="D94" s="136">
        <f t="shared" si="7"/>
        <v>0</v>
      </c>
      <c r="E94" s="136">
        <f t="shared" ref="E94:T108" si="8">$C94/$C24*E24</f>
        <v>0</v>
      </c>
      <c r="F94" s="136">
        <f t="shared" si="8"/>
        <v>0</v>
      </c>
      <c r="G94" s="136">
        <f t="shared" si="8"/>
        <v>0</v>
      </c>
      <c r="H94" s="136">
        <f t="shared" si="8"/>
        <v>0</v>
      </c>
      <c r="I94" s="136">
        <f t="shared" si="8"/>
        <v>0</v>
      </c>
      <c r="J94" s="136">
        <f t="shared" si="8"/>
        <v>0</v>
      </c>
      <c r="K94" s="136">
        <f t="shared" si="8"/>
        <v>0</v>
      </c>
      <c r="L94" s="136">
        <f t="shared" si="8"/>
        <v>0</v>
      </c>
      <c r="M94" s="136">
        <f t="shared" si="8"/>
        <v>0</v>
      </c>
      <c r="N94" s="136">
        <f t="shared" si="8"/>
        <v>0</v>
      </c>
      <c r="O94" s="136">
        <f t="shared" si="8"/>
        <v>0</v>
      </c>
      <c r="P94" s="136">
        <f t="shared" si="8"/>
        <v>0</v>
      </c>
      <c r="Q94" s="136">
        <f t="shared" si="8"/>
        <v>0</v>
      </c>
      <c r="R94" s="136">
        <f t="shared" si="8"/>
        <v>0</v>
      </c>
      <c r="S94" s="136">
        <f t="shared" si="8"/>
        <v>0</v>
      </c>
      <c r="T94" s="136">
        <f t="shared" si="8"/>
        <v>0</v>
      </c>
      <c r="V94" s="143">
        <f>MAX(0,'Ward Demand'!$C$39-'Ward Demand'!C23)</f>
        <v>61611.331710388855</v>
      </c>
      <c r="X94" s="540"/>
      <c r="Y94" s="541"/>
      <c r="Z94" s="541"/>
      <c r="AA94" s="542"/>
    </row>
    <row r="95" spans="1:27" x14ac:dyDescent="0.25">
      <c r="A95" s="139">
        <v>44223</v>
      </c>
      <c r="B95" s="130" t="s">
        <v>233</v>
      </c>
      <c r="C95" s="137">
        <f t="shared" si="6"/>
        <v>0</v>
      </c>
      <c r="D95" s="136">
        <f t="shared" si="7"/>
        <v>0</v>
      </c>
      <c r="E95" s="136">
        <f t="shared" si="8"/>
        <v>0</v>
      </c>
      <c r="F95" s="136">
        <f t="shared" si="8"/>
        <v>0</v>
      </c>
      <c r="G95" s="136">
        <f t="shared" si="8"/>
        <v>0</v>
      </c>
      <c r="H95" s="136">
        <f t="shared" si="8"/>
        <v>0</v>
      </c>
      <c r="I95" s="136">
        <f t="shared" si="8"/>
        <v>0</v>
      </c>
      <c r="J95" s="136">
        <f t="shared" si="8"/>
        <v>0</v>
      </c>
      <c r="K95" s="136">
        <f t="shared" si="8"/>
        <v>0</v>
      </c>
      <c r="L95" s="136">
        <f t="shared" si="8"/>
        <v>0</v>
      </c>
      <c r="M95" s="136">
        <f t="shared" si="8"/>
        <v>0</v>
      </c>
      <c r="N95" s="136">
        <f t="shared" si="8"/>
        <v>0</v>
      </c>
      <c r="O95" s="136">
        <f t="shared" si="8"/>
        <v>0</v>
      </c>
      <c r="P95" s="136">
        <f t="shared" si="8"/>
        <v>0</v>
      </c>
      <c r="Q95" s="136">
        <f t="shared" si="8"/>
        <v>0</v>
      </c>
      <c r="R95" s="136">
        <f t="shared" si="8"/>
        <v>0</v>
      </c>
      <c r="S95" s="136">
        <f t="shared" si="8"/>
        <v>0</v>
      </c>
      <c r="T95" s="136">
        <f t="shared" si="8"/>
        <v>0</v>
      </c>
      <c r="V95" s="143">
        <f>MAX(0,'Ward Demand'!$C$39-'Ward Demand'!C24)</f>
        <v>66559.946848736086</v>
      </c>
      <c r="X95" s="540"/>
      <c r="Y95" s="541"/>
      <c r="Z95" s="541"/>
      <c r="AA95" s="542"/>
    </row>
    <row r="96" spans="1:27" x14ac:dyDescent="0.25">
      <c r="A96" s="139">
        <v>44230</v>
      </c>
      <c r="B96" s="130" t="s">
        <v>233</v>
      </c>
      <c r="C96" s="137">
        <f t="shared" si="6"/>
        <v>0</v>
      </c>
      <c r="D96" s="136">
        <f t="shared" si="7"/>
        <v>0</v>
      </c>
      <c r="E96" s="136">
        <f t="shared" si="8"/>
        <v>0</v>
      </c>
      <c r="F96" s="136">
        <f t="shared" si="8"/>
        <v>0</v>
      </c>
      <c r="G96" s="136">
        <f t="shared" si="8"/>
        <v>0</v>
      </c>
      <c r="H96" s="136">
        <f t="shared" si="8"/>
        <v>0</v>
      </c>
      <c r="I96" s="136">
        <f t="shared" si="8"/>
        <v>0</v>
      </c>
      <c r="J96" s="136">
        <f t="shared" si="8"/>
        <v>0</v>
      </c>
      <c r="K96" s="136">
        <f t="shared" si="8"/>
        <v>0</v>
      </c>
      <c r="L96" s="136">
        <f t="shared" si="8"/>
        <v>0</v>
      </c>
      <c r="M96" s="136">
        <f t="shared" si="8"/>
        <v>0</v>
      </c>
      <c r="N96" s="136">
        <f t="shared" si="8"/>
        <v>0</v>
      </c>
      <c r="O96" s="136">
        <f t="shared" si="8"/>
        <v>0</v>
      </c>
      <c r="P96" s="136">
        <f t="shared" si="8"/>
        <v>0</v>
      </c>
      <c r="Q96" s="136">
        <f t="shared" si="8"/>
        <v>0</v>
      </c>
      <c r="R96" s="136">
        <f t="shared" si="8"/>
        <v>0</v>
      </c>
      <c r="S96" s="136">
        <f t="shared" si="8"/>
        <v>0</v>
      </c>
      <c r="T96" s="136">
        <f t="shared" si="8"/>
        <v>0</v>
      </c>
      <c r="V96" s="143">
        <f>MAX(0,'Ward Demand'!$C$39-'Ward Demand'!C25)</f>
        <v>70573.956706717508</v>
      </c>
      <c r="X96" s="540"/>
      <c r="Y96" s="541"/>
      <c r="Z96" s="541"/>
      <c r="AA96" s="542"/>
    </row>
    <row r="97" spans="1:27" ht="15.75" thickBot="1" x14ac:dyDescent="0.3">
      <c r="A97" s="139">
        <v>44237</v>
      </c>
      <c r="B97" s="130" t="s">
        <v>233</v>
      </c>
      <c r="C97" s="137">
        <f t="shared" si="6"/>
        <v>0</v>
      </c>
      <c r="D97" s="136">
        <f t="shared" si="7"/>
        <v>0</v>
      </c>
      <c r="E97" s="136">
        <f t="shared" si="8"/>
        <v>0</v>
      </c>
      <c r="F97" s="136">
        <f t="shared" si="8"/>
        <v>0</v>
      </c>
      <c r="G97" s="136">
        <f t="shared" si="8"/>
        <v>0</v>
      </c>
      <c r="H97" s="136">
        <f t="shared" si="8"/>
        <v>0</v>
      </c>
      <c r="I97" s="136">
        <f t="shared" si="8"/>
        <v>0</v>
      </c>
      <c r="J97" s="136">
        <f t="shared" si="8"/>
        <v>0</v>
      </c>
      <c r="K97" s="136">
        <f t="shared" si="8"/>
        <v>0</v>
      </c>
      <c r="L97" s="136">
        <f t="shared" si="8"/>
        <v>0</v>
      </c>
      <c r="M97" s="136">
        <f t="shared" si="8"/>
        <v>0</v>
      </c>
      <c r="N97" s="136">
        <f t="shared" si="8"/>
        <v>0</v>
      </c>
      <c r="O97" s="136">
        <f t="shared" si="8"/>
        <v>0</v>
      </c>
      <c r="P97" s="136">
        <f t="shared" si="8"/>
        <v>0</v>
      </c>
      <c r="Q97" s="136">
        <f t="shared" si="8"/>
        <v>0</v>
      </c>
      <c r="R97" s="136">
        <f t="shared" si="8"/>
        <v>0</v>
      </c>
      <c r="S97" s="136">
        <f t="shared" si="8"/>
        <v>0</v>
      </c>
      <c r="T97" s="136">
        <f t="shared" si="8"/>
        <v>0</v>
      </c>
      <c r="V97" s="143">
        <f>MAX(0,'Ward Demand'!$C$39-'Ward Demand'!C26)</f>
        <v>73893.925365374002</v>
      </c>
      <c r="X97" s="543"/>
      <c r="Y97" s="544"/>
      <c r="Z97" s="544"/>
      <c r="AA97" s="545"/>
    </row>
    <row r="98" spans="1:27" ht="15.75" thickTop="1" x14ac:dyDescent="0.25">
      <c r="A98" s="139">
        <v>44244</v>
      </c>
      <c r="B98" s="130" t="s">
        <v>233</v>
      </c>
      <c r="C98" s="137">
        <f t="shared" si="6"/>
        <v>0</v>
      </c>
      <c r="D98" s="136">
        <f t="shared" si="7"/>
        <v>0</v>
      </c>
      <c r="E98" s="136">
        <f t="shared" si="8"/>
        <v>0</v>
      </c>
      <c r="F98" s="136">
        <f t="shared" si="8"/>
        <v>0</v>
      </c>
      <c r="G98" s="136">
        <f t="shared" si="8"/>
        <v>0</v>
      </c>
      <c r="H98" s="136">
        <f t="shared" si="8"/>
        <v>0</v>
      </c>
      <c r="I98" s="136">
        <f t="shared" si="8"/>
        <v>0</v>
      </c>
      <c r="J98" s="136">
        <f t="shared" si="8"/>
        <v>0</v>
      </c>
      <c r="K98" s="136">
        <f t="shared" si="8"/>
        <v>0</v>
      </c>
      <c r="L98" s="136">
        <f t="shared" si="8"/>
        <v>0</v>
      </c>
      <c r="M98" s="136">
        <f t="shared" si="8"/>
        <v>0</v>
      </c>
      <c r="N98" s="136">
        <f t="shared" si="8"/>
        <v>0</v>
      </c>
      <c r="O98" s="136">
        <f t="shared" si="8"/>
        <v>0</v>
      </c>
      <c r="P98" s="136">
        <f t="shared" si="8"/>
        <v>0</v>
      </c>
      <c r="Q98" s="136">
        <f t="shared" si="8"/>
        <v>0</v>
      </c>
      <c r="R98" s="136">
        <f t="shared" si="8"/>
        <v>0</v>
      </c>
      <c r="S98" s="136">
        <f t="shared" si="8"/>
        <v>0</v>
      </c>
      <c r="T98" s="136">
        <f t="shared" si="8"/>
        <v>0</v>
      </c>
      <c r="V98" s="143">
        <f>MAX(0,'Ward Demand'!$C$39-'Ward Demand'!C27)</f>
        <v>76549.900292299208</v>
      </c>
    </row>
    <row r="99" spans="1:27" x14ac:dyDescent="0.25">
      <c r="A99" s="139">
        <v>44251</v>
      </c>
      <c r="B99" s="130" t="s">
        <v>233</v>
      </c>
      <c r="C99" s="137">
        <f t="shared" si="6"/>
        <v>0</v>
      </c>
      <c r="D99" s="136">
        <f t="shared" si="7"/>
        <v>0</v>
      </c>
      <c r="E99" s="136">
        <f t="shared" si="8"/>
        <v>0</v>
      </c>
      <c r="F99" s="136">
        <f t="shared" si="8"/>
        <v>0</v>
      </c>
      <c r="G99" s="136">
        <f t="shared" si="8"/>
        <v>0</v>
      </c>
      <c r="H99" s="136">
        <f t="shared" si="8"/>
        <v>0</v>
      </c>
      <c r="I99" s="136">
        <f t="shared" si="8"/>
        <v>0</v>
      </c>
      <c r="J99" s="136">
        <f t="shared" si="8"/>
        <v>0</v>
      </c>
      <c r="K99" s="136">
        <f t="shared" si="8"/>
        <v>0</v>
      </c>
      <c r="L99" s="136">
        <f t="shared" si="8"/>
        <v>0</v>
      </c>
      <c r="M99" s="136">
        <f t="shared" si="8"/>
        <v>0</v>
      </c>
      <c r="N99" s="136">
        <f t="shared" si="8"/>
        <v>0</v>
      </c>
      <c r="O99" s="136">
        <f t="shared" si="8"/>
        <v>0</v>
      </c>
      <c r="P99" s="136">
        <f t="shared" si="8"/>
        <v>0</v>
      </c>
      <c r="Q99" s="136">
        <f t="shared" si="8"/>
        <v>0</v>
      </c>
      <c r="R99" s="136">
        <f t="shared" si="8"/>
        <v>0</v>
      </c>
      <c r="S99" s="136">
        <f t="shared" si="8"/>
        <v>0</v>
      </c>
      <c r="T99" s="136">
        <f t="shared" si="8"/>
        <v>0</v>
      </c>
      <c r="V99" s="143">
        <f>MAX(0,'Ward Demand'!$C$39-'Ward Demand'!C28)</f>
        <v>78674.680233839361</v>
      </c>
    </row>
    <row r="100" spans="1:27" x14ac:dyDescent="0.25">
      <c r="A100" s="139">
        <v>44258</v>
      </c>
      <c r="B100" s="130" t="s">
        <v>233</v>
      </c>
      <c r="C100" s="137">
        <f t="shared" si="6"/>
        <v>0</v>
      </c>
      <c r="D100" s="136">
        <f t="shared" si="7"/>
        <v>0</v>
      </c>
      <c r="E100" s="136">
        <f t="shared" si="8"/>
        <v>0</v>
      </c>
      <c r="F100" s="136">
        <f t="shared" si="8"/>
        <v>0</v>
      </c>
      <c r="G100" s="136">
        <f t="shared" si="8"/>
        <v>0</v>
      </c>
      <c r="H100" s="136">
        <f t="shared" si="8"/>
        <v>0</v>
      </c>
      <c r="I100" s="136">
        <f t="shared" si="8"/>
        <v>0</v>
      </c>
      <c r="J100" s="136">
        <f t="shared" si="8"/>
        <v>0</v>
      </c>
      <c r="K100" s="136">
        <f t="shared" si="8"/>
        <v>0</v>
      </c>
      <c r="L100" s="136">
        <f t="shared" si="8"/>
        <v>0</v>
      </c>
      <c r="M100" s="136">
        <f t="shared" si="8"/>
        <v>0</v>
      </c>
      <c r="N100" s="136">
        <f t="shared" si="8"/>
        <v>0</v>
      </c>
      <c r="O100" s="136">
        <f t="shared" si="8"/>
        <v>0</v>
      </c>
      <c r="P100" s="136">
        <f t="shared" si="8"/>
        <v>0</v>
      </c>
      <c r="Q100" s="136">
        <f t="shared" si="8"/>
        <v>0</v>
      </c>
      <c r="R100" s="136">
        <f t="shared" si="8"/>
        <v>0</v>
      </c>
      <c r="S100" s="136">
        <f t="shared" si="8"/>
        <v>0</v>
      </c>
      <c r="T100" s="136">
        <f t="shared" si="8"/>
        <v>0</v>
      </c>
      <c r="V100" s="143">
        <f>MAX(0,'Ward Demand'!$C$39-'Ward Demand'!C29)</f>
        <v>80374.504187071492</v>
      </c>
    </row>
    <row r="101" spans="1:27" x14ac:dyDescent="0.25">
      <c r="A101" s="139">
        <v>44265</v>
      </c>
      <c r="B101" s="130" t="s">
        <v>233</v>
      </c>
      <c r="C101" s="137">
        <f t="shared" si="6"/>
        <v>0</v>
      </c>
      <c r="D101" s="136">
        <f t="shared" si="7"/>
        <v>0</v>
      </c>
      <c r="E101" s="136">
        <f t="shared" si="8"/>
        <v>0</v>
      </c>
      <c r="F101" s="136">
        <f t="shared" si="8"/>
        <v>0</v>
      </c>
      <c r="G101" s="136">
        <f t="shared" si="8"/>
        <v>0</v>
      </c>
      <c r="H101" s="136">
        <f t="shared" si="8"/>
        <v>0</v>
      </c>
      <c r="I101" s="136">
        <f t="shared" si="8"/>
        <v>0</v>
      </c>
      <c r="J101" s="136">
        <f t="shared" si="8"/>
        <v>0</v>
      </c>
      <c r="K101" s="136">
        <f t="shared" si="8"/>
        <v>0</v>
      </c>
      <c r="L101" s="136">
        <f t="shared" si="8"/>
        <v>0</v>
      </c>
      <c r="M101" s="136">
        <f t="shared" si="8"/>
        <v>0</v>
      </c>
      <c r="N101" s="136">
        <f t="shared" si="8"/>
        <v>0</v>
      </c>
      <c r="O101" s="136">
        <f t="shared" si="8"/>
        <v>0</v>
      </c>
      <c r="P101" s="136">
        <f t="shared" si="8"/>
        <v>0</v>
      </c>
      <c r="Q101" s="136">
        <f t="shared" si="8"/>
        <v>0</v>
      </c>
      <c r="R101" s="136">
        <f t="shared" si="8"/>
        <v>0</v>
      </c>
      <c r="S101" s="136">
        <f t="shared" si="8"/>
        <v>0</v>
      </c>
      <c r="T101" s="136">
        <f t="shared" si="8"/>
        <v>0</v>
      </c>
      <c r="V101" s="143">
        <f>MAX(0,'Ward Demand'!$C$39-'Ward Demand'!C30)</f>
        <v>82414.292930950047</v>
      </c>
    </row>
    <row r="102" spans="1:27" x14ac:dyDescent="0.25">
      <c r="A102" s="139">
        <v>44272</v>
      </c>
      <c r="B102" s="130" t="s">
        <v>233</v>
      </c>
      <c r="C102" s="137">
        <f t="shared" si="6"/>
        <v>0</v>
      </c>
      <c r="D102" s="136">
        <f t="shared" si="7"/>
        <v>0</v>
      </c>
      <c r="E102" s="136">
        <f t="shared" si="8"/>
        <v>0</v>
      </c>
      <c r="F102" s="136">
        <f t="shared" si="8"/>
        <v>0</v>
      </c>
      <c r="G102" s="136">
        <f t="shared" si="8"/>
        <v>0</v>
      </c>
      <c r="H102" s="136">
        <f t="shared" si="8"/>
        <v>0</v>
      </c>
      <c r="I102" s="136">
        <f t="shared" si="8"/>
        <v>0</v>
      </c>
      <c r="J102" s="136">
        <f t="shared" si="8"/>
        <v>0</v>
      </c>
      <c r="K102" s="136">
        <f t="shared" si="8"/>
        <v>0</v>
      </c>
      <c r="L102" s="136">
        <f t="shared" si="8"/>
        <v>0</v>
      </c>
      <c r="M102" s="136">
        <f t="shared" si="8"/>
        <v>0</v>
      </c>
      <c r="N102" s="136">
        <f t="shared" si="8"/>
        <v>0</v>
      </c>
      <c r="O102" s="136">
        <f t="shared" si="8"/>
        <v>0</v>
      </c>
      <c r="P102" s="136">
        <f t="shared" si="8"/>
        <v>0</v>
      </c>
      <c r="Q102" s="136">
        <f t="shared" si="8"/>
        <v>0</v>
      </c>
      <c r="R102" s="136">
        <f t="shared" si="8"/>
        <v>0</v>
      </c>
      <c r="S102" s="136">
        <f t="shared" si="8"/>
        <v>0</v>
      </c>
      <c r="T102" s="136">
        <f t="shared" si="8"/>
        <v>0</v>
      </c>
      <c r="V102" s="143">
        <f>MAX(0,'Ward Demand'!$C$39-'Ward Demand'!C31)</f>
        <v>83842.145051665037</v>
      </c>
    </row>
    <row r="103" spans="1:27" x14ac:dyDescent="0.25">
      <c r="A103" s="139">
        <v>44279</v>
      </c>
      <c r="B103" s="130" t="s">
        <v>233</v>
      </c>
      <c r="C103" s="137">
        <f t="shared" si="6"/>
        <v>0</v>
      </c>
      <c r="D103" s="136">
        <f t="shared" si="7"/>
        <v>0</v>
      </c>
      <c r="E103" s="136">
        <f t="shared" si="8"/>
        <v>0</v>
      </c>
      <c r="F103" s="136">
        <f t="shared" si="8"/>
        <v>0</v>
      </c>
      <c r="G103" s="136">
        <f t="shared" si="8"/>
        <v>0</v>
      </c>
      <c r="H103" s="136">
        <f t="shared" si="8"/>
        <v>0</v>
      </c>
      <c r="I103" s="136">
        <f t="shared" si="8"/>
        <v>0</v>
      </c>
      <c r="J103" s="136">
        <f t="shared" si="8"/>
        <v>0</v>
      </c>
      <c r="K103" s="136">
        <f t="shared" si="8"/>
        <v>0</v>
      </c>
      <c r="L103" s="136">
        <f t="shared" si="8"/>
        <v>0</v>
      </c>
      <c r="M103" s="136">
        <f t="shared" si="8"/>
        <v>0</v>
      </c>
      <c r="N103" s="136">
        <f t="shared" si="8"/>
        <v>0</v>
      </c>
      <c r="O103" s="136">
        <f t="shared" si="8"/>
        <v>0</v>
      </c>
      <c r="P103" s="136">
        <f t="shared" si="8"/>
        <v>0</v>
      </c>
      <c r="Q103" s="136">
        <f t="shared" si="8"/>
        <v>0</v>
      </c>
      <c r="R103" s="136">
        <f t="shared" si="8"/>
        <v>0</v>
      </c>
      <c r="S103" s="136">
        <f t="shared" si="8"/>
        <v>0</v>
      </c>
      <c r="T103" s="136">
        <f t="shared" si="8"/>
        <v>0</v>
      </c>
      <c r="V103" s="143">
        <f>MAX(0,'Ward Demand'!$C$39-'Ward Demand'!C32)</f>
        <v>84841.641536165524</v>
      </c>
    </row>
    <row r="104" spans="1:27" x14ac:dyDescent="0.25">
      <c r="A104" s="139">
        <v>44286</v>
      </c>
      <c r="B104" s="130" t="s">
        <v>233</v>
      </c>
      <c r="C104" s="137">
        <f t="shared" si="6"/>
        <v>0</v>
      </c>
      <c r="D104" s="136">
        <f t="shared" si="7"/>
        <v>0</v>
      </c>
      <c r="E104" s="136">
        <f t="shared" si="8"/>
        <v>0</v>
      </c>
      <c r="F104" s="136">
        <f t="shared" si="8"/>
        <v>0</v>
      </c>
      <c r="G104" s="136">
        <f t="shared" si="8"/>
        <v>0</v>
      </c>
      <c r="H104" s="136">
        <f t="shared" si="8"/>
        <v>0</v>
      </c>
      <c r="I104" s="136">
        <f t="shared" si="8"/>
        <v>0</v>
      </c>
      <c r="J104" s="136">
        <f t="shared" si="8"/>
        <v>0</v>
      </c>
      <c r="K104" s="136">
        <f t="shared" si="8"/>
        <v>0</v>
      </c>
      <c r="L104" s="136">
        <f t="shared" si="8"/>
        <v>0</v>
      </c>
      <c r="M104" s="136">
        <f t="shared" si="8"/>
        <v>0</v>
      </c>
      <c r="N104" s="136">
        <f t="shared" si="8"/>
        <v>0</v>
      </c>
      <c r="O104" s="136">
        <f t="shared" si="8"/>
        <v>0</v>
      </c>
      <c r="P104" s="136">
        <f t="shared" si="8"/>
        <v>0</v>
      </c>
      <c r="Q104" s="136">
        <f t="shared" si="8"/>
        <v>0</v>
      </c>
      <c r="R104" s="136">
        <f t="shared" si="8"/>
        <v>0</v>
      </c>
      <c r="S104" s="136">
        <f t="shared" si="8"/>
        <v>0</v>
      </c>
      <c r="T104" s="136">
        <f t="shared" si="8"/>
        <v>0</v>
      </c>
      <c r="V104" s="143">
        <f>MAX(0,'Ward Demand'!$C$39-'Ward Demand'!C33)</f>
        <v>85541.289075315872</v>
      </c>
    </row>
    <row r="105" spans="1:27" x14ac:dyDescent="0.25">
      <c r="A105" s="139">
        <v>44293</v>
      </c>
      <c r="B105" s="130" t="s">
        <v>233</v>
      </c>
      <c r="C105" s="137">
        <f t="shared" si="6"/>
        <v>0</v>
      </c>
      <c r="D105" s="136">
        <f t="shared" si="7"/>
        <v>0</v>
      </c>
      <c r="E105" s="136">
        <f t="shared" si="8"/>
        <v>0</v>
      </c>
      <c r="F105" s="136">
        <f t="shared" si="8"/>
        <v>0</v>
      </c>
      <c r="G105" s="136">
        <f t="shared" si="8"/>
        <v>0</v>
      </c>
      <c r="H105" s="136">
        <f t="shared" si="8"/>
        <v>0</v>
      </c>
      <c r="I105" s="136">
        <f t="shared" si="8"/>
        <v>0</v>
      </c>
      <c r="J105" s="136">
        <f t="shared" si="8"/>
        <v>0</v>
      </c>
      <c r="K105" s="136">
        <f t="shared" si="8"/>
        <v>0</v>
      </c>
      <c r="L105" s="136">
        <f t="shared" si="8"/>
        <v>0</v>
      </c>
      <c r="M105" s="136">
        <f t="shared" si="8"/>
        <v>0</v>
      </c>
      <c r="N105" s="136">
        <f t="shared" si="8"/>
        <v>0</v>
      </c>
      <c r="O105" s="136">
        <f t="shared" si="8"/>
        <v>0</v>
      </c>
      <c r="P105" s="136">
        <f t="shared" si="8"/>
        <v>0</v>
      </c>
      <c r="Q105" s="136">
        <f t="shared" si="8"/>
        <v>0</v>
      </c>
      <c r="R105" s="136">
        <f t="shared" si="8"/>
        <v>0</v>
      </c>
      <c r="S105" s="136">
        <f t="shared" si="8"/>
        <v>0</v>
      </c>
      <c r="T105" s="136">
        <f t="shared" si="8"/>
        <v>0</v>
      </c>
      <c r="V105" s="143">
        <f>MAX(0,'Ward Demand'!$C$39-'Ward Demand'!C34)</f>
        <v>86031.04235272111</v>
      </c>
    </row>
    <row r="106" spans="1:27" x14ac:dyDescent="0.25">
      <c r="A106" s="139">
        <v>44300</v>
      </c>
      <c r="B106" s="130" t="s">
        <v>233</v>
      </c>
      <c r="C106" s="137">
        <f t="shared" si="6"/>
        <v>0</v>
      </c>
      <c r="D106" s="136">
        <f t="shared" si="7"/>
        <v>0</v>
      </c>
      <c r="E106" s="136">
        <f t="shared" si="8"/>
        <v>0</v>
      </c>
      <c r="F106" s="136">
        <f t="shared" si="8"/>
        <v>0</v>
      </c>
      <c r="G106" s="136">
        <f t="shared" si="8"/>
        <v>0</v>
      </c>
      <c r="H106" s="136">
        <f t="shared" si="8"/>
        <v>0</v>
      </c>
      <c r="I106" s="136">
        <f t="shared" si="8"/>
        <v>0</v>
      </c>
      <c r="J106" s="136">
        <f t="shared" si="8"/>
        <v>0</v>
      </c>
      <c r="K106" s="136">
        <f t="shared" si="8"/>
        <v>0</v>
      </c>
      <c r="L106" s="136">
        <f t="shared" si="8"/>
        <v>0</v>
      </c>
      <c r="M106" s="136">
        <f t="shared" si="8"/>
        <v>0</v>
      </c>
      <c r="N106" s="136">
        <f t="shared" si="8"/>
        <v>0</v>
      </c>
      <c r="O106" s="136">
        <f t="shared" si="8"/>
        <v>0</v>
      </c>
      <c r="P106" s="136">
        <f t="shared" si="8"/>
        <v>0</v>
      </c>
      <c r="Q106" s="136">
        <f t="shared" si="8"/>
        <v>0</v>
      </c>
      <c r="R106" s="136">
        <f t="shared" si="8"/>
        <v>0</v>
      </c>
      <c r="S106" s="136">
        <f t="shared" si="8"/>
        <v>0</v>
      </c>
      <c r="T106" s="136">
        <f t="shared" si="8"/>
        <v>0</v>
      </c>
      <c r="V106" s="143">
        <f>MAX(0,'Ward Demand'!$C$39-'Ward Demand'!C35)</f>
        <v>86373.869646904772</v>
      </c>
    </row>
    <row r="107" spans="1:27" x14ac:dyDescent="0.25">
      <c r="A107" s="139">
        <v>44307</v>
      </c>
      <c r="B107" s="130" t="s">
        <v>233</v>
      </c>
      <c r="C107" s="137">
        <f t="shared" si="6"/>
        <v>0</v>
      </c>
      <c r="D107" s="136">
        <f t="shared" si="7"/>
        <v>0</v>
      </c>
      <c r="E107" s="136">
        <f t="shared" si="8"/>
        <v>0</v>
      </c>
      <c r="F107" s="136">
        <f t="shared" si="8"/>
        <v>0</v>
      </c>
      <c r="G107" s="136">
        <f t="shared" si="8"/>
        <v>0</v>
      </c>
      <c r="H107" s="136">
        <f t="shared" si="8"/>
        <v>0</v>
      </c>
      <c r="I107" s="136">
        <f t="shared" si="8"/>
        <v>0</v>
      </c>
      <c r="J107" s="136">
        <f t="shared" si="8"/>
        <v>0</v>
      </c>
      <c r="K107" s="136">
        <f t="shared" si="8"/>
        <v>0</v>
      </c>
      <c r="L107" s="136">
        <f t="shared" si="8"/>
        <v>0</v>
      </c>
      <c r="M107" s="136">
        <f t="shared" si="8"/>
        <v>0</v>
      </c>
      <c r="N107" s="136">
        <f t="shared" si="8"/>
        <v>0</v>
      </c>
      <c r="O107" s="136">
        <f t="shared" si="8"/>
        <v>0</v>
      </c>
      <c r="P107" s="136">
        <f t="shared" si="8"/>
        <v>0</v>
      </c>
      <c r="Q107" s="136">
        <f t="shared" si="8"/>
        <v>0</v>
      </c>
      <c r="R107" s="136">
        <f t="shared" si="8"/>
        <v>0</v>
      </c>
      <c r="S107" s="136">
        <f t="shared" si="8"/>
        <v>0</v>
      </c>
      <c r="T107" s="136">
        <f t="shared" si="8"/>
        <v>0</v>
      </c>
      <c r="V107" s="143">
        <f>MAX(0,'Ward Demand'!$C$39-'Ward Demand'!C36)</f>
        <v>86613.84875283335</v>
      </c>
    </row>
    <row r="108" spans="1:27" x14ac:dyDescent="0.25">
      <c r="A108" s="139">
        <v>44314</v>
      </c>
      <c r="B108" s="130" t="s">
        <v>233</v>
      </c>
      <c r="C108" s="137">
        <f t="shared" si="6"/>
        <v>0</v>
      </c>
      <c r="D108" s="136">
        <f t="shared" si="7"/>
        <v>0</v>
      </c>
      <c r="E108" s="136">
        <f t="shared" si="8"/>
        <v>0</v>
      </c>
      <c r="F108" s="136">
        <f t="shared" si="8"/>
        <v>0</v>
      </c>
      <c r="G108" s="136">
        <f t="shared" si="8"/>
        <v>0</v>
      </c>
      <c r="H108" s="136">
        <f t="shared" si="8"/>
        <v>0</v>
      </c>
      <c r="I108" s="136">
        <f t="shared" si="8"/>
        <v>0</v>
      </c>
      <c r="J108" s="136">
        <f t="shared" si="8"/>
        <v>0</v>
      </c>
      <c r="K108" s="136">
        <f t="shared" si="8"/>
        <v>0</v>
      </c>
      <c r="L108" s="136">
        <f t="shared" si="8"/>
        <v>0</v>
      </c>
      <c r="M108" s="136">
        <f t="shared" si="8"/>
        <v>0</v>
      </c>
      <c r="N108" s="136">
        <f t="shared" si="8"/>
        <v>0</v>
      </c>
      <c r="O108" s="136">
        <f t="shared" si="8"/>
        <v>0</v>
      </c>
      <c r="P108" s="136">
        <f t="shared" si="8"/>
        <v>0</v>
      </c>
      <c r="Q108" s="136">
        <f t="shared" si="8"/>
        <v>0</v>
      </c>
      <c r="R108" s="136">
        <f t="shared" si="8"/>
        <v>0</v>
      </c>
      <c r="S108" s="136">
        <f t="shared" si="8"/>
        <v>0</v>
      </c>
      <c r="T108" s="136">
        <f t="shared" si="8"/>
        <v>0</v>
      </c>
      <c r="V108" s="143">
        <f>MAX(0,'Ward Demand'!$C$39-'Ward Demand'!C37)</f>
        <v>86781.834126983347</v>
      </c>
    </row>
    <row r="110" spans="1:27" x14ac:dyDescent="0.25">
      <c r="A110" s="14" t="s">
        <v>302</v>
      </c>
    </row>
    <row r="111" spans="1:27" x14ac:dyDescent="0.25">
      <c r="A111" t="s">
        <v>303</v>
      </c>
    </row>
    <row r="112" spans="1:27" x14ac:dyDescent="0.25">
      <c r="A112" s="133" t="s">
        <v>231</v>
      </c>
      <c r="B112" s="133" t="s">
        <v>232</v>
      </c>
      <c r="C112" s="137" t="s">
        <v>82</v>
      </c>
      <c r="D112" s="292" t="s">
        <v>179</v>
      </c>
      <c r="E112" s="138" t="s">
        <v>182</v>
      </c>
      <c r="F112" s="138" t="s">
        <v>184</v>
      </c>
      <c r="G112" s="138" t="s">
        <v>186</v>
      </c>
      <c r="H112" s="138" t="s">
        <v>188</v>
      </c>
      <c r="I112" s="138" t="s">
        <v>190</v>
      </c>
      <c r="J112" s="138" t="s">
        <v>191</v>
      </c>
      <c r="K112" s="138" t="s">
        <v>192</v>
      </c>
      <c r="L112" s="138" t="s">
        <v>193</v>
      </c>
      <c r="M112" s="138" t="s">
        <v>194</v>
      </c>
      <c r="N112" s="138" t="s">
        <v>195</v>
      </c>
      <c r="O112" s="138" t="s">
        <v>197</v>
      </c>
      <c r="P112" s="138" t="s">
        <v>199</v>
      </c>
      <c r="Q112" s="138" t="s">
        <v>201</v>
      </c>
      <c r="R112" s="138" t="s">
        <v>203</v>
      </c>
      <c r="S112" s="138" t="s">
        <v>205</v>
      </c>
      <c r="T112" s="138" t="s">
        <v>189</v>
      </c>
    </row>
    <row r="113" spans="1:25" x14ac:dyDescent="0.25">
      <c r="A113" s="139">
        <v>44104</v>
      </c>
      <c r="B113" s="130" t="s">
        <v>235</v>
      </c>
      <c r="C113" s="137">
        <f>C8-C43-C78</f>
        <v>0</v>
      </c>
      <c r="D113" s="136">
        <f t="shared" ref="D113:T113" si="9">$C113/$C8*D8</f>
        <v>0</v>
      </c>
      <c r="E113" s="136">
        <f t="shared" si="9"/>
        <v>0</v>
      </c>
      <c r="F113" s="136">
        <f t="shared" si="9"/>
        <v>0</v>
      </c>
      <c r="G113" s="136">
        <f t="shared" si="9"/>
        <v>0</v>
      </c>
      <c r="H113" s="136">
        <f t="shared" si="9"/>
        <v>0</v>
      </c>
      <c r="I113" s="136">
        <f t="shared" si="9"/>
        <v>0</v>
      </c>
      <c r="J113" s="136">
        <f t="shared" si="9"/>
        <v>0</v>
      </c>
      <c r="K113" s="136">
        <f t="shared" si="9"/>
        <v>0</v>
      </c>
      <c r="L113" s="136">
        <f t="shared" si="9"/>
        <v>0</v>
      </c>
      <c r="M113" s="136">
        <f t="shared" si="9"/>
        <v>0</v>
      </c>
      <c r="N113" s="136">
        <f t="shared" si="9"/>
        <v>0</v>
      </c>
      <c r="O113" s="136">
        <f t="shared" si="9"/>
        <v>0</v>
      </c>
      <c r="P113" s="136">
        <f t="shared" si="9"/>
        <v>0</v>
      </c>
      <c r="Q113" s="136">
        <f t="shared" si="9"/>
        <v>0</v>
      </c>
      <c r="R113" s="136">
        <f t="shared" si="9"/>
        <v>0</v>
      </c>
      <c r="S113" s="136">
        <f t="shared" si="9"/>
        <v>0</v>
      </c>
      <c r="T113" s="136">
        <f t="shared" si="9"/>
        <v>0</v>
      </c>
    </row>
    <row r="114" spans="1:25" x14ac:dyDescent="0.25">
      <c r="A114" s="139">
        <v>44111</v>
      </c>
      <c r="B114" s="130" t="s">
        <v>235</v>
      </c>
      <c r="C114" s="137">
        <f t="shared" ref="C114:C143" si="10">C9-C44-C79</f>
        <v>0</v>
      </c>
      <c r="D114" s="136">
        <f t="shared" ref="D114:T114" si="11">$C114/$C9*D9</f>
        <v>0</v>
      </c>
      <c r="E114" s="136">
        <f t="shared" si="11"/>
        <v>0</v>
      </c>
      <c r="F114" s="136">
        <f t="shared" si="11"/>
        <v>0</v>
      </c>
      <c r="G114" s="136">
        <f t="shared" si="11"/>
        <v>0</v>
      </c>
      <c r="H114" s="136">
        <f t="shared" si="11"/>
        <v>0</v>
      </c>
      <c r="I114" s="136">
        <f t="shared" si="11"/>
        <v>0</v>
      </c>
      <c r="J114" s="136">
        <f t="shared" si="11"/>
        <v>0</v>
      </c>
      <c r="K114" s="136">
        <f t="shared" si="11"/>
        <v>0</v>
      </c>
      <c r="L114" s="136">
        <f t="shared" si="11"/>
        <v>0</v>
      </c>
      <c r="M114" s="136">
        <f t="shared" si="11"/>
        <v>0</v>
      </c>
      <c r="N114" s="136">
        <f t="shared" si="11"/>
        <v>0</v>
      </c>
      <c r="O114" s="136">
        <f t="shared" si="11"/>
        <v>0</v>
      </c>
      <c r="P114" s="136">
        <f t="shared" si="11"/>
        <v>0</v>
      </c>
      <c r="Q114" s="136">
        <f t="shared" si="11"/>
        <v>0</v>
      </c>
      <c r="R114" s="136">
        <f t="shared" si="11"/>
        <v>0</v>
      </c>
      <c r="S114" s="136">
        <f t="shared" si="11"/>
        <v>0</v>
      </c>
      <c r="T114" s="136">
        <f t="shared" si="11"/>
        <v>0</v>
      </c>
    </row>
    <row r="115" spans="1:25" x14ac:dyDescent="0.25">
      <c r="A115" s="139">
        <v>44118</v>
      </c>
      <c r="B115" s="130" t="s">
        <v>235</v>
      </c>
      <c r="C115" s="137">
        <f t="shared" si="10"/>
        <v>0</v>
      </c>
      <c r="D115" s="136">
        <f t="shared" ref="D115:T115" si="12">$C115/$C10*D10</f>
        <v>0</v>
      </c>
      <c r="E115" s="136">
        <f t="shared" si="12"/>
        <v>0</v>
      </c>
      <c r="F115" s="136">
        <f t="shared" si="12"/>
        <v>0</v>
      </c>
      <c r="G115" s="136">
        <f t="shared" si="12"/>
        <v>0</v>
      </c>
      <c r="H115" s="136">
        <f t="shared" si="12"/>
        <v>0</v>
      </c>
      <c r="I115" s="136">
        <f t="shared" si="12"/>
        <v>0</v>
      </c>
      <c r="J115" s="136">
        <f t="shared" si="12"/>
        <v>0</v>
      </c>
      <c r="K115" s="136">
        <f t="shared" si="12"/>
        <v>0</v>
      </c>
      <c r="L115" s="136">
        <f t="shared" si="12"/>
        <v>0</v>
      </c>
      <c r="M115" s="136">
        <f t="shared" si="12"/>
        <v>0</v>
      </c>
      <c r="N115" s="136">
        <f t="shared" si="12"/>
        <v>0</v>
      </c>
      <c r="O115" s="136">
        <f t="shared" si="12"/>
        <v>0</v>
      </c>
      <c r="P115" s="136">
        <f t="shared" si="12"/>
        <v>0</v>
      </c>
      <c r="Q115" s="136">
        <f t="shared" si="12"/>
        <v>0</v>
      </c>
      <c r="R115" s="136">
        <f t="shared" si="12"/>
        <v>0</v>
      </c>
      <c r="S115" s="136">
        <f t="shared" si="12"/>
        <v>0</v>
      </c>
      <c r="T115" s="136">
        <f t="shared" si="12"/>
        <v>0</v>
      </c>
    </row>
    <row r="116" spans="1:25" ht="15.75" thickBot="1" x14ac:dyDescent="0.3">
      <c r="A116" s="139">
        <v>44125</v>
      </c>
      <c r="B116" s="130" t="s">
        <v>235</v>
      </c>
      <c r="C116" s="137">
        <f t="shared" si="10"/>
        <v>0</v>
      </c>
      <c r="D116" s="136">
        <f t="shared" ref="D116:T116" si="13">$C116/$C11*D11</f>
        <v>0</v>
      </c>
      <c r="E116" s="136">
        <f t="shared" si="13"/>
        <v>0</v>
      </c>
      <c r="F116" s="136">
        <f t="shared" si="13"/>
        <v>0</v>
      </c>
      <c r="G116" s="136">
        <f t="shared" si="13"/>
        <v>0</v>
      </c>
      <c r="H116" s="136">
        <f t="shared" si="13"/>
        <v>0</v>
      </c>
      <c r="I116" s="136">
        <f t="shared" si="13"/>
        <v>0</v>
      </c>
      <c r="J116" s="136">
        <f t="shared" si="13"/>
        <v>0</v>
      </c>
      <c r="K116" s="136">
        <f t="shared" si="13"/>
        <v>0</v>
      </c>
      <c r="L116" s="136">
        <f t="shared" si="13"/>
        <v>0</v>
      </c>
      <c r="M116" s="136">
        <f t="shared" si="13"/>
        <v>0</v>
      </c>
      <c r="N116" s="136">
        <f t="shared" si="13"/>
        <v>0</v>
      </c>
      <c r="O116" s="136">
        <f t="shared" si="13"/>
        <v>0</v>
      </c>
      <c r="P116" s="136">
        <f t="shared" si="13"/>
        <v>0</v>
      </c>
      <c r="Q116" s="136">
        <f t="shared" si="13"/>
        <v>0</v>
      </c>
      <c r="R116" s="136">
        <f t="shared" si="13"/>
        <v>0</v>
      </c>
      <c r="S116" s="136">
        <f t="shared" si="13"/>
        <v>0</v>
      </c>
      <c r="T116" s="136">
        <f t="shared" si="13"/>
        <v>0</v>
      </c>
    </row>
    <row r="117" spans="1:25" ht="14.45" customHeight="1" thickTop="1" x14ac:dyDescent="0.25">
      <c r="A117" s="139">
        <v>44132</v>
      </c>
      <c r="B117" s="130" t="s">
        <v>235</v>
      </c>
      <c r="C117" s="137">
        <f>C12-C47-C82</f>
        <v>0</v>
      </c>
      <c r="D117" s="136">
        <f t="shared" ref="D117:T117" si="14">$C117/$C12*D12</f>
        <v>0</v>
      </c>
      <c r="E117" s="136">
        <f t="shared" si="14"/>
        <v>0</v>
      </c>
      <c r="F117" s="136">
        <f t="shared" si="14"/>
        <v>0</v>
      </c>
      <c r="G117" s="136">
        <f>$C117/$C12*G12</f>
        <v>0</v>
      </c>
      <c r="H117" s="136">
        <f t="shared" si="14"/>
        <v>0</v>
      </c>
      <c r="I117" s="136">
        <f t="shared" si="14"/>
        <v>0</v>
      </c>
      <c r="J117" s="136">
        <f t="shared" si="14"/>
        <v>0</v>
      </c>
      <c r="K117" s="136">
        <f t="shared" si="14"/>
        <v>0</v>
      </c>
      <c r="L117" s="136">
        <f t="shared" si="14"/>
        <v>0</v>
      </c>
      <c r="M117" s="136">
        <f t="shared" si="14"/>
        <v>0</v>
      </c>
      <c r="N117" s="136">
        <f t="shared" si="14"/>
        <v>0</v>
      </c>
      <c r="O117" s="136">
        <f t="shared" si="14"/>
        <v>0</v>
      </c>
      <c r="P117" s="136">
        <f t="shared" si="14"/>
        <v>0</v>
      </c>
      <c r="Q117" s="136">
        <f t="shared" si="14"/>
        <v>0</v>
      </c>
      <c r="R117" s="136">
        <f t="shared" si="14"/>
        <v>0</v>
      </c>
      <c r="S117" s="136">
        <f t="shared" si="14"/>
        <v>0</v>
      </c>
      <c r="T117" s="136">
        <f t="shared" si="14"/>
        <v>0</v>
      </c>
      <c r="V117" s="537" t="s">
        <v>304</v>
      </c>
      <c r="W117" s="538"/>
      <c r="X117" s="538"/>
      <c r="Y117" s="539"/>
    </row>
    <row r="118" spans="1:25" x14ac:dyDescent="0.25">
      <c r="A118" s="139">
        <v>44139</v>
      </c>
      <c r="B118" s="130" t="s">
        <v>235</v>
      </c>
      <c r="C118" s="137">
        <f t="shared" si="10"/>
        <v>0</v>
      </c>
      <c r="D118" s="136">
        <f t="shared" ref="D118:T118" si="15">$C118/$C13*D13</f>
        <v>0</v>
      </c>
      <c r="E118" s="136">
        <f t="shared" si="15"/>
        <v>0</v>
      </c>
      <c r="F118" s="136">
        <f t="shared" si="15"/>
        <v>0</v>
      </c>
      <c r="G118" s="136">
        <f t="shared" si="15"/>
        <v>0</v>
      </c>
      <c r="H118" s="136">
        <f t="shared" si="15"/>
        <v>0</v>
      </c>
      <c r="I118" s="136">
        <f t="shared" si="15"/>
        <v>0</v>
      </c>
      <c r="J118" s="136">
        <f t="shared" si="15"/>
        <v>0</v>
      </c>
      <c r="K118" s="136">
        <f t="shared" si="15"/>
        <v>0</v>
      </c>
      <c r="L118" s="136">
        <f t="shared" si="15"/>
        <v>0</v>
      </c>
      <c r="M118" s="136">
        <f t="shared" si="15"/>
        <v>0</v>
      </c>
      <c r="N118" s="136">
        <f t="shared" si="15"/>
        <v>0</v>
      </c>
      <c r="O118" s="136">
        <f t="shared" si="15"/>
        <v>0</v>
      </c>
      <c r="P118" s="136">
        <f t="shared" si="15"/>
        <v>0</v>
      </c>
      <c r="Q118" s="136">
        <f t="shared" si="15"/>
        <v>0</v>
      </c>
      <c r="R118" s="136">
        <f t="shared" si="15"/>
        <v>0</v>
      </c>
      <c r="S118" s="136">
        <f t="shared" si="15"/>
        <v>0</v>
      </c>
      <c r="T118" s="136">
        <f t="shared" si="15"/>
        <v>0</v>
      </c>
      <c r="V118" s="540"/>
      <c r="W118" s="541"/>
      <c r="X118" s="541"/>
      <c r="Y118" s="542"/>
    </row>
    <row r="119" spans="1:25" x14ac:dyDescent="0.25">
      <c r="A119" s="139">
        <v>44146</v>
      </c>
      <c r="B119" s="130" t="s">
        <v>235</v>
      </c>
      <c r="C119" s="137">
        <f t="shared" si="10"/>
        <v>0</v>
      </c>
      <c r="D119" s="136">
        <f t="shared" ref="D119:T119" si="16">$C119/$C14*D14</f>
        <v>0</v>
      </c>
      <c r="E119" s="136">
        <f t="shared" si="16"/>
        <v>0</v>
      </c>
      <c r="F119" s="136">
        <f t="shared" si="16"/>
        <v>0</v>
      </c>
      <c r="G119" s="136">
        <f t="shared" si="16"/>
        <v>0</v>
      </c>
      <c r="H119" s="136">
        <f t="shared" si="16"/>
        <v>0</v>
      </c>
      <c r="I119" s="136">
        <f t="shared" si="16"/>
        <v>0</v>
      </c>
      <c r="J119" s="136">
        <f t="shared" si="16"/>
        <v>0</v>
      </c>
      <c r="K119" s="136">
        <f t="shared" si="16"/>
        <v>0</v>
      </c>
      <c r="L119" s="136">
        <f t="shared" si="16"/>
        <v>0</v>
      </c>
      <c r="M119" s="136">
        <f t="shared" si="16"/>
        <v>0</v>
      </c>
      <c r="N119" s="136">
        <f t="shared" si="16"/>
        <v>0</v>
      </c>
      <c r="O119" s="136">
        <f t="shared" si="16"/>
        <v>0</v>
      </c>
      <c r="P119" s="136">
        <f t="shared" si="16"/>
        <v>0</v>
      </c>
      <c r="Q119" s="136">
        <f t="shared" si="16"/>
        <v>0</v>
      </c>
      <c r="R119" s="136">
        <f t="shared" si="16"/>
        <v>0</v>
      </c>
      <c r="S119" s="136">
        <f t="shared" si="16"/>
        <v>0</v>
      </c>
      <c r="T119" s="136">
        <f t="shared" si="16"/>
        <v>0</v>
      </c>
      <c r="V119" s="540"/>
      <c r="W119" s="541"/>
      <c r="X119" s="541"/>
      <c r="Y119" s="542"/>
    </row>
    <row r="120" spans="1:25" x14ac:dyDescent="0.25">
      <c r="A120" s="139">
        <v>44153</v>
      </c>
      <c r="B120" s="130" t="s">
        <v>235</v>
      </c>
      <c r="C120" s="137">
        <f t="shared" si="10"/>
        <v>0</v>
      </c>
      <c r="D120" s="136">
        <f t="shared" ref="D120:T120" si="17">$C120/$C15*D15</f>
        <v>0</v>
      </c>
      <c r="E120" s="136">
        <f t="shared" si="17"/>
        <v>0</v>
      </c>
      <c r="F120" s="136">
        <f t="shared" si="17"/>
        <v>0</v>
      </c>
      <c r="G120" s="136">
        <f t="shared" si="17"/>
        <v>0</v>
      </c>
      <c r="H120" s="136">
        <f t="shared" si="17"/>
        <v>0</v>
      </c>
      <c r="I120" s="136">
        <f t="shared" si="17"/>
        <v>0</v>
      </c>
      <c r="J120" s="136">
        <f t="shared" si="17"/>
        <v>0</v>
      </c>
      <c r="K120" s="136">
        <f t="shared" si="17"/>
        <v>0</v>
      </c>
      <c r="L120" s="136">
        <f t="shared" si="17"/>
        <v>0</v>
      </c>
      <c r="M120" s="136">
        <f t="shared" si="17"/>
        <v>0</v>
      </c>
      <c r="N120" s="136">
        <f t="shared" si="17"/>
        <v>0</v>
      </c>
      <c r="O120" s="136">
        <f t="shared" si="17"/>
        <v>0</v>
      </c>
      <c r="P120" s="136">
        <f t="shared" si="17"/>
        <v>0</v>
      </c>
      <c r="Q120" s="136">
        <f t="shared" si="17"/>
        <v>0</v>
      </c>
      <c r="R120" s="136">
        <f t="shared" si="17"/>
        <v>0</v>
      </c>
      <c r="S120" s="136">
        <f t="shared" si="17"/>
        <v>0</v>
      </c>
      <c r="T120" s="136">
        <f t="shared" si="17"/>
        <v>0</v>
      </c>
      <c r="V120" s="540"/>
      <c r="W120" s="541"/>
      <c r="X120" s="541"/>
      <c r="Y120" s="542"/>
    </row>
    <row r="121" spans="1:25" x14ac:dyDescent="0.25">
      <c r="A121" s="139">
        <v>44160</v>
      </c>
      <c r="B121" s="130" t="s">
        <v>235</v>
      </c>
      <c r="C121" s="137">
        <f t="shared" si="10"/>
        <v>0</v>
      </c>
      <c r="D121" s="136">
        <f t="shared" ref="D121:T121" si="18">$C121/$C16*D16</f>
        <v>0</v>
      </c>
      <c r="E121" s="136">
        <f t="shared" si="18"/>
        <v>0</v>
      </c>
      <c r="F121" s="136">
        <f t="shared" si="18"/>
        <v>0</v>
      </c>
      <c r="G121" s="136">
        <f t="shared" si="18"/>
        <v>0</v>
      </c>
      <c r="H121" s="136">
        <f t="shared" si="18"/>
        <v>0</v>
      </c>
      <c r="I121" s="136">
        <f t="shared" si="18"/>
        <v>0</v>
      </c>
      <c r="J121" s="136">
        <f t="shared" si="18"/>
        <v>0</v>
      </c>
      <c r="K121" s="136">
        <f t="shared" si="18"/>
        <v>0</v>
      </c>
      <c r="L121" s="136">
        <f t="shared" si="18"/>
        <v>0</v>
      </c>
      <c r="M121" s="136">
        <f t="shared" si="18"/>
        <v>0</v>
      </c>
      <c r="N121" s="136">
        <f t="shared" si="18"/>
        <v>0</v>
      </c>
      <c r="O121" s="136">
        <f t="shared" si="18"/>
        <v>0</v>
      </c>
      <c r="P121" s="136">
        <f t="shared" si="18"/>
        <v>0</v>
      </c>
      <c r="Q121" s="136">
        <f t="shared" si="18"/>
        <v>0</v>
      </c>
      <c r="R121" s="136">
        <f t="shared" si="18"/>
        <v>0</v>
      </c>
      <c r="S121" s="136">
        <f t="shared" si="18"/>
        <v>0</v>
      </c>
      <c r="T121" s="136">
        <f t="shared" si="18"/>
        <v>0</v>
      </c>
      <c r="V121" s="540"/>
      <c r="W121" s="541"/>
      <c r="X121" s="541"/>
      <c r="Y121" s="542"/>
    </row>
    <row r="122" spans="1:25" x14ac:dyDescent="0.25">
      <c r="A122" s="139">
        <v>44167</v>
      </c>
      <c r="B122" s="130" t="s">
        <v>235</v>
      </c>
      <c r="C122" s="137">
        <f t="shared" si="10"/>
        <v>0</v>
      </c>
      <c r="D122" s="136">
        <f t="shared" ref="D122:T122" si="19">$C122/$C17*D17</f>
        <v>0</v>
      </c>
      <c r="E122" s="136">
        <f t="shared" si="19"/>
        <v>0</v>
      </c>
      <c r="F122" s="136">
        <f t="shared" si="19"/>
        <v>0</v>
      </c>
      <c r="G122" s="136">
        <f t="shared" si="19"/>
        <v>0</v>
      </c>
      <c r="H122" s="136">
        <f t="shared" si="19"/>
        <v>0</v>
      </c>
      <c r="I122" s="136">
        <f t="shared" si="19"/>
        <v>0</v>
      </c>
      <c r="J122" s="136">
        <f t="shared" si="19"/>
        <v>0</v>
      </c>
      <c r="K122" s="136">
        <f t="shared" si="19"/>
        <v>0</v>
      </c>
      <c r="L122" s="136">
        <f t="shared" si="19"/>
        <v>0</v>
      </c>
      <c r="M122" s="136">
        <f t="shared" si="19"/>
        <v>0</v>
      </c>
      <c r="N122" s="136">
        <f t="shared" si="19"/>
        <v>0</v>
      </c>
      <c r="O122" s="136">
        <f t="shared" si="19"/>
        <v>0</v>
      </c>
      <c r="P122" s="136">
        <f t="shared" si="19"/>
        <v>0</v>
      </c>
      <c r="Q122" s="136">
        <f t="shared" si="19"/>
        <v>0</v>
      </c>
      <c r="R122" s="136">
        <f t="shared" si="19"/>
        <v>0</v>
      </c>
      <c r="S122" s="136">
        <f t="shared" si="19"/>
        <v>0</v>
      </c>
      <c r="T122" s="136">
        <f t="shared" si="19"/>
        <v>0</v>
      </c>
      <c r="V122" s="540"/>
      <c r="W122" s="541"/>
      <c r="X122" s="541"/>
      <c r="Y122" s="542"/>
    </row>
    <row r="123" spans="1:25" x14ac:dyDescent="0.25">
      <c r="A123" s="139">
        <v>44174</v>
      </c>
      <c r="B123" s="130" t="s">
        <v>235</v>
      </c>
      <c r="C123" s="137">
        <f t="shared" si="10"/>
        <v>0</v>
      </c>
      <c r="D123" s="136">
        <f t="shared" ref="D123:T123" si="20">$C123/$C18*D18</f>
        <v>0</v>
      </c>
      <c r="E123" s="136">
        <f t="shared" si="20"/>
        <v>0</v>
      </c>
      <c r="F123" s="136">
        <f t="shared" si="20"/>
        <v>0</v>
      </c>
      <c r="G123" s="136">
        <f t="shared" si="20"/>
        <v>0</v>
      </c>
      <c r="H123" s="136">
        <f t="shared" si="20"/>
        <v>0</v>
      </c>
      <c r="I123" s="136">
        <f t="shared" si="20"/>
        <v>0</v>
      </c>
      <c r="J123" s="136">
        <f t="shared" si="20"/>
        <v>0</v>
      </c>
      <c r="K123" s="136">
        <f t="shared" si="20"/>
        <v>0</v>
      </c>
      <c r="L123" s="136">
        <f t="shared" si="20"/>
        <v>0</v>
      </c>
      <c r="M123" s="136">
        <f t="shared" si="20"/>
        <v>0</v>
      </c>
      <c r="N123" s="136">
        <f t="shared" si="20"/>
        <v>0</v>
      </c>
      <c r="O123" s="136">
        <f t="shared" si="20"/>
        <v>0</v>
      </c>
      <c r="P123" s="136">
        <f t="shared" si="20"/>
        <v>0</v>
      </c>
      <c r="Q123" s="136">
        <f t="shared" si="20"/>
        <v>0</v>
      </c>
      <c r="R123" s="136">
        <f t="shared" si="20"/>
        <v>0</v>
      </c>
      <c r="S123" s="136">
        <f t="shared" si="20"/>
        <v>0</v>
      </c>
      <c r="T123" s="136">
        <f t="shared" si="20"/>
        <v>0</v>
      </c>
      <c r="V123" s="540"/>
      <c r="W123" s="541"/>
      <c r="X123" s="541"/>
      <c r="Y123" s="542"/>
    </row>
    <row r="124" spans="1:25" x14ac:dyDescent="0.25">
      <c r="A124" s="139">
        <v>44181</v>
      </c>
      <c r="B124" s="130" t="s">
        <v>235</v>
      </c>
      <c r="C124" s="137">
        <f t="shared" si="10"/>
        <v>0</v>
      </c>
      <c r="D124" s="136">
        <f t="shared" ref="D124:T124" si="21">$C124/$C19*D19</f>
        <v>0</v>
      </c>
      <c r="E124" s="136">
        <f t="shared" si="21"/>
        <v>0</v>
      </c>
      <c r="F124" s="136">
        <f t="shared" si="21"/>
        <v>0</v>
      </c>
      <c r="G124" s="136">
        <f t="shared" si="21"/>
        <v>0</v>
      </c>
      <c r="H124" s="136">
        <f t="shared" si="21"/>
        <v>0</v>
      </c>
      <c r="I124" s="136">
        <f t="shared" si="21"/>
        <v>0</v>
      </c>
      <c r="J124" s="136">
        <f t="shared" si="21"/>
        <v>0</v>
      </c>
      <c r="K124" s="136">
        <f t="shared" si="21"/>
        <v>0</v>
      </c>
      <c r="L124" s="136">
        <f t="shared" si="21"/>
        <v>0</v>
      </c>
      <c r="M124" s="136">
        <f t="shared" si="21"/>
        <v>0</v>
      </c>
      <c r="N124" s="136">
        <f t="shared" si="21"/>
        <v>0</v>
      </c>
      <c r="O124" s="136">
        <f t="shared" si="21"/>
        <v>0</v>
      </c>
      <c r="P124" s="136">
        <f t="shared" si="21"/>
        <v>0</v>
      </c>
      <c r="Q124" s="136">
        <f t="shared" si="21"/>
        <v>0</v>
      </c>
      <c r="R124" s="136">
        <f t="shared" si="21"/>
        <v>0</v>
      </c>
      <c r="S124" s="136">
        <f t="shared" si="21"/>
        <v>0</v>
      </c>
      <c r="T124" s="136">
        <f t="shared" si="21"/>
        <v>0</v>
      </c>
      <c r="V124" s="540"/>
      <c r="W124" s="541"/>
      <c r="X124" s="541"/>
      <c r="Y124" s="542"/>
    </row>
    <row r="125" spans="1:25" x14ac:dyDescent="0.25">
      <c r="A125" s="139">
        <v>44188</v>
      </c>
      <c r="B125" s="130" t="s">
        <v>235</v>
      </c>
      <c r="C125" s="137">
        <f t="shared" si="10"/>
        <v>0</v>
      </c>
      <c r="D125" s="136">
        <f t="shared" ref="D125:T125" si="22">$C125/$C20*D20</f>
        <v>0</v>
      </c>
      <c r="E125" s="136">
        <f t="shared" si="22"/>
        <v>0</v>
      </c>
      <c r="F125" s="136">
        <f t="shared" si="22"/>
        <v>0</v>
      </c>
      <c r="G125" s="136">
        <f t="shared" si="22"/>
        <v>0</v>
      </c>
      <c r="H125" s="136">
        <f t="shared" si="22"/>
        <v>0</v>
      </c>
      <c r="I125" s="136">
        <f t="shared" si="22"/>
        <v>0</v>
      </c>
      <c r="J125" s="136">
        <f t="shared" si="22"/>
        <v>0</v>
      </c>
      <c r="K125" s="136">
        <f t="shared" si="22"/>
        <v>0</v>
      </c>
      <c r="L125" s="136">
        <f t="shared" si="22"/>
        <v>0</v>
      </c>
      <c r="M125" s="136">
        <f t="shared" si="22"/>
        <v>0</v>
      </c>
      <c r="N125" s="136">
        <f t="shared" si="22"/>
        <v>0</v>
      </c>
      <c r="O125" s="136">
        <f t="shared" si="22"/>
        <v>0</v>
      </c>
      <c r="P125" s="136">
        <f t="shared" si="22"/>
        <v>0</v>
      </c>
      <c r="Q125" s="136">
        <f t="shared" si="22"/>
        <v>0</v>
      </c>
      <c r="R125" s="136">
        <f t="shared" si="22"/>
        <v>0</v>
      </c>
      <c r="S125" s="136">
        <f t="shared" si="22"/>
        <v>0</v>
      </c>
      <c r="T125" s="136">
        <f t="shared" si="22"/>
        <v>0</v>
      </c>
      <c r="V125" s="540"/>
      <c r="W125" s="541"/>
      <c r="X125" s="541"/>
      <c r="Y125" s="542"/>
    </row>
    <row r="126" spans="1:25" x14ac:dyDescent="0.25">
      <c r="A126" s="139">
        <v>44195</v>
      </c>
      <c r="B126" s="130" t="s">
        <v>235</v>
      </c>
      <c r="C126" s="137">
        <f t="shared" si="10"/>
        <v>0</v>
      </c>
      <c r="D126" s="136">
        <f t="shared" ref="D126:T126" si="23">$C126/$C21*D21</f>
        <v>0</v>
      </c>
      <c r="E126" s="136">
        <f t="shared" si="23"/>
        <v>0</v>
      </c>
      <c r="F126" s="136">
        <f t="shared" si="23"/>
        <v>0</v>
      </c>
      <c r="G126" s="136">
        <f t="shared" si="23"/>
        <v>0</v>
      </c>
      <c r="H126" s="136">
        <f t="shared" si="23"/>
        <v>0</v>
      </c>
      <c r="I126" s="136">
        <f t="shared" si="23"/>
        <v>0</v>
      </c>
      <c r="J126" s="136">
        <f t="shared" si="23"/>
        <v>0</v>
      </c>
      <c r="K126" s="136">
        <f t="shared" si="23"/>
        <v>0</v>
      </c>
      <c r="L126" s="136">
        <f t="shared" si="23"/>
        <v>0</v>
      </c>
      <c r="M126" s="136">
        <f t="shared" si="23"/>
        <v>0</v>
      </c>
      <c r="N126" s="136">
        <f t="shared" si="23"/>
        <v>0</v>
      </c>
      <c r="O126" s="136">
        <f t="shared" si="23"/>
        <v>0</v>
      </c>
      <c r="P126" s="136">
        <f t="shared" si="23"/>
        <v>0</v>
      </c>
      <c r="Q126" s="136">
        <f t="shared" si="23"/>
        <v>0</v>
      </c>
      <c r="R126" s="136">
        <f t="shared" si="23"/>
        <v>0</v>
      </c>
      <c r="S126" s="136">
        <f t="shared" si="23"/>
        <v>0</v>
      </c>
      <c r="T126" s="136">
        <f t="shared" si="23"/>
        <v>0</v>
      </c>
      <c r="V126" s="540"/>
      <c r="W126" s="541"/>
      <c r="X126" s="541"/>
      <c r="Y126" s="542"/>
    </row>
    <row r="127" spans="1:25" x14ac:dyDescent="0.25">
      <c r="A127" s="139">
        <v>44202</v>
      </c>
      <c r="B127" s="130" t="s">
        <v>235</v>
      </c>
      <c r="C127" s="137">
        <f t="shared" si="10"/>
        <v>0</v>
      </c>
      <c r="D127" s="136">
        <f t="shared" ref="D127:T127" si="24">$C127/$C22*D22</f>
        <v>0</v>
      </c>
      <c r="E127" s="136">
        <f t="shared" si="24"/>
        <v>0</v>
      </c>
      <c r="F127" s="136">
        <f t="shared" si="24"/>
        <v>0</v>
      </c>
      <c r="G127" s="136">
        <f t="shared" si="24"/>
        <v>0</v>
      </c>
      <c r="H127" s="136">
        <f t="shared" si="24"/>
        <v>0</v>
      </c>
      <c r="I127" s="136">
        <f t="shared" si="24"/>
        <v>0</v>
      </c>
      <c r="J127" s="136">
        <f t="shared" si="24"/>
        <v>0</v>
      </c>
      <c r="K127" s="136">
        <f t="shared" si="24"/>
        <v>0</v>
      </c>
      <c r="L127" s="136">
        <f t="shared" si="24"/>
        <v>0</v>
      </c>
      <c r="M127" s="136">
        <f t="shared" si="24"/>
        <v>0</v>
      </c>
      <c r="N127" s="136">
        <f t="shared" si="24"/>
        <v>0</v>
      </c>
      <c r="O127" s="136">
        <f t="shared" si="24"/>
        <v>0</v>
      </c>
      <c r="P127" s="136">
        <f t="shared" si="24"/>
        <v>0</v>
      </c>
      <c r="Q127" s="136">
        <f t="shared" si="24"/>
        <v>0</v>
      </c>
      <c r="R127" s="136">
        <f t="shared" si="24"/>
        <v>0</v>
      </c>
      <c r="S127" s="136">
        <f t="shared" si="24"/>
        <v>0</v>
      </c>
      <c r="T127" s="136">
        <f t="shared" si="24"/>
        <v>0</v>
      </c>
      <c r="V127" s="540"/>
      <c r="W127" s="541"/>
      <c r="X127" s="541"/>
      <c r="Y127" s="542"/>
    </row>
    <row r="128" spans="1:25" x14ac:dyDescent="0.25">
      <c r="A128" s="139">
        <v>44209</v>
      </c>
      <c r="B128" s="130" t="s">
        <v>235</v>
      </c>
      <c r="C128" s="137">
        <f t="shared" si="10"/>
        <v>0</v>
      </c>
      <c r="D128" s="136">
        <f t="shared" ref="D128:T128" si="25">$C128/$C23*D23</f>
        <v>0</v>
      </c>
      <c r="E128" s="136">
        <f t="shared" si="25"/>
        <v>0</v>
      </c>
      <c r="F128" s="136">
        <f t="shared" si="25"/>
        <v>0</v>
      </c>
      <c r="G128" s="136">
        <f t="shared" si="25"/>
        <v>0</v>
      </c>
      <c r="H128" s="136">
        <f t="shared" si="25"/>
        <v>0</v>
      </c>
      <c r="I128" s="136">
        <f t="shared" si="25"/>
        <v>0</v>
      </c>
      <c r="J128" s="136">
        <f t="shared" si="25"/>
        <v>0</v>
      </c>
      <c r="K128" s="136">
        <f t="shared" si="25"/>
        <v>0</v>
      </c>
      <c r="L128" s="136">
        <f t="shared" si="25"/>
        <v>0</v>
      </c>
      <c r="M128" s="136">
        <f t="shared" si="25"/>
        <v>0</v>
      </c>
      <c r="N128" s="136">
        <f t="shared" si="25"/>
        <v>0</v>
      </c>
      <c r="O128" s="136">
        <f t="shared" si="25"/>
        <v>0</v>
      </c>
      <c r="P128" s="136">
        <f t="shared" si="25"/>
        <v>0</v>
      </c>
      <c r="Q128" s="136">
        <f t="shared" si="25"/>
        <v>0</v>
      </c>
      <c r="R128" s="136">
        <f t="shared" si="25"/>
        <v>0</v>
      </c>
      <c r="S128" s="136">
        <f t="shared" si="25"/>
        <v>0</v>
      </c>
      <c r="T128" s="136">
        <f t="shared" si="25"/>
        <v>0</v>
      </c>
      <c r="V128" s="540"/>
      <c r="W128" s="541"/>
      <c r="X128" s="541"/>
      <c r="Y128" s="542"/>
    </row>
    <row r="129" spans="1:25" x14ac:dyDescent="0.25">
      <c r="A129" s="139">
        <v>44216</v>
      </c>
      <c r="B129" s="130" t="s">
        <v>235</v>
      </c>
      <c r="C129" s="137">
        <f t="shared" si="10"/>
        <v>0</v>
      </c>
      <c r="D129" s="136">
        <f t="shared" ref="D129:T129" si="26">$C129/$C24*D24</f>
        <v>0</v>
      </c>
      <c r="E129" s="136">
        <f t="shared" si="26"/>
        <v>0</v>
      </c>
      <c r="F129" s="136">
        <f t="shared" si="26"/>
        <v>0</v>
      </c>
      <c r="G129" s="136">
        <f t="shared" si="26"/>
        <v>0</v>
      </c>
      <c r="H129" s="136">
        <f t="shared" si="26"/>
        <v>0</v>
      </c>
      <c r="I129" s="136">
        <f t="shared" si="26"/>
        <v>0</v>
      </c>
      <c r="J129" s="136">
        <f t="shared" si="26"/>
        <v>0</v>
      </c>
      <c r="K129" s="136">
        <f t="shared" si="26"/>
        <v>0</v>
      </c>
      <c r="L129" s="136">
        <f t="shared" si="26"/>
        <v>0</v>
      </c>
      <c r="M129" s="136">
        <f t="shared" si="26"/>
        <v>0</v>
      </c>
      <c r="N129" s="136">
        <f t="shared" si="26"/>
        <v>0</v>
      </c>
      <c r="O129" s="136">
        <f t="shared" si="26"/>
        <v>0</v>
      </c>
      <c r="P129" s="136">
        <f t="shared" si="26"/>
        <v>0</v>
      </c>
      <c r="Q129" s="136">
        <f t="shared" si="26"/>
        <v>0</v>
      </c>
      <c r="R129" s="136">
        <f t="shared" si="26"/>
        <v>0</v>
      </c>
      <c r="S129" s="136">
        <f t="shared" si="26"/>
        <v>0</v>
      </c>
      <c r="T129" s="136">
        <f t="shared" si="26"/>
        <v>0</v>
      </c>
      <c r="V129" s="540"/>
      <c r="W129" s="541"/>
      <c r="X129" s="541"/>
      <c r="Y129" s="542"/>
    </row>
    <row r="130" spans="1:25" ht="15.75" thickBot="1" x14ac:dyDescent="0.3">
      <c r="A130" s="139">
        <v>44223</v>
      </c>
      <c r="B130" s="130" t="s">
        <v>235</v>
      </c>
      <c r="C130" s="137">
        <f t="shared" si="10"/>
        <v>0</v>
      </c>
      <c r="D130" s="136">
        <f t="shared" ref="D130:T130" si="27">$C130/$C25*D25</f>
        <v>0</v>
      </c>
      <c r="E130" s="136">
        <f t="shared" si="27"/>
        <v>0</v>
      </c>
      <c r="F130" s="136">
        <f t="shared" si="27"/>
        <v>0</v>
      </c>
      <c r="G130" s="136">
        <f t="shared" si="27"/>
        <v>0</v>
      </c>
      <c r="H130" s="136">
        <f t="shared" si="27"/>
        <v>0</v>
      </c>
      <c r="I130" s="136">
        <f t="shared" si="27"/>
        <v>0</v>
      </c>
      <c r="J130" s="136">
        <f t="shared" si="27"/>
        <v>0</v>
      </c>
      <c r="K130" s="136">
        <f t="shared" si="27"/>
        <v>0</v>
      </c>
      <c r="L130" s="136">
        <f t="shared" si="27"/>
        <v>0</v>
      </c>
      <c r="M130" s="136">
        <f t="shared" si="27"/>
        <v>0</v>
      </c>
      <c r="N130" s="136">
        <f t="shared" si="27"/>
        <v>0</v>
      </c>
      <c r="O130" s="136">
        <f t="shared" si="27"/>
        <v>0</v>
      </c>
      <c r="P130" s="136">
        <f t="shared" si="27"/>
        <v>0</v>
      </c>
      <c r="Q130" s="136">
        <f t="shared" si="27"/>
        <v>0</v>
      </c>
      <c r="R130" s="136">
        <f t="shared" si="27"/>
        <v>0</v>
      </c>
      <c r="S130" s="136">
        <f t="shared" si="27"/>
        <v>0</v>
      </c>
      <c r="T130" s="136">
        <f t="shared" si="27"/>
        <v>0</v>
      </c>
      <c r="V130" s="543"/>
      <c r="W130" s="544"/>
      <c r="X130" s="544"/>
      <c r="Y130" s="545"/>
    </row>
    <row r="131" spans="1:25" ht="15.75" thickTop="1" x14ac:dyDescent="0.25">
      <c r="A131" s="139">
        <v>44230</v>
      </c>
      <c r="B131" s="130" t="s">
        <v>235</v>
      </c>
      <c r="C131" s="137">
        <f t="shared" si="10"/>
        <v>0</v>
      </c>
      <c r="D131" s="136">
        <f t="shared" ref="D131:T131" si="28">$C131/$C26*D26</f>
        <v>0</v>
      </c>
      <c r="E131" s="136">
        <f t="shared" si="28"/>
        <v>0</v>
      </c>
      <c r="F131" s="136">
        <f t="shared" si="28"/>
        <v>0</v>
      </c>
      <c r="G131" s="136">
        <f t="shared" si="28"/>
        <v>0</v>
      </c>
      <c r="H131" s="136">
        <f t="shared" si="28"/>
        <v>0</v>
      </c>
      <c r="I131" s="136">
        <f t="shared" si="28"/>
        <v>0</v>
      </c>
      <c r="J131" s="136">
        <f t="shared" si="28"/>
        <v>0</v>
      </c>
      <c r="K131" s="136">
        <f t="shared" si="28"/>
        <v>0</v>
      </c>
      <c r="L131" s="136">
        <f t="shared" si="28"/>
        <v>0</v>
      </c>
      <c r="M131" s="136">
        <f t="shared" si="28"/>
        <v>0</v>
      </c>
      <c r="N131" s="136">
        <f t="shared" si="28"/>
        <v>0</v>
      </c>
      <c r="O131" s="136">
        <f t="shared" si="28"/>
        <v>0</v>
      </c>
      <c r="P131" s="136">
        <f t="shared" si="28"/>
        <v>0</v>
      </c>
      <c r="Q131" s="136">
        <f t="shared" si="28"/>
        <v>0</v>
      </c>
      <c r="R131" s="136">
        <f t="shared" si="28"/>
        <v>0</v>
      </c>
      <c r="S131" s="136">
        <f t="shared" si="28"/>
        <v>0</v>
      </c>
      <c r="T131" s="136">
        <f t="shared" si="28"/>
        <v>0</v>
      </c>
    </row>
    <row r="132" spans="1:25" x14ac:dyDescent="0.25">
      <c r="A132" s="139">
        <v>44237</v>
      </c>
      <c r="B132" s="130" t="s">
        <v>235</v>
      </c>
      <c r="C132" s="137">
        <f t="shared" si="10"/>
        <v>0</v>
      </c>
      <c r="D132" s="136">
        <f t="shared" ref="D132:T132" si="29">$C132/$C27*D27</f>
        <v>0</v>
      </c>
      <c r="E132" s="136">
        <f t="shared" si="29"/>
        <v>0</v>
      </c>
      <c r="F132" s="136">
        <f t="shared" si="29"/>
        <v>0</v>
      </c>
      <c r="G132" s="136">
        <f t="shared" si="29"/>
        <v>0</v>
      </c>
      <c r="H132" s="136">
        <f t="shared" si="29"/>
        <v>0</v>
      </c>
      <c r="I132" s="136">
        <f t="shared" si="29"/>
        <v>0</v>
      </c>
      <c r="J132" s="136">
        <f t="shared" si="29"/>
        <v>0</v>
      </c>
      <c r="K132" s="136">
        <f t="shared" si="29"/>
        <v>0</v>
      </c>
      <c r="L132" s="136">
        <f t="shared" si="29"/>
        <v>0</v>
      </c>
      <c r="M132" s="136">
        <f t="shared" si="29"/>
        <v>0</v>
      </c>
      <c r="N132" s="136">
        <f t="shared" si="29"/>
        <v>0</v>
      </c>
      <c r="O132" s="136">
        <f t="shared" si="29"/>
        <v>0</v>
      </c>
      <c r="P132" s="136">
        <f t="shared" si="29"/>
        <v>0</v>
      </c>
      <c r="Q132" s="136">
        <f t="shared" si="29"/>
        <v>0</v>
      </c>
      <c r="R132" s="136">
        <f t="shared" si="29"/>
        <v>0</v>
      </c>
      <c r="S132" s="136">
        <f t="shared" si="29"/>
        <v>0</v>
      </c>
      <c r="T132" s="136">
        <f t="shared" si="29"/>
        <v>0</v>
      </c>
    </row>
    <row r="133" spans="1:25" x14ac:dyDescent="0.25">
      <c r="A133" s="139">
        <v>44244</v>
      </c>
      <c r="B133" s="130" t="s">
        <v>235</v>
      </c>
      <c r="C133" s="137">
        <f t="shared" si="10"/>
        <v>0</v>
      </c>
      <c r="D133" s="136">
        <f t="shared" ref="D133:T133" si="30">$C133/$C28*D28</f>
        <v>0</v>
      </c>
      <c r="E133" s="136">
        <f t="shared" si="30"/>
        <v>0</v>
      </c>
      <c r="F133" s="136">
        <f t="shared" si="30"/>
        <v>0</v>
      </c>
      <c r="G133" s="136">
        <f t="shared" si="30"/>
        <v>0</v>
      </c>
      <c r="H133" s="136">
        <f t="shared" si="30"/>
        <v>0</v>
      </c>
      <c r="I133" s="136">
        <f t="shared" si="30"/>
        <v>0</v>
      </c>
      <c r="J133" s="136">
        <f t="shared" si="30"/>
        <v>0</v>
      </c>
      <c r="K133" s="136">
        <f t="shared" si="30"/>
        <v>0</v>
      </c>
      <c r="L133" s="136">
        <f t="shared" si="30"/>
        <v>0</v>
      </c>
      <c r="M133" s="136">
        <f t="shared" si="30"/>
        <v>0</v>
      </c>
      <c r="N133" s="136">
        <f t="shared" si="30"/>
        <v>0</v>
      </c>
      <c r="O133" s="136">
        <f t="shared" si="30"/>
        <v>0</v>
      </c>
      <c r="P133" s="136">
        <f t="shared" si="30"/>
        <v>0</v>
      </c>
      <c r="Q133" s="136">
        <f t="shared" si="30"/>
        <v>0</v>
      </c>
      <c r="R133" s="136">
        <f t="shared" si="30"/>
        <v>0</v>
      </c>
      <c r="S133" s="136">
        <f t="shared" si="30"/>
        <v>0</v>
      </c>
      <c r="T133" s="136">
        <f t="shared" si="30"/>
        <v>0</v>
      </c>
    </row>
    <row r="134" spans="1:25" x14ac:dyDescent="0.25">
      <c r="A134" s="139">
        <v>44251</v>
      </c>
      <c r="B134" s="130" t="s">
        <v>235</v>
      </c>
      <c r="C134" s="137">
        <f t="shared" si="10"/>
        <v>0</v>
      </c>
      <c r="D134" s="136">
        <f t="shared" ref="D134:T134" si="31">$C134/$C29*D29</f>
        <v>0</v>
      </c>
      <c r="E134" s="136">
        <f t="shared" si="31"/>
        <v>0</v>
      </c>
      <c r="F134" s="136">
        <f t="shared" si="31"/>
        <v>0</v>
      </c>
      <c r="G134" s="136">
        <f t="shared" si="31"/>
        <v>0</v>
      </c>
      <c r="H134" s="136">
        <f t="shared" si="31"/>
        <v>0</v>
      </c>
      <c r="I134" s="136">
        <f t="shared" si="31"/>
        <v>0</v>
      </c>
      <c r="J134" s="136">
        <f t="shared" si="31"/>
        <v>0</v>
      </c>
      <c r="K134" s="136">
        <f t="shared" si="31"/>
        <v>0</v>
      </c>
      <c r="L134" s="136">
        <f t="shared" si="31"/>
        <v>0</v>
      </c>
      <c r="M134" s="136">
        <f t="shared" si="31"/>
        <v>0</v>
      </c>
      <c r="N134" s="136">
        <f t="shared" si="31"/>
        <v>0</v>
      </c>
      <c r="O134" s="136">
        <f t="shared" si="31"/>
        <v>0</v>
      </c>
      <c r="P134" s="136">
        <f t="shared" si="31"/>
        <v>0</v>
      </c>
      <c r="Q134" s="136">
        <f t="shared" si="31"/>
        <v>0</v>
      </c>
      <c r="R134" s="136">
        <f t="shared" si="31"/>
        <v>0</v>
      </c>
      <c r="S134" s="136">
        <f t="shared" si="31"/>
        <v>0</v>
      </c>
      <c r="T134" s="136">
        <f t="shared" si="31"/>
        <v>0</v>
      </c>
    </row>
    <row r="135" spans="1:25" x14ac:dyDescent="0.25">
      <c r="A135" s="139">
        <v>44258</v>
      </c>
      <c r="B135" s="130" t="s">
        <v>235</v>
      </c>
      <c r="C135" s="137">
        <f t="shared" si="10"/>
        <v>0</v>
      </c>
      <c r="D135" s="136">
        <f t="shared" ref="D135:T135" si="32">$C135/$C30*D30</f>
        <v>0</v>
      </c>
      <c r="E135" s="136">
        <f t="shared" si="32"/>
        <v>0</v>
      </c>
      <c r="F135" s="136">
        <f t="shared" si="32"/>
        <v>0</v>
      </c>
      <c r="G135" s="136">
        <f t="shared" si="32"/>
        <v>0</v>
      </c>
      <c r="H135" s="136">
        <f t="shared" si="32"/>
        <v>0</v>
      </c>
      <c r="I135" s="136">
        <f t="shared" si="32"/>
        <v>0</v>
      </c>
      <c r="J135" s="136">
        <f t="shared" si="32"/>
        <v>0</v>
      </c>
      <c r="K135" s="136">
        <f t="shared" si="32"/>
        <v>0</v>
      </c>
      <c r="L135" s="136">
        <f t="shared" si="32"/>
        <v>0</v>
      </c>
      <c r="M135" s="136">
        <f t="shared" si="32"/>
        <v>0</v>
      </c>
      <c r="N135" s="136">
        <f t="shared" si="32"/>
        <v>0</v>
      </c>
      <c r="O135" s="136">
        <f t="shared" si="32"/>
        <v>0</v>
      </c>
      <c r="P135" s="136">
        <f t="shared" si="32"/>
        <v>0</v>
      </c>
      <c r="Q135" s="136">
        <f t="shared" si="32"/>
        <v>0</v>
      </c>
      <c r="R135" s="136">
        <f t="shared" si="32"/>
        <v>0</v>
      </c>
      <c r="S135" s="136">
        <f t="shared" si="32"/>
        <v>0</v>
      </c>
      <c r="T135" s="136">
        <f t="shared" si="32"/>
        <v>0</v>
      </c>
    </row>
    <row r="136" spans="1:25" x14ac:dyDescent="0.25">
      <c r="A136" s="139">
        <v>44265</v>
      </c>
      <c r="B136" s="130" t="s">
        <v>235</v>
      </c>
      <c r="C136" s="137">
        <f t="shared" si="10"/>
        <v>0</v>
      </c>
      <c r="D136" s="136">
        <f t="shared" ref="D136:T136" si="33">$C136/$C31*D31</f>
        <v>0</v>
      </c>
      <c r="E136" s="136">
        <f t="shared" si="33"/>
        <v>0</v>
      </c>
      <c r="F136" s="136">
        <f t="shared" si="33"/>
        <v>0</v>
      </c>
      <c r="G136" s="136">
        <f t="shared" si="33"/>
        <v>0</v>
      </c>
      <c r="H136" s="136">
        <f t="shared" si="33"/>
        <v>0</v>
      </c>
      <c r="I136" s="136">
        <f t="shared" si="33"/>
        <v>0</v>
      </c>
      <c r="J136" s="136">
        <f t="shared" si="33"/>
        <v>0</v>
      </c>
      <c r="K136" s="136">
        <f t="shared" si="33"/>
        <v>0</v>
      </c>
      <c r="L136" s="136">
        <f t="shared" si="33"/>
        <v>0</v>
      </c>
      <c r="M136" s="136">
        <f t="shared" si="33"/>
        <v>0</v>
      </c>
      <c r="N136" s="136">
        <f t="shared" si="33"/>
        <v>0</v>
      </c>
      <c r="O136" s="136">
        <f t="shared" si="33"/>
        <v>0</v>
      </c>
      <c r="P136" s="136">
        <f t="shared" si="33"/>
        <v>0</v>
      </c>
      <c r="Q136" s="136">
        <f t="shared" si="33"/>
        <v>0</v>
      </c>
      <c r="R136" s="136">
        <f t="shared" si="33"/>
        <v>0</v>
      </c>
      <c r="S136" s="136">
        <f t="shared" si="33"/>
        <v>0</v>
      </c>
      <c r="T136" s="136">
        <f t="shared" si="33"/>
        <v>0</v>
      </c>
    </row>
    <row r="137" spans="1:25" x14ac:dyDescent="0.25">
      <c r="A137" s="139">
        <v>44272</v>
      </c>
      <c r="B137" s="130" t="s">
        <v>235</v>
      </c>
      <c r="C137" s="137">
        <f t="shared" si="10"/>
        <v>0</v>
      </c>
      <c r="D137" s="136">
        <f t="shared" ref="D137:T137" si="34">$C137/$C32*D32</f>
        <v>0</v>
      </c>
      <c r="E137" s="136">
        <f t="shared" si="34"/>
        <v>0</v>
      </c>
      <c r="F137" s="136">
        <f t="shared" si="34"/>
        <v>0</v>
      </c>
      <c r="G137" s="136">
        <f t="shared" si="34"/>
        <v>0</v>
      </c>
      <c r="H137" s="136">
        <f t="shared" si="34"/>
        <v>0</v>
      </c>
      <c r="I137" s="136">
        <f t="shared" si="34"/>
        <v>0</v>
      </c>
      <c r="J137" s="136">
        <f t="shared" si="34"/>
        <v>0</v>
      </c>
      <c r="K137" s="136">
        <f t="shared" si="34"/>
        <v>0</v>
      </c>
      <c r="L137" s="136">
        <f t="shared" si="34"/>
        <v>0</v>
      </c>
      <c r="M137" s="136">
        <f t="shared" si="34"/>
        <v>0</v>
      </c>
      <c r="N137" s="136">
        <f t="shared" si="34"/>
        <v>0</v>
      </c>
      <c r="O137" s="136">
        <f t="shared" si="34"/>
        <v>0</v>
      </c>
      <c r="P137" s="136">
        <f t="shared" si="34"/>
        <v>0</v>
      </c>
      <c r="Q137" s="136">
        <f t="shared" si="34"/>
        <v>0</v>
      </c>
      <c r="R137" s="136">
        <f t="shared" si="34"/>
        <v>0</v>
      </c>
      <c r="S137" s="136">
        <f t="shared" si="34"/>
        <v>0</v>
      </c>
      <c r="T137" s="136">
        <f t="shared" si="34"/>
        <v>0</v>
      </c>
    </row>
    <row r="138" spans="1:25" x14ac:dyDescent="0.25">
      <c r="A138" s="139">
        <v>44279</v>
      </c>
      <c r="B138" s="130" t="s">
        <v>235</v>
      </c>
      <c r="C138" s="137">
        <f t="shared" si="10"/>
        <v>0</v>
      </c>
      <c r="D138" s="136">
        <f t="shared" ref="D138:T138" si="35">$C138/$C33*D33</f>
        <v>0</v>
      </c>
      <c r="E138" s="136">
        <f t="shared" si="35"/>
        <v>0</v>
      </c>
      <c r="F138" s="136">
        <f t="shared" si="35"/>
        <v>0</v>
      </c>
      <c r="G138" s="136">
        <f t="shared" si="35"/>
        <v>0</v>
      </c>
      <c r="H138" s="136">
        <f t="shared" si="35"/>
        <v>0</v>
      </c>
      <c r="I138" s="136">
        <f t="shared" si="35"/>
        <v>0</v>
      </c>
      <c r="J138" s="136">
        <f t="shared" si="35"/>
        <v>0</v>
      </c>
      <c r="K138" s="136">
        <f t="shared" si="35"/>
        <v>0</v>
      </c>
      <c r="L138" s="136">
        <f t="shared" si="35"/>
        <v>0</v>
      </c>
      <c r="M138" s="136">
        <f t="shared" si="35"/>
        <v>0</v>
      </c>
      <c r="N138" s="136">
        <f t="shared" si="35"/>
        <v>0</v>
      </c>
      <c r="O138" s="136">
        <f t="shared" si="35"/>
        <v>0</v>
      </c>
      <c r="P138" s="136">
        <f t="shared" si="35"/>
        <v>0</v>
      </c>
      <c r="Q138" s="136">
        <f t="shared" si="35"/>
        <v>0</v>
      </c>
      <c r="R138" s="136">
        <f t="shared" si="35"/>
        <v>0</v>
      </c>
      <c r="S138" s="136">
        <f t="shared" si="35"/>
        <v>0</v>
      </c>
      <c r="T138" s="136">
        <f t="shared" si="35"/>
        <v>0</v>
      </c>
    </row>
    <row r="139" spans="1:25" x14ac:dyDescent="0.25">
      <c r="A139" s="139">
        <v>44286</v>
      </c>
      <c r="B139" s="130" t="s">
        <v>235</v>
      </c>
      <c r="C139" s="137">
        <f t="shared" si="10"/>
        <v>0</v>
      </c>
      <c r="D139" s="136">
        <f t="shared" ref="D139:T139" si="36">$C139/$C34*D34</f>
        <v>0</v>
      </c>
      <c r="E139" s="136">
        <f t="shared" si="36"/>
        <v>0</v>
      </c>
      <c r="F139" s="136">
        <f t="shared" si="36"/>
        <v>0</v>
      </c>
      <c r="G139" s="136">
        <f t="shared" si="36"/>
        <v>0</v>
      </c>
      <c r="H139" s="136">
        <f t="shared" si="36"/>
        <v>0</v>
      </c>
      <c r="I139" s="136">
        <f t="shared" si="36"/>
        <v>0</v>
      </c>
      <c r="J139" s="136">
        <f t="shared" si="36"/>
        <v>0</v>
      </c>
      <c r="K139" s="136">
        <f t="shared" si="36"/>
        <v>0</v>
      </c>
      <c r="L139" s="136">
        <f t="shared" si="36"/>
        <v>0</v>
      </c>
      <c r="M139" s="136">
        <f t="shared" si="36"/>
        <v>0</v>
      </c>
      <c r="N139" s="136">
        <f t="shared" si="36"/>
        <v>0</v>
      </c>
      <c r="O139" s="136">
        <f t="shared" si="36"/>
        <v>0</v>
      </c>
      <c r="P139" s="136">
        <f t="shared" si="36"/>
        <v>0</v>
      </c>
      <c r="Q139" s="136">
        <f t="shared" si="36"/>
        <v>0</v>
      </c>
      <c r="R139" s="136">
        <f t="shared" si="36"/>
        <v>0</v>
      </c>
      <c r="S139" s="136">
        <f t="shared" si="36"/>
        <v>0</v>
      </c>
      <c r="T139" s="136">
        <f t="shared" si="36"/>
        <v>0</v>
      </c>
    </row>
    <row r="140" spans="1:25" x14ac:dyDescent="0.25">
      <c r="A140" s="139">
        <v>44293</v>
      </c>
      <c r="B140" s="130" t="s">
        <v>235</v>
      </c>
      <c r="C140" s="137">
        <f t="shared" si="10"/>
        <v>0</v>
      </c>
      <c r="D140" s="136">
        <f t="shared" ref="D140:T140" si="37">$C140/$C35*D35</f>
        <v>0</v>
      </c>
      <c r="E140" s="136">
        <f t="shared" si="37"/>
        <v>0</v>
      </c>
      <c r="F140" s="136">
        <f t="shared" si="37"/>
        <v>0</v>
      </c>
      <c r="G140" s="136">
        <f t="shared" si="37"/>
        <v>0</v>
      </c>
      <c r="H140" s="136">
        <f t="shared" si="37"/>
        <v>0</v>
      </c>
      <c r="I140" s="136">
        <f t="shared" si="37"/>
        <v>0</v>
      </c>
      <c r="J140" s="136">
        <f t="shared" si="37"/>
        <v>0</v>
      </c>
      <c r="K140" s="136">
        <f t="shared" si="37"/>
        <v>0</v>
      </c>
      <c r="L140" s="136">
        <f t="shared" si="37"/>
        <v>0</v>
      </c>
      <c r="M140" s="136">
        <f t="shared" si="37"/>
        <v>0</v>
      </c>
      <c r="N140" s="136">
        <f t="shared" si="37"/>
        <v>0</v>
      </c>
      <c r="O140" s="136">
        <f t="shared" si="37"/>
        <v>0</v>
      </c>
      <c r="P140" s="136">
        <f t="shared" si="37"/>
        <v>0</v>
      </c>
      <c r="Q140" s="136">
        <f t="shared" si="37"/>
        <v>0</v>
      </c>
      <c r="R140" s="136">
        <f t="shared" si="37"/>
        <v>0</v>
      </c>
      <c r="S140" s="136">
        <f t="shared" si="37"/>
        <v>0</v>
      </c>
      <c r="T140" s="136">
        <f t="shared" si="37"/>
        <v>0</v>
      </c>
    </row>
    <row r="141" spans="1:25" x14ac:dyDescent="0.25">
      <c r="A141" s="139">
        <v>44300</v>
      </c>
      <c r="B141" s="130" t="s">
        <v>235</v>
      </c>
      <c r="C141" s="137">
        <f t="shared" si="10"/>
        <v>0</v>
      </c>
      <c r="D141" s="136">
        <f t="shared" ref="D141:T141" si="38">$C141/$C36*D36</f>
        <v>0</v>
      </c>
      <c r="E141" s="136">
        <f t="shared" si="38"/>
        <v>0</v>
      </c>
      <c r="F141" s="136">
        <f t="shared" si="38"/>
        <v>0</v>
      </c>
      <c r="G141" s="136">
        <f t="shared" si="38"/>
        <v>0</v>
      </c>
      <c r="H141" s="136">
        <f t="shared" si="38"/>
        <v>0</v>
      </c>
      <c r="I141" s="136">
        <f t="shared" si="38"/>
        <v>0</v>
      </c>
      <c r="J141" s="136">
        <f t="shared" si="38"/>
        <v>0</v>
      </c>
      <c r="K141" s="136">
        <f t="shared" si="38"/>
        <v>0</v>
      </c>
      <c r="L141" s="136">
        <f t="shared" si="38"/>
        <v>0</v>
      </c>
      <c r="M141" s="136">
        <f t="shared" si="38"/>
        <v>0</v>
      </c>
      <c r="N141" s="136">
        <f t="shared" si="38"/>
        <v>0</v>
      </c>
      <c r="O141" s="136">
        <f t="shared" si="38"/>
        <v>0</v>
      </c>
      <c r="P141" s="136">
        <f t="shared" si="38"/>
        <v>0</v>
      </c>
      <c r="Q141" s="136">
        <f t="shared" si="38"/>
        <v>0</v>
      </c>
      <c r="R141" s="136">
        <f t="shared" si="38"/>
        <v>0</v>
      </c>
      <c r="S141" s="136">
        <f t="shared" si="38"/>
        <v>0</v>
      </c>
      <c r="T141" s="136">
        <f t="shared" si="38"/>
        <v>0</v>
      </c>
    </row>
    <row r="142" spans="1:25" x14ac:dyDescent="0.25">
      <c r="A142" s="139">
        <v>44307</v>
      </c>
      <c r="B142" s="130" t="s">
        <v>235</v>
      </c>
      <c r="C142" s="137">
        <f t="shared" si="10"/>
        <v>0</v>
      </c>
      <c r="D142" s="136">
        <f t="shared" ref="D142:T142" si="39">$C142/$C37*D37</f>
        <v>0</v>
      </c>
      <c r="E142" s="136">
        <f t="shared" si="39"/>
        <v>0</v>
      </c>
      <c r="F142" s="136">
        <f t="shared" si="39"/>
        <v>0</v>
      </c>
      <c r="G142" s="136">
        <f t="shared" si="39"/>
        <v>0</v>
      </c>
      <c r="H142" s="136">
        <f t="shared" si="39"/>
        <v>0</v>
      </c>
      <c r="I142" s="136">
        <f t="shared" si="39"/>
        <v>0</v>
      </c>
      <c r="J142" s="136">
        <f t="shared" si="39"/>
        <v>0</v>
      </c>
      <c r="K142" s="136">
        <f t="shared" si="39"/>
        <v>0</v>
      </c>
      <c r="L142" s="136">
        <f t="shared" si="39"/>
        <v>0</v>
      </c>
      <c r="M142" s="136">
        <f t="shared" si="39"/>
        <v>0</v>
      </c>
      <c r="N142" s="136">
        <f t="shared" si="39"/>
        <v>0</v>
      </c>
      <c r="O142" s="136">
        <f t="shared" si="39"/>
        <v>0</v>
      </c>
      <c r="P142" s="136">
        <f t="shared" si="39"/>
        <v>0</v>
      </c>
      <c r="Q142" s="136">
        <f t="shared" si="39"/>
        <v>0</v>
      </c>
      <c r="R142" s="136">
        <f t="shared" si="39"/>
        <v>0</v>
      </c>
      <c r="S142" s="136">
        <f t="shared" si="39"/>
        <v>0</v>
      </c>
      <c r="T142" s="136">
        <f t="shared" si="39"/>
        <v>0</v>
      </c>
    </row>
    <row r="143" spans="1:25" x14ac:dyDescent="0.25">
      <c r="A143" s="139">
        <v>44314</v>
      </c>
      <c r="B143" s="130" t="s">
        <v>235</v>
      </c>
      <c r="C143" s="137">
        <f t="shared" si="10"/>
        <v>0</v>
      </c>
      <c r="D143" s="136">
        <f t="shared" ref="D143:T143" si="40">$C143/$C38*D38</f>
        <v>0</v>
      </c>
      <c r="E143" s="136">
        <f t="shared" si="40"/>
        <v>0</v>
      </c>
      <c r="F143" s="136">
        <f t="shared" si="40"/>
        <v>0</v>
      </c>
      <c r="G143" s="136">
        <f t="shared" si="40"/>
        <v>0</v>
      </c>
      <c r="H143" s="136">
        <f t="shared" si="40"/>
        <v>0</v>
      </c>
      <c r="I143" s="136">
        <f t="shared" si="40"/>
        <v>0</v>
      </c>
      <c r="J143" s="136">
        <f t="shared" si="40"/>
        <v>0</v>
      </c>
      <c r="K143" s="136">
        <f t="shared" si="40"/>
        <v>0</v>
      </c>
      <c r="L143" s="136">
        <f t="shared" si="40"/>
        <v>0</v>
      </c>
      <c r="M143" s="136">
        <f t="shared" si="40"/>
        <v>0</v>
      </c>
      <c r="N143" s="136">
        <f t="shared" si="40"/>
        <v>0</v>
      </c>
      <c r="O143" s="136">
        <f t="shared" si="40"/>
        <v>0</v>
      </c>
      <c r="P143" s="136">
        <f t="shared" si="40"/>
        <v>0</v>
      </c>
      <c r="Q143" s="136">
        <f t="shared" si="40"/>
        <v>0</v>
      </c>
      <c r="R143" s="136">
        <f t="shared" si="40"/>
        <v>0</v>
      </c>
      <c r="S143" s="136">
        <f t="shared" si="40"/>
        <v>0</v>
      </c>
      <c r="T143" s="136">
        <f t="shared" si="40"/>
        <v>0</v>
      </c>
    </row>
    <row r="146" spans="2:19" ht="18.75" x14ac:dyDescent="0.3">
      <c r="B146" s="252" t="s">
        <v>141</v>
      </c>
      <c r="C146" s="253"/>
      <c r="D146" s="253"/>
      <c r="E146" s="253"/>
      <c r="F146" s="253"/>
      <c r="G146" s="253"/>
      <c r="H146" s="253"/>
      <c r="I146" s="253"/>
      <c r="J146" s="253"/>
      <c r="K146" s="253"/>
      <c r="L146" s="253"/>
      <c r="M146" s="253"/>
      <c r="N146" s="253"/>
      <c r="O146" s="253"/>
      <c r="P146" s="253"/>
      <c r="Q146" s="253"/>
      <c r="R146" s="253"/>
      <c r="S146" s="253"/>
    </row>
    <row r="147" spans="2:19" x14ac:dyDescent="0.25">
      <c r="C147" s="463"/>
      <c r="D147" s="463"/>
      <c r="E147" s="463"/>
      <c r="F147" s="463"/>
      <c r="G147" s="463"/>
      <c r="H147" s="463"/>
      <c r="I147" s="463"/>
      <c r="J147" s="463"/>
      <c r="K147" s="463"/>
      <c r="L147" s="463"/>
      <c r="M147" s="463"/>
      <c r="N147" s="463"/>
      <c r="O147" s="463"/>
      <c r="P147" s="463"/>
      <c r="Q147" s="463"/>
      <c r="R147" s="463"/>
      <c r="S147" s="463"/>
    </row>
    <row r="148" spans="2:19" x14ac:dyDescent="0.25">
      <c r="C148" s="463"/>
      <c r="D148" s="463"/>
      <c r="E148" s="463"/>
      <c r="F148" s="463"/>
      <c r="G148" s="463"/>
      <c r="H148" s="463"/>
      <c r="I148" s="463"/>
      <c r="J148" s="463"/>
      <c r="K148" s="463"/>
      <c r="L148" s="463"/>
      <c r="M148" s="463"/>
      <c r="N148" s="463"/>
      <c r="O148" s="463"/>
      <c r="P148" s="463"/>
      <c r="Q148" s="463"/>
      <c r="R148" s="463"/>
      <c r="S148" s="463"/>
    </row>
    <row r="149" spans="2:19" x14ac:dyDescent="0.25">
      <c r="C149" s="463"/>
      <c r="D149" s="463"/>
      <c r="E149" s="463"/>
      <c r="F149" s="463"/>
      <c r="G149" s="463"/>
      <c r="H149" s="463"/>
      <c r="I149" s="463"/>
      <c r="J149" s="463"/>
      <c r="K149" s="463"/>
      <c r="L149" s="463"/>
      <c r="M149" s="463"/>
      <c r="N149" s="463"/>
      <c r="O149" s="463"/>
      <c r="P149" s="463"/>
      <c r="Q149" s="463"/>
      <c r="R149" s="463"/>
      <c r="S149" s="463"/>
    </row>
    <row r="150" spans="2:19" ht="18.75" x14ac:dyDescent="0.3">
      <c r="B150" s="252" t="s">
        <v>143</v>
      </c>
      <c r="C150" s="253"/>
      <c r="D150" s="253"/>
      <c r="E150" s="253"/>
      <c r="F150" s="253"/>
      <c r="G150" s="253"/>
      <c r="H150" s="253"/>
      <c r="I150" s="253"/>
      <c r="J150" s="253"/>
      <c r="K150" s="253"/>
      <c r="L150" s="253"/>
      <c r="M150" s="253"/>
      <c r="N150" s="253"/>
      <c r="O150" s="253"/>
      <c r="P150" s="253"/>
      <c r="Q150" s="253"/>
      <c r="R150" s="253"/>
      <c r="S150" s="253"/>
    </row>
    <row r="154" spans="2:19" x14ac:dyDescent="0.25">
      <c r="C154" s="463"/>
      <c r="D154" s="463"/>
      <c r="E154" s="463"/>
      <c r="F154" s="463"/>
      <c r="G154" s="463"/>
      <c r="H154" s="463"/>
      <c r="I154" s="463"/>
      <c r="J154" s="463"/>
      <c r="K154" s="463"/>
      <c r="L154" s="463"/>
      <c r="M154" s="463"/>
      <c r="N154" s="463"/>
      <c r="O154" s="463"/>
      <c r="P154" s="463"/>
      <c r="Q154" s="463"/>
      <c r="R154" s="463"/>
      <c r="S154" s="463"/>
    </row>
  </sheetData>
  <mergeCells count="4">
    <mergeCell ref="V12:Y25"/>
    <mergeCell ref="V46:Y59"/>
    <mergeCell ref="X84:AA97"/>
    <mergeCell ref="V117:Y130"/>
  </mergeCells>
  <pageMargins left="0.7" right="0.7" top="0.75" bottom="0.75" header="0.3" footer="0.3"/>
  <pageSetup paperSize="9" orientation="portrait" r:id="rId1"/>
  <headerFooter>
    <oddHeader>&amp;L&amp;"Calibri"&amp;12&amp;K008000Classification: Public&amp;1#</oddHead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43FBB-169C-4E13-87F0-806D2F37EAB2}">
  <sheetPr codeName="Sheet9"/>
  <dimension ref="A1:AC74"/>
  <sheetViews>
    <sheetView showGridLines="0" topLeftCell="A4" zoomScale="80" zoomScaleNormal="80" workbookViewId="0">
      <selection activeCell="S10" sqref="S10"/>
    </sheetView>
  </sheetViews>
  <sheetFormatPr defaultRowHeight="15" x14ac:dyDescent="0.25"/>
  <cols>
    <col min="2" max="2" width="8.85546875" customWidth="1"/>
    <col min="3" max="3" width="10.5703125" customWidth="1"/>
    <col min="4" max="4" width="11.7109375" style="13" customWidth="1"/>
    <col min="5" max="5" width="11.7109375" customWidth="1"/>
    <col min="6" max="6" width="10.85546875" style="1" customWidth="1"/>
    <col min="7" max="7" width="12.5703125" customWidth="1"/>
    <col min="8" max="8" width="11.28515625" customWidth="1"/>
    <col min="9" max="9" width="12" customWidth="1"/>
    <col min="10" max="10" width="14.140625" customWidth="1"/>
    <col min="11" max="11" width="10.85546875" customWidth="1"/>
    <col min="12" max="12" width="12.42578125" customWidth="1"/>
    <col min="13" max="13" width="15" customWidth="1"/>
    <col min="14" max="14" width="12" customWidth="1"/>
    <col min="15" max="15" width="9.5703125" customWidth="1"/>
    <col min="16" max="16" width="28.7109375" style="16" customWidth="1"/>
    <col min="17" max="17" width="7.42578125" style="15" customWidth="1"/>
    <col min="18" max="18" width="10" style="15" customWidth="1"/>
    <col min="19" max="21" width="10.140625" customWidth="1"/>
    <col min="22" max="22" width="10.140625" style="1" customWidth="1"/>
    <col min="23" max="23" width="11" style="1" customWidth="1"/>
    <col min="24" max="24" width="12" style="1" customWidth="1"/>
  </cols>
  <sheetData>
    <row r="1" spans="1:24" ht="26.25" x14ac:dyDescent="0.4">
      <c r="A1" s="448"/>
      <c r="B1" s="448" t="s">
        <v>305</v>
      </c>
      <c r="C1" s="253"/>
      <c r="D1" s="451"/>
      <c r="E1" s="253"/>
      <c r="F1" s="255"/>
      <c r="G1" s="253"/>
      <c r="H1" s="253"/>
      <c r="I1" s="253"/>
      <c r="J1" s="253"/>
      <c r="K1" s="253"/>
      <c r="L1" s="253"/>
      <c r="M1" s="253"/>
      <c r="N1" s="253"/>
      <c r="O1" s="253"/>
      <c r="P1" s="371"/>
      <c r="Q1" s="372"/>
      <c r="R1" s="372"/>
      <c r="S1" s="253"/>
      <c r="T1" s="253"/>
      <c r="U1" s="253"/>
      <c r="V1" s="255"/>
      <c r="W1" s="255"/>
      <c r="X1" s="255"/>
    </row>
    <row r="2" spans="1:24" ht="18.75" x14ac:dyDescent="0.3">
      <c r="A2" s="410" t="s">
        <v>306</v>
      </c>
      <c r="F2" s="463"/>
      <c r="V2" s="463"/>
      <c r="W2" s="463"/>
      <c r="X2" s="463"/>
    </row>
    <row r="4" spans="1:24" x14ac:dyDescent="0.25">
      <c r="B4" t="s">
        <v>487</v>
      </c>
      <c r="F4" s="463"/>
      <c r="V4" s="463"/>
      <c r="W4" s="463"/>
      <c r="X4" s="463"/>
    </row>
    <row r="5" spans="1:24" x14ac:dyDescent="0.25">
      <c r="B5" t="s">
        <v>307</v>
      </c>
      <c r="F5" s="463"/>
      <c r="V5" s="463"/>
      <c r="W5" s="463"/>
      <c r="X5" s="463"/>
    </row>
    <row r="6" spans="1:24" x14ac:dyDescent="0.25">
      <c r="B6" s="74" t="s">
        <v>308</v>
      </c>
      <c r="C6" s="74"/>
      <c r="D6" s="76"/>
      <c r="E6" s="74"/>
      <c r="F6" s="75"/>
      <c r="G6" s="74"/>
      <c r="H6" s="74"/>
      <c r="V6" s="463"/>
      <c r="W6" s="463"/>
      <c r="X6" s="463"/>
    </row>
    <row r="7" spans="1:24" x14ac:dyDescent="0.25">
      <c r="B7" s="71" t="s">
        <v>309</v>
      </c>
      <c r="C7" s="71"/>
      <c r="D7" s="73"/>
      <c r="E7" s="71"/>
      <c r="F7" s="72"/>
      <c r="G7" s="71"/>
      <c r="H7" s="71"/>
      <c r="V7" s="463"/>
      <c r="W7" s="463"/>
      <c r="X7" s="463"/>
    </row>
    <row r="8" spans="1:24" x14ac:dyDescent="0.25">
      <c r="B8" s="68" t="s">
        <v>310</v>
      </c>
      <c r="C8" s="68"/>
      <c r="D8" s="70"/>
      <c r="E8" s="68"/>
      <c r="F8" s="69"/>
      <c r="G8" s="68"/>
      <c r="H8" s="68"/>
      <c r="V8" s="463"/>
      <c r="W8" s="463"/>
      <c r="X8" s="463"/>
    </row>
    <row r="9" spans="1:24" x14ac:dyDescent="0.25">
      <c r="B9" s="65" t="s">
        <v>311</v>
      </c>
      <c r="C9" s="65"/>
      <c r="D9" s="67"/>
      <c r="E9" s="65"/>
      <c r="F9" s="66"/>
      <c r="G9" s="65"/>
      <c r="H9" s="65"/>
      <c r="I9" s="65"/>
      <c r="J9" s="65"/>
      <c r="K9" s="65"/>
      <c r="L9" s="65"/>
      <c r="M9" s="65"/>
      <c r="V9" s="463"/>
      <c r="W9" s="463"/>
      <c r="X9" s="463"/>
    </row>
    <row r="10" spans="1:24" x14ac:dyDescent="0.25">
      <c r="B10" s="62" t="s">
        <v>312</v>
      </c>
      <c r="C10" s="62"/>
      <c r="D10" s="64"/>
      <c r="E10" s="62"/>
      <c r="F10" s="63"/>
      <c r="G10" s="62"/>
      <c r="H10" s="62"/>
      <c r="I10" s="62"/>
      <c r="J10" s="62"/>
      <c r="K10" s="62"/>
      <c r="L10" s="62"/>
      <c r="M10" s="62"/>
      <c r="S10">
        <f>0.25*0.169</f>
        <v>4.2250000000000003E-2</v>
      </c>
      <c r="V10" s="463"/>
      <c r="W10" s="463"/>
      <c r="X10" s="463"/>
    </row>
    <row r="11" spans="1:24" x14ac:dyDescent="0.25">
      <c r="B11" t="s">
        <v>313</v>
      </c>
      <c r="F11" s="463"/>
      <c r="V11" s="463"/>
      <c r="W11" s="463"/>
      <c r="X11" s="463"/>
    </row>
    <row r="12" spans="1:24" x14ac:dyDescent="0.25">
      <c r="B12" t="s">
        <v>314</v>
      </c>
      <c r="F12" s="463"/>
      <c r="V12" s="463"/>
      <c r="W12" s="463"/>
      <c r="X12" s="463"/>
    </row>
    <row r="13" spans="1:24" x14ac:dyDescent="0.25">
      <c r="F13" s="463"/>
      <c r="V13" s="463"/>
      <c r="W13" s="463"/>
      <c r="X13" s="463"/>
    </row>
    <row r="14" spans="1:24" ht="15.75" thickBot="1" x14ac:dyDescent="0.3">
      <c r="B14" t="s">
        <v>315</v>
      </c>
      <c r="F14" s="463"/>
      <c r="V14" s="463"/>
      <c r="W14" s="463"/>
      <c r="X14" s="463"/>
    </row>
    <row r="15" spans="1:24" s="34" customFormat="1" ht="30" x14ac:dyDescent="0.25">
      <c r="B15" s="61" t="s">
        <v>316</v>
      </c>
      <c r="C15" s="60" t="s">
        <v>166</v>
      </c>
      <c r="D15" s="50"/>
      <c r="E15" s="59" t="s">
        <v>317</v>
      </c>
      <c r="F15" s="56" t="s">
        <v>318</v>
      </c>
      <c r="G15" s="58"/>
      <c r="H15" s="58"/>
      <c r="I15" s="58"/>
      <c r="J15" s="58"/>
      <c r="K15" s="58"/>
      <c r="L15" s="58"/>
      <c r="M15" s="58"/>
      <c r="N15" s="58"/>
      <c r="O15" s="58"/>
      <c r="P15" s="57"/>
      <c r="Q15" s="56"/>
      <c r="R15" s="56"/>
      <c r="S15" s="36" t="s">
        <v>319</v>
      </c>
      <c r="T15" s="36" t="s">
        <v>320</v>
      </c>
      <c r="U15" s="36" t="s">
        <v>321</v>
      </c>
      <c r="V15" s="36" t="s">
        <v>322</v>
      </c>
      <c r="W15" s="36" t="s">
        <v>323</v>
      </c>
      <c r="X15" s="35" t="s">
        <v>324</v>
      </c>
    </row>
    <row r="16" spans="1:24" x14ac:dyDescent="0.25">
      <c r="B16" s="571" t="s">
        <v>325</v>
      </c>
      <c r="C16" s="589">
        <v>66000000</v>
      </c>
      <c r="D16" s="471" t="s">
        <v>326</v>
      </c>
      <c r="E16" s="118">
        <f>1-E18-E17</f>
        <v>0.35</v>
      </c>
      <c r="F16" s="119">
        <f>E16*C16</f>
        <v>23100000</v>
      </c>
      <c r="G16" s="120"/>
      <c r="H16" s="121"/>
      <c r="I16" s="121"/>
      <c r="J16" s="121"/>
      <c r="K16" s="121"/>
      <c r="L16" s="121"/>
      <c r="M16" s="121"/>
      <c r="N16" s="121"/>
      <c r="O16" s="121"/>
      <c r="P16" s="122"/>
      <c r="Q16" s="123"/>
      <c r="R16" s="123"/>
      <c r="S16" s="124">
        <v>0</v>
      </c>
      <c r="T16" s="124">
        <v>0</v>
      </c>
      <c r="U16" s="124">
        <v>0</v>
      </c>
      <c r="V16" s="88">
        <f t="shared" ref="V16:X17" si="0">S16*$F16</f>
        <v>0</v>
      </c>
      <c r="W16" s="88">
        <f t="shared" si="0"/>
        <v>0</v>
      </c>
      <c r="X16" s="89">
        <f t="shared" si="0"/>
        <v>0</v>
      </c>
    </row>
    <row r="17" spans="2:29" ht="15.75" thickBot="1" x14ac:dyDescent="0.3">
      <c r="B17" s="572"/>
      <c r="C17" s="590"/>
      <c r="D17" s="465" t="s">
        <v>327</v>
      </c>
      <c r="E17" s="470">
        <v>0.15</v>
      </c>
      <c r="F17" s="81">
        <f>E17*C16</f>
        <v>9900000</v>
      </c>
      <c r="G17" s="55"/>
      <c r="H17" s="54"/>
      <c r="I17" s="54"/>
      <c r="J17" s="54"/>
      <c r="K17" s="54"/>
      <c r="L17" s="54"/>
      <c r="M17" s="54"/>
      <c r="N17" s="54"/>
      <c r="O17" s="54"/>
      <c r="P17" s="53"/>
      <c r="Q17" s="52"/>
      <c r="R17" s="52"/>
      <c r="S17" s="51">
        <v>0</v>
      </c>
      <c r="T17" s="51">
        <v>0</v>
      </c>
      <c r="U17" s="51">
        <v>0</v>
      </c>
      <c r="V17" s="94">
        <f t="shared" si="0"/>
        <v>0</v>
      </c>
      <c r="W17" s="94">
        <f t="shared" si="0"/>
        <v>0</v>
      </c>
      <c r="X17" s="95">
        <f t="shared" si="0"/>
        <v>0</v>
      </c>
    </row>
    <row r="18" spans="2:29" s="34" customFormat="1" ht="27.75" customHeight="1" thickBot="1" x14ac:dyDescent="0.3">
      <c r="B18" s="572"/>
      <c r="C18" s="590"/>
      <c r="D18" s="571" t="s">
        <v>328</v>
      </c>
      <c r="E18" s="586">
        <v>0.5</v>
      </c>
      <c r="F18" s="574">
        <f>E18*C16</f>
        <v>33000000</v>
      </c>
      <c r="G18" s="50"/>
      <c r="H18" s="36" t="s">
        <v>329</v>
      </c>
      <c r="I18" s="36" t="s">
        <v>318</v>
      </c>
      <c r="J18" s="40"/>
      <c r="K18" s="40"/>
      <c r="L18" s="40"/>
      <c r="M18" s="40"/>
      <c r="N18" s="40"/>
      <c r="O18" s="40"/>
      <c r="P18" s="36"/>
      <c r="Q18" s="36"/>
      <c r="R18" s="36"/>
      <c r="S18" s="40"/>
      <c r="T18" s="40"/>
      <c r="U18" s="40"/>
      <c r="V18" s="40"/>
      <c r="W18" s="40"/>
      <c r="X18" s="49"/>
    </row>
    <row r="19" spans="2:29" s="34" customFormat="1" ht="30" x14ac:dyDescent="0.25">
      <c r="B19" s="572"/>
      <c r="C19" s="590"/>
      <c r="D19" s="572"/>
      <c r="E19" s="587"/>
      <c r="F19" s="575"/>
      <c r="G19" s="571" t="s">
        <v>330</v>
      </c>
      <c r="H19" s="584">
        <f>1-H22</f>
        <v>0.75</v>
      </c>
      <c r="I19" s="549">
        <f>H19*F18</f>
        <v>24750000</v>
      </c>
      <c r="J19" s="47" t="s">
        <v>331</v>
      </c>
      <c r="K19" s="47" t="s">
        <v>332</v>
      </c>
      <c r="L19" s="47" t="s">
        <v>318</v>
      </c>
      <c r="M19" s="48"/>
      <c r="N19" s="48"/>
      <c r="O19" s="48"/>
      <c r="P19" s="47"/>
      <c r="Q19" s="47"/>
      <c r="R19" s="47"/>
      <c r="S19" s="47" t="s">
        <v>319</v>
      </c>
      <c r="T19" s="47" t="s">
        <v>320</v>
      </c>
      <c r="U19" s="47" t="s">
        <v>321</v>
      </c>
      <c r="V19" s="47" t="s">
        <v>333</v>
      </c>
      <c r="W19" s="47" t="s">
        <v>334</v>
      </c>
      <c r="X19" s="46" t="s">
        <v>335</v>
      </c>
    </row>
    <row r="20" spans="2:29" x14ac:dyDescent="0.25">
      <c r="B20" s="572"/>
      <c r="C20" s="590"/>
      <c r="D20" s="572"/>
      <c r="E20" s="587"/>
      <c r="F20" s="575"/>
      <c r="G20" s="572"/>
      <c r="H20" s="585"/>
      <c r="I20" s="550"/>
      <c r="J20" s="471" t="s">
        <v>336</v>
      </c>
      <c r="K20" s="469">
        <f>1-K21</f>
        <v>0.5</v>
      </c>
      <c r="L20" s="82">
        <f>K20*I19</f>
        <v>12375000</v>
      </c>
      <c r="M20" s="45"/>
      <c r="N20" s="45"/>
      <c r="O20" s="45"/>
      <c r="P20" s="44"/>
      <c r="Q20" s="44"/>
      <c r="R20" s="44"/>
      <c r="S20" s="43">
        <v>0</v>
      </c>
      <c r="T20" s="43">
        <v>0</v>
      </c>
      <c r="U20" s="43">
        <v>0</v>
      </c>
      <c r="V20" s="88">
        <f t="shared" ref="V20:X21" si="1">S20*$L20</f>
        <v>0</v>
      </c>
      <c r="W20" s="88">
        <f t="shared" si="1"/>
        <v>0</v>
      </c>
      <c r="X20" s="89">
        <f t="shared" si="1"/>
        <v>0</v>
      </c>
    </row>
    <row r="21" spans="2:29" ht="30" customHeight="1" thickBot="1" x14ac:dyDescent="0.3">
      <c r="B21" s="572"/>
      <c r="C21" s="590"/>
      <c r="D21" s="572"/>
      <c r="E21" s="587"/>
      <c r="F21" s="575"/>
      <c r="G21" s="573"/>
      <c r="H21" s="567"/>
      <c r="I21" s="551"/>
      <c r="J21" s="464" t="s">
        <v>337</v>
      </c>
      <c r="K21" s="468">
        <v>0.5</v>
      </c>
      <c r="L21" s="83">
        <f>K21*I19</f>
        <v>12375000</v>
      </c>
      <c r="M21" s="42"/>
      <c r="N21" s="42"/>
      <c r="O21" s="42"/>
      <c r="P21" s="37"/>
      <c r="Q21" s="37"/>
      <c r="R21" s="37"/>
      <c r="S21" s="468">
        <v>0.01</v>
      </c>
      <c r="T21" s="468">
        <v>0.01</v>
      </c>
      <c r="U21" s="468">
        <v>0.01</v>
      </c>
      <c r="V21" s="90">
        <f t="shared" si="1"/>
        <v>123750</v>
      </c>
      <c r="W21" s="90">
        <f t="shared" si="1"/>
        <v>123750</v>
      </c>
      <c r="X21" s="91">
        <f t="shared" si="1"/>
        <v>123750</v>
      </c>
    </row>
    <row r="22" spans="2:29" s="34" customFormat="1" ht="30" x14ac:dyDescent="0.25">
      <c r="B22" s="572"/>
      <c r="C22" s="590"/>
      <c r="D22" s="572"/>
      <c r="E22" s="587"/>
      <c r="F22" s="575"/>
      <c r="G22" s="571" t="s">
        <v>338</v>
      </c>
      <c r="H22" s="579">
        <v>0.25</v>
      </c>
      <c r="I22" s="552">
        <f>H22*F18</f>
        <v>8250000</v>
      </c>
      <c r="J22" s="578" t="s">
        <v>339</v>
      </c>
      <c r="K22" s="41" t="s">
        <v>340</v>
      </c>
      <c r="L22" s="36" t="s">
        <v>318</v>
      </c>
      <c r="M22" s="36" t="s">
        <v>341</v>
      </c>
      <c r="N22" s="40"/>
      <c r="O22" s="40"/>
      <c r="P22" s="36"/>
      <c r="Q22" s="36" t="s">
        <v>342</v>
      </c>
      <c r="R22" s="36"/>
      <c r="S22" s="36" t="s">
        <v>319</v>
      </c>
      <c r="T22" s="36" t="s">
        <v>320</v>
      </c>
      <c r="U22" s="36" t="s">
        <v>321</v>
      </c>
      <c r="V22" s="36" t="s">
        <v>333</v>
      </c>
      <c r="W22" s="36" t="s">
        <v>334</v>
      </c>
      <c r="X22" s="35" t="s">
        <v>335</v>
      </c>
    </row>
    <row r="23" spans="2:29" x14ac:dyDescent="0.25">
      <c r="B23" s="572"/>
      <c r="C23" s="590"/>
      <c r="D23" s="572"/>
      <c r="E23" s="587"/>
      <c r="F23" s="575"/>
      <c r="G23" s="572"/>
      <c r="H23" s="580"/>
      <c r="I23" s="550"/>
      <c r="J23" s="562"/>
      <c r="K23" s="577">
        <f>1-K25</f>
        <v>0.83099999999999996</v>
      </c>
      <c r="L23" s="553">
        <f>K23*I22</f>
        <v>6855750</v>
      </c>
      <c r="M23" s="33" t="s">
        <v>336</v>
      </c>
      <c r="N23" s="32">
        <v>0.5</v>
      </c>
      <c r="O23" s="84">
        <f>N23*L23</f>
        <v>3427875</v>
      </c>
      <c r="P23" s="39"/>
      <c r="Q23" s="39"/>
      <c r="R23" s="39"/>
      <c r="S23" s="38">
        <v>0</v>
      </c>
      <c r="T23" s="38">
        <v>0</v>
      </c>
      <c r="U23" s="38">
        <v>0</v>
      </c>
      <c r="V23" s="92">
        <f t="shared" ref="V23:X24" si="2">S23*$O23</f>
        <v>0</v>
      </c>
      <c r="W23" s="92">
        <f t="shared" si="2"/>
        <v>0</v>
      </c>
      <c r="X23" s="93">
        <f t="shared" si="2"/>
        <v>0</v>
      </c>
    </row>
    <row r="24" spans="2:29" ht="15.75" thickBot="1" x14ac:dyDescent="0.3">
      <c r="B24" s="572"/>
      <c r="C24" s="590"/>
      <c r="D24" s="572"/>
      <c r="E24" s="587"/>
      <c r="F24" s="575"/>
      <c r="G24" s="572"/>
      <c r="H24" s="580"/>
      <c r="I24" s="550"/>
      <c r="J24" s="563"/>
      <c r="K24" s="567"/>
      <c r="L24" s="554"/>
      <c r="M24" s="26" t="s">
        <v>343</v>
      </c>
      <c r="N24" s="30">
        <v>0.5</v>
      </c>
      <c r="O24" s="85">
        <f>N24*L23</f>
        <v>3427875</v>
      </c>
      <c r="P24" s="37"/>
      <c r="Q24" s="37"/>
      <c r="R24" s="37"/>
      <c r="S24" s="468">
        <v>0.02</v>
      </c>
      <c r="T24" s="468">
        <v>0.02</v>
      </c>
      <c r="U24" s="468">
        <v>0.02</v>
      </c>
      <c r="V24" s="90">
        <f t="shared" si="2"/>
        <v>68557.5</v>
      </c>
      <c r="W24" s="90">
        <f t="shared" si="2"/>
        <v>68557.5</v>
      </c>
      <c r="X24" s="91">
        <f t="shared" si="2"/>
        <v>68557.5</v>
      </c>
    </row>
    <row r="25" spans="2:29" s="34" customFormat="1" ht="30" x14ac:dyDescent="0.25">
      <c r="B25" s="572"/>
      <c r="C25" s="590"/>
      <c r="D25" s="572"/>
      <c r="E25" s="587"/>
      <c r="F25" s="575"/>
      <c r="G25" s="572"/>
      <c r="H25" s="580"/>
      <c r="I25" s="550"/>
      <c r="J25" s="578" t="s">
        <v>344</v>
      </c>
      <c r="K25" s="558">
        <v>0.16900000000000001</v>
      </c>
      <c r="L25" s="552">
        <f>K25*I22</f>
        <v>1394250</v>
      </c>
      <c r="M25" s="36" t="s">
        <v>341</v>
      </c>
      <c r="N25" s="36" t="s">
        <v>345</v>
      </c>
      <c r="O25" s="36" t="s">
        <v>318</v>
      </c>
      <c r="P25" s="36" t="s">
        <v>341</v>
      </c>
      <c r="Q25" s="36" t="s">
        <v>342</v>
      </c>
      <c r="R25" s="36" t="s">
        <v>318</v>
      </c>
      <c r="S25" s="36" t="s">
        <v>319</v>
      </c>
      <c r="T25" s="36" t="s">
        <v>320</v>
      </c>
      <c r="U25" s="36" t="s">
        <v>321</v>
      </c>
      <c r="V25" s="36" t="s">
        <v>333</v>
      </c>
      <c r="W25" s="36" t="s">
        <v>334</v>
      </c>
      <c r="X25" s="35" t="s">
        <v>335</v>
      </c>
    </row>
    <row r="26" spans="2:29" x14ac:dyDescent="0.25">
      <c r="B26" s="572"/>
      <c r="C26" s="590"/>
      <c r="D26" s="572"/>
      <c r="E26" s="587"/>
      <c r="F26" s="575"/>
      <c r="G26" s="572"/>
      <c r="H26" s="580"/>
      <c r="I26" s="550"/>
      <c r="J26" s="582"/>
      <c r="K26" s="559"/>
      <c r="L26" s="550"/>
      <c r="M26" s="564" t="s">
        <v>346</v>
      </c>
      <c r="N26" s="565">
        <f>1-N29</f>
        <v>0.91800000000000004</v>
      </c>
      <c r="O26" s="555">
        <f>N26*L25</f>
        <v>1279921.5</v>
      </c>
      <c r="P26" s="33" t="s">
        <v>347</v>
      </c>
      <c r="Q26" s="110">
        <v>0.6</v>
      </c>
      <c r="R26" s="86">
        <f>Q26*O26</f>
        <v>767952.9</v>
      </c>
      <c r="S26" s="31">
        <v>0.01</v>
      </c>
      <c r="T26" s="31">
        <v>0.01</v>
      </c>
      <c r="U26" s="31">
        <v>0.03</v>
      </c>
      <c r="V26" s="92">
        <f t="shared" ref="V26:X32" si="3">S26*$R26</f>
        <v>7679.5290000000005</v>
      </c>
      <c r="W26" s="92">
        <f t="shared" si="3"/>
        <v>7679.5290000000005</v>
      </c>
      <c r="X26" s="93">
        <f t="shared" si="3"/>
        <v>23038.587</v>
      </c>
      <c r="AA26" s="14"/>
    </row>
    <row r="27" spans="2:29" x14ac:dyDescent="0.25">
      <c r="B27" s="572"/>
      <c r="C27" s="590"/>
      <c r="D27" s="572"/>
      <c r="E27" s="587"/>
      <c r="F27" s="575"/>
      <c r="G27" s="572"/>
      <c r="H27" s="580"/>
      <c r="I27" s="550"/>
      <c r="J27" s="582"/>
      <c r="K27" s="559"/>
      <c r="L27" s="550"/>
      <c r="M27" s="562"/>
      <c r="N27" s="566"/>
      <c r="O27" s="555"/>
      <c r="P27" s="28" t="s">
        <v>348</v>
      </c>
      <c r="Q27" s="111">
        <v>0.17</v>
      </c>
      <c r="R27" s="87">
        <f>Q27*O26</f>
        <v>217586.65500000003</v>
      </c>
      <c r="S27" s="467">
        <v>0.01</v>
      </c>
      <c r="T27" s="467">
        <f>S30</f>
        <v>0.01</v>
      </c>
      <c r="U27" s="467">
        <v>0.5</v>
      </c>
      <c r="V27" s="96">
        <f t="shared" si="3"/>
        <v>2175.8665500000002</v>
      </c>
      <c r="W27" s="96">
        <f t="shared" si="3"/>
        <v>2175.8665500000002</v>
      </c>
      <c r="X27" s="97">
        <f t="shared" si="3"/>
        <v>108793.32750000001</v>
      </c>
      <c r="AA27" s="25"/>
      <c r="AB27" s="25"/>
      <c r="AC27" s="25"/>
    </row>
    <row r="28" spans="2:29" ht="15.75" thickBot="1" x14ac:dyDescent="0.3">
      <c r="B28" s="572"/>
      <c r="C28" s="590"/>
      <c r="D28" s="572"/>
      <c r="E28" s="587"/>
      <c r="F28" s="575"/>
      <c r="G28" s="572"/>
      <c r="H28" s="580"/>
      <c r="I28" s="550"/>
      <c r="J28" s="582"/>
      <c r="K28" s="559"/>
      <c r="L28" s="550"/>
      <c r="M28" s="563"/>
      <c r="N28" s="567"/>
      <c r="O28" s="556"/>
      <c r="P28" s="26" t="s">
        <v>349</v>
      </c>
      <c r="Q28" s="112">
        <v>0.23</v>
      </c>
      <c r="R28" s="83">
        <f>Q28*O26</f>
        <v>294381.94500000001</v>
      </c>
      <c r="S28" s="468">
        <v>0.4</v>
      </c>
      <c r="T28" s="468">
        <v>0.4</v>
      </c>
      <c r="U28" s="468">
        <v>0.95</v>
      </c>
      <c r="V28" s="90">
        <f t="shared" si="3"/>
        <v>117752.77800000001</v>
      </c>
      <c r="W28" s="90">
        <f t="shared" si="3"/>
        <v>117752.77800000001</v>
      </c>
      <c r="X28" s="91">
        <f t="shared" si="3"/>
        <v>279662.84775000002</v>
      </c>
    </row>
    <row r="29" spans="2:29" x14ac:dyDescent="0.25">
      <c r="B29" s="572"/>
      <c r="C29" s="590"/>
      <c r="D29" s="572"/>
      <c r="E29" s="587"/>
      <c r="F29" s="575"/>
      <c r="G29" s="572"/>
      <c r="H29" s="580"/>
      <c r="I29" s="550"/>
      <c r="J29" s="582"/>
      <c r="K29" s="559"/>
      <c r="L29" s="550"/>
      <c r="M29" s="561" t="s">
        <v>128</v>
      </c>
      <c r="N29" s="568">
        <v>8.2000000000000003E-2</v>
      </c>
      <c r="O29" s="557">
        <f>N29*L25</f>
        <v>114328.5</v>
      </c>
      <c r="P29" s="29" t="s">
        <v>350</v>
      </c>
      <c r="Q29" s="466">
        <v>0.48</v>
      </c>
      <c r="R29" s="82">
        <f>Q29*O29</f>
        <v>54877.68</v>
      </c>
      <c r="S29" s="466">
        <v>0.01</v>
      </c>
      <c r="T29" s="466">
        <v>0.02</v>
      </c>
      <c r="U29" s="466">
        <v>0.75</v>
      </c>
      <c r="V29" s="88">
        <f t="shared" si="3"/>
        <v>548.77679999999998</v>
      </c>
      <c r="W29" s="88">
        <f t="shared" si="3"/>
        <v>1097.5536</v>
      </c>
      <c r="X29" s="89">
        <f t="shared" si="3"/>
        <v>41158.26</v>
      </c>
      <c r="AA29" s="14"/>
    </row>
    <row r="30" spans="2:29" x14ac:dyDescent="0.25">
      <c r="B30" s="572"/>
      <c r="C30" s="590"/>
      <c r="D30" s="572"/>
      <c r="E30" s="587"/>
      <c r="F30" s="575"/>
      <c r="G30" s="572"/>
      <c r="H30" s="580"/>
      <c r="I30" s="550"/>
      <c r="J30" s="582"/>
      <c r="K30" s="559"/>
      <c r="L30" s="550"/>
      <c r="M30" s="562"/>
      <c r="N30" s="569"/>
      <c r="O30" s="555"/>
      <c r="P30" s="28" t="s">
        <v>351</v>
      </c>
      <c r="Q30" s="27">
        <f>(1-$Q$29)*L39</f>
        <v>0.15650485436893202</v>
      </c>
      <c r="R30" s="87">
        <f>Q30*O29</f>
        <v>17892.965242718445</v>
      </c>
      <c r="S30" s="467">
        <v>0.01</v>
      </c>
      <c r="T30" s="467">
        <v>0.02</v>
      </c>
      <c r="U30" s="467">
        <v>0.95</v>
      </c>
      <c r="V30" s="96">
        <f t="shared" si="3"/>
        <v>178.92965242718444</v>
      </c>
      <c r="W30" s="96">
        <f t="shared" si="3"/>
        <v>357.85930485436887</v>
      </c>
      <c r="X30" s="97">
        <f t="shared" si="3"/>
        <v>16998.31698058252</v>
      </c>
      <c r="AA30" s="25"/>
      <c r="AB30" s="25"/>
      <c r="AC30" s="25"/>
    </row>
    <row r="31" spans="2:29" x14ac:dyDescent="0.25">
      <c r="B31" s="572"/>
      <c r="C31" s="590"/>
      <c r="D31" s="572"/>
      <c r="E31" s="587"/>
      <c r="F31" s="575"/>
      <c r="G31" s="572"/>
      <c r="H31" s="580"/>
      <c r="I31" s="550"/>
      <c r="J31" s="582"/>
      <c r="K31" s="559"/>
      <c r="L31" s="550"/>
      <c r="M31" s="562"/>
      <c r="N31" s="569"/>
      <c r="O31" s="555"/>
      <c r="P31" s="28" t="s">
        <v>352</v>
      </c>
      <c r="Q31" s="27">
        <f>(1-$Q$29)*O39</f>
        <v>0.12116504854368933</v>
      </c>
      <c r="R31" s="87">
        <f>Q31*O29</f>
        <v>13852.618252427184</v>
      </c>
      <c r="S31" s="108">
        <v>0.83</v>
      </c>
      <c r="T31" s="467">
        <v>0.9</v>
      </c>
      <c r="U31" s="467">
        <v>1</v>
      </c>
      <c r="V31" s="96">
        <f t="shared" si="3"/>
        <v>11497.673149514563</v>
      </c>
      <c r="W31" s="96">
        <f t="shared" si="3"/>
        <v>12467.356427184466</v>
      </c>
      <c r="X31" s="97">
        <f t="shared" si="3"/>
        <v>13852.618252427184</v>
      </c>
    </row>
    <row r="32" spans="2:29" ht="15.75" thickBot="1" x14ac:dyDescent="0.3">
      <c r="B32" s="573"/>
      <c r="C32" s="591"/>
      <c r="D32" s="573"/>
      <c r="E32" s="588"/>
      <c r="F32" s="576"/>
      <c r="G32" s="573"/>
      <c r="H32" s="581"/>
      <c r="I32" s="551"/>
      <c r="J32" s="583"/>
      <c r="K32" s="560"/>
      <c r="L32" s="551"/>
      <c r="M32" s="563"/>
      <c r="N32" s="570"/>
      <c r="O32" s="556"/>
      <c r="P32" s="26" t="s">
        <v>353</v>
      </c>
      <c r="Q32" s="125">
        <f>(1-$Q$29)*(M39+N39)</f>
        <v>0.24233009708737865</v>
      </c>
      <c r="R32" s="83">
        <f>Q32*O29</f>
        <v>27705.236504854369</v>
      </c>
      <c r="S32" s="109">
        <v>0.4</v>
      </c>
      <c r="T32" s="109">
        <v>1</v>
      </c>
      <c r="U32" s="109">
        <v>1</v>
      </c>
      <c r="V32" s="90">
        <f t="shared" si="3"/>
        <v>11082.094601941748</v>
      </c>
      <c r="W32" s="90">
        <f t="shared" si="3"/>
        <v>27705.236504854369</v>
      </c>
      <c r="X32" s="91">
        <f t="shared" si="3"/>
        <v>27705.236504854369</v>
      </c>
      <c r="AA32" s="14"/>
    </row>
    <row r="33" spans="11:24" x14ac:dyDescent="0.25">
      <c r="P33" s="116" t="s">
        <v>354</v>
      </c>
      <c r="Q33" s="117" cm="1">
        <f t="array" ref="Q33">SUMPRODUCT(Q29:Q32*S29:S32)/SUM(Q29:Q32)</f>
        <v>0.20386407766990292</v>
      </c>
      <c r="V33" s="463"/>
      <c r="W33" s="463"/>
      <c r="X33" s="463"/>
    </row>
    <row r="34" spans="11:24" ht="30" x14ac:dyDescent="0.25">
      <c r="T34" s="547" t="s">
        <v>355</v>
      </c>
      <c r="U34" s="548"/>
      <c r="V34" s="19" t="s">
        <v>356</v>
      </c>
      <c r="W34" s="19" t="s">
        <v>357</v>
      </c>
      <c r="X34" s="19" t="s">
        <v>358</v>
      </c>
    </row>
    <row r="35" spans="11:24" x14ac:dyDescent="0.25">
      <c r="T35" s="18"/>
      <c r="U35" s="18" t="s">
        <v>359</v>
      </c>
      <c r="V35" s="17">
        <f>SUM(V26:V32)/$L25</f>
        <v>0.10824145436893204</v>
      </c>
      <c r="W35" s="17">
        <f>SUM(W26:W32)/$L25</f>
        <v>0.12138151650485436</v>
      </c>
      <c r="X35" s="17">
        <f>SUM(X26:X32)/$L25</f>
        <v>0.3666553300970874</v>
      </c>
    </row>
    <row r="36" spans="11:24" x14ac:dyDescent="0.25">
      <c r="T36" s="18"/>
      <c r="U36" s="18" t="s">
        <v>360</v>
      </c>
      <c r="V36" s="17">
        <f>(-LN(1-V35))/(-LN(1-$V35))</f>
        <v>1</v>
      </c>
      <c r="W36" s="17">
        <f>(-LN(1-W35))/(-LN(1-$V35))</f>
        <v>1.1295797401727283</v>
      </c>
      <c r="X36" s="17">
        <f>(-LN(1-X35))/(-LN(1-$V35))</f>
        <v>3.9869152752648689</v>
      </c>
    </row>
    <row r="37" spans="11:24" x14ac:dyDescent="0.25">
      <c r="K37" s="24"/>
      <c r="L37" s="23" t="s">
        <v>361</v>
      </c>
      <c r="M37" s="23" t="s">
        <v>362</v>
      </c>
      <c r="N37" s="23" t="s">
        <v>363</v>
      </c>
      <c r="O37" s="23" t="s">
        <v>364</v>
      </c>
      <c r="V37" s="463"/>
      <c r="W37" s="463"/>
      <c r="X37" s="463"/>
    </row>
    <row r="38" spans="11:24" ht="30" x14ac:dyDescent="0.25">
      <c r="K38" s="18" t="s">
        <v>166</v>
      </c>
      <c r="L38" s="375">
        <v>31</v>
      </c>
      <c r="M38" s="375">
        <v>27</v>
      </c>
      <c r="N38" s="375">
        <v>21</v>
      </c>
      <c r="O38" s="22">
        <v>24</v>
      </c>
      <c r="Q38" s="113"/>
      <c r="T38" s="547" t="s">
        <v>365</v>
      </c>
      <c r="U38" s="548"/>
      <c r="V38" s="19" t="s">
        <v>356</v>
      </c>
      <c r="W38" s="19" t="s">
        <v>357</v>
      </c>
      <c r="X38" s="19" t="s">
        <v>358</v>
      </c>
    </row>
    <row r="39" spans="11:24" x14ac:dyDescent="0.25">
      <c r="K39" s="18" t="s">
        <v>317</v>
      </c>
      <c r="L39" s="376">
        <f>L38/SUM($L$38:$O$38)</f>
        <v>0.30097087378640774</v>
      </c>
      <c r="M39" s="376">
        <f>M38/SUM($L$38:$O$38)</f>
        <v>0.26213592233009708</v>
      </c>
      <c r="N39" s="376">
        <f>N38/SUM($L$38:$O$38)</f>
        <v>0.20388349514563106</v>
      </c>
      <c r="O39" s="21">
        <f>O38/SUM($L$38:$O$38)</f>
        <v>0.23300970873786409</v>
      </c>
      <c r="P39" s="20"/>
      <c r="T39" s="18"/>
      <c r="U39" s="18" t="s">
        <v>359</v>
      </c>
      <c r="V39" s="17">
        <f>SUM(V29:V32)/$O$29</f>
        <v>0.20386407766990292</v>
      </c>
      <c r="W39" s="17">
        <f>SUM(W29:W32)/$O$29</f>
        <v>0.36410873786407771</v>
      </c>
      <c r="X39" s="17">
        <f>SUM(X29:X32)/$O$29</f>
        <v>0.87217475728155347</v>
      </c>
    </row>
    <row r="40" spans="11:24" x14ac:dyDescent="0.25">
      <c r="T40" s="18"/>
      <c r="U40" s="18" t="s">
        <v>360</v>
      </c>
      <c r="V40" s="239">
        <f>(-LN(1-V39))/(-LN(1-$V39))</f>
        <v>1</v>
      </c>
      <c r="W40" s="240">
        <f>(-LN(1-W39))/(-LN(1-$V39))</f>
        <v>1.9857754005700945</v>
      </c>
      <c r="X40" s="240">
        <f>(-LN(1-X39))/(-LN(1-$V39))</f>
        <v>9.0229097176215589</v>
      </c>
    </row>
    <row r="41" spans="11:24" x14ac:dyDescent="0.25">
      <c r="L41" s="114"/>
      <c r="M41" s="115"/>
      <c r="V41" s="463"/>
      <c r="W41" s="463"/>
      <c r="X41" s="463"/>
    </row>
    <row r="42" spans="11:24" ht="15" customHeight="1" x14ac:dyDescent="0.25">
      <c r="K42" s="546" t="s">
        <v>366</v>
      </c>
      <c r="L42" s="546"/>
      <c r="M42" s="546"/>
      <c r="N42" s="546"/>
      <c r="O42" s="546"/>
      <c r="P42" s="546"/>
      <c r="Q42" s="546"/>
      <c r="T42" s="547" t="s">
        <v>367</v>
      </c>
      <c r="U42" s="548"/>
      <c r="V42" s="19" t="s">
        <v>356</v>
      </c>
      <c r="W42" s="19" t="s">
        <v>357</v>
      </c>
      <c r="X42" s="19" t="s">
        <v>358</v>
      </c>
    </row>
    <row r="43" spans="11:24" x14ac:dyDescent="0.25">
      <c r="K43" s="546"/>
      <c r="L43" s="546"/>
      <c r="M43" s="546"/>
      <c r="N43" s="546"/>
      <c r="O43" s="546"/>
      <c r="P43" s="546"/>
      <c r="Q43" s="546"/>
      <c r="T43" s="18"/>
      <c r="U43" s="18" t="s">
        <v>359</v>
      </c>
      <c r="V43" s="17">
        <f>SUM(V26:V28)/$O$26</f>
        <v>9.9700000000000011E-2</v>
      </c>
      <c r="W43" s="17">
        <f>SUM(W26:W28)/$O$26</f>
        <v>9.9700000000000011E-2</v>
      </c>
      <c r="X43" s="17">
        <f>SUM(X26:X28)/$O$26</f>
        <v>0.32150000000000001</v>
      </c>
    </row>
    <row r="44" spans="11:24" x14ac:dyDescent="0.25">
      <c r="K44" s="546"/>
      <c r="L44" s="546"/>
      <c r="M44" s="546"/>
      <c r="N44" s="546"/>
      <c r="O44" s="546"/>
      <c r="P44" s="546"/>
      <c r="Q44" s="546"/>
      <c r="T44" s="18"/>
      <c r="U44" s="18" t="s">
        <v>360</v>
      </c>
      <c r="V44" s="239">
        <f>(-LN(1-V43))/(-LN(1-$V43))</f>
        <v>1</v>
      </c>
      <c r="W44" s="239">
        <f>(-LN(1-W43))/(-LN(1-$V43))</f>
        <v>1</v>
      </c>
      <c r="X44" s="240">
        <f>(-LN(1-X43))/(-LN(1-$V43))</f>
        <v>3.6930496086718163</v>
      </c>
    </row>
    <row r="45" spans="11:24" x14ac:dyDescent="0.25">
      <c r="K45" s="546"/>
      <c r="L45" s="546"/>
      <c r="M45" s="546"/>
      <c r="N45" s="546"/>
      <c r="O45" s="546"/>
      <c r="P45" s="546"/>
      <c r="Q45" s="546"/>
      <c r="V45" s="463"/>
      <c r="W45" s="463"/>
      <c r="X45" s="463"/>
    </row>
    <row r="46" spans="11:24" x14ac:dyDescent="0.25">
      <c r="K46" s="546"/>
      <c r="L46" s="546"/>
      <c r="M46" s="546"/>
      <c r="N46" s="546"/>
      <c r="O46" s="546"/>
      <c r="P46" s="546"/>
      <c r="Q46" s="546"/>
      <c r="V46" s="463"/>
      <c r="W46" s="463"/>
      <c r="X46" s="463"/>
    </row>
    <row r="47" spans="11:24" x14ac:dyDescent="0.25">
      <c r="K47" s="546"/>
      <c r="L47" s="546"/>
      <c r="M47" s="546"/>
      <c r="N47" s="546"/>
      <c r="O47" s="546"/>
      <c r="P47" s="546"/>
      <c r="Q47" s="546"/>
      <c r="V47" s="463"/>
      <c r="W47" s="463"/>
      <c r="X47" s="463"/>
    </row>
    <row r="48" spans="11:24" x14ac:dyDescent="0.25">
      <c r="K48" s="546"/>
      <c r="L48" s="546"/>
      <c r="M48" s="546"/>
      <c r="N48" s="546"/>
      <c r="O48" s="546"/>
      <c r="P48" s="546"/>
      <c r="Q48" s="546"/>
      <c r="V48" s="463"/>
      <c r="W48" s="463"/>
      <c r="X48" s="463"/>
    </row>
    <row r="49" spans="4:21" x14ac:dyDescent="0.25">
      <c r="F49" s="463"/>
      <c r="K49" s="546"/>
      <c r="L49" s="546"/>
      <c r="M49" s="546"/>
      <c r="N49" s="546"/>
      <c r="O49" s="546"/>
      <c r="P49" s="546"/>
      <c r="Q49" s="546"/>
    </row>
    <row r="50" spans="4:21" x14ac:dyDescent="0.25">
      <c r="F50" s="463"/>
      <c r="K50" s="546"/>
      <c r="L50" s="546"/>
      <c r="M50" s="546"/>
      <c r="N50" s="546"/>
      <c r="O50" s="546"/>
      <c r="P50" s="546"/>
      <c r="Q50" s="546"/>
    </row>
    <row r="51" spans="4:21" x14ac:dyDescent="0.25">
      <c r="F51" s="463"/>
      <c r="K51" s="546"/>
      <c r="L51" s="546"/>
      <c r="M51" s="546"/>
      <c r="N51" s="546"/>
      <c r="O51" s="546"/>
      <c r="P51" s="546"/>
      <c r="Q51" s="546"/>
    </row>
    <row r="58" spans="4:21" ht="18.75" x14ac:dyDescent="0.3">
      <c r="D58" s="252" t="s">
        <v>368</v>
      </c>
      <c r="E58" s="253"/>
      <c r="F58" s="253"/>
      <c r="G58" s="253"/>
      <c r="H58" s="253"/>
      <c r="I58" s="253"/>
      <c r="J58" s="253"/>
      <c r="K58" s="253"/>
      <c r="L58" s="253"/>
      <c r="M58" s="253"/>
      <c r="N58" s="253"/>
      <c r="O58" s="253"/>
      <c r="P58" s="253"/>
      <c r="Q58" s="253"/>
      <c r="R58" s="253"/>
      <c r="S58" s="253"/>
      <c r="T58" s="253"/>
      <c r="U58" s="253"/>
    </row>
    <row r="59" spans="4:21" x14ac:dyDescent="0.25">
      <c r="D59" t="s">
        <v>369</v>
      </c>
      <c r="E59" s="463"/>
      <c r="F59" s="463"/>
      <c r="G59" s="463"/>
      <c r="H59" s="463"/>
      <c r="I59" s="463"/>
      <c r="J59" s="463"/>
      <c r="K59" s="463"/>
      <c r="L59" s="463"/>
      <c r="M59" s="463"/>
      <c r="N59" s="463"/>
      <c r="O59" s="463"/>
      <c r="P59" s="463"/>
      <c r="Q59" s="463"/>
      <c r="R59" s="463"/>
      <c r="S59" s="463"/>
      <c r="T59" s="463"/>
      <c r="U59" s="463"/>
    </row>
    <row r="60" spans="4:21" x14ac:dyDescent="0.25">
      <c r="D60"/>
      <c r="E60" s="463"/>
      <c r="F60" s="463"/>
      <c r="G60" s="463"/>
      <c r="H60" s="463"/>
      <c r="I60" s="463"/>
      <c r="J60" s="463"/>
      <c r="K60" s="463"/>
      <c r="L60" s="463"/>
      <c r="M60" s="463"/>
      <c r="N60" s="463"/>
      <c r="O60" s="463"/>
      <c r="P60" s="463"/>
      <c r="Q60" s="463"/>
      <c r="R60" s="463"/>
      <c r="S60" s="463"/>
      <c r="T60" s="463"/>
      <c r="U60" s="463"/>
    </row>
    <row r="61" spans="4:21" x14ac:dyDescent="0.25">
      <c r="D61"/>
      <c r="E61" s="463"/>
      <c r="F61" s="463"/>
      <c r="G61" s="463"/>
      <c r="H61" s="463"/>
      <c r="I61" s="463"/>
      <c r="J61" s="463"/>
      <c r="K61" s="463"/>
      <c r="L61" s="463"/>
      <c r="M61" s="463"/>
      <c r="N61" s="463"/>
      <c r="O61" s="463"/>
      <c r="P61" s="463"/>
      <c r="Q61" s="463"/>
      <c r="R61" s="463"/>
      <c r="S61" s="463"/>
      <c r="T61" s="463"/>
      <c r="U61" s="463"/>
    </row>
    <row r="62" spans="4:21" ht="18.75" x14ac:dyDescent="0.3">
      <c r="D62" s="252" t="s">
        <v>66</v>
      </c>
      <c r="E62" s="255"/>
      <c r="F62" s="255"/>
      <c r="G62" s="255"/>
      <c r="H62" s="255"/>
      <c r="I62" s="255"/>
      <c r="J62" s="255"/>
      <c r="K62" s="255"/>
      <c r="L62" s="255"/>
      <c r="M62" s="255"/>
      <c r="N62" s="255"/>
      <c r="O62" s="255"/>
      <c r="P62" s="255"/>
      <c r="Q62" s="255"/>
      <c r="R62" s="255"/>
      <c r="S62" s="255"/>
      <c r="T62" s="255"/>
      <c r="U62" s="255"/>
    </row>
    <row r="63" spans="4:21" x14ac:dyDescent="0.25">
      <c r="D63" t="s">
        <v>370</v>
      </c>
      <c r="E63" s="463"/>
      <c r="F63" s="463"/>
      <c r="G63" s="463"/>
      <c r="H63" s="463"/>
      <c r="I63" s="463"/>
      <c r="J63" s="463"/>
      <c r="K63" s="463"/>
      <c r="L63" s="463"/>
      <c r="M63" s="463"/>
      <c r="N63" s="463"/>
      <c r="O63" s="463"/>
      <c r="P63" s="463"/>
      <c r="Q63" s="463"/>
      <c r="R63" s="463"/>
      <c r="S63" s="463"/>
      <c r="T63" s="463"/>
      <c r="U63" s="463"/>
    </row>
    <row r="64" spans="4:21" x14ac:dyDescent="0.25">
      <c r="D64" t="s">
        <v>371</v>
      </c>
      <c r="E64" s="463"/>
      <c r="F64" s="463"/>
      <c r="G64" s="463"/>
      <c r="H64" s="463"/>
      <c r="I64" s="463"/>
      <c r="J64" s="463"/>
      <c r="K64" s="463"/>
      <c r="L64" s="463"/>
      <c r="M64" s="463"/>
      <c r="N64" s="463"/>
      <c r="O64" s="463"/>
      <c r="P64" s="463"/>
      <c r="Q64" s="463"/>
      <c r="R64" s="463"/>
      <c r="S64" s="463"/>
      <c r="T64" s="463"/>
      <c r="U64" s="463"/>
    </row>
    <row r="65" spans="4:21" x14ac:dyDescent="0.25">
      <c r="D65" t="s">
        <v>372</v>
      </c>
      <c r="E65" s="463"/>
      <c r="F65" s="463"/>
      <c r="G65" s="463"/>
      <c r="H65" s="463"/>
      <c r="I65" s="463"/>
      <c r="J65" s="463"/>
      <c r="K65" s="463"/>
      <c r="L65" s="463"/>
      <c r="M65" s="463"/>
      <c r="N65" s="463"/>
      <c r="O65" s="463"/>
      <c r="P65" s="463"/>
      <c r="Q65" s="463"/>
      <c r="R65" s="463"/>
      <c r="S65" s="463"/>
      <c r="T65" s="463"/>
      <c r="U65" s="463"/>
    </row>
    <row r="66" spans="4:21" x14ac:dyDescent="0.25">
      <c r="D66"/>
      <c r="E66" s="463"/>
      <c r="F66" s="463"/>
      <c r="G66" s="463"/>
      <c r="H66" s="463"/>
      <c r="I66" s="463"/>
      <c r="J66" s="463"/>
      <c r="K66" s="463"/>
      <c r="L66" s="463"/>
      <c r="M66" s="463"/>
      <c r="N66" s="463"/>
      <c r="O66" s="463"/>
      <c r="P66" s="463"/>
      <c r="Q66" s="463"/>
      <c r="R66" s="463"/>
      <c r="S66" s="463"/>
      <c r="T66" s="463"/>
      <c r="U66" s="463"/>
    </row>
    <row r="67" spans="4:21" ht="18.75" x14ac:dyDescent="0.3">
      <c r="D67" s="252" t="s">
        <v>143</v>
      </c>
      <c r="E67" s="253"/>
      <c r="F67" s="253"/>
      <c r="G67" s="253"/>
      <c r="H67" s="253"/>
      <c r="I67" s="253"/>
      <c r="J67" s="253"/>
      <c r="K67" s="253"/>
      <c r="L67" s="253"/>
      <c r="M67" s="253"/>
      <c r="N67" s="253"/>
      <c r="O67" s="253"/>
      <c r="P67" s="253"/>
      <c r="Q67" s="253"/>
      <c r="R67" s="253"/>
      <c r="S67" s="253"/>
      <c r="T67" s="253"/>
      <c r="U67" s="253"/>
    </row>
    <row r="71" spans="4:21" ht="18.75" x14ac:dyDescent="0.25">
      <c r="D71" s="373" t="s">
        <v>373</v>
      </c>
      <c r="E71" s="253"/>
      <c r="F71" s="255"/>
      <c r="G71" s="253"/>
      <c r="H71" s="253"/>
      <c r="I71" s="253"/>
      <c r="J71" s="253"/>
      <c r="K71" s="253"/>
      <c r="L71" s="253"/>
      <c r="M71" s="253"/>
      <c r="N71" s="253"/>
      <c r="O71" s="253"/>
      <c r="P71" s="371"/>
      <c r="Q71" s="372"/>
      <c r="R71" s="372"/>
      <c r="S71" s="253"/>
      <c r="T71" s="253"/>
      <c r="U71" s="253"/>
    </row>
    <row r="72" spans="4:21" x14ac:dyDescent="0.25">
      <c r="D72" s="374"/>
      <c r="F72" s="463"/>
    </row>
    <row r="73" spans="4:21" x14ac:dyDescent="0.25">
      <c r="D73" s="374"/>
      <c r="F73" s="463"/>
    </row>
    <row r="74" spans="4:21" x14ac:dyDescent="0.25">
      <c r="D74" s="374"/>
      <c r="F74" s="463"/>
    </row>
  </sheetData>
  <mergeCells count="27">
    <mergeCell ref="B16:B32"/>
    <mergeCell ref="F18:F32"/>
    <mergeCell ref="K23:K24"/>
    <mergeCell ref="J22:J24"/>
    <mergeCell ref="H22:H32"/>
    <mergeCell ref="G22:G32"/>
    <mergeCell ref="J25:J32"/>
    <mergeCell ref="G19:G21"/>
    <mergeCell ref="H19:H21"/>
    <mergeCell ref="E18:E32"/>
    <mergeCell ref="D18:D32"/>
    <mergeCell ref="C16:C32"/>
    <mergeCell ref="K42:Q51"/>
    <mergeCell ref="T34:U34"/>
    <mergeCell ref="T38:U38"/>
    <mergeCell ref="T42:U42"/>
    <mergeCell ref="I19:I21"/>
    <mergeCell ref="I22:I32"/>
    <mergeCell ref="L23:L24"/>
    <mergeCell ref="O26:O28"/>
    <mergeCell ref="O29:O32"/>
    <mergeCell ref="K25:K32"/>
    <mergeCell ref="L25:L32"/>
    <mergeCell ref="M29:M32"/>
    <mergeCell ref="M26:M28"/>
    <mergeCell ref="N26:N28"/>
    <mergeCell ref="N29:N32"/>
  </mergeCells>
  <pageMargins left="0.7" right="0.7" top="0.75" bottom="0.75" header="0.3" footer="0.3"/>
  <pageSetup paperSize="9" orientation="portrait" r:id="rId1"/>
  <headerFooter>
    <oddHeader>&amp;L&amp;"Calibri"&amp;12&amp;K008000Classification: Public&amp;1#</oddHeader>
  </headerFooter>
  <drawing r:id="rId2"/>
  <legacy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CE0EB-DDB1-4F8C-AA1B-655C9B67CA59}">
  <sheetPr codeName="Sheet10"/>
  <dimension ref="A1:Y49"/>
  <sheetViews>
    <sheetView showGridLines="0" workbookViewId="0">
      <selection activeCell="Y12" sqref="Y12"/>
    </sheetView>
  </sheetViews>
  <sheetFormatPr defaultRowHeight="15" x14ac:dyDescent="0.25"/>
  <cols>
    <col min="3" max="3" width="11.28515625" customWidth="1"/>
    <col min="5" max="5" width="10.85546875" customWidth="1"/>
    <col min="6" max="6" width="11.28515625" customWidth="1"/>
    <col min="7" max="7" width="1.85546875" customWidth="1"/>
    <col min="8" max="8" width="17.42578125" customWidth="1"/>
    <col min="9" max="10" width="1.42578125" customWidth="1"/>
    <col min="11" max="11" width="15.28515625" customWidth="1"/>
    <col min="12" max="13" width="7.28515625" customWidth="1"/>
    <col min="14" max="15" width="18.7109375" customWidth="1"/>
    <col min="16" max="16" width="10.7109375" customWidth="1"/>
  </cols>
  <sheetData>
    <row r="1" spans="1:25" ht="26.25" x14ac:dyDescent="0.4">
      <c r="A1" s="448"/>
      <c r="B1" s="448" t="s">
        <v>374</v>
      </c>
      <c r="C1" s="253"/>
      <c r="D1" s="253"/>
      <c r="E1" s="253"/>
      <c r="F1" s="253"/>
      <c r="G1" s="253"/>
      <c r="H1" s="253"/>
      <c r="I1" s="253"/>
      <c r="J1" s="253"/>
      <c r="K1" s="253"/>
      <c r="L1" s="253"/>
      <c r="M1" s="253"/>
      <c r="N1" s="253"/>
      <c r="O1" s="253"/>
      <c r="P1" s="253"/>
      <c r="Q1" s="253"/>
      <c r="R1" s="253"/>
      <c r="S1" s="253"/>
      <c r="T1" s="253"/>
      <c r="U1" s="253"/>
      <c r="V1" s="253"/>
      <c r="W1" s="253"/>
      <c r="X1" s="253"/>
      <c r="Y1" s="253"/>
    </row>
    <row r="2" spans="1:25" ht="18.75" x14ac:dyDescent="0.3">
      <c r="A2" s="410" t="s">
        <v>375</v>
      </c>
    </row>
    <row r="4" spans="1:25" x14ac:dyDescent="0.25">
      <c r="B4" s="77" t="s">
        <v>376</v>
      </c>
    </row>
    <row r="5" spans="1:25" x14ac:dyDescent="0.25">
      <c r="B5" s="377">
        <v>44143</v>
      </c>
      <c r="N5" s="14" t="s">
        <v>377</v>
      </c>
    </row>
    <row r="6" spans="1:25" x14ac:dyDescent="0.25">
      <c r="B6" t="s">
        <v>378</v>
      </c>
      <c r="N6" t="s">
        <v>379</v>
      </c>
    </row>
    <row r="7" spans="1:25" x14ac:dyDescent="0.25">
      <c r="B7" s="102" t="s">
        <v>380</v>
      </c>
      <c r="C7" s="103"/>
      <c r="D7" s="99" t="s">
        <v>173</v>
      </c>
      <c r="O7" s="14" t="s">
        <v>381</v>
      </c>
      <c r="P7" t="s">
        <v>382</v>
      </c>
    </row>
    <row r="8" spans="1:25" x14ac:dyDescent="0.25">
      <c r="B8" s="594" t="s">
        <v>173</v>
      </c>
      <c r="C8" s="595"/>
      <c r="D8" s="100">
        <v>34496</v>
      </c>
      <c r="F8" t="s">
        <v>383</v>
      </c>
      <c r="N8" s="167" t="s">
        <v>384</v>
      </c>
      <c r="O8" s="167" t="s">
        <v>385</v>
      </c>
      <c r="P8" s="167" t="s">
        <v>386</v>
      </c>
    </row>
    <row r="9" spans="1:25" x14ac:dyDescent="0.25">
      <c r="B9" s="104"/>
      <c r="C9" s="104"/>
      <c r="D9" s="101">
        <v>0</v>
      </c>
      <c r="F9" s="138" t="s">
        <v>387</v>
      </c>
      <c r="H9" s="138" t="s">
        <v>388</v>
      </c>
      <c r="K9" s="138" t="s">
        <v>389</v>
      </c>
      <c r="N9" s="292">
        <v>2</v>
      </c>
      <c r="O9" s="292" t="s">
        <v>179</v>
      </c>
      <c r="P9" s="207">
        <f xml:space="preserve"> 0.0054 * EXP(0.0491 * N9)</f>
        <v>5.9571903585217819E-3</v>
      </c>
    </row>
    <row r="10" spans="1:25" x14ac:dyDescent="0.25">
      <c r="B10" s="596" t="s">
        <v>180</v>
      </c>
      <c r="C10" s="597"/>
      <c r="D10" s="144">
        <v>22</v>
      </c>
      <c r="F10" s="128">
        <v>0</v>
      </c>
      <c r="H10" s="154">
        <f>MIN(D10/E22,100%)</f>
        <v>9.3934120313178895E-3</v>
      </c>
      <c r="K10" s="154">
        <f>MIN((D10-F10)/E22,100%)</f>
        <v>9.3934120313178895E-3</v>
      </c>
      <c r="N10" s="292">
        <v>7</v>
      </c>
      <c r="O10" s="292" t="s">
        <v>182</v>
      </c>
      <c r="P10" s="207">
        <f t="shared" ref="P10:P25" si="0" xml:space="preserve"> 0.0054 * EXP(0.0491 * N10)</f>
        <v>7.6148398370882745E-3</v>
      </c>
      <c r="V10" s="477" t="s">
        <v>390</v>
      </c>
    </row>
    <row r="11" spans="1:25" x14ac:dyDescent="0.25">
      <c r="B11" s="598" t="s">
        <v>183</v>
      </c>
      <c r="C11" s="599"/>
      <c r="D11" s="145">
        <v>235</v>
      </c>
      <c r="F11" s="149">
        <f>'CCU Mortality - Treated'!C19</f>
        <v>140.97885839462282</v>
      </c>
      <c r="H11" s="154">
        <f>MIN(D11/E23,100%)</f>
        <v>2.6568322854318989E-2</v>
      </c>
      <c r="K11" s="154">
        <f>MIN((D11-F11)/E23,100%)</f>
        <v>1.0629719341716189E-2</v>
      </c>
      <c r="N11" s="292">
        <v>12</v>
      </c>
      <c r="O11" s="292" t="s">
        <v>184</v>
      </c>
      <c r="P11" s="207">
        <f t="shared" si="0"/>
        <v>9.7337473296547784E-3</v>
      </c>
      <c r="T11" s="128"/>
      <c r="U11" s="475" t="s">
        <v>391</v>
      </c>
      <c r="V11" s="476" t="s">
        <v>392</v>
      </c>
    </row>
    <row r="12" spans="1:25" x14ac:dyDescent="0.25">
      <c r="B12" s="598" t="s">
        <v>185</v>
      </c>
      <c r="C12" s="599"/>
      <c r="D12" s="146">
        <v>2574</v>
      </c>
      <c r="F12" s="149">
        <f>'CCU Mortality - Treated'!C20+'CCU Mortality - Treated'!C21</f>
        <v>1408.4658778572082</v>
      </c>
      <c r="H12" s="154">
        <f>MIN(D12/E24,100%)</f>
        <v>9.3270558358479541E-2</v>
      </c>
      <c r="K12" s="154">
        <f>MIN((D12-F12)/E24,100%)</f>
        <v>4.2233884366013399E-2</v>
      </c>
      <c r="N12" s="292">
        <v>17</v>
      </c>
      <c r="O12" s="292" t="s">
        <v>186</v>
      </c>
      <c r="P12" s="207">
        <f t="shared" si="0"/>
        <v>1.2442262622005453E-2</v>
      </c>
      <c r="T12" s="238" t="s">
        <v>393</v>
      </c>
      <c r="U12" s="292">
        <v>50</v>
      </c>
      <c r="V12" s="154">
        <f>K12</f>
        <v>4.2233884366013399E-2</v>
      </c>
    </row>
    <row r="13" spans="1:25" x14ac:dyDescent="0.25">
      <c r="B13" s="598" t="s">
        <v>187</v>
      </c>
      <c r="C13" s="599"/>
      <c r="D13" s="147">
        <v>13166</v>
      </c>
      <c r="F13" s="149">
        <f>'CCU Mortality - Treated'!C22+'CCU Mortality - Treated'!C23</f>
        <v>3319.5567695999148</v>
      </c>
      <c r="H13" s="154">
        <f>MIN(D13/E25,100%)</f>
        <v>0.22592565783634033</v>
      </c>
      <c r="K13" s="154">
        <f>MIN((D13-F13)/E25,100%)</f>
        <v>0.16896279539543668</v>
      </c>
      <c r="N13" s="292">
        <v>22</v>
      </c>
      <c r="O13" s="292" t="s">
        <v>188</v>
      </c>
      <c r="P13" s="207">
        <f t="shared" si="0"/>
        <v>1.5904450147715576E-2</v>
      </c>
      <c r="T13" s="238" t="s">
        <v>394</v>
      </c>
      <c r="U13" s="292">
        <v>70</v>
      </c>
      <c r="V13" s="154">
        <f>K13</f>
        <v>0.16896279539543668</v>
      </c>
    </row>
    <row r="14" spans="1:25" x14ac:dyDescent="0.25">
      <c r="B14" s="598" t="s">
        <v>189</v>
      </c>
      <c r="C14" s="599"/>
      <c r="D14" s="147">
        <v>18499</v>
      </c>
      <c r="F14" s="149">
        <f>'CCU Mortality - Treated'!C24</f>
        <v>335.88554016113284</v>
      </c>
      <c r="H14" s="154">
        <f>MIN(D14/E26,100%)</f>
        <v>0.38162826106299097</v>
      </c>
      <c r="K14" s="154">
        <f>MIN((D14-F14)/E26,100%)</f>
        <v>0.37469905328917097</v>
      </c>
      <c r="N14" s="292">
        <v>27</v>
      </c>
      <c r="O14" s="292" t="s">
        <v>190</v>
      </c>
      <c r="P14" s="207">
        <f t="shared" si="0"/>
        <v>2.0330026956174231E-2</v>
      </c>
      <c r="T14" s="238" t="s">
        <v>189</v>
      </c>
      <c r="U14" s="292">
        <v>82</v>
      </c>
      <c r="V14" s="154">
        <f>K14</f>
        <v>0.37469905328917097</v>
      </c>
    </row>
    <row r="15" spans="1:25" x14ac:dyDescent="0.25">
      <c r="B15" s="600" t="s">
        <v>395</v>
      </c>
      <c r="C15" s="601"/>
      <c r="D15" s="148">
        <v>0</v>
      </c>
      <c r="N15" s="292">
        <v>32</v>
      </c>
      <c r="O15" s="292" t="s">
        <v>191</v>
      </c>
      <c r="P15" s="207">
        <f t="shared" si="0"/>
        <v>2.5987066022407346E-2</v>
      </c>
    </row>
    <row r="16" spans="1:25" x14ac:dyDescent="0.25">
      <c r="N16" s="292">
        <v>37</v>
      </c>
      <c r="O16" s="292" t="s">
        <v>192</v>
      </c>
      <c r="P16" s="207">
        <f t="shared" si="0"/>
        <v>3.3218234383494569E-2</v>
      </c>
    </row>
    <row r="17" spans="1:17" x14ac:dyDescent="0.25">
      <c r="B17" t="s">
        <v>396</v>
      </c>
      <c r="N17" s="292">
        <v>42</v>
      </c>
      <c r="O17" s="292" t="s">
        <v>193</v>
      </c>
      <c r="P17" s="207">
        <f t="shared" si="0"/>
        <v>4.2461549703430551E-2</v>
      </c>
    </row>
    <row r="18" spans="1:17" x14ac:dyDescent="0.25">
      <c r="N18" s="292">
        <v>47</v>
      </c>
      <c r="O18" s="292" t="s">
        <v>194</v>
      </c>
      <c r="P18" s="207">
        <f t="shared" si="0"/>
        <v>5.4276912565610881E-2</v>
      </c>
    </row>
    <row r="19" spans="1:17" x14ac:dyDescent="0.25">
      <c r="B19" s="157">
        <v>145534</v>
      </c>
      <c r="C19" s="105">
        <v>44136</v>
      </c>
      <c r="D19" s="77" t="s">
        <v>267</v>
      </c>
      <c r="N19" s="292">
        <v>52</v>
      </c>
      <c r="O19" s="292" t="s">
        <v>195</v>
      </c>
      <c r="P19" s="207">
        <f t="shared" si="0"/>
        <v>6.9380021648549381E-2</v>
      </c>
    </row>
    <row r="20" spans="1:17" x14ac:dyDescent="0.25">
      <c r="B20" s="106" t="s">
        <v>397</v>
      </c>
      <c r="C20" s="105"/>
      <c r="D20" s="77"/>
      <c r="N20" s="292">
        <v>57</v>
      </c>
      <c r="O20" s="292" t="s">
        <v>197</v>
      </c>
      <c r="P20" s="207">
        <f t="shared" si="0"/>
        <v>8.8685726148008723E-2</v>
      </c>
    </row>
    <row r="21" spans="1:17" x14ac:dyDescent="0.25">
      <c r="B21" s="128"/>
      <c r="C21" s="128"/>
      <c r="D21" s="292" t="s">
        <v>219</v>
      </c>
      <c r="E21" s="292" t="s">
        <v>155</v>
      </c>
      <c r="N21" s="292">
        <v>62</v>
      </c>
      <c r="O21" s="292" t="s">
        <v>199</v>
      </c>
      <c r="P21" s="207">
        <f t="shared" si="0"/>
        <v>0.11336344145640737</v>
      </c>
      <c r="Q21" s="98"/>
    </row>
    <row r="22" spans="1:17" x14ac:dyDescent="0.25">
      <c r="B22" s="593" t="s">
        <v>180</v>
      </c>
      <c r="C22" s="593"/>
      <c r="D22" s="150">
        <f>SUM('New patients in hospital'!D38:G38)</f>
        <v>1.6092919621774268E-2</v>
      </c>
      <c r="E22" s="232">
        <f>$D22*$B$19</f>
        <v>2342.0669642352964</v>
      </c>
      <c r="N22" s="292">
        <v>67</v>
      </c>
      <c r="O22" s="292" t="s">
        <v>201</v>
      </c>
      <c r="P22" s="207">
        <f t="shared" si="0"/>
        <v>0.14490798482489331</v>
      </c>
      <c r="Q22" s="98"/>
    </row>
    <row r="23" spans="1:17" x14ac:dyDescent="0.25">
      <c r="B23" s="593" t="s">
        <v>183</v>
      </c>
      <c r="C23" s="593"/>
      <c r="D23" s="150">
        <f>SUM('New patients in hospital'!H38:K38)</f>
        <v>6.0776999568976899E-2</v>
      </c>
      <c r="E23" s="232">
        <f t="shared" ref="E23:E26" si="1">$D23*$B$19</f>
        <v>8845.1198552714832</v>
      </c>
      <c r="N23" s="292">
        <v>72</v>
      </c>
      <c r="O23" s="292" t="s">
        <v>203</v>
      </c>
      <c r="P23" s="207">
        <f t="shared" si="0"/>
        <v>0.18523012177683562</v>
      </c>
      <c r="Q23" s="98"/>
    </row>
    <row r="24" spans="1:17" x14ac:dyDescent="0.25">
      <c r="B24" s="593" t="s">
        <v>185</v>
      </c>
      <c r="C24" s="593"/>
      <c r="D24" s="150">
        <f>SUM('New patients in hospital'!L38:O38)</f>
        <v>0.18962670549204635</v>
      </c>
      <c r="E24" s="232">
        <f t="shared" si="1"/>
        <v>27597.132957079473</v>
      </c>
      <c r="N24" s="292">
        <v>77</v>
      </c>
      <c r="O24" s="292" t="s">
        <v>205</v>
      </c>
      <c r="P24" s="207">
        <f t="shared" si="0"/>
        <v>0.23677230799201152</v>
      </c>
      <c r="Q24" s="98"/>
    </row>
    <row r="25" spans="1:17" x14ac:dyDescent="0.25">
      <c r="B25" s="593" t="s">
        <v>187</v>
      </c>
      <c r="C25" s="593"/>
      <c r="D25" s="150">
        <f>SUM('New patients in hospital'!P38:S38)</f>
        <v>0.40042743865012737</v>
      </c>
      <c r="E25" s="232">
        <f t="shared" si="1"/>
        <v>58275.806856507639</v>
      </c>
      <c r="N25" s="292">
        <v>82</v>
      </c>
      <c r="O25" s="292" t="s">
        <v>189</v>
      </c>
      <c r="P25" s="207">
        <f t="shared" si="0"/>
        <v>0.30265663756031069</v>
      </c>
    </row>
    <row r="26" spans="1:17" x14ac:dyDescent="0.25">
      <c r="B26" s="593" t="s">
        <v>189</v>
      </c>
      <c r="C26" s="593"/>
      <c r="D26" s="150">
        <f>SUM('New patients in hospital'!T38)</f>
        <v>0.33307593666707491</v>
      </c>
      <c r="E26" s="232">
        <f t="shared" si="1"/>
        <v>48473.873366906082</v>
      </c>
    </row>
    <row r="28" spans="1:17" x14ac:dyDescent="0.25">
      <c r="A28" s="184"/>
      <c r="B28" s="184"/>
      <c r="C28" s="184"/>
      <c r="D28" s="184"/>
      <c r="E28" s="473"/>
      <c r="F28" s="184"/>
      <c r="G28" s="184"/>
      <c r="H28" s="184"/>
      <c r="I28" s="184"/>
      <c r="J28" s="184"/>
      <c r="K28" s="184"/>
      <c r="L28" s="184"/>
    </row>
    <row r="29" spans="1:17" x14ac:dyDescent="0.25">
      <c r="A29" s="184"/>
      <c r="B29" s="592"/>
      <c r="C29" s="592"/>
      <c r="D29" s="185"/>
      <c r="E29" s="474"/>
      <c r="F29" s="184"/>
      <c r="G29" s="184"/>
      <c r="H29" s="184"/>
      <c r="I29" s="184"/>
      <c r="J29" s="184"/>
      <c r="K29" s="184"/>
      <c r="L29" s="184"/>
    </row>
    <row r="30" spans="1:17" x14ac:dyDescent="0.25">
      <c r="A30" s="184"/>
      <c r="B30" s="184"/>
      <c r="C30" s="184"/>
      <c r="D30" s="184"/>
      <c r="E30" s="474"/>
      <c r="F30" s="184"/>
      <c r="G30" s="184"/>
      <c r="H30" s="184"/>
      <c r="I30" s="184"/>
      <c r="J30" s="184"/>
      <c r="K30" s="184"/>
      <c r="L30" s="184"/>
    </row>
    <row r="31" spans="1:17" x14ac:dyDescent="0.25">
      <c r="A31" s="184"/>
      <c r="B31" s="184"/>
      <c r="C31" s="184"/>
      <c r="D31" s="184"/>
      <c r="E31" s="474"/>
      <c r="F31" s="184"/>
      <c r="G31" s="184"/>
      <c r="H31" s="184"/>
      <c r="I31" s="184"/>
      <c r="J31" s="184"/>
      <c r="K31" s="184"/>
      <c r="L31" s="184"/>
    </row>
    <row r="33" spans="2:23" ht="15.75" thickBot="1" x14ac:dyDescent="0.3"/>
    <row r="34" spans="2:23" ht="15.75" thickTop="1" x14ac:dyDescent="0.25">
      <c r="B34" s="159" t="s">
        <v>398</v>
      </c>
      <c r="C34" s="160"/>
      <c r="D34" s="160"/>
      <c r="E34" s="160"/>
      <c r="F34" s="160"/>
      <c r="G34" s="160"/>
      <c r="H34" s="160"/>
      <c r="I34" s="160"/>
      <c r="J34" s="160"/>
      <c r="K34" s="160"/>
      <c r="L34" s="160"/>
      <c r="M34" s="160"/>
      <c r="N34" s="160"/>
      <c r="O34" s="160"/>
      <c r="P34" s="160"/>
      <c r="Q34" s="160"/>
      <c r="R34" s="160"/>
      <c r="S34" s="160"/>
      <c r="T34" s="160"/>
      <c r="U34" s="160"/>
      <c r="V34" s="160"/>
      <c r="W34" s="161"/>
    </row>
    <row r="35" spans="2:23" x14ac:dyDescent="0.25">
      <c r="B35" s="162" t="s">
        <v>399</v>
      </c>
      <c r="C35" s="163"/>
      <c r="D35" s="163"/>
      <c r="E35" s="163"/>
      <c r="F35" s="163"/>
      <c r="G35" s="163"/>
      <c r="H35" s="163"/>
      <c r="I35" s="163"/>
      <c r="J35" s="163"/>
      <c r="K35" s="163"/>
      <c r="L35" s="163"/>
      <c r="M35" s="163"/>
      <c r="N35" s="163"/>
      <c r="O35" s="163"/>
      <c r="P35" s="163"/>
      <c r="Q35" s="163"/>
      <c r="R35" s="163"/>
      <c r="S35" s="163"/>
      <c r="T35" s="163"/>
      <c r="U35" s="163"/>
      <c r="V35" s="163"/>
      <c r="W35" s="164"/>
    </row>
    <row r="36" spans="2:23" x14ac:dyDescent="0.25">
      <c r="B36" s="162" t="s">
        <v>400</v>
      </c>
      <c r="C36" s="163"/>
      <c r="D36" s="163"/>
      <c r="E36" s="163"/>
      <c r="F36" s="163"/>
      <c r="G36" s="163"/>
      <c r="H36" s="163"/>
      <c r="I36" s="163"/>
      <c r="J36" s="163"/>
      <c r="K36" s="163"/>
      <c r="L36" s="163"/>
      <c r="M36" s="163"/>
      <c r="N36" s="163"/>
      <c r="O36" s="163"/>
      <c r="P36" s="163"/>
      <c r="Q36" s="163"/>
      <c r="R36" s="163"/>
      <c r="S36" s="163"/>
      <c r="T36" s="163"/>
      <c r="U36" s="163"/>
      <c r="V36" s="163"/>
      <c r="W36" s="164"/>
    </row>
    <row r="37" spans="2:23" ht="15.75" thickBot="1" x14ac:dyDescent="0.3">
      <c r="B37" s="168" t="s">
        <v>401</v>
      </c>
      <c r="C37" s="165"/>
      <c r="D37" s="165"/>
      <c r="E37" s="165"/>
      <c r="F37" s="165"/>
      <c r="G37" s="165"/>
      <c r="H37" s="165"/>
      <c r="I37" s="165"/>
      <c r="J37" s="165"/>
      <c r="K37" s="165"/>
      <c r="L37" s="165"/>
      <c r="M37" s="165"/>
      <c r="N37" s="165"/>
      <c r="O37" s="165"/>
      <c r="P37" s="165"/>
      <c r="Q37" s="165"/>
      <c r="R37" s="165"/>
      <c r="S37" s="165"/>
      <c r="T37" s="165"/>
      <c r="U37" s="165"/>
      <c r="V37" s="165"/>
      <c r="W37" s="166"/>
    </row>
    <row r="38" spans="2:23" ht="15.75" thickTop="1" x14ac:dyDescent="0.25"/>
    <row r="40" spans="2:23" ht="18.75" x14ac:dyDescent="0.3">
      <c r="B40" s="252" t="s">
        <v>141</v>
      </c>
      <c r="C40" s="253"/>
      <c r="D40" s="253"/>
      <c r="E40" s="253"/>
      <c r="F40" s="253"/>
      <c r="G40" s="253"/>
      <c r="H40" s="253"/>
      <c r="I40" s="253"/>
      <c r="J40" s="253"/>
      <c r="K40" s="253"/>
      <c r="L40" s="253"/>
      <c r="M40" s="253"/>
      <c r="N40" s="253"/>
      <c r="O40" s="253"/>
      <c r="P40" s="253"/>
      <c r="Q40" s="253"/>
      <c r="R40" s="253"/>
      <c r="S40" s="253"/>
    </row>
    <row r="41" spans="2:23" x14ac:dyDescent="0.25">
      <c r="C41" s="463"/>
      <c r="D41" s="463"/>
      <c r="E41" s="463"/>
      <c r="F41" s="463"/>
      <c r="G41" s="463"/>
      <c r="H41" s="463"/>
      <c r="I41" s="463"/>
      <c r="J41" s="463"/>
      <c r="K41" s="463"/>
      <c r="L41" s="463"/>
      <c r="M41" s="463"/>
      <c r="N41" s="463"/>
      <c r="O41" s="463"/>
      <c r="P41" s="463"/>
      <c r="Q41" s="463"/>
      <c r="R41" s="463"/>
      <c r="S41" s="463"/>
    </row>
    <row r="42" spans="2:23" x14ac:dyDescent="0.25">
      <c r="C42" s="463"/>
      <c r="D42" s="463"/>
      <c r="E42" s="463"/>
      <c r="F42" s="463"/>
      <c r="G42" s="463"/>
      <c r="H42" s="463"/>
      <c r="I42" s="463"/>
      <c r="J42" s="463"/>
      <c r="K42" s="463"/>
      <c r="L42" s="463"/>
      <c r="M42" s="463"/>
      <c r="N42" s="463"/>
      <c r="O42" s="463"/>
      <c r="P42" s="463"/>
      <c r="Q42" s="463"/>
      <c r="R42" s="463"/>
      <c r="S42" s="463"/>
    </row>
    <row r="43" spans="2:23" x14ac:dyDescent="0.25">
      <c r="C43" s="463"/>
      <c r="D43" s="463"/>
      <c r="E43" s="463"/>
      <c r="F43" s="463"/>
      <c r="G43" s="463"/>
      <c r="H43" s="463"/>
      <c r="I43" s="463"/>
      <c r="J43" s="463"/>
      <c r="K43" s="463"/>
      <c r="L43" s="463"/>
      <c r="M43" s="463"/>
      <c r="N43" s="463"/>
      <c r="O43" s="463"/>
      <c r="P43" s="463"/>
      <c r="Q43" s="463"/>
      <c r="R43" s="463"/>
      <c r="S43" s="463"/>
    </row>
    <row r="44" spans="2:23" ht="18.75" x14ac:dyDescent="0.3">
      <c r="B44" s="252" t="s">
        <v>66</v>
      </c>
      <c r="C44" s="255"/>
      <c r="D44" s="255"/>
      <c r="E44" s="255"/>
      <c r="F44" s="255"/>
      <c r="G44" s="255"/>
      <c r="H44" s="255"/>
      <c r="I44" s="255"/>
      <c r="J44" s="255"/>
      <c r="K44" s="255"/>
      <c r="L44" s="255"/>
      <c r="M44" s="255"/>
      <c r="N44" s="255"/>
      <c r="O44" s="255"/>
      <c r="P44" s="255"/>
      <c r="Q44" s="255"/>
      <c r="R44" s="255"/>
      <c r="S44" s="255"/>
    </row>
    <row r="45" spans="2:23" x14ac:dyDescent="0.25">
      <c r="C45" s="463"/>
      <c r="D45" s="463"/>
      <c r="E45" s="463"/>
      <c r="F45" s="463"/>
      <c r="G45" s="463"/>
      <c r="H45" s="463"/>
      <c r="I45" s="463"/>
      <c r="J45" s="463"/>
      <c r="K45" s="463"/>
      <c r="L45" s="463"/>
      <c r="M45" s="463"/>
      <c r="N45" s="463"/>
      <c r="O45" s="463"/>
      <c r="P45" s="463"/>
      <c r="Q45" s="463"/>
      <c r="R45" s="463"/>
      <c r="S45" s="463"/>
    </row>
    <row r="46" spans="2:23" x14ac:dyDescent="0.25">
      <c r="C46" s="463"/>
      <c r="D46" s="463"/>
      <c r="E46" s="463"/>
      <c r="F46" s="463"/>
      <c r="G46" s="463"/>
      <c r="H46" s="463"/>
      <c r="I46" s="463"/>
      <c r="J46" s="463"/>
      <c r="K46" s="463"/>
      <c r="L46" s="463"/>
      <c r="M46" s="463"/>
      <c r="N46" s="463"/>
      <c r="O46" s="463"/>
      <c r="P46" s="463"/>
      <c r="Q46" s="463"/>
      <c r="R46" s="463"/>
      <c r="S46" s="463"/>
    </row>
    <row r="47" spans="2:23" x14ac:dyDescent="0.25">
      <c r="C47" s="463"/>
      <c r="D47" s="463"/>
      <c r="E47" s="463"/>
      <c r="F47" s="463"/>
      <c r="G47" s="463"/>
      <c r="H47" s="463"/>
      <c r="I47" s="463"/>
      <c r="J47" s="463"/>
      <c r="K47" s="463"/>
      <c r="L47" s="463"/>
      <c r="M47" s="463"/>
      <c r="N47" s="463"/>
      <c r="O47" s="463"/>
      <c r="P47" s="463"/>
      <c r="Q47" s="463"/>
      <c r="R47" s="463"/>
      <c r="S47" s="463"/>
    </row>
    <row r="48" spans="2:23" x14ac:dyDescent="0.25">
      <c r="C48" s="463"/>
      <c r="D48" s="463"/>
      <c r="E48" s="463"/>
      <c r="F48" s="463"/>
      <c r="G48" s="463"/>
      <c r="H48" s="463"/>
      <c r="I48" s="463"/>
      <c r="J48" s="463"/>
      <c r="K48" s="463"/>
      <c r="L48" s="463"/>
      <c r="M48" s="463"/>
      <c r="N48" s="463"/>
      <c r="O48" s="463"/>
      <c r="P48" s="463"/>
      <c r="Q48" s="463"/>
      <c r="R48" s="463"/>
      <c r="S48" s="463"/>
    </row>
    <row r="49" spans="2:19" ht="18.75" x14ac:dyDescent="0.3">
      <c r="B49" s="252" t="s">
        <v>143</v>
      </c>
      <c r="C49" s="253"/>
      <c r="D49" s="253"/>
      <c r="E49" s="253"/>
      <c r="F49" s="253"/>
      <c r="G49" s="253"/>
      <c r="H49" s="253"/>
      <c r="I49" s="253"/>
      <c r="J49" s="253"/>
      <c r="K49" s="253"/>
      <c r="L49" s="253"/>
      <c r="M49" s="253"/>
      <c r="N49" s="253"/>
      <c r="O49" s="253"/>
      <c r="P49" s="253"/>
      <c r="Q49" s="253"/>
      <c r="R49" s="253"/>
      <c r="S49" s="253"/>
    </row>
  </sheetData>
  <mergeCells count="13">
    <mergeCell ref="B29:C29"/>
    <mergeCell ref="B26:C26"/>
    <mergeCell ref="B8:C8"/>
    <mergeCell ref="B10:C10"/>
    <mergeCell ref="B11:C11"/>
    <mergeCell ref="B12:C12"/>
    <mergeCell ref="B13:C13"/>
    <mergeCell ref="B14:C14"/>
    <mergeCell ref="B15:C15"/>
    <mergeCell ref="B22:C22"/>
    <mergeCell ref="B23:C23"/>
    <mergeCell ref="B24:C24"/>
    <mergeCell ref="B25:C25"/>
  </mergeCells>
  <dataValidations disablePrompts="1" count="1">
    <dataValidation type="list" allowBlank="1" showInputMessage="1" showErrorMessage="1" sqref="D29" xr:uid="{F6E1254E-97E5-4141-B156-CC6CBF78C90B}">
      <formula1>"Y,N"</formula1>
    </dataValidation>
  </dataValidations>
  <hyperlinks>
    <hyperlink ref="B4" r:id="rId1" xr:uid="{682501EC-3AF9-4066-BDAC-3035794B4F5F}"/>
    <hyperlink ref="D19" r:id="rId2" xr:uid="{03141602-65FD-4966-8835-D64C50A4F382}"/>
  </hyperlinks>
  <pageMargins left="0.7" right="0.7" top="0.75" bottom="0.75" header="0.3" footer="0.3"/>
  <pageSetup paperSize="9" orientation="portrait" r:id="rId3"/>
  <headerFooter>
    <oddHeader>&amp;L&amp;"Calibri"&amp;12&amp;K008000Classification: Public&amp;1#</oddHeader>
  </headerFooter>
  <drawing r:id="rId4"/>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68AAA-5FC0-4E90-ABCA-76773AB1C8F4}">
  <sheetPr codeName="Sheet11"/>
  <dimension ref="A1:U62"/>
  <sheetViews>
    <sheetView showGridLines="0" zoomScale="90" zoomScaleNormal="90" workbookViewId="0">
      <selection activeCell="A50" sqref="A50"/>
    </sheetView>
  </sheetViews>
  <sheetFormatPr defaultRowHeight="15" x14ac:dyDescent="0.25"/>
  <cols>
    <col min="1" max="1" width="9" bestFit="1" customWidth="1"/>
    <col min="2" max="2" width="9.85546875" customWidth="1"/>
    <col min="3" max="3" width="16.5703125" customWidth="1"/>
    <col min="4" max="4" width="37.42578125" bestFit="1" customWidth="1"/>
    <col min="5" max="5" width="13.140625" bestFit="1" customWidth="1"/>
    <col min="6" max="6" width="35.85546875" bestFit="1" customWidth="1"/>
  </cols>
  <sheetData>
    <row r="1" spans="1:21" ht="26.25" x14ac:dyDescent="0.4">
      <c r="A1" s="448"/>
      <c r="B1" s="448" t="s">
        <v>402</v>
      </c>
      <c r="C1" s="253"/>
      <c r="D1" s="253"/>
      <c r="E1" s="253"/>
      <c r="F1" s="253"/>
      <c r="G1" s="253"/>
      <c r="H1" s="253"/>
      <c r="I1" s="253"/>
      <c r="J1" s="253"/>
      <c r="K1" s="253"/>
      <c r="L1" s="253"/>
      <c r="M1" s="253"/>
      <c r="N1" s="253"/>
      <c r="O1" s="253"/>
      <c r="P1" s="253"/>
      <c r="Q1" s="253"/>
      <c r="R1" s="253"/>
      <c r="S1" s="253"/>
      <c r="T1" s="253"/>
      <c r="U1" s="253"/>
    </row>
    <row r="2" spans="1:21" ht="18.75" x14ac:dyDescent="0.3">
      <c r="A2" s="410" t="s">
        <v>403</v>
      </c>
    </row>
    <row r="3" spans="1:21" ht="26.25" x14ac:dyDescent="0.4">
      <c r="A3" s="206"/>
    </row>
    <row r="4" spans="1:21" x14ac:dyDescent="0.25">
      <c r="A4" t="s">
        <v>404</v>
      </c>
    </row>
    <row r="5" spans="1:21" x14ac:dyDescent="0.25">
      <c r="A5" s="132" t="s">
        <v>405</v>
      </c>
      <c r="B5" s="132" t="s">
        <v>331</v>
      </c>
      <c r="C5" s="132" t="s">
        <v>406</v>
      </c>
      <c r="D5" s="132" t="s">
        <v>407</v>
      </c>
      <c r="E5" s="132" t="s">
        <v>408</v>
      </c>
      <c r="F5" s="132" t="s">
        <v>409</v>
      </c>
      <c r="H5" s="77" t="s">
        <v>242</v>
      </c>
    </row>
    <row r="6" spans="1:21" x14ac:dyDescent="0.25">
      <c r="A6" s="133" t="s">
        <v>150</v>
      </c>
      <c r="B6" s="130" t="s">
        <v>410</v>
      </c>
      <c r="C6" s="130">
        <v>887</v>
      </c>
      <c r="D6" s="151">
        <v>14.214319229125977</v>
      </c>
      <c r="E6" s="130">
        <v>223</v>
      </c>
      <c r="F6" s="151">
        <v>6.6806488037109375</v>
      </c>
      <c r="H6" t="s">
        <v>411</v>
      </c>
    </row>
    <row r="7" spans="1:21" x14ac:dyDescent="0.25">
      <c r="A7" s="133" t="s">
        <v>150</v>
      </c>
      <c r="B7" s="130" t="s">
        <v>202</v>
      </c>
      <c r="C7" s="130">
        <v>1471</v>
      </c>
      <c r="D7" s="151">
        <v>20.268482208251953</v>
      </c>
      <c r="E7" s="130">
        <v>319</v>
      </c>
      <c r="F7" s="151">
        <v>17.295896530151367</v>
      </c>
    </row>
    <row r="8" spans="1:21" x14ac:dyDescent="0.25">
      <c r="A8" s="133" t="s">
        <v>150</v>
      </c>
      <c r="B8" s="130" t="s">
        <v>204</v>
      </c>
      <c r="C8" s="130">
        <v>3026</v>
      </c>
      <c r="D8" s="151">
        <v>31.008485794067383</v>
      </c>
      <c r="E8" s="130">
        <v>648</v>
      </c>
      <c r="F8" s="151">
        <v>18.028675079345703</v>
      </c>
    </row>
    <row r="9" spans="1:21" x14ac:dyDescent="0.25">
      <c r="A9" s="133" t="s">
        <v>150</v>
      </c>
      <c r="B9" s="130" t="s">
        <v>206</v>
      </c>
      <c r="C9" s="130">
        <v>3213</v>
      </c>
      <c r="D9" s="151">
        <v>44.267601013183594</v>
      </c>
      <c r="E9" s="130">
        <v>780</v>
      </c>
      <c r="F9" s="151">
        <v>37.971450805664063</v>
      </c>
    </row>
    <row r="10" spans="1:21" x14ac:dyDescent="0.25">
      <c r="A10" s="133" t="s">
        <v>150</v>
      </c>
      <c r="B10" s="130" t="s">
        <v>207</v>
      </c>
      <c r="C10" s="130">
        <v>1967</v>
      </c>
      <c r="D10" s="151">
        <v>62.430095672607422</v>
      </c>
      <c r="E10" s="130">
        <v>671</v>
      </c>
      <c r="F10" s="151">
        <v>55.597831726074219</v>
      </c>
    </row>
    <row r="11" spans="1:21" x14ac:dyDescent="0.25">
      <c r="A11" s="133" t="s">
        <v>150</v>
      </c>
      <c r="B11" s="130" t="s">
        <v>189</v>
      </c>
      <c r="C11" s="130">
        <v>335</v>
      </c>
      <c r="D11" s="151">
        <v>71.641792297363281</v>
      </c>
      <c r="E11" s="130">
        <v>166</v>
      </c>
      <c r="F11" s="151">
        <v>57.762371063232422</v>
      </c>
    </row>
    <row r="12" spans="1:21" x14ac:dyDescent="0.25">
      <c r="A12" s="133" t="s">
        <v>412</v>
      </c>
      <c r="B12" s="130" t="s">
        <v>253</v>
      </c>
      <c r="C12" s="130">
        <v>3266</v>
      </c>
      <c r="D12" s="151">
        <v>35.150032043457031</v>
      </c>
      <c r="E12" s="130">
        <v>845</v>
      </c>
      <c r="F12" s="151">
        <v>27.22419548034668</v>
      </c>
    </row>
    <row r="13" spans="1:21" x14ac:dyDescent="0.25">
      <c r="A13" s="133" t="s">
        <v>412</v>
      </c>
      <c r="B13" s="130" t="s">
        <v>254</v>
      </c>
      <c r="C13" s="130">
        <v>7638</v>
      </c>
      <c r="D13" s="151">
        <v>40.656105041503906</v>
      </c>
      <c r="E13" s="130">
        <v>1965</v>
      </c>
      <c r="F13" s="151">
        <v>36.430732727050781</v>
      </c>
    </row>
    <row r="16" spans="1:21" x14ac:dyDescent="0.25">
      <c r="A16" t="s">
        <v>413</v>
      </c>
    </row>
    <row r="17" spans="1:12" x14ac:dyDescent="0.25">
      <c r="A17" t="s">
        <v>414</v>
      </c>
    </row>
    <row r="18" spans="1:12" x14ac:dyDescent="0.25">
      <c r="A18" s="138" t="s">
        <v>150</v>
      </c>
      <c r="B18" s="292" t="s">
        <v>415</v>
      </c>
      <c r="C18" s="292" t="s">
        <v>416</v>
      </c>
      <c r="K18" s="209" t="s">
        <v>150</v>
      </c>
      <c r="L18" s="209" t="s">
        <v>417</v>
      </c>
    </row>
    <row r="19" spans="1:12" x14ac:dyDescent="0.25">
      <c r="A19" s="128" t="s">
        <v>410</v>
      </c>
      <c r="B19" s="152">
        <f>(C6*D6+E6*F6)/(C6+E6) * (1/100)</f>
        <v>0.12700798053569623</v>
      </c>
      <c r="C19" s="153">
        <f t="shared" ref="C19:C24" si="0">C6*D6/100 + E6*F6/100</f>
        <v>140.97885839462282</v>
      </c>
      <c r="J19" s="463" t="str">
        <f>A19</f>
        <v>16-39</v>
      </c>
      <c r="K19" s="209">
        <v>28</v>
      </c>
      <c r="L19" s="228">
        <f t="shared" ref="L19:L24" si="1">B19</f>
        <v>0.12700798053569623</v>
      </c>
    </row>
    <row r="20" spans="1:12" x14ac:dyDescent="0.25">
      <c r="A20" s="128" t="s">
        <v>202</v>
      </c>
      <c r="B20" s="152">
        <f t="shared" ref="B20:B24" si="2">(C7*D7+E7*F7)/(C7+E7) * (1/100)</f>
        <v>0.19738730905841848</v>
      </c>
      <c r="C20" s="153">
        <f t="shared" si="0"/>
        <v>353.32328321456907</v>
      </c>
      <c r="J20" s="463" t="str">
        <f t="shared" ref="J20:J24" si="3">A20</f>
        <v>40-49</v>
      </c>
      <c r="K20" s="209">
        <v>45</v>
      </c>
      <c r="L20" s="228">
        <f t="shared" si="1"/>
        <v>0.19738730905841848</v>
      </c>
    </row>
    <row r="21" spans="1:12" x14ac:dyDescent="0.25">
      <c r="A21" s="128" t="s">
        <v>204</v>
      </c>
      <c r="B21" s="152">
        <f t="shared" si="2"/>
        <v>0.28719177861802914</v>
      </c>
      <c r="C21" s="153">
        <f t="shared" si="0"/>
        <v>1055.1425946426391</v>
      </c>
      <c r="J21" s="463" t="str">
        <f t="shared" si="3"/>
        <v>50-59</v>
      </c>
      <c r="K21" s="209">
        <v>55</v>
      </c>
      <c r="L21" s="228">
        <f t="shared" si="1"/>
        <v>0.28719177861802914</v>
      </c>
    </row>
    <row r="22" spans="1:12" x14ac:dyDescent="0.25">
      <c r="A22" s="128" t="s">
        <v>206</v>
      </c>
      <c r="B22" s="152">
        <f t="shared" si="2"/>
        <v>0.43037699394885265</v>
      </c>
      <c r="C22" s="153">
        <f t="shared" si="0"/>
        <v>1718.4953368377687</v>
      </c>
      <c r="J22" s="463" t="str">
        <f t="shared" si="3"/>
        <v>60-69</v>
      </c>
      <c r="K22" s="209">
        <v>65</v>
      </c>
      <c r="L22" s="228">
        <f t="shared" si="1"/>
        <v>0.43037699394885265</v>
      </c>
    </row>
    <row r="23" spans="1:12" x14ac:dyDescent="0.25">
      <c r="A23" s="128" t="s">
        <v>207</v>
      </c>
      <c r="B23" s="152">
        <f t="shared" si="2"/>
        <v>0.60692245366267861</v>
      </c>
      <c r="C23" s="153">
        <f t="shared" si="0"/>
        <v>1601.0614327621461</v>
      </c>
      <c r="J23" s="463" t="str">
        <f t="shared" si="3"/>
        <v>70-79</v>
      </c>
      <c r="K23" s="209">
        <v>75</v>
      </c>
      <c r="L23" s="228">
        <f t="shared" si="1"/>
        <v>0.60692245366267861</v>
      </c>
    </row>
    <row r="24" spans="1:12" x14ac:dyDescent="0.25">
      <c r="A24" s="128" t="s">
        <v>189</v>
      </c>
      <c r="B24" s="152">
        <f t="shared" si="2"/>
        <v>0.67043021988250062</v>
      </c>
      <c r="C24" s="153">
        <f t="shared" si="0"/>
        <v>335.88554016113284</v>
      </c>
      <c r="J24" s="463" t="str">
        <f t="shared" si="3"/>
        <v>80+</v>
      </c>
      <c r="K24" s="209">
        <v>82</v>
      </c>
      <c r="L24" s="228">
        <f t="shared" si="1"/>
        <v>0.67043021988250062</v>
      </c>
    </row>
    <row r="26" spans="1:12" x14ac:dyDescent="0.25">
      <c r="A26" t="s">
        <v>418</v>
      </c>
    </row>
    <row r="27" spans="1:12" x14ac:dyDescent="0.25">
      <c r="A27" s="14" t="s">
        <v>381</v>
      </c>
    </row>
    <row r="28" spans="1:12" ht="52.15" customHeight="1" x14ac:dyDescent="0.25">
      <c r="A28" s="198" t="s">
        <v>419</v>
      </c>
      <c r="B28" s="128" t="s">
        <v>420</v>
      </c>
      <c r="C28" s="156" t="s">
        <v>421</v>
      </c>
    </row>
    <row r="29" spans="1:12" x14ac:dyDescent="0.25">
      <c r="A29" s="292">
        <v>2</v>
      </c>
      <c r="B29" s="128" t="s">
        <v>179</v>
      </c>
      <c r="C29" s="208">
        <f xml:space="preserve"> 0.0463 * EXP(0.0339 * A29)</f>
        <v>4.9548003190902939E-2</v>
      </c>
      <c r="L29" s="107"/>
    </row>
    <row r="30" spans="1:12" x14ac:dyDescent="0.25">
      <c r="A30" s="292">
        <v>7</v>
      </c>
      <c r="B30" s="128" t="s">
        <v>182</v>
      </c>
      <c r="C30" s="208">
        <f t="shared" ref="C30:C44" si="4" xml:space="preserve"> 0.0463 * EXP(0.0339 * A30)</f>
        <v>5.8700131151099191E-2</v>
      </c>
      <c r="L30" s="107"/>
    </row>
    <row r="31" spans="1:12" x14ac:dyDescent="0.25">
      <c r="A31" s="292">
        <v>12</v>
      </c>
      <c r="B31" s="128" t="s">
        <v>184</v>
      </c>
      <c r="C31" s="208">
        <f t="shared" si="4"/>
        <v>6.9542770147170752E-2</v>
      </c>
      <c r="L31" s="107"/>
    </row>
    <row r="32" spans="1:12" x14ac:dyDescent="0.25">
      <c r="A32" s="292">
        <v>17</v>
      </c>
      <c r="B32" s="128" t="s">
        <v>186</v>
      </c>
      <c r="C32" s="208">
        <f t="shared" si="4"/>
        <v>8.2388178440239518E-2</v>
      </c>
      <c r="L32" s="107"/>
    </row>
    <row r="33" spans="1:12" x14ac:dyDescent="0.25">
      <c r="A33" s="292">
        <v>22</v>
      </c>
      <c r="B33" s="128" t="s">
        <v>188</v>
      </c>
      <c r="C33" s="208">
        <f t="shared" si="4"/>
        <v>9.7606292247719731E-2</v>
      </c>
      <c r="L33" s="107"/>
    </row>
    <row r="34" spans="1:12" x14ac:dyDescent="0.25">
      <c r="A34" s="292">
        <v>27</v>
      </c>
      <c r="B34" s="128" t="s">
        <v>190</v>
      </c>
      <c r="C34" s="208">
        <f t="shared" si="4"/>
        <v>0.11563537957399675</v>
      </c>
      <c r="L34" s="107"/>
    </row>
    <row r="35" spans="1:12" x14ac:dyDescent="0.25">
      <c r="A35" s="292">
        <v>32</v>
      </c>
      <c r="B35" s="128" t="s">
        <v>191</v>
      </c>
      <c r="C35" s="208">
        <f t="shared" si="4"/>
        <v>0.13699466193517551</v>
      </c>
      <c r="L35" s="107"/>
    </row>
    <row r="36" spans="1:12" x14ac:dyDescent="0.25">
      <c r="A36" s="292">
        <v>37</v>
      </c>
      <c r="B36" s="128" t="s">
        <v>192</v>
      </c>
      <c r="C36" s="208">
        <f t="shared" si="4"/>
        <v>0.16229926747223075</v>
      </c>
      <c r="L36" s="107"/>
    </row>
    <row r="37" spans="1:12" x14ac:dyDescent="0.25">
      <c r="A37" s="292">
        <v>42</v>
      </c>
      <c r="B37" s="128" t="s">
        <v>193</v>
      </c>
      <c r="C37" s="208">
        <f t="shared" si="4"/>
        <v>0.19227794608878276</v>
      </c>
      <c r="L37" s="107"/>
    </row>
    <row r="38" spans="1:12" x14ac:dyDescent="0.25">
      <c r="A38" s="292">
        <v>47</v>
      </c>
      <c r="B38" s="128" t="s">
        <v>194</v>
      </c>
      <c r="C38" s="208">
        <f t="shared" si="4"/>
        <v>0.22779405679354969</v>
      </c>
      <c r="L38" s="107"/>
    </row>
    <row r="39" spans="1:12" x14ac:dyDescent="0.25">
      <c r="A39" s="292">
        <v>52</v>
      </c>
      <c r="B39" s="128" t="s">
        <v>195</v>
      </c>
      <c r="C39" s="208">
        <f t="shared" si="4"/>
        <v>0.26987043166408231</v>
      </c>
      <c r="L39" s="107"/>
    </row>
    <row r="40" spans="1:12" x14ac:dyDescent="0.25">
      <c r="A40" s="292">
        <v>57</v>
      </c>
      <c r="B40" s="128" t="s">
        <v>197</v>
      </c>
      <c r="C40" s="208">
        <f t="shared" si="4"/>
        <v>0.31971883249159644</v>
      </c>
      <c r="L40" s="107"/>
    </row>
    <row r="41" spans="1:12" x14ac:dyDescent="0.25">
      <c r="A41" s="292">
        <v>62</v>
      </c>
      <c r="B41" s="128" t="s">
        <v>199</v>
      </c>
      <c r="C41" s="208">
        <f t="shared" si="4"/>
        <v>0.37877484843180848</v>
      </c>
      <c r="L41" s="107"/>
    </row>
    <row r="42" spans="1:12" x14ac:dyDescent="0.25">
      <c r="A42" s="292">
        <v>67</v>
      </c>
      <c r="B42" s="128" t="s">
        <v>201</v>
      </c>
      <c r="C42" s="208">
        <f t="shared" si="4"/>
        <v>0.44873923968276264</v>
      </c>
      <c r="L42" s="107"/>
    </row>
    <row r="43" spans="1:12" x14ac:dyDescent="0.25">
      <c r="A43" s="292">
        <v>72</v>
      </c>
      <c r="B43" s="128" t="s">
        <v>203</v>
      </c>
      <c r="C43" s="208">
        <f t="shared" si="4"/>
        <v>0.53162691785042371</v>
      </c>
      <c r="L43" s="107"/>
    </row>
    <row r="44" spans="1:12" x14ac:dyDescent="0.25">
      <c r="A44" s="292">
        <v>77</v>
      </c>
      <c r="B44" s="128" t="s">
        <v>205</v>
      </c>
      <c r="C44" s="208">
        <f t="shared" si="4"/>
        <v>0.62982497359255984</v>
      </c>
      <c r="L44" s="107"/>
    </row>
    <row r="45" spans="1:12" x14ac:dyDescent="0.25">
      <c r="A45" s="292">
        <v>82</v>
      </c>
      <c r="B45" s="128" t="s">
        <v>189</v>
      </c>
      <c r="C45" s="208">
        <v>0.67</v>
      </c>
      <c r="L45" s="107"/>
    </row>
    <row r="46" spans="1:12" ht="15.75" thickBot="1" x14ac:dyDescent="0.3"/>
    <row r="47" spans="1:12" ht="15.75" thickTop="1" x14ac:dyDescent="0.25">
      <c r="A47" s="159" t="s">
        <v>422</v>
      </c>
      <c r="B47" s="160"/>
      <c r="C47" s="160"/>
      <c r="D47" s="160"/>
      <c r="E47" s="160"/>
      <c r="F47" s="160"/>
      <c r="G47" s="161"/>
    </row>
    <row r="48" spans="1:12" x14ac:dyDescent="0.25">
      <c r="A48" s="162" t="s">
        <v>423</v>
      </c>
      <c r="B48" s="163"/>
      <c r="C48" s="163"/>
      <c r="D48" s="163"/>
      <c r="E48" s="163"/>
      <c r="F48" s="163"/>
      <c r="G48" s="164"/>
    </row>
    <row r="49" spans="1:20" x14ac:dyDescent="0.25">
      <c r="A49" s="162" t="s">
        <v>424</v>
      </c>
      <c r="B49" s="163"/>
      <c r="C49" s="163"/>
      <c r="D49" s="163"/>
      <c r="E49" s="163"/>
      <c r="F49" s="163"/>
      <c r="G49" s="164"/>
    </row>
    <row r="50" spans="1:20" ht="15.75" thickBot="1" x14ac:dyDescent="0.3">
      <c r="A50" s="168" t="s">
        <v>425</v>
      </c>
      <c r="B50" s="165"/>
      <c r="C50" s="165"/>
      <c r="D50" s="165"/>
      <c r="E50" s="165"/>
      <c r="F50" s="165"/>
      <c r="G50" s="166"/>
    </row>
    <row r="51" spans="1:20" ht="15.75" thickTop="1" x14ac:dyDescent="0.25"/>
    <row r="54" spans="1:20" ht="18.75" x14ac:dyDescent="0.3">
      <c r="C54" s="252" t="s">
        <v>141</v>
      </c>
      <c r="D54" s="253"/>
      <c r="E54" s="253"/>
      <c r="F54" s="253"/>
      <c r="G54" s="253"/>
      <c r="H54" s="253"/>
      <c r="I54" s="253"/>
      <c r="J54" s="253"/>
      <c r="K54" s="253"/>
      <c r="L54" s="253"/>
      <c r="M54" s="253"/>
      <c r="N54" s="253"/>
      <c r="O54" s="253"/>
      <c r="P54" s="253"/>
      <c r="Q54" s="253"/>
      <c r="R54" s="253"/>
      <c r="S54" s="253"/>
      <c r="T54" s="253"/>
    </row>
    <row r="55" spans="1:20" x14ac:dyDescent="0.25">
      <c r="D55" s="463"/>
      <c r="E55" s="463"/>
      <c r="F55" s="463"/>
      <c r="G55" s="463"/>
      <c r="H55" s="463"/>
      <c r="I55" s="463"/>
      <c r="J55" s="463"/>
      <c r="K55" s="463"/>
      <c r="L55" s="463"/>
      <c r="M55" s="463"/>
      <c r="N55" s="463"/>
      <c r="O55" s="463"/>
      <c r="P55" s="463"/>
      <c r="Q55" s="463"/>
      <c r="R55" s="463"/>
      <c r="S55" s="463"/>
      <c r="T55" s="463"/>
    </row>
    <row r="56" spans="1:20" x14ac:dyDescent="0.25">
      <c r="D56" s="463"/>
      <c r="E56" s="463"/>
      <c r="F56" s="463"/>
      <c r="G56" s="463"/>
      <c r="H56" s="463"/>
      <c r="I56" s="463"/>
      <c r="J56" s="463"/>
      <c r="K56" s="463"/>
      <c r="L56" s="463"/>
      <c r="M56" s="463"/>
      <c r="N56" s="463"/>
      <c r="O56" s="463"/>
      <c r="P56" s="463"/>
      <c r="Q56" s="463"/>
      <c r="R56" s="463"/>
      <c r="S56" s="463"/>
      <c r="T56" s="463"/>
    </row>
    <row r="57" spans="1:20" x14ac:dyDescent="0.25">
      <c r="D57" s="463"/>
      <c r="E57" s="463"/>
      <c r="F57" s="463"/>
      <c r="G57" s="463"/>
      <c r="H57" s="463"/>
      <c r="I57" s="463"/>
      <c r="J57" s="463"/>
      <c r="K57" s="463"/>
      <c r="L57" s="463"/>
      <c r="M57" s="463"/>
      <c r="N57" s="463"/>
      <c r="O57" s="463"/>
      <c r="P57" s="463"/>
      <c r="Q57" s="463"/>
      <c r="R57" s="463"/>
      <c r="S57" s="463"/>
      <c r="T57" s="463"/>
    </row>
    <row r="58" spans="1:20" ht="18.75" x14ac:dyDescent="0.3">
      <c r="C58" s="252" t="s">
        <v>143</v>
      </c>
      <c r="D58" s="253"/>
      <c r="E58" s="253"/>
      <c r="F58" s="253"/>
      <c r="G58" s="253"/>
      <c r="H58" s="253"/>
      <c r="I58" s="253"/>
      <c r="J58" s="253"/>
      <c r="K58" s="253"/>
      <c r="L58" s="253"/>
      <c r="M58" s="253"/>
      <c r="N58" s="253"/>
      <c r="O58" s="253"/>
      <c r="P58" s="253"/>
      <c r="Q58" s="253"/>
      <c r="R58" s="253"/>
      <c r="S58" s="253"/>
      <c r="T58" s="253"/>
    </row>
    <row r="59" spans="1:20" x14ac:dyDescent="0.25">
      <c r="D59" s="463"/>
      <c r="E59" s="463"/>
      <c r="F59" s="463"/>
      <c r="G59" s="463"/>
      <c r="H59" s="463"/>
      <c r="I59" s="463"/>
      <c r="J59" s="463"/>
      <c r="K59" s="463"/>
      <c r="L59" s="463"/>
      <c r="M59" s="463"/>
      <c r="N59" s="463"/>
      <c r="O59" s="463"/>
      <c r="P59" s="463"/>
      <c r="Q59" s="463"/>
      <c r="R59" s="463"/>
      <c r="S59" s="463"/>
      <c r="T59" s="463"/>
    </row>
    <row r="60" spans="1:20" x14ac:dyDescent="0.25">
      <c r="D60" s="463"/>
      <c r="E60" s="463"/>
      <c r="F60" s="463"/>
      <c r="G60" s="463"/>
      <c r="H60" s="463"/>
      <c r="I60" s="463"/>
      <c r="J60" s="463"/>
      <c r="K60" s="463"/>
      <c r="L60" s="463"/>
      <c r="M60" s="463"/>
      <c r="N60" s="463"/>
      <c r="O60" s="463"/>
      <c r="P60" s="463"/>
      <c r="Q60" s="463"/>
      <c r="R60" s="463"/>
      <c r="S60" s="463"/>
      <c r="T60" s="463"/>
    </row>
    <row r="61" spans="1:20" x14ac:dyDescent="0.25">
      <c r="D61" s="463"/>
      <c r="E61" s="463"/>
      <c r="F61" s="463"/>
      <c r="G61" s="463"/>
      <c r="H61" s="463"/>
      <c r="I61" s="463"/>
      <c r="J61" s="463"/>
      <c r="K61" s="463"/>
      <c r="L61" s="463"/>
      <c r="M61" s="463"/>
      <c r="N61" s="463"/>
      <c r="O61" s="463"/>
      <c r="P61" s="463"/>
      <c r="Q61" s="463"/>
      <c r="R61" s="463"/>
      <c r="S61" s="463"/>
      <c r="T61" s="463"/>
    </row>
    <row r="62" spans="1:20" x14ac:dyDescent="0.25">
      <c r="D62" s="463"/>
      <c r="E62" s="463"/>
      <c r="F62" s="463"/>
      <c r="G62" s="463"/>
      <c r="H62" s="463"/>
      <c r="I62" s="463"/>
      <c r="J62" s="463"/>
      <c r="K62" s="463"/>
      <c r="L62" s="463"/>
      <c r="M62" s="463"/>
      <c r="N62" s="463"/>
      <c r="O62" s="463"/>
      <c r="P62" s="463"/>
      <c r="Q62" s="463"/>
      <c r="R62" s="463"/>
      <c r="S62" s="463"/>
      <c r="T62" s="463"/>
    </row>
  </sheetData>
  <hyperlinks>
    <hyperlink ref="H5" r:id="rId1" xr:uid="{781A754A-57AC-4F42-ACA0-1C25E2C8B441}"/>
  </hyperlinks>
  <pageMargins left="0.7" right="0.7" top="0.75" bottom="0.75" header="0.3" footer="0.3"/>
  <pageSetup paperSize="9" orientation="portrait" r:id="rId2"/>
  <headerFooter>
    <oddHeader>&amp;L&amp;"Calibri"&amp;12&amp;K008000Classification: Public&amp;1#</oddHeader>
  </headerFooter>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89A8C-C91A-4C50-97B5-5F0B75CC98FA}">
  <sheetPr codeName="Sheet12"/>
  <dimension ref="A1:T45"/>
  <sheetViews>
    <sheetView showGridLines="0" workbookViewId="0">
      <selection activeCell="G38" sqref="G38"/>
    </sheetView>
  </sheetViews>
  <sheetFormatPr defaultRowHeight="15" x14ac:dyDescent="0.25"/>
  <cols>
    <col min="3" max="7" width="19.28515625" customWidth="1"/>
    <col min="9" max="9" width="16.28515625" customWidth="1"/>
    <col min="10" max="10" width="20.28515625" customWidth="1"/>
  </cols>
  <sheetData>
    <row r="1" spans="1:16" ht="26.25" x14ac:dyDescent="0.4">
      <c r="A1" s="448"/>
      <c r="B1" s="448" t="s">
        <v>426</v>
      </c>
      <c r="C1" s="253"/>
      <c r="D1" s="253"/>
      <c r="E1" s="253"/>
      <c r="F1" s="253"/>
      <c r="G1" s="253"/>
      <c r="H1" s="253"/>
      <c r="I1" s="253"/>
      <c r="J1" s="253"/>
      <c r="K1" s="253"/>
      <c r="L1" s="253"/>
      <c r="M1" s="253"/>
      <c r="N1" s="253"/>
      <c r="O1" s="253"/>
      <c r="P1" s="253"/>
    </row>
    <row r="2" spans="1:16" ht="18.75" x14ac:dyDescent="0.3">
      <c r="A2" s="410" t="s">
        <v>427</v>
      </c>
    </row>
    <row r="3" spans="1:16" ht="18.75" x14ac:dyDescent="0.3">
      <c r="A3" s="410" t="s">
        <v>428</v>
      </c>
    </row>
    <row r="4" spans="1:16" ht="18.75" x14ac:dyDescent="0.3">
      <c r="A4" s="410"/>
    </row>
    <row r="5" spans="1:16" ht="15.75" thickBot="1" x14ac:dyDescent="0.3">
      <c r="B5" t="s">
        <v>429</v>
      </c>
    </row>
    <row r="6" spans="1:16" x14ac:dyDescent="0.25">
      <c r="B6" s="219"/>
      <c r="C6" s="527" t="s">
        <v>430</v>
      </c>
      <c r="D6" s="605"/>
      <c r="E6" s="528"/>
      <c r="F6" s="210" t="s">
        <v>431</v>
      </c>
      <c r="G6" s="211"/>
    </row>
    <row r="7" spans="1:16" x14ac:dyDescent="0.25">
      <c r="B7" s="220" t="s">
        <v>150</v>
      </c>
      <c r="C7" s="212" t="s">
        <v>432</v>
      </c>
      <c r="D7" s="209" t="s">
        <v>433</v>
      </c>
      <c r="E7" s="213" t="s">
        <v>434</v>
      </c>
      <c r="F7" s="212" t="s">
        <v>433</v>
      </c>
      <c r="G7" s="213" t="s">
        <v>434</v>
      </c>
    </row>
    <row r="8" spans="1:16" x14ac:dyDescent="0.25">
      <c r="B8" s="221" t="s">
        <v>179</v>
      </c>
      <c r="C8" s="214">
        <f>'CCU Mortality - Treated'!C29</f>
        <v>4.9548003190902939E-2</v>
      </c>
      <c r="D8" s="154">
        <f t="shared" ref="D8:D24" si="0">1-(1-C8)^I$19</f>
        <v>9.5987763325621311E-2</v>
      </c>
      <c r="E8" s="215">
        <f t="shared" ref="E8:E24" si="1">1-(1-C8)^I$18</f>
        <v>0.36778313961043163</v>
      </c>
      <c r="F8" s="214">
        <f>'Ward Mortality - Treated'!P9</f>
        <v>5.9571903585217819E-3</v>
      </c>
      <c r="G8" s="215">
        <f t="shared" ref="G8:G24" si="2">1-(1-F8)^I$20</f>
        <v>2.1824317505738211E-2</v>
      </c>
    </row>
    <row r="9" spans="1:16" x14ac:dyDescent="0.25">
      <c r="B9" s="221" t="s">
        <v>182</v>
      </c>
      <c r="C9" s="214">
        <f>'CCU Mortality - Treated'!C30</f>
        <v>5.8700131151099191E-2</v>
      </c>
      <c r="D9" s="154">
        <f t="shared" si="0"/>
        <v>0.11319179013680103</v>
      </c>
      <c r="E9" s="215">
        <f t="shared" si="1"/>
        <v>0.42063787624736793</v>
      </c>
      <c r="F9" s="214">
        <f>'Ward Mortality - Treated'!P10</f>
        <v>7.6148398370882745E-3</v>
      </c>
      <c r="G9" s="215">
        <f t="shared" si="2"/>
        <v>2.7834868089050224E-2</v>
      </c>
    </row>
    <row r="10" spans="1:16" x14ac:dyDescent="0.25">
      <c r="B10" s="221" t="s">
        <v>184</v>
      </c>
      <c r="C10" s="214">
        <f>'CCU Mortality - Treated'!C31</f>
        <v>6.9542770147170752E-2</v>
      </c>
      <c r="D10" s="154">
        <f t="shared" si="0"/>
        <v>0.13336123639375463</v>
      </c>
      <c r="E10" s="215">
        <f t="shared" si="1"/>
        <v>0.47814412525646344</v>
      </c>
      <c r="F10" s="214">
        <f>'Ward Mortality - Treated'!P11</f>
        <v>9.7337473296547784E-3</v>
      </c>
      <c r="G10" s="215">
        <f t="shared" si="2"/>
        <v>3.5478645062768543E-2</v>
      </c>
    </row>
    <row r="11" spans="1:16" x14ac:dyDescent="0.25">
      <c r="B11" s="221" t="s">
        <v>186</v>
      </c>
      <c r="C11" s="214">
        <f>'CCU Mortality - Treated'!C32</f>
        <v>8.2388178440239518E-2</v>
      </c>
      <c r="D11" s="154">
        <f t="shared" si="0"/>
        <v>0.15695809881819489</v>
      </c>
      <c r="E11" s="215">
        <f t="shared" si="1"/>
        <v>0.53966337682789456</v>
      </c>
      <c r="F11" s="214">
        <f>'Ward Mortality - Treated'!P12</f>
        <v>1.2442262622005453E-2</v>
      </c>
      <c r="G11" s="215">
        <f t="shared" si="2"/>
        <v>4.5185451051723113E-2</v>
      </c>
    </row>
    <row r="12" spans="1:16" x14ac:dyDescent="0.25">
      <c r="B12" s="221" t="s">
        <v>188</v>
      </c>
      <c r="C12" s="214">
        <f>'CCU Mortality - Treated'!C33</f>
        <v>9.7606292247719731E-2</v>
      </c>
      <c r="D12" s="154">
        <f t="shared" si="0"/>
        <v>0.18449507163380763</v>
      </c>
      <c r="E12" s="215">
        <f t="shared" si="1"/>
        <v>0.60413905074395102</v>
      </c>
      <c r="F12" s="214">
        <f>'Ward Mortality - Treated'!P13</f>
        <v>1.5904450147715576E-2</v>
      </c>
      <c r="G12" s="215">
        <f t="shared" si="2"/>
        <v>5.7489309445053705E-2</v>
      </c>
    </row>
    <row r="13" spans="1:16" x14ac:dyDescent="0.25">
      <c r="B13" s="221" t="s">
        <v>190</v>
      </c>
      <c r="C13" s="214">
        <f>'CCU Mortality - Treated'!C34</f>
        <v>0.11563537957399675</v>
      </c>
      <c r="D13" s="154">
        <f t="shared" si="0"/>
        <v>0.21653090902793037</v>
      </c>
      <c r="E13" s="215">
        <f t="shared" si="1"/>
        <v>0.67004130312426602</v>
      </c>
      <c r="F13" s="214">
        <f>'Ward Mortality - Treated'!P14</f>
        <v>2.0330026956174231E-2</v>
      </c>
      <c r="G13" s="215">
        <f t="shared" si="2"/>
        <v>7.3047995023774348E-2</v>
      </c>
    </row>
    <row r="14" spans="1:16" x14ac:dyDescent="0.25">
      <c r="B14" s="221" t="s">
        <v>191</v>
      </c>
      <c r="C14" s="214">
        <f>'CCU Mortality - Treated'!C35</f>
        <v>0.13699466193517551</v>
      </c>
      <c r="D14" s="154">
        <f t="shared" si="0"/>
        <v>0.25365926373276892</v>
      </c>
      <c r="E14" s="215">
        <f t="shared" si="1"/>
        <v>0.73536003821287488</v>
      </c>
      <c r="F14" s="214">
        <f>'Ward Mortality - Treated'!P15</f>
        <v>2.5987066022407346E-2</v>
      </c>
      <c r="G14" s="215">
        <f t="shared" si="2"/>
        <v>9.2662295869680222E-2</v>
      </c>
    </row>
    <row r="15" spans="1:16" x14ac:dyDescent="0.25">
      <c r="B15" s="221" t="s">
        <v>192</v>
      </c>
      <c r="C15" s="214">
        <f>'CCU Mortality - Treated'!C36</f>
        <v>0.16229926747223075</v>
      </c>
      <c r="D15" s="154">
        <f t="shared" si="0"/>
        <v>0.29648749724128953</v>
      </c>
      <c r="E15" s="215">
        <f t="shared" si="1"/>
        <v>0.79768035923518765</v>
      </c>
      <c r="F15" s="214">
        <f>'Ward Mortality - Treated'!P16</f>
        <v>3.3218234383494569E-2</v>
      </c>
      <c r="G15" s="215">
        <f t="shared" si="2"/>
        <v>0.11729163883641047</v>
      </c>
    </row>
    <row r="16" spans="1:16" x14ac:dyDescent="0.25">
      <c r="B16" s="221" t="s">
        <v>193</v>
      </c>
      <c r="C16" s="214">
        <f>'CCU Mortality - Treated'!C37</f>
        <v>0.19227794608878276</v>
      </c>
      <c r="D16" s="154">
        <f t="shared" si="0"/>
        <v>0.3456003722178379</v>
      </c>
      <c r="E16" s="215">
        <f t="shared" si="1"/>
        <v>0.85437603027379827</v>
      </c>
      <c r="F16" s="214">
        <f>'Ward Mortality - Treated'!P17</f>
        <v>4.2461549703430551E-2</v>
      </c>
      <c r="G16" s="215">
        <f t="shared" si="2"/>
        <v>0.1480600307075618</v>
      </c>
    </row>
    <row r="17" spans="1:15" x14ac:dyDescent="0.25">
      <c r="B17" s="221" t="s">
        <v>194</v>
      </c>
      <c r="C17" s="214">
        <f>'CCU Mortality - Treated'!C38</f>
        <v>0.22779405679354969</v>
      </c>
      <c r="D17" s="154">
        <f t="shared" si="0"/>
        <v>0.40150127338291752</v>
      </c>
      <c r="E17" s="215">
        <f t="shared" si="1"/>
        <v>0.90294313567684314</v>
      </c>
      <c r="F17" s="214">
        <f>'Ward Mortality - Treated'!P18</f>
        <v>5.4276912565610881E-2</v>
      </c>
      <c r="G17" s="215">
        <f t="shared" si="2"/>
        <v>0.18624209990724083</v>
      </c>
      <c r="I17" t="s">
        <v>435</v>
      </c>
    </row>
    <row r="18" spans="1:15" x14ac:dyDescent="0.25">
      <c r="B18" s="221" t="s">
        <v>195</v>
      </c>
      <c r="C18" s="214">
        <f>'CCU Mortality - Treated'!C39</f>
        <v>0.26987043166408231</v>
      </c>
      <c r="D18" s="154">
        <f t="shared" si="0"/>
        <v>0.46452037033938332</v>
      </c>
      <c r="E18" s="215">
        <f t="shared" si="1"/>
        <v>0.94145767580682771</v>
      </c>
      <c r="F18" s="214">
        <f>'Ward Mortality - Treated'!P19</f>
        <v>6.9380021648549381E-2</v>
      </c>
      <c r="G18" s="215">
        <f t="shared" si="2"/>
        <v>0.23321286228299709</v>
      </c>
      <c r="I18" s="129">
        <f>'Principle parameters'!D20</f>
        <v>9.0229097176215589</v>
      </c>
      <c r="J18" s="602" t="s">
        <v>115</v>
      </c>
      <c r="K18" s="603"/>
      <c r="L18" s="603"/>
      <c r="M18" s="603"/>
      <c r="N18" s="604"/>
    </row>
    <row r="19" spans="1:15" x14ac:dyDescent="0.25">
      <c r="B19" s="221" t="s">
        <v>197</v>
      </c>
      <c r="C19" s="214">
        <f>'CCU Mortality - Treated'!C40</f>
        <v>0.31971883249159644</v>
      </c>
      <c r="D19" s="154">
        <f t="shared" si="0"/>
        <v>0.53467451726061033</v>
      </c>
      <c r="E19" s="215">
        <f t="shared" si="1"/>
        <v>0.96907120677955194</v>
      </c>
      <c r="F19" s="214">
        <f>'Ward Mortality - Treated'!P20</f>
        <v>8.8685726148008723E-2</v>
      </c>
      <c r="G19" s="215">
        <f t="shared" si="2"/>
        <v>0.2903363496968826</v>
      </c>
      <c r="I19" s="129">
        <f>'Principle parameters'!D21</f>
        <v>1.9857754005700945</v>
      </c>
      <c r="J19" s="602" t="s">
        <v>117</v>
      </c>
      <c r="K19" s="603"/>
      <c r="L19" s="603"/>
      <c r="M19" s="603"/>
      <c r="N19" s="604"/>
    </row>
    <row r="20" spans="1:15" x14ac:dyDescent="0.25">
      <c r="B20" s="221" t="s">
        <v>199</v>
      </c>
      <c r="C20" s="214">
        <f>'CCU Mortality - Treated'!C41</f>
        <v>0.37877484843180848</v>
      </c>
      <c r="D20" s="154">
        <f t="shared" si="0"/>
        <v>0.61145706975167036</v>
      </c>
      <c r="E20" s="215">
        <f t="shared" si="1"/>
        <v>0.98636972336902273</v>
      </c>
      <c r="F20" s="214">
        <f>'Ward Mortality - Treated'!P21</f>
        <v>0.11336344145640737</v>
      </c>
      <c r="G20" s="215">
        <f t="shared" si="2"/>
        <v>0.35875788770643324</v>
      </c>
      <c r="I20" s="129">
        <f>'Principle parameters'!D22</f>
        <v>3.6930496086718163</v>
      </c>
      <c r="J20" s="602" t="s">
        <v>118</v>
      </c>
      <c r="K20" s="603"/>
      <c r="L20" s="603"/>
      <c r="M20" s="603"/>
      <c r="N20" s="604"/>
    </row>
    <row r="21" spans="1:15" x14ac:dyDescent="0.25">
      <c r="B21" s="221" t="s">
        <v>201</v>
      </c>
      <c r="C21" s="214">
        <f>'CCU Mortality - Treated'!C42</f>
        <v>0.44873923968276264</v>
      </c>
      <c r="D21" s="154">
        <f t="shared" si="0"/>
        <v>0.69352627183034343</v>
      </c>
      <c r="E21" s="215">
        <f t="shared" si="1"/>
        <v>0.99536245345422802</v>
      </c>
      <c r="F21" s="214">
        <f>'Ward Mortality - Treated'!P22</f>
        <v>0.14490798482489331</v>
      </c>
      <c r="G21" s="215">
        <f t="shared" si="2"/>
        <v>0.43905525212537666</v>
      </c>
    </row>
    <row r="22" spans="1:15" x14ac:dyDescent="0.25">
      <c r="B22" s="221" t="s">
        <v>203</v>
      </c>
      <c r="C22" s="214">
        <f>'CCU Mortality - Treated'!C43</f>
        <v>0.53162691785042371</v>
      </c>
      <c r="D22" s="154">
        <f t="shared" si="0"/>
        <v>0.77824697470202664</v>
      </c>
      <c r="E22" s="215">
        <f t="shared" si="1"/>
        <v>0.9989339423174467</v>
      </c>
      <c r="F22" s="214">
        <f>'Ward Mortality - Treated'!P23</f>
        <v>0.18523012177683562</v>
      </c>
      <c r="G22" s="215">
        <f t="shared" si="2"/>
        <v>0.53070307136245476</v>
      </c>
    </row>
    <row r="23" spans="1:15" x14ac:dyDescent="0.25">
      <c r="B23" s="221" t="s">
        <v>205</v>
      </c>
      <c r="C23" s="214">
        <f>'CCU Mortality - Treated'!C44</f>
        <v>0.62982497359255984</v>
      </c>
      <c r="D23" s="154">
        <f t="shared" si="0"/>
        <v>0.8610196285835171</v>
      </c>
      <c r="E23" s="215">
        <f t="shared" si="1"/>
        <v>0.99987242182853664</v>
      </c>
      <c r="F23" s="214">
        <f>'Ward Mortality - Treated'!P24</f>
        <v>0.23677230799201152</v>
      </c>
      <c r="G23" s="215">
        <f t="shared" si="2"/>
        <v>0.6313316616465896</v>
      </c>
    </row>
    <row r="24" spans="1:15" ht="15.75" thickBot="1" x14ac:dyDescent="0.3">
      <c r="B24" s="222" t="s">
        <v>189</v>
      </c>
      <c r="C24" s="216">
        <f>'CCU Mortality - Treated'!C45</f>
        <v>0.67</v>
      </c>
      <c r="D24" s="218">
        <f t="shared" si="0"/>
        <v>0.88936900303901123</v>
      </c>
      <c r="E24" s="217">
        <f t="shared" si="1"/>
        <v>0.99995475248327637</v>
      </c>
      <c r="F24" s="216">
        <f>'Ward Mortality - Treated'!P25</f>
        <v>0.30265663756031069</v>
      </c>
      <c r="G24" s="217">
        <f t="shared" si="2"/>
        <v>0.73585597492696997</v>
      </c>
    </row>
    <row r="27" spans="1:15" ht="15.75" thickBot="1" x14ac:dyDescent="0.3"/>
    <row r="28" spans="1:15" ht="15.75" thickTop="1" x14ac:dyDescent="0.25">
      <c r="A28" s="159" t="s">
        <v>436</v>
      </c>
      <c r="B28" s="160"/>
      <c r="C28" s="160"/>
      <c r="D28" s="160"/>
      <c r="E28" s="160"/>
      <c r="F28" s="160"/>
      <c r="G28" s="160"/>
      <c r="H28" s="160"/>
      <c r="I28" s="160"/>
      <c r="J28" s="160"/>
      <c r="K28" s="160"/>
      <c r="L28" s="160"/>
      <c r="M28" s="160"/>
      <c r="N28" s="160"/>
      <c r="O28" s="161"/>
    </row>
    <row r="29" spans="1:15" x14ac:dyDescent="0.25">
      <c r="A29" s="162" t="s">
        <v>437</v>
      </c>
      <c r="B29" s="163"/>
      <c r="C29" s="163"/>
      <c r="D29" s="163"/>
      <c r="E29" s="163"/>
      <c r="F29" s="163"/>
      <c r="G29" s="163"/>
      <c r="H29" s="163"/>
      <c r="I29" s="163"/>
      <c r="J29" s="163"/>
      <c r="K29" s="163"/>
      <c r="L29" s="163"/>
      <c r="M29" s="163"/>
      <c r="N29" s="163"/>
      <c r="O29" s="164"/>
    </row>
    <row r="30" spans="1:15" x14ac:dyDescent="0.25">
      <c r="A30" s="162" t="s">
        <v>438</v>
      </c>
      <c r="B30" s="163"/>
      <c r="C30" s="163"/>
      <c r="D30" s="163"/>
      <c r="E30" s="163"/>
      <c r="F30" s="163"/>
      <c r="G30" s="163"/>
      <c r="H30" s="163"/>
      <c r="I30" s="163"/>
      <c r="J30" s="163"/>
      <c r="K30" s="163"/>
      <c r="L30" s="163"/>
      <c r="M30" s="163"/>
      <c r="N30" s="163"/>
      <c r="O30" s="164"/>
    </row>
    <row r="31" spans="1:15" x14ac:dyDescent="0.25">
      <c r="A31" s="162" t="s">
        <v>439</v>
      </c>
      <c r="B31" s="163"/>
      <c r="C31" s="163"/>
      <c r="D31" s="163"/>
      <c r="E31" s="163"/>
      <c r="F31" s="163"/>
      <c r="G31" s="163"/>
      <c r="H31" s="163"/>
      <c r="I31" s="163"/>
      <c r="J31" s="163"/>
      <c r="K31" s="163"/>
      <c r="L31" s="163"/>
      <c r="M31" s="163"/>
      <c r="N31" s="163"/>
      <c r="O31" s="164"/>
    </row>
    <row r="32" spans="1:15" x14ac:dyDescent="0.25">
      <c r="A32" s="162" t="s">
        <v>440</v>
      </c>
      <c r="B32" s="163"/>
      <c r="C32" s="163"/>
      <c r="D32" s="163"/>
      <c r="E32" s="163"/>
      <c r="F32" s="163"/>
      <c r="G32" s="163"/>
      <c r="H32" s="163"/>
      <c r="I32" s="163"/>
      <c r="J32" s="163"/>
      <c r="K32" s="163"/>
      <c r="L32" s="163"/>
      <c r="M32" s="163"/>
      <c r="N32" s="163"/>
      <c r="O32" s="164"/>
    </row>
    <row r="33" spans="1:20" ht="15.75" thickBot="1" x14ac:dyDescent="0.3">
      <c r="A33" s="168" t="s">
        <v>441</v>
      </c>
      <c r="B33" s="165"/>
      <c r="C33" s="165"/>
      <c r="D33" s="165"/>
      <c r="E33" s="165"/>
      <c r="F33" s="165"/>
      <c r="G33" s="165"/>
      <c r="H33" s="165"/>
      <c r="I33" s="165"/>
      <c r="J33" s="165"/>
      <c r="K33" s="165"/>
      <c r="L33" s="165"/>
      <c r="M33" s="165"/>
      <c r="N33" s="165"/>
      <c r="O33" s="166"/>
    </row>
    <row r="34" spans="1:20" ht="15.75" thickTop="1" x14ac:dyDescent="0.25"/>
    <row r="36" spans="1:20" ht="18.75" x14ac:dyDescent="0.3">
      <c r="C36" s="252" t="s">
        <v>141</v>
      </c>
      <c r="D36" s="253"/>
      <c r="E36" s="253"/>
      <c r="F36" s="253"/>
      <c r="G36" s="253"/>
      <c r="H36" s="253"/>
      <c r="I36" s="253"/>
      <c r="J36" s="253"/>
      <c r="K36" s="253"/>
      <c r="L36" s="253"/>
      <c r="M36" s="253"/>
      <c r="N36" s="253"/>
      <c r="O36" s="253"/>
      <c r="P36" s="253"/>
      <c r="Q36" s="253"/>
      <c r="R36" s="253"/>
      <c r="S36" s="253"/>
      <c r="T36" s="253"/>
    </row>
    <row r="37" spans="1:20" x14ac:dyDescent="0.25">
      <c r="D37" s="463"/>
      <c r="E37" s="463"/>
      <c r="F37" s="463"/>
      <c r="G37" s="463"/>
      <c r="H37" s="463"/>
      <c r="I37" s="463"/>
      <c r="J37" s="463"/>
      <c r="K37" s="463"/>
      <c r="L37" s="463"/>
      <c r="M37" s="463"/>
      <c r="N37" s="463"/>
      <c r="O37" s="463"/>
      <c r="P37" s="463"/>
      <c r="Q37" s="463"/>
      <c r="R37" s="463"/>
      <c r="S37" s="463"/>
      <c r="T37" s="463"/>
    </row>
    <row r="38" spans="1:20" x14ac:dyDescent="0.25">
      <c r="D38" s="463"/>
      <c r="E38" s="463"/>
      <c r="F38" s="463"/>
      <c r="G38" s="463"/>
      <c r="H38" s="463"/>
      <c r="I38" s="463"/>
      <c r="J38" s="463"/>
      <c r="K38" s="463"/>
      <c r="L38" s="463"/>
      <c r="M38" s="463"/>
      <c r="N38" s="463"/>
      <c r="O38" s="463"/>
      <c r="P38" s="463"/>
      <c r="Q38" s="463"/>
      <c r="R38" s="463"/>
      <c r="S38" s="463"/>
      <c r="T38" s="463"/>
    </row>
    <row r="39" spans="1:20" x14ac:dyDescent="0.25">
      <c r="D39" s="463"/>
      <c r="E39" s="463"/>
      <c r="F39" s="463"/>
      <c r="G39" s="463"/>
      <c r="H39" s="463"/>
      <c r="I39" s="463"/>
      <c r="J39" s="463"/>
      <c r="K39" s="463"/>
      <c r="L39" s="463"/>
      <c r="M39" s="463"/>
      <c r="N39" s="463"/>
      <c r="O39" s="463"/>
      <c r="P39" s="463"/>
      <c r="Q39" s="463"/>
      <c r="R39" s="463"/>
      <c r="S39" s="463"/>
      <c r="T39" s="463"/>
    </row>
    <row r="40" spans="1:20" ht="18.75" x14ac:dyDescent="0.3">
      <c r="C40" s="252" t="s">
        <v>66</v>
      </c>
      <c r="D40" s="255"/>
      <c r="E40" s="255"/>
      <c r="F40" s="255"/>
      <c r="G40" s="255"/>
      <c r="H40" s="255"/>
      <c r="I40" s="255"/>
      <c r="J40" s="255"/>
      <c r="K40" s="255"/>
      <c r="L40" s="255"/>
      <c r="M40" s="255"/>
      <c r="N40" s="255"/>
      <c r="O40" s="255"/>
      <c r="P40" s="255"/>
      <c r="Q40" s="255"/>
      <c r="R40" s="255"/>
      <c r="S40" s="255"/>
      <c r="T40" s="255"/>
    </row>
    <row r="41" spans="1:20" x14ac:dyDescent="0.25">
      <c r="D41" s="463"/>
      <c r="E41" s="463"/>
      <c r="F41" s="463"/>
      <c r="G41" s="463"/>
      <c r="H41" s="463"/>
      <c r="I41" s="463"/>
      <c r="J41" s="463"/>
      <c r="K41" s="463"/>
      <c r="L41" s="463"/>
      <c r="M41" s="463"/>
      <c r="N41" s="463"/>
      <c r="O41" s="463"/>
      <c r="P41" s="463"/>
      <c r="Q41" s="463"/>
      <c r="R41" s="463"/>
      <c r="S41" s="463"/>
      <c r="T41" s="463"/>
    </row>
    <row r="42" spans="1:20" x14ac:dyDescent="0.25">
      <c r="D42" s="463"/>
      <c r="E42" s="463"/>
      <c r="F42" s="463"/>
      <c r="G42" s="463"/>
      <c r="H42" s="463"/>
      <c r="I42" s="463"/>
      <c r="J42" s="463"/>
      <c r="K42" s="463"/>
      <c r="L42" s="463"/>
      <c r="M42" s="463"/>
      <c r="N42" s="463"/>
      <c r="O42" s="463"/>
      <c r="P42" s="463"/>
      <c r="Q42" s="463"/>
      <c r="R42" s="463"/>
      <c r="S42" s="463"/>
      <c r="T42" s="463"/>
    </row>
    <row r="43" spans="1:20" x14ac:dyDescent="0.25">
      <c r="D43" s="463"/>
      <c r="E43" s="463"/>
      <c r="F43" s="463"/>
      <c r="G43" s="463"/>
      <c r="H43" s="463"/>
      <c r="I43" s="463"/>
      <c r="J43" s="463"/>
      <c r="K43" s="463"/>
      <c r="L43" s="463"/>
      <c r="M43" s="463"/>
      <c r="N43" s="463"/>
      <c r="O43" s="463"/>
      <c r="P43" s="463"/>
      <c r="Q43" s="463"/>
      <c r="R43" s="463"/>
      <c r="S43" s="463"/>
      <c r="T43" s="463"/>
    </row>
    <row r="44" spans="1:20" x14ac:dyDescent="0.25">
      <c r="D44" s="463"/>
      <c r="E44" s="463"/>
      <c r="F44" s="463"/>
      <c r="G44" s="463"/>
      <c r="H44" s="463"/>
      <c r="I44" s="463"/>
      <c r="J44" s="463"/>
      <c r="K44" s="463"/>
      <c r="L44" s="463"/>
      <c r="M44" s="463"/>
      <c r="N44" s="463"/>
      <c r="O44" s="463"/>
      <c r="P44" s="463"/>
      <c r="Q44" s="463"/>
      <c r="R44" s="463"/>
      <c r="S44" s="463"/>
      <c r="T44" s="463"/>
    </row>
    <row r="45" spans="1:20" ht="18.75" x14ac:dyDescent="0.3">
      <c r="C45" s="252" t="s">
        <v>143</v>
      </c>
      <c r="D45" s="253"/>
      <c r="E45" s="253"/>
      <c r="F45" s="253"/>
      <c r="G45" s="253"/>
      <c r="H45" s="253"/>
      <c r="I45" s="253"/>
      <c r="J45" s="253"/>
      <c r="K45" s="253"/>
      <c r="L45" s="253"/>
      <c r="M45" s="253"/>
      <c r="N45" s="253"/>
      <c r="O45" s="253"/>
      <c r="P45" s="253"/>
      <c r="Q45" s="253"/>
      <c r="R45" s="253"/>
      <c r="S45" s="253"/>
      <c r="T45" s="253"/>
    </row>
  </sheetData>
  <mergeCells count="4">
    <mergeCell ref="J18:N18"/>
    <mergeCell ref="J19:N19"/>
    <mergeCell ref="J20:N20"/>
    <mergeCell ref="C6:E6"/>
  </mergeCells>
  <pageMargins left="0.7" right="0.7" top="0.75" bottom="0.75" header="0.3" footer="0.3"/>
  <pageSetup paperSize="9" orientation="portrait" r:id="rId1"/>
  <headerFooter>
    <oddHeader>&amp;L&amp;"Calibri"&amp;12&amp;K008000Classification: Public&amp;1#</oddHead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B0795-A9F0-445D-8261-807C61B03E73}">
  <sheetPr codeName="Sheet13"/>
  <dimension ref="A1:AA53"/>
  <sheetViews>
    <sheetView showGridLines="0" zoomScale="90" zoomScaleNormal="90" workbookViewId="0">
      <selection activeCell="F38" sqref="F38"/>
    </sheetView>
  </sheetViews>
  <sheetFormatPr defaultRowHeight="15" x14ac:dyDescent="0.25"/>
  <cols>
    <col min="1" max="1" width="17.28515625" style="1" bestFit="1" customWidth="1"/>
    <col min="2" max="2" width="8.7109375" style="1"/>
    <col min="3" max="3" width="1.85546875" customWidth="1"/>
    <col min="4" max="5" width="8.7109375" style="1"/>
    <col min="8" max="23" width="9.5703125" customWidth="1"/>
  </cols>
  <sheetData>
    <row r="1" spans="1:27" ht="26.25" x14ac:dyDescent="0.4">
      <c r="A1" s="452"/>
      <c r="B1" s="452" t="s">
        <v>442</v>
      </c>
      <c r="C1" s="253"/>
      <c r="D1" s="255"/>
      <c r="E1" s="255"/>
      <c r="F1" s="253"/>
      <c r="G1" s="253"/>
      <c r="H1" s="253"/>
      <c r="I1" s="253"/>
      <c r="J1" s="253"/>
      <c r="K1" s="253"/>
      <c r="L1" s="253"/>
      <c r="M1" s="253"/>
      <c r="N1" s="253"/>
      <c r="O1" s="253"/>
      <c r="P1" s="253"/>
      <c r="Q1" s="253"/>
      <c r="R1" s="253"/>
      <c r="S1" s="253"/>
      <c r="T1" s="253"/>
      <c r="U1" s="253"/>
      <c r="V1" s="253"/>
      <c r="W1" s="253"/>
      <c r="X1" s="253"/>
      <c r="Y1" s="253"/>
      <c r="Z1" s="253"/>
      <c r="AA1" s="253"/>
    </row>
    <row r="2" spans="1:27" ht="18.75" x14ac:dyDescent="0.3">
      <c r="A2" s="410" t="s">
        <v>443</v>
      </c>
      <c r="B2" s="463"/>
      <c r="D2" s="463"/>
      <c r="E2" s="463"/>
    </row>
    <row r="3" spans="1:27" ht="26.25" x14ac:dyDescent="0.4">
      <c r="A3" s="206"/>
      <c r="B3" s="463"/>
      <c r="D3" s="463"/>
      <c r="E3" s="463"/>
    </row>
    <row r="4" spans="1:27" x14ac:dyDescent="0.25">
      <c r="A4" s="141" t="s">
        <v>444</v>
      </c>
      <c r="B4" s="463"/>
      <c r="D4" s="463"/>
      <c r="E4" s="463"/>
    </row>
    <row r="5" spans="1:27" x14ac:dyDescent="0.25">
      <c r="A5" s="133" t="s">
        <v>231</v>
      </c>
      <c r="B5" s="133" t="s">
        <v>232</v>
      </c>
      <c r="D5" s="174" t="s">
        <v>128</v>
      </c>
      <c r="E5" s="174" t="s">
        <v>123</v>
      </c>
      <c r="F5" s="174" t="s">
        <v>173</v>
      </c>
      <c r="H5" s="184"/>
      <c r="I5" s="184"/>
      <c r="J5" s="184"/>
      <c r="K5" s="184"/>
      <c r="L5" s="184"/>
      <c r="M5" s="184"/>
      <c r="N5" s="184"/>
      <c r="O5" s="184"/>
      <c r="P5" s="184"/>
      <c r="Q5" s="184"/>
      <c r="R5" s="184"/>
      <c r="S5" s="184"/>
      <c r="T5" s="184"/>
      <c r="U5" s="184"/>
      <c r="V5" s="184"/>
      <c r="W5" s="184"/>
    </row>
    <row r="6" spans="1:27" x14ac:dyDescent="0.25">
      <c r="A6" s="139">
        <v>44104</v>
      </c>
      <c r="B6" s="130" t="s">
        <v>233</v>
      </c>
      <c r="D6" s="406">
        <f>0.15*$F6</f>
        <v>44.699999999999996</v>
      </c>
      <c r="E6" s="406">
        <f>$F6-$D6</f>
        <v>253.3</v>
      </c>
      <c r="F6" s="406">
        <v>298</v>
      </c>
      <c r="H6" s="184"/>
      <c r="I6" s="184"/>
      <c r="J6" s="184"/>
      <c r="K6" s="184"/>
      <c r="L6" s="184"/>
      <c r="M6" s="184"/>
      <c r="N6" s="184"/>
      <c r="O6" s="184"/>
      <c r="P6" s="184"/>
      <c r="Q6" s="184"/>
      <c r="R6" s="184"/>
      <c r="S6" s="184"/>
      <c r="T6" s="184"/>
      <c r="U6" s="184"/>
      <c r="V6" s="184"/>
      <c r="W6" s="184"/>
    </row>
    <row r="7" spans="1:27" ht="15.75" thickBot="1" x14ac:dyDescent="0.3">
      <c r="A7" s="139">
        <v>44111</v>
      </c>
      <c r="B7" s="130" t="s">
        <v>233</v>
      </c>
      <c r="D7" s="406">
        <f t="shared" ref="D7:D16" si="0">0.15*$F7</f>
        <v>66.599999999999994</v>
      </c>
      <c r="E7" s="406">
        <f t="shared" ref="E7:E16" si="1">$F7-$D7</f>
        <v>377.4</v>
      </c>
      <c r="F7" s="406">
        <v>444</v>
      </c>
      <c r="H7" s="265"/>
      <c r="I7" s="266"/>
      <c r="J7" s="267"/>
      <c r="K7" s="266"/>
      <c r="L7" s="266"/>
      <c r="M7" s="267"/>
      <c r="N7" s="267"/>
      <c r="O7" s="267"/>
      <c r="P7" s="267"/>
      <c r="Q7" s="267"/>
      <c r="R7" s="267"/>
      <c r="S7" s="267"/>
      <c r="T7" s="267"/>
      <c r="U7" s="267"/>
      <c r="V7" s="267"/>
      <c r="W7" s="267"/>
    </row>
    <row r="8" spans="1:27" ht="15.75" thickTop="1" x14ac:dyDescent="0.25">
      <c r="A8" s="139">
        <v>44118</v>
      </c>
      <c r="B8" s="130" t="s">
        <v>233</v>
      </c>
      <c r="D8" s="406">
        <f t="shared" si="0"/>
        <v>109.64999999999999</v>
      </c>
      <c r="E8" s="406">
        <f t="shared" si="1"/>
        <v>621.35</v>
      </c>
      <c r="F8" s="406">
        <v>731</v>
      </c>
      <c r="H8" s="264" t="s">
        <v>445</v>
      </c>
      <c r="I8" s="170"/>
      <c r="J8" s="163"/>
      <c r="K8" s="170"/>
      <c r="L8" s="170"/>
      <c r="M8" s="163"/>
      <c r="N8" s="163"/>
      <c r="O8" s="163"/>
      <c r="P8" s="163"/>
      <c r="Q8" s="163"/>
      <c r="R8" s="163"/>
      <c r="S8" s="163"/>
      <c r="T8" s="163"/>
      <c r="U8" s="163"/>
      <c r="V8" s="163"/>
      <c r="W8" s="164"/>
    </row>
    <row r="9" spans="1:27" x14ac:dyDescent="0.25">
      <c r="A9" s="139">
        <v>44125</v>
      </c>
      <c r="B9" s="130" t="s">
        <v>233</v>
      </c>
      <c r="D9" s="406">
        <f t="shared" si="0"/>
        <v>161.1</v>
      </c>
      <c r="E9" s="406">
        <f t="shared" si="1"/>
        <v>912.9</v>
      </c>
      <c r="F9" s="406">
        <v>1074</v>
      </c>
      <c r="H9" s="169" t="s">
        <v>446</v>
      </c>
      <c r="I9" s="170"/>
      <c r="J9" s="163"/>
      <c r="K9" s="170"/>
      <c r="L9" s="170"/>
      <c r="M9" s="163"/>
      <c r="N9" s="163"/>
      <c r="O9" s="163"/>
      <c r="P9" s="163"/>
      <c r="Q9" s="163"/>
      <c r="R9" s="163"/>
      <c r="S9" s="163"/>
      <c r="T9" s="163"/>
      <c r="U9" s="163"/>
      <c r="V9" s="163"/>
      <c r="W9" s="164"/>
    </row>
    <row r="10" spans="1:27" ht="15.75" thickBot="1" x14ac:dyDescent="0.3">
      <c r="A10" s="139">
        <v>44132</v>
      </c>
      <c r="B10" s="130" t="s">
        <v>233</v>
      </c>
      <c r="D10" s="406">
        <f t="shared" si="0"/>
        <v>218.54999999999998</v>
      </c>
      <c r="E10" s="406">
        <f t="shared" si="1"/>
        <v>1238.45</v>
      </c>
      <c r="F10" s="406">
        <v>1457</v>
      </c>
      <c r="H10" s="173" t="s">
        <v>447</v>
      </c>
      <c r="I10" s="171"/>
      <c r="J10" s="165"/>
      <c r="K10" s="171"/>
      <c r="L10" s="171"/>
      <c r="M10" s="165"/>
      <c r="N10" s="165"/>
      <c r="O10" s="165"/>
      <c r="P10" s="165"/>
      <c r="Q10" s="165"/>
      <c r="R10" s="165"/>
      <c r="S10" s="165"/>
      <c r="T10" s="165"/>
      <c r="U10" s="165"/>
      <c r="V10" s="165"/>
      <c r="W10" s="166"/>
    </row>
    <row r="11" spans="1:27" ht="15.75" thickTop="1" x14ac:dyDescent="0.25">
      <c r="A11" s="139">
        <v>44139</v>
      </c>
      <c r="B11" s="130" t="s">
        <v>233</v>
      </c>
      <c r="D11" s="406">
        <f t="shared" si="0"/>
        <v>267.59999999999997</v>
      </c>
      <c r="E11" s="406">
        <f t="shared" si="1"/>
        <v>1516.4</v>
      </c>
      <c r="F11" s="406">
        <v>1784</v>
      </c>
    </row>
    <row r="12" spans="1:27" x14ac:dyDescent="0.25">
      <c r="A12" s="139">
        <v>44146</v>
      </c>
      <c r="B12" s="130" t="s">
        <v>233</v>
      </c>
      <c r="D12" s="406">
        <f t="shared" si="0"/>
        <v>284.55</v>
      </c>
      <c r="E12" s="406">
        <f t="shared" si="1"/>
        <v>1612.45</v>
      </c>
      <c r="F12" s="406">
        <v>1897</v>
      </c>
    </row>
    <row r="13" spans="1:27" x14ac:dyDescent="0.25">
      <c r="A13" s="139">
        <v>44153</v>
      </c>
      <c r="B13" s="130" t="s">
        <v>233</v>
      </c>
      <c r="D13" s="406">
        <f t="shared" si="0"/>
        <v>315.45</v>
      </c>
      <c r="E13" s="406">
        <f t="shared" si="1"/>
        <v>1787.55</v>
      </c>
      <c r="F13" s="406">
        <v>2103</v>
      </c>
    </row>
    <row r="14" spans="1:27" ht="18.75" x14ac:dyDescent="0.3">
      <c r="A14" s="139">
        <v>44160</v>
      </c>
      <c r="B14" s="130" t="s">
        <v>233</v>
      </c>
      <c r="D14" s="406">
        <f t="shared" si="0"/>
        <v>304.64999999999998</v>
      </c>
      <c r="E14" s="406">
        <f t="shared" si="1"/>
        <v>1726.35</v>
      </c>
      <c r="F14" s="406">
        <v>2031</v>
      </c>
      <c r="J14" s="252" t="s">
        <v>141</v>
      </c>
      <c r="K14" s="253"/>
      <c r="L14" s="253"/>
      <c r="M14" s="253"/>
      <c r="N14" s="253"/>
      <c r="O14" s="253"/>
      <c r="P14" s="253"/>
      <c r="Q14" s="253"/>
      <c r="R14" s="253"/>
      <c r="S14" s="253"/>
      <c r="T14" s="253"/>
      <c r="U14" s="253"/>
      <c r="V14" s="253"/>
      <c r="W14" s="253"/>
      <c r="X14" s="253"/>
      <c r="Y14" s="253"/>
      <c r="Z14" s="253"/>
      <c r="AA14" s="253"/>
    </row>
    <row r="15" spans="1:27" x14ac:dyDescent="0.25">
      <c r="A15" s="139">
        <v>44167</v>
      </c>
      <c r="B15" s="130" t="s">
        <v>233</v>
      </c>
      <c r="D15" s="406">
        <f t="shared" si="0"/>
        <v>283.34999999999997</v>
      </c>
      <c r="E15" s="406">
        <f t="shared" si="1"/>
        <v>1605.65</v>
      </c>
      <c r="F15" s="406">
        <v>1889</v>
      </c>
      <c r="K15" s="463"/>
      <c r="L15" s="463"/>
      <c r="M15" s="463"/>
      <c r="N15" s="463"/>
      <c r="O15" s="463"/>
      <c r="P15" s="463"/>
      <c r="Q15" s="463"/>
      <c r="R15" s="463"/>
      <c r="S15" s="463"/>
      <c r="T15" s="463"/>
      <c r="U15" s="463"/>
      <c r="V15" s="463"/>
      <c r="W15" s="463"/>
      <c r="X15" s="463"/>
      <c r="Y15" s="463"/>
      <c r="Z15" s="463"/>
      <c r="AA15" s="463"/>
    </row>
    <row r="16" spans="1:27" x14ac:dyDescent="0.25">
      <c r="A16" s="139">
        <v>44174</v>
      </c>
      <c r="B16" s="130" t="s">
        <v>233</v>
      </c>
      <c r="D16" s="406">
        <f t="shared" si="0"/>
        <v>294</v>
      </c>
      <c r="E16" s="406">
        <f t="shared" si="1"/>
        <v>1666</v>
      </c>
      <c r="F16" s="406">
        <v>1960</v>
      </c>
      <c r="K16" s="463"/>
      <c r="L16" s="463"/>
      <c r="M16" s="463"/>
      <c r="N16" s="463"/>
      <c r="O16" s="463"/>
      <c r="P16" s="463"/>
      <c r="Q16" s="463"/>
      <c r="R16" s="463"/>
      <c r="S16" s="463"/>
      <c r="T16" s="463"/>
      <c r="U16" s="463"/>
      <c r="V16" s="463"/>
      <c r="W16" s="463"/>
      <c r="X16" s="463"/>
      <c r="Y16" s="463"/>
      <c r="Z16" s="463"/>
      <c r="AA16" s="463"/>
    </row>
    <row r="17" spans="1:27" x14ac:dyDescent="0.25">
      <c r="A17" s="139">
        <v>44181</v>
      </c>
      <c r="B17" s="130" t="s">
        <v>233</v>
      </c>
      <c r="D17" s="175" cm="1">
        <f t="array" ref="D17">SUMPRODUCT('CCU Demand'!$D19:$T19,TRANSPOSE('Mortality Rates'!$C$8:$C$24))</f>
        <v>402.52478521428714</v>
      </c>
      <c r="E17" s="175" cm="1">
        <f t="array" ref="E17">SUMPRODUCT('Ward Demand'!$D18:$T18,TRANSPOSE('Mortality Rates'!$F$8:$F$24))</f>
        <v>2287.0841920708635</v>
      </c>
      <c r="F17" s="175">
        <f t="shared" ref="F17:F36" si="2">D17+E17</f>
        <v>2689.6089772851506</v>
      </c>
      <c r="K17" s="463"/>
      <c r="L17" s="463"/>
      <c r="M17" s="463"/>
      <c r="N17" s="463"/>
      <c r="O17" s="463"/>
      <c r="P17" s="463"/>
      <c r="Q17" s="463"/>
      <c r="R17" s="463"/>
      <c r="S17" s="463"/>
      <c r="T17" s="463"/>
      <c r="U17" s="463"/>
      <c r="V17" s="463"/>
      <c r="W17" s="463"/>
      <c r="X17" s="463"/>
      <c r="Y17" s="463"/>
      <c r="Z17" s="463"/>
      <c r="AA17" s="463"/>
    </row>
    <row r="18" spans="1:27" ht="18.75" x14ac:dyDescent="0.3">
      <c r="A18" s="139">
        <v>44188</v>
      </c>
      <c r="B18" s="130" t="s">
        <v>233</v>
      </c>
      <c r="D18" s="175" cm="1">
        <f t="array" ref="D18">SUMPRODUCT('CCU Demand'!$D20:$T20,TRANSPOSE('Mortality Rates'!$C$8:$C$24))</f>
        <v>477.39147999102568</v>
      </c>
      <c r="E18" s="175" cm="1">
        <f t="array" ref="E18">SUMPRODUCT('Ward Demand'!$D19:$T19,TRANSPOSE('Mortality Rates'!$F$8:$F$24))</f>
        <v>2712.4652876605905</v>
      </c>
      <c r="F18" s="175">
        <f t="shared" si="2"/>
        <v>3189.8567676516163</v>
      </c>
      <c r="J18" s="252" t="s">
        <v>66</v>
      </c>
      <c r="K18" s="255"/>
      <c r="L18" s="255"/>
      <c r="M18" s="255"/>
      <c r="N18" s="255"/>
      <c r="O18" s="255"/>
      <c r="P18" s="255"/>
      <c r="Q18" s="255"/>
      <c r="R18" s="255"/>
      <c r="S18" s="255"/>
      <c r="T18" s="255"/>
      <c r="U18" s="255"/>
      <c r="V18" s="255"/>
      <c r="W18" s="255"/>
      <c r="X18" s="255"/>
      <c r="Y18" s="255"/>
      <c r="Z18" s="255"/>
      <c r="AA18" s="255"/>
    </row>
    <row r="19" spans="1:27" x14ac:dyDescent="0.25">
      <c r="A19" s="139">
        <v>44195</v>
      </c>
      <c r="B19" s="130" t="s">
        <v>233</v>
      </c>
      <c r="D19" s="175" cm="1">
        <f t="array" ref="D19">SUMPRODUCT('CCU Demand'!$D21:$T21,TRANSPOSE('Mortality Rates'!$C$8:$C$24))</f>
        <v>599.24369365208838</v>
      </c>
      <c r="E19" s="175" cm="1">
        <f t="array" ref="E19">SUMPRODUCT('Ward Demand'!$D20:$T20,TRANSPOSE('Mortality Rates'!$F$8:$F$24))</f>
        <v>3404.8109067873665</v>
      </c>
      <c r="F19" s="175">
        <f>D19+E19</f>
        <v>4004.054600439455</v>
      </c>
      <c r="J19" t="s">
        <v>448</v>
      </c>
      <c r="K19" s="463"/>
      <c r="L19" s="463"/>
      <c r="M19" s="463"/>
      <c r="N19" s="463"/>
      <c r="O19" s="463"/>
      <c r="P19" s="463"/>
      <c r="Q19" s="463"/>
      <c r="R19" s="463"/>
      <c r="S19" s="463"/>
      <c r="T19" s="463"/>
      <c r="U19" s="463"/>
      <c r="V19" s="463"/>
      <c r="W19" s="463"/>
      <c r="X19" s="463"/>
      <c r="Y19" s="463"/>
      <c r="Z19" s="463"/>
      <c r="AA19" s="463"/>
    </row>
    <row r="20" spans="1:27" x14ac:dyDescent="0.25">
      <c r="A20" s="139">
        <v>44202</v>
      </c>
      <c r="B20" s="130" t="s">
        <v>233</v>
      </c>
      <c r="D20" s="175" cm="1">
        <f t="array" ref="D20">SUMPRODUCT('CCU Demand'!$D22:$T22,TRANSPOSE('Mortality Rates'!$C$8:$C$24))</f>
        <v>800.70767429404918</v>
      </c>
      <c r="E20" s="175" cm="1">
        <f t="array" ref="E20">SUMPRODUCT('Ward Demand'!$D21:$T21,TRANSPOSE('Mortality Rates'!$F$8:$F$24))</f>
        <v>4549.4983951680069</v>
      </c>
      <c r="F20" s="175">
        <f t="shared" si="2"/>
        <v>5350.2060694620559</v>
      </c>
      <c r="K20" s="463"/>
      <c r="L20" s="463"/>
      <c r="M20" s="463"/>
      <c r="N20" s="463"/>
      <c r="O20" s="463"/>
      <c r="P20" s="463"/>
      <c r="Q20" s="463"/>
      <c r="R20" s="463"/>
      <c r="S20" s="463"/>
      <c r="T20" s="463"/>
      <c r="U20" s="463"/>
      <c r="V20" s="463"/>
      <c r="W20" s="463"/>
      <c r="X20" s="463"/>
      <c r="Y20" s="463"/>
      <c r="Z20" s="463"/>
      <c r="AA20" s="463"/>
    </row>
    <row r="21" spans="1:27" x14ac:dyDescent="0.25">
      <c r="A21" s="139">
        <v>44209</v>
      </c>
      <c r="B21" s="130" t="s">
        <v>233</v>
      </c>
      <c r="D21" s="175" cm="1">
        <f t="array" ref="D21">SUMPRODUCT('CCU Demand'!$D23:$T23,TRANSPOSE('Mortality Rates'!$C$8:$C$24))</f>
        <v>913.25582480970138</v>
      </c>
      <c r="E21" s="175" cm="1">
        <f t="array" ref="E21">SUMPRODUCT('Ward Demand'!$D22:$T22,TRANSPOSE('Mortality Rates'!$F$8:$F$24))</f>
        <v>5188.9797522082372</v>
      </c>
      <c r="F21" s="175">
        <f t="shared" si="2"/>
        <v>6102.2355770179383</v>
      </c>
      <c r="K21" s="463"/>
      <c r="L21" s="463"/>
      <c r="M21" s="463"/>
      <c r="N21" s="463"/>
      <c r="O21" s="463"/>
      <c r="P21" s="463"/>
      <c r="Q21" s="463"/>
      <c r="R21" s="463"/>
      <c r="S21" s="463"/>
      <c r="T21" s="463"/>
      <c r="U21" s="463"/>
      <c r="V21" s="463"/>
      <c r="W21" s="463"/>
      <c r="X21" s="463"/>
      <c r="Y21" s="463"/>
      <c r="Z21" s="463"/>
      <c r="AA21" s="463"/>
    </row>
    <row r="22" spans="1:27" x14ac:dyDescent="0.25">
      <c r="A22" s="139">
        <v>44216</v>
      </c>
      <c r="B22" s="130" t="s">
        <v>233</v>
      </c>
      <c r="D22" s="175" cm="1">
        <f t="array" ref="D22">SUMPRODUCT('CCU Demand'!$D24:$T24,TRANSPOSE('Mortality Rates'!$C$8:$C$24))</f>
        <v>860.12962424940588</v>
      </c>
      <c r="E22" s="175" cm="1">
        <f t="array" ref="E22">SUMPRODUCT('Ward Demand'!$D23:$T23,TRANSPOSE('Mortality Rates'!$F$8:$F$24))</f>
        <v>4887.1248156940692</v>
      </c>
      <c r="F22" s="175">
        <f t="shared" si="2"/>
        <v>5747.2544399434755</v>
      </c>
      <c r="K22" s="463"/>
      <c r="L22" s="463"/>
      <c r="M22" s="463"/>
      <c r="N22" s="463"/>
      <c r="O22" s="463"/>
      <c r="P22" s="463"/>
      <c r="Q22" s="463"/>
      <c r="R22" s="463"/>
      <c r="S22" s="463"/>
      <c r="T22" s="463"/>
      <c r="U22" s="463"/>
      <c r="V22" s="463"/>
      <c r="W22" s="463"/>
      <c r="X22" s="463"/>
      <c r="Y22" s="463"/>
      <c r="Z22" s="463"/>
      <c r="AA22" s="463"/>
    </row>
    <row r="23" spans="1:27" ht="18.75" x14ac:dyDescent="0.3">
      <c r="A23" s="139">
        <v>44223</v>
      </c>
      <c r="B23" s="130" t="s">
        <v>233</v>
      </c>
      <c r="D23" s="175" cm="1">
        <f t="array" ref="D23">SUMPRODUCT('CCU Demand'!$D25:$T25,TRANSPOSE('Mortality Rates'!$C$8:$C$24))</f>
        <v>693.61790749037152</v>
      </c>
      <c r="E23" s="175" cm="1">
        <f t="array" ref="E23">SUMPRODUCT('Ward Demand'!$D24:$T24,TRANSPOSE('Mortality Rates'!$F$8:$F$24))</f>
        <v>3941.0307385518809</v>
      </c>
      <c r="F23" s="175">
        <f t="shared" si="2"/>
        <v>4634.648646042252</v>
      </c>
      <c r="J23" s="252" t="s">
        <v>143</v>
      </c>
      <c r="K23" s="253"/>
      <c r="L23" s="253"/>
      <c r="M23" s="253"/>
      <c r="N23" s="253"/>
      <c r="O23" s="253"/>
      <c r="P23" s="253"/>
      <c r="Q23" s="253"/>
      <c r="R23" s="253"/>
      <c r="S23" s="253"/>
      <c r="T23" s="253"/>
      <c r="U23" s="253"/>
      <c r="V23" s="253"/>
      <c r="W23" s="253"/>
      <c r="X23" s="253"/>
      <c r="Y23" s="253"/>
      <c r="Z23" s="253"/>
      <c r="AA23" s="253"/>
    </row>
    <row r="24" spans="1:27" x14ac:dyDescent="0.25">
      <c r="A24" s="139">
        <v>44230</v>
      </c>
      <c r="B24" s="130" t="s">
        <v>233</v>
      </c>
      <c r="D24" s="175" cm="1">
        <f t="array" ref="D24">SUMPRODUCT('CCU Demand'!$D26:$T26,TRANSPOSE('Mortality Rates'!$C$8:$C$24))</f>
        <v>558.55392416282541</v>
      </c>
      <c r="E24" s="175" cm="1">
        <f t="array" ref="E24">SUMPRODUCT('Ward Demand'!$D25:$T25,TRANSPOSE('Mortality Rates'!$F$8:$F$24))</f>
        <v>3173.6178672622123</v>
      </c>
      <c r="F24" s="175">
        <f t="shared" si="2"/>
        <v>3732.1717914250376</v>
      </c>
    </row>
    <row r="25" spans="1:27" x14ac:dyDescent="0.25">
      <c r="A25" s="139">
        <v>44237</v>
      </c>
      <c r="B25" s="130" t="s">
        <v>233</v>
      </c>
      <c r="D25" s="175" cm="1">
        <f t="array" ref="D25">SUMPRODUCT('CCU Demand'!$D27:$T27,TRANSPOSE('Mortality Rates'!$C$8:$C$24))</f>
        <v>446.84313933026039</v>
      </c>
      <c r="E25" s="175" cm="1">
        <f t="array" ref="E25">SUMPRODUCT('Ward Demand'!$D26:$T26,TRANSPOSE('Mortality Rates'!$F$8:$F$24))</f>
        <v>2538.8942938097698</v>
      </c>
      <c r="F25" s="175">
        <f t="shared" si="2"/>
        <v>2985.7374331400301</v>
      </c>
    </row>
    <row r="26" spans="1:27" x14ac:dyDescent="0.25">
      <c r="A26" s="139">
        <v>44244</v>
      </c>
      <c r="B26" s="130" t="s">
        <v>233</v>
      </c>
      <c r="D26" s="175" cm="1">
        <f t="array" ref="D26">SUMPRODUCT('CCU Demand'!$D28:$T28,TRANSPOSE('Mortality Rates'!$C$8:$C$24))</f>
        <v>357.47451146420838</v>
      </c>
      <c r="E26" s="175" cm="1">
        <f t="array" ref="E26">SUMPRODUCT('Ward Demand'!$D27:$T27,TRANSPOSE('Mortality Rates'!$F$8:$F$24))</f>
        <v>2031.1154350478162</v>
      </c>
      <c r="F26" s="175">
        <f t="shared" si="2"/>
        <v>2388.5899465120247</v>
      </c>
    </row>
    <row r="27" spans="1:27" x14ac:dyDescent="0.25">
      <c r="A27" s="139">
        <v>44251</v>
      </c>
      <c r="B27" s="130" t="s">
        <v>233</v>
      </c>
      <c r="D27" s="175" cm="1">
        <f t="array" ref="D27">SUMPRODUCT('CCU Demand'!$D29:$T29,TRANSPOSE('Mortality Rates'!$C$8:$C$24))</f>
        <v>285.97960917136663</v>
      </c>
      <c r="E27" s="175" cm="1">
        <f t="array" ref="E27">SUMPRODUCT('Ward Demand'!$D28:$T28,TRANSPOSE('Mortality Rates'!$F$8:$F$24))</f>
        <v>1624.8923480382527</v>
      </c>
      <c r="F27" s="175">
        <f t="shared" si="2"/>
        <v>1910.8719572096193</v>
      </c>
      <c r="R27" s="184"/>
      <c r="S27" s="184"/>
      <c r="T27" s="184"/>
    </row>
    <row r="28" spans="1:27" x14ac:dyDescent="0.25">
      <c r="A28" s="139">
        <v>44258</v>
      </c>
      <c r="B28" s="130" t="s">
        <v>233</v>
      </c>
      <c r="D28" s="175" cm="1">
        <f t="array" ref="D28">SUMPRODUCT('CCU Demand'!$D30:$T30,TRANSPOSE('Mortality Rates'!$C$8:$C$24))</f>
        <v>228.78368733709334</v>
      </c>
      <c r="E28" s="175" cm="1">
        <f t="array" ref="E28">SUMPRODUCT('Ward Demand'!$D29:$T29,TRANSPOSE('Mortality Rates'!$F$8:$F$24))</f>
        <v>1299.9138784306022</v>
      </c>
      <c r="F28" s="175">
        <f t="shared" si="2"/>
        <v>1528.6975657676956</v>
      </c>
      <c r="R28" s="184"/>
      <c r="S28" s="184"/>
      <c r="T28" s="184"/>
    </row>
    <row r="29" spans="1:27" x14ac:dyDescent="0.25">
      <c r="A29" s="139">
        <v>44265</v>
      </c>
      <c r="B29" s="130" t="s">
        <v>233</v>
      </c>
      <c r="D29" s="175" cm="1">
        <f t="array" ref="D29">SUMPRODUCT('CCU Demand'!$D31:$T31,TRANSPOSE('Mortality Rates'!$C$8:$C$24))</f>
        <v>160.14858113596529</v>
      </c>
      <c r="E29" s="175" cm="1">
        <f t="array" ref="E29">SUMPRODUCT('Ward Demand'!$D30:$T30,TRANSPOSE('Mortality Rates'!$F$8:$F$24))</f>
        <v>909.93971490142155</v>
      </c>
      <c r="F29" s="175">
        <f t="shared" si="2"/>
        <v>1070.088296037387</v>
      </c>
      <c r="R29" s="184"/>
      <c r="S29" s="184"/>
      <c r="T29" s="184"/>
    </row>
    <row r="30" spans="1:27" x14ac:dyDescent="0.25">
      <c r="A30" s="139">
        <v>44272</v>
      </c>
      <c r="B30" s="130" t="s">
        <v>233</v>
      </c>
      <c r="D30" s="175" cm="1">
        <f t="array" ref="D30">SUMPRODUCT('CCU Demand'!$D32:$T32,TRANSPOSE('Mortality Rates'!$C$8:$C$24))</f>
        <v>112.10400679517571</v>
      </c>
      <c r="E30" s="175" cm="1">
        <f t="array" ref="E30">SUMPRODUCT('Ward Demand'!$D31:$T31,TRANSPOSE('Mortality Rates'!$F$8:$F$24))</f>
        <v>636.95780043099501</v>
      </c>
      <c r="F30" s="175">
        <f t="shared" si="2"/>
        <v>749.06180722617069</v>
      </c>
      <c r="R30" s="184"/>
      <c r="S30" s="184"/>
      <c r="T30" s="184"/>
    </row>
    <row r="31" spans="1:27" x14ac:dyDescent="0.25">
      <c r="A31" s="139">
        <v>44279</v>
      </c>
      <c r="B31" s="130" t="s">
        <v>233</v>
      </c>
      <c r="D31" s="175" cm="1">
        <f t="array" ref="D31">SUMPRODUCT('CCU Demand'!$D33:$T33,TRANSPOSE('Mortality Rates'!$C$8:$C$24))</f>
        <v>78.472804756622992</v>
      </c>
      <c r="E31" s="175" cm="1">
        <f t="array" ref="E31">SUMPRODUCT('Ward Demand'!$D32:$T32,TRANSPOSE('Mortality Rates'!$F$8:$F$24))</f>
        <v>445.87046030169648</v>
      </c>
      <c r="F31" s="175">
        <f t="shared" si="2"/>
        <v>524.3432650583195</v>
      </c>
      <c r="R31" s="184"/>
      <c r="S31" s="184"/>
      <c r="T31" s="184"/>
    </row>
    <row r="32" spans="1:27" x14ac:dyDescent="0.25">
      <c r="A32" s="139">
        <v>44286</v>
      </c>
      <c r="B32" s="130" t="s">
        <v>233</v>
      </c>
      <c r="D32" s="175" cm="1">
        <f t="array" ref="D32">SUMPRODUCT('CCU Demand'!$D34:$T34,TRANSPOSE('Mortality Rates'!$C$8:$C$24))</f>
        <v>54.9309633296361</v>
      </c>
      <c r="E32" s="175" cm="1">
        <f t="array" ref="E32">SUMPRODUCT('Ward Demand'!$D33:$T33,TRANSPOSE('Mortality Rates'!$F$8:$F$24))</f>
        <v>312.10932221118753</v>
      </c>
      <c r="F32" s="175">
        <f t="shared" si="2"/>
        <v>367.04028554082362</v>
      </c>
      <c r="R32" s="184"/>
      <c r="S32" s="184"/>
      <c r="T32" s="184"/>
    </row>
    <row r="33" spans="1:20" x14ac:dyDescent="0.25">
      <c r="A33" s="139">
        <v>44293</v>
      </c>
      <c r="B33" s="130" t="s">
        <v>233</v>
      </c>
      <c r="D33" s="175" cm="1">
        <f t="array" ref="D33">SUMPRODUCT('CCU Demand'!$D35:$T35,TRANSPOSE('Mortality Rates'!$C$8:$C$24))</f>
        <v>38.451674330745256</v>
      </c>
      <c r="E33" s="175" cm="1">
        <f t="array" ref="E33">SUMPRODUCT('Ward Demand'!$D34:$T34,TRANSPOSE('Mortality Rates'!$F$8:$F$24))</f>
        <v>218.47652554783127</v>
      </c>
      <c r="F33" s="175">
        <f t="shared" si="2"/>
        <v>256.92819987857655</v>
      </c>
      <c r="R33" s="184"/>
      <c r="S33" s="184"/>
      <c r="T33" s="184"/>
    </row>
    <row r="34" spans="1:20" x14ac:dyDescent="0.25">
      <c r="A34" s="139">
        <v>44300</v>
      </c>
      <c r="B34" s="130" t="s">
        <v>233</v>
      </c>
      <c r="D34" s="175" cm="1">
        <f t="array" ref="D34">SUMPRODUCT('CCU Demand'!$D36:$T36,TRANSPOSE('Mortality Rates'!$C$8:$C$24))</f>
        <v>26.916172031521683</v>
      </c>
      <c r="E34" s="175" cm="1">
        <f t="array" ref="E34">SUMPRODUCT('Ward Demand'!$D35:$T35,TRANSPOSE('Mortality Rates'!$F$8:$F$24))</f>
        <v>152.93356788348189</v>
      </c>
      <c r="F34" s="175">
        <f t="shared" si="2"/>
        <v>179.84973991500357</v>
      </c>
      <c r="R34" s="184"/>
      <c r="S34" s="184"/>
      <c r="T34" s="184"/>
    </row>
    <row r="35" spans="1:20" x14ac:dyDescent="0.25">
      <c r="A35" s="139">
        <v>44307</v>
      </c>
      <c r="B35" s="130" t="s">
        <v>233</v>
      </c>
      <c r="D35" s="175" cm="1">
        <f t="array" ref="D35">SUMPRODUCT('CCU Demand'!$D37:$T37,TRANSPOSE('Mortality Rates'!$C$8:$C$24))</f>
        <v>18.841320422065181</v>
      </c>
      <c r="E35" s="175" cm="1">
        <f t="array" ref="E35">SUMPRODUCT('Ward Demand'!$D36:$T36,TRANSPOSE('Mortality Rates'!$F$8:$F$24))</f>
        <v>107.0534975184373</v>
      </c>
      <c r="F35" s="175">
        <f t="shared" si="2"/>
        <v>125.89481794050248</v>
      </c>
      <c r="R35" s="184"/>
      <c r="S35" s="184"/>
      <c r="T35" s="184"/>
    </row>
    <row r="36" spans="1:20" x14ac:dyDescent="0.25">
      <c r="A36" s="139">
        <v>44314</v>
      </c>
      <c r="B36" s="130" t="s">
        <v>233</v>
      </c>
      <c r="D36" s="175" cm="1">
        <f t="array" ref="D36">SUMPRODUCT('CCU Demand'!$D38:$T38,TRANSPOSE('Mortality Rates'!$C$8:$C$24))</f>
        <v>13.188924295445624</v>
      </c>
      <c r="E36" s="175" cm="1">
        <f t="array" ref="E36">SUMPRODUCT('Ward Demand'!$D37:$T37,TRANSPOSE('Mortality Rates'!$F$8:$F$24))</f>
        <v>74.937448262906116</v>
      </c>
      <c r="F36" s="175">
        <f t="shared" si="2"/>
        <v>88.126372558351733</v>
      </c>
      <c r="R36" s="184"/>
      <c r="S36" s="184"/>
      <c r="T36" s="184"/>
    </row>
    <row r="37" spans="1:20" x14ac:dyDescent="0.25">
      <c r="A37" s="472"/>
      <c r="B37" s="472"/>
      <c r="D37" s="22"/>
      <c r="E37" s="22"/>
      <c r="F37" s="176"/>
      <c r="R37" s="184"/>
      <c r="S37" s="184"/>
      <c r="T37" s="184"/>
    </row>
    <row r="38" spans="1:20" x14ac:dyDescent="0.25">
      <c r="A38" s="472"/>
      <c r="B38" s="472"/>
      <c r="C38" s="12"/>
      <c r="D38" s="177">
        <f>SUM(D6:D36)</f>
        <v>9477.7603082638616</v>
      </c>
      <c r="E38" s="177">
        <f>SUM(E6:E36)</f>
        <v>53815.506247787627</v>
      </c>
      <c r="F38" s="177">
        <f>SUM(F6:F36)</f>
        <v>63293.266556051487</v>
      </c>
      <c r="R38" s="184"/>
      <c r="S38" s="184"/>
      <c r="T38" s="184"/>
    </row>
    <row r="39" spans="1:20" x14ac:dyDescent="0.25">
      <c r="A39" s="463"/>
      <c r="B39" s="463"/>
      <c r="D39" s="463"/>
      <c r="E39" s="463"/>
      <c r="R39" s="184"/>
      <c r="S39" s="184"/>
      <c r="T39" s="184"/>
    </row>
    <row r="40" spans="1:20" x14ac:dyDescent="0.25">
      <c r="A40" s="463"/>
      <c r="B40" s="463"/>
      <c r="D40" s="463"/>
      <c r="E40" s="463"/>
      <c r="F40" s="10"/>
    </row>
    <row r="42" spans="1:20" x14ac:dyDescent="0.25">
      <c r="A42" s="141"/>
      <c r="B42" s="463"/>
      <c r="D42" s="463"/>
      <c r="E42" s="463"/>
    </row>
    <row r="47" spans="1:20" x14ac:dyDescent="0.25">
      <c r="A47" s="141"/>
      <c r="B47" s="463"/>
      <c r="D47" s="463"/>
      <c r="E47" s="463"/>
    </row>
    <row r="48" spans="1:20" x14ac:dyDescent="0.25">
      <c r="A48" s="141"/>
      <c r="B48" s="463"/>
      <c r="D48" s="463"/>
      <c r="E48" s="463"/>
    </row>
    <row r="49" spans="1:1" x14ac:dyDescent="0.25">
      <c r="A49" s="141"/>
    </row>
    <row r="50" spans="1:1" x14ac:dyDescent="0.25">
      <c r="A50" s="141"/>
    </row>
    <row r="51" spans="1:1" x14ac:dyDescent="0.25">
      <c r="A51" s="141"/>
    </row>
    <row r="52" spans="1:1" x14ac:dyDescent="0.25">
      <c r="A52" s="141"/>
    </row>
    <row r="53" spans="1:1" x14ac:dyDescent="0.25">
      <c r="A53" s="141"/>
    </row>
  </sheetData>
  <pageMargins left="0.7" right="0.7" top="0.75" bottom="0.75" header="0.3" footer="0.3"/>
  <pageSetup paperSize="9" orientation="portrait" r:id="rId1"/>
  <headerFooter>
    <oddHeader>&amp;L&amp;"Calibri"&amp;12&amp;K008000Classification: Public&amp;1#</oddHead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7D956-2841-4937-AB08-9A6BB05625E4}">
  <sheetPr codeName="Sheet14"/>
  <dimension ref="A1:XEX64"/>
  <sheetViews>
    <sheetView showGridLines="0" zoomScale="90" zoomScaleNormal="90" workbookViewId="0"/>
  </sheetViews>
  <sheetFormatPr defaultRowHeight="15" x14ac:dyDescent="0.25"/>
  <cols>
    <col min="1" max="1" width="17.28515625" bestFit="1" customWidth="1"/>
    <col min="3" max="3" width="6.5703125" customWidth="1"/>
    <col min="4" max="4" width="8.42578125" customWidth="1"/>
    <col min="5" max="5" width="9.5703125" bestFit="1" customWidth="1"/>
    <col min="6" max="6" width="9.5703125" customWidth="1"/>
    <col min="8" max="8" width="14" bestFit="1" customWidth="1"/>
    <col min="9" max="9" width="10.42578125" bestFit="1" customWidth="1"/>
    <col min="10" max="10" width="5.5703125" customWidth="1"/>
    <col min="11" max="11" width="25.42578125" customWidth="1"/>
    <col min="12" max="12" width="25.85546875" style="178" customWidth="1"/>
    <col min="13" max="13" width="27.42578125" style="178" customWidth="1"/>
    <col min="14" max="14" width="6.5703125" customWidth="1"/>
    <col min="15" max="15" width="16.28515625" customWidth="1"/>
    <col min="16" max="16" width="13.7109375" customWidth="1"/>
    <col min="17" max="17" width="8.85546875" customWidth="1"/>
    <col min="18" max="18" width="12.28515625" customWidth="1"/>
    <col min="19" max="20" width="10.5703125" customWidth="1"/>
  </cols>
  <sheetData>
    <row r="1" spans="1:20" ht="26.25" x14ac:dyDescent="0.4">
      <c r="A1" s="253"/>
      <c r="B1" s="448" t="s">
        <v>449</v>
      </c>
      <c r="C1" s="253"/>
      <c r="D1" s="253"/>
      <c r="E1" s="253"/>
      <c r="F1" s="253"/>
      <c r="G1" s="253"/>
      <c r="H1" s="253"/>
      <c r="I1" s="253"/>
      <c r="J1" s="253"/>
      <c r="K1" s="253"/>
      <c r="L1" s="409"/>
      <c r="M1" s="409"/>
      <c r="N1" s="253"/>
      <c r="O1" s="253"/>
      <c r="P1" s="253"/>
      <c r="Q1" s="253"/>
      <c r="R1" s="253"/>
      <c r="S1" s="253"/>
      <c r="T1" s="253"/>
    </row>
    <row r="2" spans="1:20" ht="18.75" x14ac:dyDescent="0.3">
      <c r="A2" s="410" t="s">
        <v>450</v>
      </c>
    </row>
    <row r="3" spans="1:20" ht="18.75" x14ac:dyDescent="0.3">
      <c r="A3" s="410" t="s">
        <v>451</v>
      </c>
    </row>
    <row r="4" spans="1:20" ht="18.75" x14ac:dyDescent="0.3">
      <c r="A4" s="410" t="s">
        <v>452</v>
      </c>
      <c r="O4" s="410"/>
    </row>
    <row r="5" spans="1:20" ht="18.75" x14ac:dyDescent="0.3">
      <c r="A5" s="410" t="s">
        <v>453</v>
      </c>
      <c r="O5" s="410"/>
    </row>
    <row r="6" spans="1:20" ht="18.75" x14ac:dyDescent="0.3">
      <c r="A6" s="410" t="s">
        <v>454</v>
      </c>
    </row>
    <row r="7" spans="1:20" x14ac:dyDescent="0.25">
      <c r="S7" s="612" t="s">
        <v>455</v>
      </c>
      <c r="T7" s="613"/>
    </row>
    <row r="8" spans="1:20" x14ac:dyDescent="0.25">
      <c r="D8" s="16" t="s">
        <v>456</v>
      </c>
      <c r="E8" s="292" t="s">
        <v>128</v>
      </c>
      <c r="F8" s="292" t="s">
        <v>128</v>
      </c>
      <c r="G8" s="292" t="s">
        <v>128</v>
      </c>
      <c r="H8" s="292" t="s">
        <v>123</v>
      </c>
      <c r="I8" s="292" t="s">
        <v>123</v>
      </c>
      <c r="K8" s="610" t="s">
        <v>457</v>
      </c>
      <c r="L8" s="608" t="s">
        <v>458</v>
      </c>
      <c r="M8" s="606" t="s">
        <v>459</v>
      </c>
      <c r="S8" s="292" t="s">
        <v>460</v>
      </c>
      <c r="T8" s="292" t="s">
        <v>461</v>
      </c>
    </row>
    <row r="9" spans="1:20" x14ac:dyDescent="0.25">
      <c r="A9" s="130" t="s">
        <v>231</v>
      </c>
      <c r="B9" s="130" t="s">
        <v>232</v>
      </c>
      <c r="D9" s="16" t="s">
        <v>462</v>
      </c>
      <c r="E9" s="292" t="s">
        <v>128</v>
      </c>
      <c r="F9" s="292" t="s">
        <v>123</v>
      </c>
      <c r="G9" s="292" t="s">
        <v>127</v>
      </c>
      <c r="H9" s="292" t="s">
        <v>123</v>
      </c>
      <c r="I9" s="292" t="s">
        <v>127</v>
      </c>
      <c r="K9" s="611"/>
      <c r="L9" s="609"/>
      <c r="M9" s="607"/>
      <c r="S9" s="463"/>
      <c r="T9" s="463"/>
    </row>
    <row r="10" spans="1:20" x14ac:dyDescent="0.25">
      <c r="A10" s="135">
        <v>44104</v>
      </c>
      <c r="B10" s="130" t="s">
        <v>233</v>
      </c>
      <c r="E10" s="407">
        <f>'Deaths - In capacity'!D6</f>
        <v>44.699999999999996</v>
      </c>
      <c r="F10" s="407">
        <v>0</v>
      </c>
      <c r="G10" s="407">
        <v>0</v>
      </c>
      <c r="H10" s="407">
        <f>'Deaths - In capacity'!E6</f>
        <v>253.3</v>
      </c>
      <c r="I10" s="407" cm="1">
        <f t="array" ref="I10">SUMPRODUCT('Ward Demand'!$D77:$T77,TRANSPOSE('Mortality Rates'!$G$8:$G$24))</f>
        <v>0</v>
      </c>
      <c r="K10" s="408">
        <f>SUM('Deaths - In capacity'!F6)</f>
        <v>298</v>
      </c>
      <c r="L10" s="408">
        <f>SUM('Deaths - In capacity'!F6)</f>
        <v>298</v>
      </c>
      <c r="M10" s="408">
        <f t="shared" ref="M10:M40" si="0">K10-L10</f>
        <v>0</v>
      </c>
      <c r="R10" s="233">
        <f>A10</f>
        <v>44104</v>
      </c>
      <c r="S10" s="232">
        <f>SUM(E10:G10)-'Deaths - In capacity'!D6</f>
        <v>0</v>
      </c>
      <c r="T10" s="232">
        <f>SUM(H10:I10)-'Deaths - In capacity'!E6</f>
        <v>0</v>
      </c>
    </row>
    <row r="11" spans="1:20" x14ac:dyDescent="0.25">
      <c r="A11" s="135">
        <v>44111</v>
      </c>
      <c r="B11" s="130" t="s">
        <v>233</v>
      </c>
      <c r="E11" s="407">
        <f>'Deaths - In capacity'!D7</f>
        <v>66.599999999999994</v>
      </c>
      <c r="F11" s="407">
        <v>0</v>
      </c>
      <c r="G11" s="407" cm="1">
        <f t="array" ref="G11">SUMPRODUCT('CCU Demand'!$D114:$T114,TRANSPOSE('Mortality Rates'!$E$8:$E$24))</f>
        <v>0</v>
      </c>
      <c r="H11" s="407">
        <f>'Deaths - In capacity'!E7</f>
        <v>377.4</v>
      </c>
      <c r="I11" s="407" cm="1">
        <f t="array" ref="I11">SUMPRODUCT('Ward Demand'!$D78:$T78,TRANSPOSE('Mortality Rates'!$G$8:$G$24))</f>
        <v>0</v>
      </c>
      <c r="K11" s="408">
        <f>SUM('Deaths - In capacity'!F7)</f>
        <v>444</v>
      </c>
      <c r="L11" s="408">
        <f>SUM('Deaths - In capacity'!F7)</f>
        <v>444</v>
      </c>
      <c r="M11" s="408">
        <f t="shared" si="0"/>
        <v>0</v>
      </c>
      <c r="R11" s="233">
        <f t="shared" ref="R11:R40" si="1">A11</f>
        <v>44111</v>
      </c>
      <c r="S11" s="232">
        <f>SUM(E11:G11)-'Deaths - In capacity'!D7</f>
        <v>0</v>
      </c>
      <c r="T11" s="232">
        <f>SUM(H11:I11)-'Deaths - In capacity'!E7</f>
        <v>0</v>
      </c>
    </row>
    <row r="12" spans="1:20" ht="15.75" thickBot="1" x14ac:dyDescent="0.3">
      <c r="A12" s="135">
        <v>44118</v>
      </c>
      <c r="B12" s="130" t="s">
        <v>233</v>
      </c>
      <c r="E12" s="407">
        <f>'Deaths - In capacity'!D8</f>
        <v>109.64999999999999</v>
      </c>
      <c r="F12" s="407">
        <v>0</v>
      </c>
      <c r="G12" s="407">
        <v>0</v>
      </c>
      <c r="H12" s="407">
        <f>'Deaths - In capacity'!E8</f>
        <v>621.35</v>
      </c>
      <c r="I12" s="407" cm="1">
        <f t="array" ref="I12">SUMPRODUCT('Ward Demand'!$D79:$T79,TRANSPOSE('Mortality Rates'!$G$8:$G$24))</f>
        <v>0</v>
      </c>
      <c r="K12" s="408">
        <f>SUM('Deaths - In capacity'!F8)</f>
        <v>731</v>
      </c>
      <c r="L12" s="408">
        <f>SUM('Deaths - In capacity'!F8)</f>
        <v>731</v>
      </c>
      <c r="M12" s="408">
        <f t="shared" si="0"/>
        <v>0</v>
      </c>
      <c r="O12" s="190"/>
      <c r="P12" s="191"/>
      <c r="R12" s="233">
        <f t="shared" si="1"/>
        <v>44118</v>
      </c>
      <c r="S12" s="232">
        <f>SUM(E12:G12)-'Deaths - In capacity'!D8</f>
        <v>0</v>
      </c>
      <c r="T12" s="232">
        <f>SUM(H12:I12)-'Deaths - In capacity'!E8</f>
        <v>0</v>
      </c>
    </row>
    <row r="13" spans="1:20" x14ac:dyDescent="0.25">
      <c r="A13" s="135">
        <v>44125</v>
      </c>
      <c r="B13" s="130" t="s">
        <v>233</v>
      </c>
      <c r="E13" s="407">
        <f>'Deaths - In capacity'!D9</f>
        <v>161.1</v>
      </c>
      <c r="F13" s="407">
        <v>0</v>
      </c>
      <c r="G13" s="407" cm="1">
        <f t="array" ref="G13">SUMPRODUCT('CCU Demand'!$D116:$T116,TRANSPOSE('Mortality Rates'!$E$8:$E$24))</f>
        <v>0</v>
      </c>
      <c r="H13" s="407">
        <f>'Deaths - In capacity'!E9</f>
        <v>912.9</v>
      </c>
      <c r="I13" s="407" cm="1">
        <f t="array" ref="I13">SUMPRODUCT('Ward Demand'!$D80:$T80,TRANSPOSE('Mortality Rates'!$G$8:$G$24))</f>
        <v>0</v>
      </c>
      <c r="K13" s="408">
        <f>SUM('Deaths - In capacity'!F9)</f>
        <v>1074</v>
      </c>
      <c r="L13" s="408">
        <f>SUM('Deaths - In capacity'!F9)</f>
        <v>1074</v>
      </c>
      <c r="M13" s="408">
        <f t="shared" si="0"/>
        <v>0</v>
      </c>
      <c r="O13" s="192" t="s">
        <v>463</v>
      </c>
      <c r="P13" s="234">
        <f>K42</f>
        <v>63293.266556051487</v>
      </c>
      <c r="R13" s="233">
        <f t="shared" si="1"/>
        <v>44125</v>
      </c>
      <c r="S13" s="232">
        <f>SUM(E13:G13)-'Deaths - In capacity'!D9</f>
        <v>0</v>
      </c>
      <c r="T13" s="232">
        <f>SUM(H13:I13)-'Deaths - In capacity'!E9</f>
        <v>0</v>
      </c>
    </row>
    <row r="14" spans="1:20" x14ac:dyDescent="0.25">
      <c r="A14" s="135">
        <v>44132</v>
      </c>
      <c r="B14" s="130" t="s">
        <v>233</v>
      </c>
      <c r="E14" s="407">
        <f>'Deaths - In capacity'!D10</f>
        <v>218.54999999999998</v>
      </c>
      <c r="F14" s="407">
        <v>0</v>
      </c>
      <c r="G14" s="407">
        <v>0</v>
      </c>
      <c r="H14" s="407">
        <f>'Deaths - In capacity'!E10</f>
        <v>1238.45</v>
      </c>
      <c r="I14" s="407" cm="1">
        <f t="array" ref="I14">SUMPRODUCT('Ward Demand'!$D81:$T81,TRANSPOSE('Mortality Rates'!$G$8:$G$24))</f>
        <v>0</v>
      </c>
      <c r="K14" s="408">
        <f>SUM('Deaths - In capacity'!F10)</f>
        <v>1457</v>
      </c>
      <c r="L14" s="408">
        <f>SUM('Deaths - In capacity'!F10)</f>
        <v>1457</v>
      </c>
      <c r="M14" s="408">
        <f t="shared" si="0"/>
        <v>0</v>
      </c>
      <c r="O14" s="193" t="s">
        <v>464</v>
      </c>
      <c r="P14" s="235">
        <f>L42</f>
        <v>63293.266556051487</v>
      </c>
      <c r="R14" s="233">
        <f t="shared" si="1"/>
        <v>44132</v>
      </c>
      <c r="S14" s="232">
        <f>SUM(E14:G14)-'Deaths - In capacity'!D10</f>
        <v>0</v>
      </c>
      <c r="T14" s="232">
        <f>SUM(H14:I14)-'Deaths - In capacity'!E10</f>
        <v>0</v>
      </c>
    </row>
    <row r="15" spans="1:20" ht="15.75" thickBot="1" x14ac:dyDescent="0.3">
      <c r="A15" s="135">
        <v>44139</v>
      </c>
      <c r="B15" s="130" t="s">
        <v>233</v>
      </c>
      <c r="E15" s="407">
        <f>'Deaths - In capacity'!D11</f>
        <v>267.59999999999997</v>
      </c>
      <c r="F15" s="407">
        <v>0</v>
      </c>
      <c r="G15" s="407" cm="1">
        <f t="array" ref="G15">SUMPRODUCT('CCU Demand'!$D118:$T118,TRANSPOSE('Mortality Rates'!$E$8:$E$24))</f>
        <v>0</v>
      </c>
      <c r="H15" s="407">
        <f>'Deaths - In capacity'!E11</f>
        <v>1516.4</v>
      </c>
      <c r="I15" s="407" cm="1">
        <f t="array" ref="I15">SUMPRODUCT('Ward Demand'!$D82:$T82,TRANSPOSE('Mortality Rates'!$G$8:$G$24))</f>
        <v>0</v>
      </c>
      <c r="K15" s="408">
        <f>SUM('Deaths - In capacity'!F11)</f>
        <v>1784</v>
      </c>
      <c r="L15" s="408">
        <f>SUM('Deaths - In capacity'!F11)</f>
        <v>1784</v>
      </c>
      <c r="M15" s="408">
        <f t="shared" si="0"/>
        <v>0</v>
      </c>
      <c r="O15" s="194" t="s">
        <v>465</v>
      </c>
      <c r="P15" s="236">
        <f>M42</f>
        <v>0</v>
      </c>
      <c r="R15" s="233">
        <f t="shared" si="1"/>
        <v>44139</v>
      </c>
      <c r="S15" s="232">
        <f>SUM(E15:G15)-'Deaths - In capacity'!D11</f>
        <v>0</v>
      </c>
      <c r="T15" s="232">
        <f>SUM(H15:I15)-'Deaths - In capacity'!E11</f>
        <v>0</v>
      </c>
    </row>
    <row r="16" spans="1:20" x14ac:dyDescent="0.25">
      <c r="A16" s="135">
        <v>44146</v>
      </c>
      <c r="B16" s="130" t="s">
        <v>233</v>
      </c>
      <c r="E16" s="407">
        <f>'Deaths - In capacity'!D12</f>
        <v>284.55</v>
      </c>
      <c r="F16" s="407">
        <v>0</v>
      </c>
      <c r="G16" s="407">
        <v>0</v>
      </c>
      <c r="H16" s="407">
        <f>'Deaths - In capacity'!E12</f>
        <v>1612.45</v>
      </c>
      <c r="I16" s="407" cm="1">
        <f t="array" ref="I16">SUMPRODUCT('Ward Demand'!$D83:$T83,TRANSPOSE('Mortality Rates'!$G$8:$G$24))</f>
        <v>0</v>
      </c>
      <c r="K16" s="408">
        <f>SUM('Deaths - In capacity'!F12)</f>
        <v>1897</v>
      </c>
      <c r="L16" s="408">
        <f>SUM('Deaths - In capacity'!F12)</f>
        <v>1897</v>
      </c>
      <c r="M16" s="408">
        <f t="shared" si="0"/>
        <v>0</v>
      </c>
      <c r="P16" s="463"/>
      <c r="R16" s="233">
        <f t="shared" si="1"/>
        <v>44146</v>
      </c>
      <c r="S16" s="232">
        <f>SUM(E16:G16)-'Deaths - In capacity'!D12</f>
        <v>0</v>
      </c>
      <c r="T16" s="232">
        <f>SUM(H16:I16)-'Deaths - In capacity'!E12</f>
        <v>0</v>
      </c>
    </row>
    <row r="17" spans="1:20" x14ac:dyDescent="0.25">
      <c r="A17" s="135">
        <v>44153</v>
      </c>
      <c r="B17" s="130" t="s">
        <v>233</v>
      </c>
      <c r="E17" s="407">
        <f>'Deaths - In capacity'!D13</f>
        <v>315.45</v>
      </c>
      <c r="F17" s="407">
        <v>0</v>
      </c>
      <c r="G17" s="407" cm="1">
        <f t="array" ref="G17">SUMPRODUCT('CCU Demand'!$D120:$T120,TRANSPOSE('Mortality Rates'!$E$8:$E$24))</f>
        <v>0</v>
      </c>
      <c r="H17" s="407">
        <f>'Deaths - In capacity'!E13</f>
        <v>1787.55</v>
      </c>
      <c r="I17" s="407" cm="1">
        <f t="array" ref="I17">SUMPRODUCT('Ward Demand'!$D84:$T84,TRANSPOSE('Mortality Rates'!$G$8:$G$24))</f>
        <v>0</v>
      </c>
      <c r="K17" s="408">
        <f>SUM('Deaths - In capacity'!F13)</f>
        <v>2103</v>
      </c>
      <c r="L17" s="408">
        <f>SUM('Deaths - In capacity'!F13)</f>
        <v>2103</v>
      </c>
      <c r="M17" s="408">
        <f t="shared" si="0"/>
        <v>0</v>
      </c>
      <c r="O17" t="s">
        <v>466</v>
      </c>
      <c r="P17" s="463"/>
      <c r="R17" s="233">
        <f t="shared" si="1"/>
        <v>44153</v>
      </c>
      <c r="S17" s="232">
        <f>SUM(E17:G17)-'Deaths - In capacity'!D13</f>
        <v>0</v>
      </c>
      <c r="T17" s="232">
        <f>SUM(H17:I17)-'Deaths - In capacity'!E13</f>
        <v>0</v>
      </c>
    </row>
    <row r="18" spans="1:20" x14ac:dyDescent="0.25">
      <c r="A18" s="135">
        <v>44160</v>
      </c>
      <c r="B18" s="130" t="s">
        <v>233</v>
      </c>
      <c r="E18" s="407">
        <f>'Deaths - In capacity'!D14</f>
        <v>304.64999999999998</v>
      </c>
      <c r="F18" s="407">
        <v>0</v>
      </c>
      <c r="G18" s="407">
        <v>0</v>
      </c>
      <c r="H18" s="407">
        <f>'Deaths - In capacity'!E14</f>
        <v>1726.35</v>
      </c>
      <c r="I18" s="407" cm="1">
        <f t="array" ref="I18">SUMPRODUCT('Ward Demand'!$D85:$T85,TRANSPOSE('Mortality Rates'!$G$8:$G$24))</f>
        <v>0</v>
      </c>
      <c r="K18" s="408">
        <f>SUM('Deaths - In capacity'!F14)</f>
        <v>2031</v>
      </c>
      <c r="L18" s="408">
        <f>SUM('Deaths - In capacity'!F14)</f>
        <v>2031</v>
      </c>
      <c r="M18" s="408">
        <f t="shared" si="0"/>
        <v>0</v>
      </c>
      <c r="O18" s="238" t="s">
        <v>128</v>
      </c>
      <c r="P18" s="232">
        <f>S42</f>
        <v>0</v>
      </c>
      <c r="R18" s="233">
        <f t="shared" si="1"/>
        <v>44160</v>
      </c>
      <c r="S18" s="232">
        <f>SUM(E18:G18)-'Deaths - In capacity'!D14</f>
        <v>0</v>
      </c>
      <c r="T18" s="232">
        <f>SUM(H18:I18)-'Deaths - In capacity'!E14</f>
        <v>0</v>
      </c>
    </row>
    <row r="19" spans="1:20" x14ac:dyDescent="0.25">
      <c r="A19" s="135">
        <v>44167</v>
      </c>
      <c r="B19" s="130" t="s">
        <v>233</v>
      </c>
      <c r="E19" s="407">
        <f>'Deaths - In capacity'!D15</f>
        <v>283.34999999999997</v>
      </c>
      <c r="F19" s="407">
        <v>0</v>
      </c>
      <c r="G19" s="407" cm="1">
        <f t="array" ref="G19">SUMPRODUCT('CCU Demand'!$D122:$T122,TRANSPOSE('Mortality Rates'!$E$8:$E$24))</f>
        <v>0</v>
      </c>
      <c r="H19" s="407">
        <f>'Deaths - In capacity'!E15</f>
        <v>1605.65</v>
      </c>
      <c r="I19" s="407" cm="1">
        <f t="array" ref="I19">SUMPRODUCT('Ward Demand'!$D86:$T86,TRANSPOSE('Mortality Rates'!$G$8:$G$24))</f>
        <v>0</v>
      </c>
      <c r="K19" s="408">
        <f>SUM('Deaths - In capacity'!F15)</f>
        <v>1889</v>
      </c>
      <c r="L19" s="408">
        <f>SUM('Deaths - In capacity'!F15)</f>
        <v>1889</v>
      </c>
      <c r="M19" s="408">
        <f t="shared" si="0"/>
        <v>0</v>
      </c>
      <c r="O19" s="238" t="s">
        <v>123</v>
      </c>
      <c r="P19" s="232">
        <f>T42</f>
        <v>0</v>
      </c>
      <c r="R19" s="233">
        <f t="shared" si="1"/>
        <v>44167</v>
      </c>
      <c r="S19" s="232">
        <f>SUM(E19:G19)-'Deaths - In capacity'!D15</f>
        <v>0</v>
      </c>
      <c r="T19" s="232">
        <f>SUM(H19:I19)-'Deaths - In capacity'!E15</f>
        <v>0</v>
      </c>
    </row>
    <row r="20" spans="1:20" x14ac:dyDescent="0.25">
      <c r="A20" s="135">
        <v>44174</v>
      </c>
      <c r="B20" s="130" t="s">
        <v>233</v>
      </c>
      <c r="E20" s="407">
        <f>'Deaths - In capacity'!D16</f>
        <v>294</v>
      </c>
      <c r="F20" s="407">
        <v>0</v>
      </c>
      <c r="G20" s="407">
        <v>0</v>
      </c>
      <c r="H20" s="407">
        <f>'Deaths - In capacity'!E16</f>
        <v>1666</v>
      </c>
      <c r="I20" s="407" cm="1">
        <f t="array" ref="I20">SUMPRODUCT('Ward Demand'!$D87:$T87,TRANSPOSE('Mortality Rates'!$G$8:$G$24))</f>
        <v>0</v>
      </c>
      <c r="K20" s="408">
        <f>SUM('Deaths - In capacity'!F16)</f>
        <v>1960</v>
      </c>
      <c r="L20" s="408">
        <f>SUM('Deaths - In capacity'!F16)</f>
        <v>1960</v>
      </c>
      <c r="M20" s="408">
        <f t="shared" si="0"/>
        <v>0</v>
      </c>
      <c r="O20" s="238" t="s">
        <v>467</v>
      </c>
      <c r="P20" s="232">
        <f>SUM(P18:P19)</f>
        <v>0</v>
      </c>
      <c r="R20" s="233">
        <f t="shared" si="1"/>
        <v>44174</v>
      </c>
      <c r="S20" s="232">
        <f>SUM(E20:G20)-'Deaths - In capacity'!D16</f>
        <v>0</v>
      </c>
      <c r="T20" s="232">
        <f>SUM(H20:I20)-'Deaths - In capacity'!E16</f>
        <v>0</v>
      </c>
    </row>
    <row r="21" spans="1:20" x14ac:dyDescent="0.25">
      <c r="A21" s="135">
        <v>44181</v>
      </c>
      <c r="B21" s="130" t="s">
        <v>233</v>
      </c>
      <c r="E21" s="188" cm="1">
        <f t="array" ref="E21">SUMPRODUCT('CCU Demand'!$D54:$T54,TRANSPOSE('Mortality Rates'!$C$8:$C$24))</f>
        <v>402.52478521428714</v>
      </c>
      <c r="F21" s="188" cm="1">
        <f t="array" ref="F21">SUMPRODUCT('CCU Demand'!$D89:$T89,TRANSPOSE('Mortality Rates'!$D$8:$D$24))</f>
        <v>0</v>
      </c>
      <c r="G21" s="188" cm="1">
        <f t="array" ref="G21">SUMPRODUCT('CCU Demand'!$D124:$T124,TRANSPOSE('Mortality Rates'!$E$8:$E$24))</f>
        <v>0</v>
      </c>
      <c r="H21" s="188" cm="1">
        <f t="array" ref="H21">SUMPRODUCT('Ward Demand'!$D53:$T53,TRANSPOSE('Mortality Rates'!$F$8:$F$24))</f>
        <v>2287.0841920708635</v>
      </c>
      <c r="I21" s="188" cm="1">
        <f t="array" ref="I21">SUMPRODUCT('Ward Demand'!$D88:$T88,TRANSPOSE('Mortality Rates'!$G$8:$G$24))</f>
        <v>0</v>
      </c>
      <c r="K21" s="189">
        <f t="shared" ref="K21:K40" si="2">SUM(E21:I21)</f>
        <v>2689.6089772851506</v>
      </c>
      <c r="L21" s="189">
        <f>SUM('Deaths - In capacity'!F17)</f>
        <v>2689.6089772851506</v>
      </c>
      <c r="M21" s="189">
        <f t="shared" si="0"/>
        <v>0</v>
      </c>
      <c r="R21" s="233">
        <f t="shared" si="1"/>
        <v>44181</v>
      </c>
      <c r="S21" s="232">
        <f>SUM(E21:G21)-'Deaths - In capacity'!D17</f>
        <v>0</v>
      </c>
      <c r="T21" s="232">
        <f>SUM(H21:I21)-'Deaths - In capacity'!E17</f>
        <v>0</v>
      </c>
    </row>
    <row r="22" spans="1:20" x14ac:dyDescent="0.25">
      <c r="A22" s="135">
        <v>44188</v>
      </c>
      <c r="B22" s="130" t="s">
        <v>233</v>
      </c>
      <c r="E22" s="188" cm="1">
        <f t="array" ref="E22">SUMPRODUCT('CCU Demand'!$D55:$T55,TRANSPOSE('Mortality Rates'!$C$8:$C$24))</f>
        <v>477.39147999102568</v>
      </c>
      <c r="F22" s="188" cm="1">
        <f t="array" ref="F22">SUMPRODUCT('CCU Demand'!$D90:$T90,TRANSPOSE('Mortality Rates'!$D$8:$D$24))</f>
        <v>0</v>
      </c>
      <c r="G22" s="188" cm="1">
        <f t="array" ref="G22">SUMPRODUCT('CCU Demand'!$D125:$T125,TRANSPOSE('Mortality Rates'!$E$8:$E$24))</f>
        <v>0</v>
      </c>
      <c r="H22" s="188" cm="1">
        <f t="array" ref="H22">SUMPRODUCT('Ward Demand'!$D54:$T54,TRANSPOSE('Mortality Rates'!$F$8:$F$24))</f>
        <v>2712.4652876605905</v>
      </c>
      <c r="I22" s="188" cm="1">
        <f t="array" ref="I22">SUMPRODUCT('Ward Demand'!$D89:$T89,TRANSPOSE('Mortality Rates'!$G$8:$G$24))</f>
        <v>0</v>
      </c>
      <c r="K22" s="189">
        <f t="shared" si="2"/>
        <v>3189.8567676516163</v>
      </c>
      <c r="L22" s="189">
        <f>SUM('Deaths - In capacity'!F18)</f>
        <v>3189.8567676516163</v>
      </c>
      <c r="M22" s="189">
        <f t="shared" si="0"/>
        <v>0</v>
      </c>
      <c r="R22" s="233">
        <f t="shared" si="1"/>
        <v>44188</v>
      </c>
      <c r="S22" s="232">
        <f>SUM(E22:G22)-'Deaths - In capacity'!D18</f>
        <v>0</v>
      </c>
      <c r="T22" s="232">
        <f>SUM(H22:I22)-'Deaths - In capacity'!E18</f>
        <v>0</v>
      </c>
    </row>
    <row r="23" spans="1:20" x14ac:dyDescent="0.25">
      <c r="A23" s="135">
        <v>44195</v>
      </c>
      <c r="B23" s="130" t="s">
        <v>233</v>
      </c>
      <c r="E23" s="188" cm="1">
        <f t="array" ref="E23">SUMPRODUCT('CCU Demand'!$D56:$T56,TRANSPOSE('Mortality Rates'!$C$8:$C$24))</f>
        <v>599.24369365208838</v>
      </c>
      <c r="F23" s="188" cm="1">
        <f t="array" ref="F23">SUMPRODUCT('CCU Demand'!$D91:$T91,TRANSPOSE('Mortality Rates'!$D$8:$D$24))</f>
        <v>0</v>
      </c>
      <c r="G23" s="188" cm="1">
        <f t="array" ref="G23">SUMPRODUCT('CCU Demand'!$D126:$T126,TRANSPOSE('Mortality Rates'!$E$8:$E$24))</f>
        <v>0</v>
      </c>
      <c r="H23" s="188" cm="1">
        <f t="array" ref="H23">SUMPRODUCT('Ward Demand'!$D55:$T55,TRANSPOSE('Mortality Rates'!$F$8:$F$24))</f>
        <v>3404.8109067873665</v>
      </c>
      <c r="I23" s="188" cm="1">
        <f t="array" ref="I23">SUMPRODUCT('Ward Demand'!$D90:$T90,TRANSPOSE('Mortality Rates'!$G$8:$G$24))</f>
        <v>0</v>
      </c>
      <c r="K23" s="189">
        <f t="shared" si="2"/>
        <v>4004.054600439455</v>
      </c>
      <c r="L23" s="189">
        <f>SUM('Deaths - In capacity'!F19)</f>
        <v>4004.054600439455</v>
      </c>
      <c r="M23" s="189">
        <f t="shared" si="0"/>
        <v>0</v>
      </c>
      <c r="R23" s="233">
        <f t="shared" si="1"/>
        <v>44195</v>
      </c>
      <c r="S23" s="232">
        <f>SUM(E23:G23)-'Deaths - In capacity'!D19</f>
        <v>0</v>
      </c>
      <c r="T23" s="232">
        <f>SUM(H23:I23)-'Deaths - In capacity'!E19</f>
        <v>0</v>
      </c>
    </row>
    <row r="24" spans="1:20" x14ac:dyDescent="0.25">
      <c r="A24" s="135">
        <v>44202</v>
      </c>
      <c r="B24" s="130" t="s">
        <v>233</v>
      </c>
      <c r="E24" s="188" cm="1">
        <f t="array" ref="E24">SUMPRODUCT('CCU Demand'!$D57:$T57,TRANSPOSE('Mortality Rates'!$C$8:$C$24))</f>
        <v>800.70767429404918</v>
      </c>
      <c r="F24" s="188" cm="1">
        <f t="array" ref="F24">SUMPRODUCT('CCU Demand'!$D92:$T92,TRANSPOSE('Mortality Rates'!$D$8:$D$24))</f>
        <v>0</v>
      </c>
      <c r="G24" s="188" cm="1">
        <f t="array" ref="G24">SUMPRODUCT('CCU Demand'!$D127:$T127,TRANSPOSE('Mortality Rates'!$E$8:$E$24))</f>
        <v>0</v>
      </c>
      <c r="H24" s="188" cm="1">
        <f t="array" ref="H24">SUMPRODUCT('Ward Demand'!$D56:$T56,TRANSPOSE('Mortality Rates'!$F$8:$F$24))</f>
        <v>4549.4983951680069</v>
      </c>
      <c r="I24" s="188" cm="1">
        <f t="array" ref="I24">SUMPRODUCT('Ward Demand'!$D91:$T91,TRANSPOSE('Mortality Rates'!$G$8:$G$24))</f>
        <v>0</v>
      </c>
      <c r="K24" s="189">
        <f t="shared" si="2"/>
        <v>5350.2060694620559</v>
      </c>
      <c r="L24" s="189">
        <f>SUM('Deaths - In capacity'!F20)</f>
        <v>5350.2060694620559</v>
      </c>
      <c r="M24" s="189">
        <f t="shared" si="0"/>
        <v>0</v>
      </c>
      <c r="R24" s="233">
        <f t="shared" si="1"/>
        <v>44202</v>
      </c>
      <c r="S24" s="232">
        <f>SUM(E24:G24)-'Deaths - In capacity'!D20</f>
        <v>0</v>
      </c>
      <c r="T24" s="232">
        <f>SUM(H24:I24)-'Deaths - In capacity'!E20</f>
        <v>0</v>
      </c>
    </row>
    <row r="25" spans="1:20" x14ac:dyDescent="0.25">
      <c r="A25" s="135">
        <v>44209</v>
      </c>
      <c r="B25" s="130" t="s">
        <v>233</v>
      </c>
      <c r="E25" s="188" cm="1">
        <f t="array" ref="E25">SUMPRODUCT('CCU Demand'!$D58:$T58,TRANSPOSE('Mortality Rates'!$C$8:$C$24))</f>
        <v>913.25582480970138</v>
      </c>
      <c r="F25" s="188" cm="1">
        <f t="array" ref="F25">SUMPRODUCT('CCU Demand'!$D93:$T93,TRANSPOSE('Mortality Rates'!$D$8:$D$24))</f>
        <v>0</v>
      </c>
      <c r="G25" s="188" cm="1">
        <f t="array" ref="G25">SUMPRODUCT('CCU Demand'!$D128:$T128,TRANSPOSE('Mortality Rates'!$E$8:$E$24))</f>
        <v>0</v>
      </c>
      <c r="H25" s="188" cm="1">
        <f t="array" ref="H25">SUMPRODUCT('Ward Demand'!$D57:$T57,TRANSPOSE('Mortality Rates'!$F$8:$F$24))</f>
        <v>5188.9797522082372</v>
      </c>
      <c r="I25" s="188" cm="1">
        <f t="array" ref="I25">SUMPRODUCT('Ward Demand'!$D92:$T92,TRANSPOSE('Mortality Rates'!$G$8:$G$24))</f>
        <v>0</v>
      </c>
      <c r="K25" s="189">
        <f t="shared" si="2"/>
        <v>6102.2355770179383</v>
      </c>
      <c r="L25" s="189">
        <f>SUM('Deaths - In capacity'!F21)</f>
        <v>6102.2355770179383</v>
      </c>
      <c r="M25" s="189">
        <f t="shared" si="0"/>
        <v>0</v>
      </c>
      <c r="R25" s="233">
        <f t="shared" si="1"/>
        <v>44209</v>
      </c>
      <c r="S25" s="232">
        <f>SUM(E25:G25)-'Deaths - In capacity'!D21</f>
        <v>0</v>
      </c>
      <c r="T25" s="232">
        <f>SUM(H25:I25)-'Deaths - In capacity'!E21</f>
        <v>0</v>
      </c>
    </row>
    <row r="26" spans="1:20" x14ac:dyDescent="0.25">
      <c r="A26" s="135">
        <v>44216</v>
      </c>
      <c r="B26" s="130" t="s">
        <v>233</v>
      </c>
      <c r="E26" s="188" cm="1">
        <f t="array" ref="E26">SUMPRODUCT('CCU Demand'!$D59:$T59,TRANSPOSE('Mortality Rates'!$C$8:$C$24))</f>
        <v>860.12962424940588</v>
      </c>
      <c r="F26" s="188" cm="1">
        <f t="array" ref="F26">SUMPRODUCT('CCU Demand'!$D94:$T94,TRANSPOSE('Mortality Rates'!$D$8:$D$24))</f>
        <v>0</v>
      </c>
      <c r="G26" s="188" cm="1">
        <f t="array" ref="G26">SUMPRODUCT('CCU Demand'!$D129:$T129,TRANSPOSE('Mortality Rates'!$E$8:$E$24))</f>
        <v>0</v>
      </c>
      <c r="H26" s="188" cm="1">
        <f t="array" ref="H26">SUMPRODUCT('Ward Demand'!$D58:$T58,TRANSPOSE('Mortality Rates'!$F$8:$F$24))</f>
        <v>4887.1248156940692</v>
      </c>
      <c r="I26" s="188" cm="1">
        <f t="array" ref="I26">SUMPRODUCT('Ward Demand'!$D93:$T93,TRANSPOSE('Mortality Rates'!$G$8:$G$24))</f>
        <v>0</v>
      </c>
      <c r="K26" s="189">
        <f t="shared" si="2"/>
        <v>5747.2544399434755</v>
      </c>
      <c r="L26" s="189">
        <f>SUM('Deaths - In capacity'!F22)</f>
        <v>5747.2544399434755</v>
      </c>
      <c r="M26" s="189">
        <f t="shared" si="0"/>
        <v>0</v>
      </c>
      <c r="R26" s="233">
        <f t="shared" si="1"/>
        <v>44216</v>
      </c>
      <c r="S26" s="232">
        <f>SUM(E26:G26)-'Deaths - In capacity'!D22</f>
        <v>0</v>
      </c>
      <c r="T26" s="232">
        <f>SUM(H26:I26)-'Deaths - In capacity'!E22</f>
        <v>0</v>
      </c>
    </row>
    <row r="27" spans="1:20" x14ac:dyDescent="0.25">
      <c r="A27" s="135">
        <v>44223</v>
      </c>
      <c r="B27" s="130" t="s">
        <v>233</v>
      </c>
      <c r="E27" s="188" cm="1">
        <f t="array" ref="E27">SUMPRODUCT('CCU Demand'!$D60:$T60,TRANSPOSE('Mortality Rates'!$C$8:$C$24))</f>
        <v>693.61790749037152</v>
      </c>
      <c r="F27" s="188" cm="1">
        <f t="array" ref="F27">SUMPRODUCT('CCU Demand'!$D95:$T95,TRANSPOSE('Mortality Rates'!$D$8:$D$24))</f>
        <v>0</v>
      </c>
      <c r="G27" s="188" cm="1">
        <f t="array" ref="G27">SUMPRODUCT('CCU Demand'!$D130:$T130,TRANSPOSE('Mortality Rates'!$E$8:$E$24))</f>
        <v>0</v>
      </c>
      <c r="H27" s="188" cm="1">
        <f t="array" ref="H27">SUMPRODUCT('Ward Demand'!$D59:$T59,TRANSPOSE('Mortality Rates'!$F$8:$F$24))</f>
        <v>3941.0307385518809</v>
      </c>
      <c r="I27" s="188" cm="1">
        <f t="array" ref="I27">SUMPRODUCT('Ward Demand'!$D94:$T94,TRANSPOSE('Mortality Rates'!$G$8:$G$24))</f>
        <v>0</v>
      </c>
      <c r="K27" s="189">
        <f t="shared" si="2"/>
        <v>4634.648646042252</v>
      </c>
      <c r="L27" s="189">
        <f>SUM('Deaths - In capacity'!F23)</f>
        <v>4634.648646042252</v>
      </c>
      <c r="M27" s="189">
        <f t="shared" si="0"/>
        <v>0</v>
      </c>
      <c r="R27" s="233">
        <f t="shared" si="1"/>
        <v>44223</v>
      </c>
      <c r="S27" s="232">
        <f>SUM(E27:G27)-'Deaths - In capacity'!D23</f>
        <v>0</v>
      </c>
      <c r="T27" s="232">
        <f>SUM(H27:I27)-'Deaths - In capacity'!E23</f>
        <v>0</v>
      </c>
    </row>
    <row r="28" spans="1:20" x14ac:dyDescent="0.25">
      <c r="A28" s="135">
        <v>44230</v>
      </c>
      <c r="B28" s="130" t="s">
        <v>233</v>
      </c>
      <c r="E28" s="188" cm="1">
        <f t="array" ref="E28">SUMPRODUCT('CCU Demand'!$D61:$T61,TRANSPOSE('Mortality Rates'!$C$8:$C$24))</f>
        <v>558.55392416282541</v>
      </c>
      <c r="F28" s="188" cm="1">
        <f t="array" ref="F28">SUMPRODUCT('CCU Demand'!$D96:$T96,TRANSPOSE('Mortality Rates'!$D$8:$D$24))</f>
        <v>0</v>
      </c>
      <c r="G28" s="188" cm="1">
        <f t="array" ref="G28">SUMPRODUCT('CCU Demand'!$D131:$T131,TRANSPOSE('Mortality Rates'!$E$8:$E$24))</f>
        <v>0</v>
      </c>
      <c r="H28" s="188" cm="1">
        <f t="array" ref="H28">SUMPRODUCT('Ward Demand'!$D60:$T60,TRANSPOSE('Mortality Rates'!$F$8:$F$24))</f>
        <v>3173.6178672622123</v>
      </c>
      <c r="I28" s="188" cm="1">
        <f t="array" ref="I28">SUMPRODUCT('Ward Demand'!$D95:$T95,TRANSPOSE('Mortality Rates'!$G$8:$G$24))</f>
        <v>0</v>
      </c>
      <c r="K28" s="189">
        <f t="shared" si="2"/>
        <v>3732.1717914250376</v>
      </c>
      <c r="L28" s="189">
        <f>SUM('Deaths - In capacity'!F24)</f>
        <v>3732.1717914250376</v>
      </c>
      <c r="M28" s="189">
        <f t="shared" si="0"/>
        <v>0</v>
      </c>
      <c r="R28" s="233">
        <f t="shared" si="1"/>
        <v>44230</v>
      </c>
      <c r="S28" s="232">
        <f>SUM(E28:G28)-'Deaths - In capacity'!D24</f>
        <v>0</v>
      </c>
      <c r="T28" s="232">
        <f>SUM(H28:I28)-'Deaths - In capacity'!E24</f>
        <v>0</v>
      </c>
    </row>
    <row r="29" spans="1:20" x14ac:dyDescent="0.25">
      <c r="A29" s="135">
        <v>44237</v>
      </c>
      <c r="B29" s="130" t="s">
        <v>233</v>
      </c>
      <c r="E29" s="188" cm="1">
        <f t="array" ref="E29">SUMPRODUCT('CCU Demand'!$D62:$T62,TRANSPOSE('Mortality Rates'!$C$8:$C$24))</f>
        <v>446.84313933026039</v>
      </c>
      <c r="F29" s="188" cm="1">
        <f t="array" ref="F29">SUMPRODUCT('CCU Demand'!$D97:$T97,TRANSPOSE('Mortality Rates'!$D$8:$D$24))</f>
        <v>0</v>
      </c>
      <c r="G29" s="188" cm="1">
        <f t="array" ref="G29">SUMPRODUCT('CCU Demand'!$D132:$T132,TRANSPOSE('Mortality Rates'!$E$8:$E$24))</f>
        <v>0</v>
      </c>
      <c r="H29" s="188" cm="1">
        <f t="array" ref="H29">SUMPRODUCT('Ward Demand'!$D61:$T61,TRANSPOSE('Mortality Rates'!$F$8:$F$24))</f>
        <v>2538.8942938097698</v>
      </c>
      <c r="I29" s="188" cm="1">
        <f t="array" ref="I29">SUMPRODUCT('Ward Demand'!$D96:$T96,TRANSPOSE('Mortality Rates'!$G$8:$G$24))</f>
        <v>0</v>
      </c>
      <c r="K29" s="189">
        <f t="shared" si="2"/>
        <v>2985.7374331400301</v>
      </c>
      <c r="L29" s="189">
        <f>SUM('Deaths - In capacity'!F25)</f>
        <v>2985.7374331400301</v>
      </c>
      <c r="M29" s="189">
        <f t="shared" si="0"/>
        <v>0</v>
      </c>
      <c r="R29" s="233">
        <f t="shared" si="1"/>
        <v>44237</v>
      </c>
      <c r="S29" s="232">
        <f>SUM(E29:G29)-'Deaths - In capacity'!D25</f>
        <v>0</v>
      </c>
      <c r="T29" s="232">
        <f>SUM(H29:I29)-'Deaths - In capacity'!E25</f>
        <v>0</v>
      </c>
    </row>
    <row r="30" spans="1:20" x14ac:dyDescent="0.25">
      <c r="A30" s="135">
        <v>44244</v>
      </c>
      <c r="B30" s="130" t="s">
        <v>233</v>
      </c>
      <c r="E30" s="188" cm="1">
        <f t="array" ref="E30">SUMPRODUCT('CCU Demand'!$D63:$T63,TRANSPOSE('Mortality Rates'!$C$8:$C$24))</f>
        <v>357.47451146420838</v>
      </c>
      <c r="F30" s="188" cm="1">
        <f t="array" ref="F30">SUMPRODUCT('CCU Demand'!$D98:$T98,TRANSPOSE('Mortality Rates'!$D$8:$D$24))</f>
        <v>0</v>
      </c>
      <c r="G30" s="188" cm="1">
        <f t="array" ref="G30">SUMPRODUCT('CCU Demand'!$D133:$T133,TRANSPOSE('Mortality Rates'!$E$8:$E$24))</f>
        <v>0</v>
      </c>
      <c r="H30" s="188" cm="1">
        <f t="array" ref="H30">SUMPRODUCT('Ward Demand'!$D62:$T62,TRANSPOSE('Mortality Rates'!$F$8:$F$24))</f>
        <v>2031.1154350478162</v>
      </c>
      <c r="I30" s="188" cm="1">
        <f t="array" ref="I30">SUMPRODUCT('Ward Demand'!$D97:$T97,TRANSPOSE('Mortality Rates'!$G$8:$G$24))</f>
        <v>0</v>
      </c>
      <c r="K30" s="189">
        <f t="shared" si="2"/>
        <v>2388.5899465120247</v>
      </c>
      <c r="L30" s="189">
        <f>SUM('Deaths - In capacity'!F26)</f>
        <v>2388.5899465120247</v>
      </c>
      <c r="M30" s="189">
        <f t="shared" si="0"/>
        <v>0</v>
      </c>
      <c r="R30" s="233">
        <f t="shared" si="1"/>
        <v>44244</v>
      </c>
      <c r="S30" s="232">
        <f>SUM(E30:G30)-'Deaths - In capacity'!D26</f>
        <v>0</v>
      </c>
      <c r="T30" s="232">
        <f>SUM(H30:I30)-'Deaths - In capacity'!E26</f>
        <v>0</v>
      </c>
    </row>
    <row r="31" spans="1:20" x14ac:dyDescent="0.25">
      <c r="A31" s="135">
        <v>44251</v>
      </c>
      <c r="B31" s="130" t="s">
        <v>233</v>
      </c>
      <c r="E31" s="188" cm="1">
        <f t="array" ref="E31">SUMPRODUCT('CCU Demand'!$D64:$T64,TRANSPOSE('Mortality Rates'!$C$8:$C$24))</f>
        <v>285.97960917136663</v>
      </c>
      <c r="F31" s="188" cm="1">
        <f t="array" ref="F31">SUMPRODUCT('CCU Demand'!$D99:$T99,TRANSPOSE('Mortality Rates'!$D$8:$D$24))</f>
        <v>0</v>
      </c>
      <c r="G31" s="188" cm="1">
        <f t="array" ref="G31">SUMPRODUCT('CCU Demand'!$D134:$T134,TRANSPOSE('Mortality Rates'!$E$8:$E$24))</f>
        <v>0</v>
      </c>
      <c r="H31" s="188" cm="1">
        <f t="array" ref="H31">SUMPRODUCT('Ward Demand'!$D63:$T63,TRANSPOSE('Mortality Rates'!$F$8:$F$24))</f>
        <v>1624.8923480382527</v>
      </c>
      <c r="I31" s="188" cm="1">
        <f t="array" ref="I31">SUMPRODUCT('Ward Demand'!$D98:$T98,TRANSPOSE('Mortality Rates'!$G$8:$G$24))</f>
        <v>0</v>
      </c>
      <c r="K31" s="189">
        <f t="shared" si="2"/>
        <v>1910.8719572096193</v>
      </c>
      <c r="L31" s="189">
        <f>SUM('Deaths - In capacity'!F27)</f>
        <v>1910.8719572096193</v>
      </c>
      <c r="M31" s="189">
        <f t="shared" si="0"/>
        <v>0</v>
      </c>
      <c r="R31" s="233">
        <f t="shared" si="1"/>
        <v>44251</v>
      </c>
      <c r="S31" s="232">
        <f>SUM(E31:G31)-'Deaths - In capacity'!D27</f>
        <v>0</v>
      </c>
      <c r="T31" s="232">
        <f>SUM(H31:I31)-'Deaths - In capacity'!E27</f>
        <v>0</v>
      </c>
    </row>
    <row r="32" spans="1:20" x14ac:dyDescent="0.25">
      <c r="A32" s="135">
        <v>44258</v>
      </c>
      <c r="B32" s="130" t="s">
        <v>233</v>
      </c>
      <c r="E32" s="188" cm="1">
        <f t="array" ref="E32">SUMPRODUCT('CCU Demand'!$D65:$T65,TRANSPOSE('Mortality Rates'!$C$8:$C$24))</f>
        <v>228.78368733709334</v>
      </c>
      <c r="F32" s="188" cm="1">
        <f t="array" ref="F32">SUMPRODUCT('CCU Demand'!$D100:$T100,TRANSPOSE('Mortality Rates'!$D$8:$D$24))</f>
        <v>0</v>
      </c>
      <c r="G32" s="188" cm="1">
        <f t="array" ref="G32">SUMPRODUCT('CCU Demand'!$D135:$T135,TRANSPOSE('Mortality Rates'!$E$8:$E$24))</f>
        <v>0</v>
      </c>
      <c r="H32" s="188" cm="1">
        <f t="array" ref="H32">SUMPRODUCT('Ward Demand'!$D64:$T64,TRANSPOSE('Mortality Rates'!$F$8:$F$24))</f>
        <v>1299.9138784306022</v>
      </c>
      <c r="I32" s="188" cm="1">
        <f t="array" ref="I32">SUMPRODUCT('Ward Demand'!$D99:$T99,TRANSPOSE('Mortality Rates'!$G$8:$G$24))</f>
        <v>0</v>
      </c>
      <c r="K32" s="189">
        <f t="shared" si="2"/>
        <v>1528.6975657676956</v>
      </c>
      <c r="L32" s="189">
        <f>SUM('Deaths - In capacity'!F28)</f>
        <v>1528.6975657676956</v>
      </c>
      <c r="M32" s="189">
        <f t="shared" si="0"/>
        <v>0</v>
      </c>
      <c r="R32" s="233">
        <f t="shared" si="1"/>
        <v>44258</v>
      </c>
      <c r="S32" s="232">
        <f>SUM(E32:G32)-'Deaths - In capacity'!D28</f>
        <v>0</v>
      </c>
      <c r="T32" s="232">
        <f>SUM(H32:I32)-'Deaths - In capacity'!E28</f>
        <v>0</v>
      </c>
    </row>
    <row r="33" spans="1:20" x14ac:dyDescent="0.25">
      <c r="A33" s="135">
        <v>44265</v>
      </c>
      <c r="B33" s="130" t="s">
        <v>233</v>
      </c>
      <c r="E33" s="188" cm="1">
        <f t="array" ref="E33">SUMPRODUCT('CCU Demand'!$D66:$T66,TRANSPOSE('Mortality Rates'!$C$8:$C$24))</f>
        <v>160.14858113596529</v>
      </c>
      <c r="F33" s="188" cm="1">
        <f t="array" ref="F33">SUMPRODUCT('CCU Demand'!$D101:$T101,TRANSPOSE('Mortality Rates'!$D$8:$D$24))</f>
        <v>0</v>
      </c>
      <c r="G33" s="188" cm="1">
        <f t="array" ref="G33">SUMPRODUCT('CCU Demand'!$D136:$T136,TRANSPOSE('Mortality Rates'!$E$8:$E$24))</f>
        <v>0</v>
      </c>
      <c r="H33" s="188" cm="1">
        <f t="array" ref="H33">SUMPRODUCT('Ward Demand'!$D65:$T65,TRANSPOSE('Mortality Rates'!$F$8:$F$24))</f>
        <v>909.93971490142155</v>
      </c>
      <c r="I33" s="188" cm="1">
        <f t="array" ref="I33">SUMPRODUCT('Ward Demand'!$D100:$T100,TRANSPOSE('Mortality Rates'!$G$8:$G$24))</f>
        <v>0</v>
      </c>
      <c r="K33" s="189">
        <f t="shared" si="2"/>
        <v>1070.088296037387</v>
      </c>
      <c r="L33" s="189">
        <f>SUM('Deaths - In capacity'!F29)</f>
        <v>1070.088296037387</v>
      </c>
      <c r="M33" s="189">
        <f t="shared" si="0"/>
        <v>0</v>
      </c>
      <c r="R33" s="233">
        <f t="shared" si="1"/>
        <v>44265</v>
      </c>
      <c r="S33" s="232">
        <f>SUM(E33:G33)-'Deaths - In capacity'!D29</f>
        <v>0</v>
      </c>
      <c r="T33" s="232">
        <f>SUM(H33:I33)-'Deaths - In capacity'!E29</f>
        <v>0</v>
      </c>
    </row>
    <row r="34" spans="1:20" x14ac:dyDescent="0.25">
      <c r="A34" s="135">
        <v>44272</v>
      </c>
      <c r="B34" s="130" t="s">
        <v>233</v>
      </c>
      <c r="E34" s="188" cm="1">
        <f t="array" ref="E34">SUMPRODUCT('CCU Demand'!$D67:$T67,TRANSPOSE('Mortality Rates'!$C$8:$C$24))</f>
        <v>112.10400679517571</v>
      </c>
      <c r="F34" s="188" cm="1">
        <f t="array" ref="F34">SUMPRODUCT('CCU Demand'!$D102:$T102,TRANSPOSE('Mortality Rates'!$D$8:$D$24))</f>
        <v>0</v>
      </c>
      <c r="G34" s="188" cm="1">
        <f t="array" ref="G34">SUMPRODUCT('CCU Demand'!$D137:$T137,TRANSPOSE('Mortality Rates'!$E$8:$E$24))</f>
        <v>0</v>
      </c>
      <c r="H34" s="188" cm="1">
        <f t="array" ref="H34">SUMPRODUCT('Ward Demand'!$D66:$T66,TRANSPOSE('Mortality Rates'!$F$8:$F$24))</f>
        <v>636.95780043099501</v>
      </c>
      <c r="I34" s="188" cm="1">
        <f t="array" ref="I34">SUMPRODUCT('Ward Demand'!$D101:$T101,TRANSPOSE('Mortality Rates'!$G$8:$G$24))</f>
        <v>0</v>
      </c>
      <c r="K34" s="189">
        <f t="shared" si="2"/>
        <v>749.06180722617069</v>
      </c>
      <c r="L34" s="189">
        <f>SUM('Deaths - In capacity'!F30)</f>
        <v>749.06180722617069</v>
      </c>
      <c r="M34" s="189">
        <f t="shared" si="0"/>
        <v>0</v>
      </c>
      <c r="R34" s="233">
        <f t="shared" si="1"/>
        <v>44272</v>
      </c>
      <c r="S34" s="232">
        <f>SUM(E34:G34)-'Deaths - In capacity'!D30</f>
        <v>0</v>
      </c>
      <c r="T34" s="232">
        <f>SUM(H34:I34)-'Deaths - In capacity'!E30</f>
        <v>0</v>
      </c>
    </row>
    <row r="35" spans="1:20" x14ac:dyDescent="0.25">
      <c r="A35" s="135">
        <v>44279</v>
      </c>
      <c r="B35" s="130" t="s">
        <v>233</v>
      </c>
      <c r="E35" s="188" cm="1">
        <f t="array" ref="E35">SUMPRODUCT('CCU Demand'!$D68:$T68,TRANSPOSE('Mortality Rates'!$C$8:$C$24))</f>
        <v>78.472804756622992</v>
      </c>
      <c r="F35" s="188" cm="1">
        <f t="array" ref="F35">SUMPRODUCT('CCU Demand'!$D103:$T103,TRANSPOSE('Mortality Rates'!$D$8:$D$24))</f>
        <v>0</v>
      </c>
      <c r="G35" s="188" cm="1">
        <f t="array" ref="G35">SUMPRODUCT('CCU Demand'!$D138:$T138,TRANSPOSE('Mortality Rates'!$E$8:$E$24))</f>
        <v>0</v>
      </c>
      <c r="H35" s="188" cm="1">
        <f t="array" ref="H35">SUMPRODUCT('Ward Demand'!$D67:$T67,TRANSPOSE('Mortality Rates'!$F$8:$F$24))</f>
        <v>445.87046030169648</v>
      </c>
      <c r="I35" s="188" cm="1">
        <f t="array" ref="I35">SUMPRODUCT('Ward Demand'!$D102:$T102,TRANSPOSE('Mortality Rates'!$G$8:$G$24))</f>
        <v>0</v>
      </c>
      <c r="K35" s="189">
        <f t="shared" si="2"/>
        <v>524.3432650583195</v>
      </c>
      <c r="L35" s="189">
        <f>SUM('Deaths - In capacity'!F31)</f>
        <v>524.3432650583195</v>
      </c>
      <c r="M35" s="189">
        <f t="shared" si="0"/>
        <v>0</v>
      </c>
      <c r="R35" s="233">
        <f t="shared" si="1"/>
        <v>44279</v>
      </c>
      <c r="S35" s="232">
        <f>SUM(E35:G35)-'Deaths - In capacity'!D31</f>
        <v>0</v>
      </c>
      <c r="T35" s="232">
        <f>SUM(H35:I35)-'Deaths - In capacity'!E31</f>
        <v>0</v>
      </c>
    </row>
    <row r="36" spans="1:20" x14ac:dyDescent="0.25">
      <c r="A36" s="135">
        <v>44286</v>
      </c>
      <c r="B36" s="130" t="s">
        <v>233</v>
      </c>
      <c r="E36" s="188" cm="1">
        <f t="array" ref="E36">SUMPRODUCT('CCU Demand'!$D69:$T69,TRANSPOSE('Mortality Rates'!$C$8:$C$24))</f>
        <v>54.9309633296361</v>
      </c>
      <c r="F36" s="188" cm="1">
        <f t="array" ref="F36">SUMPRODUCT('CCU Demand'!$D104:$T104,TRANSPOSE('Mortality Rates'!$D$8:$D$24))</f>
        <v>0</v>
      </c>
      <c r="G36" s="188" cm="1">
        <f t="array" ref="G36">SUMPRODUCT('CCU Demand'!$D139:$T139,TRANSPOSE('Mortality Rates'!$E$8:$E$24))</f>
        <v>0</v>
      </c>
      <c r="H36" s="188" cm="1">
        <f t="array" ref="H36">SUMPRODUCT('Ward Demand'!$D68:$T68,TRANSPOSE('Mortality Rates'!$F$8:$F$24))</f>
        <v>312.10932221118753</v>
      </c>
      <c r="I36" s="188" cm="1">
        <f t="array" ref="I36">SUMPRODUCT('Ward Demand'!$D103:$T103,TRANSPOSE('Mortality Rates'!$G$8:$G$24))</f>
        <v>0</v>
      </c>
      <c r="K36" s="189">
        <f t="shared" si="2"/>
        <v>367.04028554082362</v>
      </c>
      <c r="L36" s="189">
        <f>SUM('Deaths - In capacity'!F32)</f>
        <v>367.04028554082362</v>
      </c>
      <c r="M36" s="189">
        <f t="shared" si="0"/>
        <v>0</v>
      </c>
      <c r="R36" s="233">
        <f t="shared" si="1"/>
        <v>44286</v>
      </c>
      <c r="S36" s="232">
        <f>SUM(E36:G36)-'Deaths - In capacity'!D32</f>
        <v>0</v>
      </c>
      <c r="T36" s="232">
        <f>SUM(H36:I36)-'Deaths - In capacity'!E32</f>
        <v>0</v>
      </c>
    </row>
    <row r="37" spans="1:20" x14ac:dyDescent="0.25">
      <c r="A37" s="135">
        <v>44293</v>
      </c>
      <c r="B37" s="130" t="s">
        <v>233</v>
      </c>
      <c r="E37" s="188" cm="1">
        <f t="array" ref="E37">SUMPRODUCT('CCU Demand'!$D70:$T70,TRANSPOSE('Mortality Rates'!$C$8:$C$24))</f>
        <v>38.451674330745256</v>
      </c>
      <c r="F37" s="188" cm="1">
        <f t="array" ref="F37">SUMPRODUCT('CCU Demand'!$D105:$T105,TRANSPOSE('Mortality Rates'!$D$8:$D$24))</f>
        <v>0</v>
      </c>
      <c r="G37" s="188" cm="1">
        <f t="array" ref="G37">SUMPRODUCT('CCU Demand'!$D140:$T140,TRANSPOSE('Mortality Rates'!$E$8:$E$24))</f>
        <v>0</v>
      </c>
      <c r="H37" s="188" cm="1">
        <f t="array" ref="H37">SUMPRODUCT('Ward Demand'!$D69:$T69,TRANSPOSE('Mortality Rates'!$F$8:$F$24))</f>
        <v>218.47652554783127</v>
      </c>
      <c r="I37" s="188" cm="1">
        <f t="array" ref="I37">SUMPRODUCT('Ward Demand'!$D104:$T104,TRANSPOSE('Mortality Rates'!$G$8:$G$24))</f>
        <v>0</v>
      </c>
      <c r="K37" s="189">
        <f t="shared" si="2"/>
        <v>256.92819987857655</v>
      </c>
      <c r="L37" s="189">
        <f>SUM('Deaths - In capacity'!F33)</f>
        <v>256.92819987857655</v>
      </c>
      <c r="M37" s="189">
        <f t="shared" si="0"/>
        <v>0</v>
      </c>
      <c r="R37" s="233">
        <f t="shared" si="1"/>
        <v>44293</v>
      </c>
      <c r="S37" s="232">
        <f>SUM(E37:G37)-'Deaths - In capacity'!D33</f>
        <v>0</v>
      </c>
      <c r="T37" s="232">
        <f>SUM(H37:I37)-'Deaths - In capacity'!E33</f>
        <v>0</v>
      </c>
    </row>
    <row r="38" spans="1:20" x14ac:dyDescent="0.25">
      <c r="A38" s="135">
        <v>44300</v>
      </c>
      <c r="B38" s="130" t="s">
        <v>233</v>
      </c>
      <c r="E38" s="188" cm="1">
        <f t="array" ref="E38">SUMPRODUCT('CCU Demand'!$D71:$T71,TRANSPOSE('Mortality Rates'!$C$8:$C$24))</f>
        <v>26.916172031521683</v>
      </c>
      <c r="F38" s="188" cm="1">
        <f t="array" ref="F38">SUMPRODUCT('CCU Demand'!$D106:$T106,TRANSPOSE('Mortality Rates'!$D$8:$D$24))</f>
        <v>0</v>
      </c>
      <c r="G38" s="188" cm="1">
        <f t="array" ref="G38">SUMPRODUCT('CCU Demand'!$D141:$T141,TRANSPOSE('Mortality Rates'!$E$8:$E$24))</f>
        <v>0</v>
      </c>
      <c r="H38" s="188" cm="1">
        <f t="array" ref="H38">SUMPRODUCT('Ward Demand'!$D70:$T70,TRANSPOSE('Mortality Rates'!$F$8:$F$24))</f>
        <v>152.93356788348189</v>
      </c>
      <c r="I38" s="188" cm="1">
        <f t="array" ref="I38">SUMPRODUCT('Ward Demand'!$D105:$T105,TRANSPOSE('Mortality Rates'!$G$8:$G$24))</f>
        <v>0</v>
      </c>
      <c r="K38" s="189">
        <f t="shared" si="2"/>
        <v>179.84973991500357</v>
      </c>
      <c r="L38" s="189">
        <f>SUM('Deaths - In capacity'!F34)</f>
        <v>179.84973991500357</v>
      </c>
      <c r="M38" s="189">
        <f t="shared" si="0"/>
        <v>0</v>
      </c>
      <c r="R38" s="233">
        <f t="shared" si="1"/>
        <v>44300</v>
      </c>
      <c r="S38" s="232">
        <f>SUM(E38:G38)-'Deaths - In capacity'!D34</f>
        <v>0</v>
      </c>
      <c r="T38" s="232">
        <f>SUM(H38:I38)-'Deaths - In capacity'!E34</f>
        <v>0</v>
      </c>
    </row>
    <row r="39" spans="1:20" x14ac:dyDescent="0.25">
      <c r="A39" s="135">
        <v>44307</v>
      </c>
      <c r="B39" s="130" t="s">
        <v>233</v>
      </c>
      <c r="E39" s="188" cm="1">
        <f t="array" ref="E39">SUMPRODUCT('CCU Demand'!$D72:$T72,TRANSPOSE('Mortality Rates'!$C$8:$C$24))</f>
        <v>18.841320422065181</v>
      </c>
      <c r="F39" s="188" cm="1">
        <f t="array" ref="F39">SUMPRODUCT('CCU Demand'!$D107:$T107,TRANSPOSE('Mortality Rates'!$D$8:$D$24))</f>
        <v>0</v>
      </c>
      <c r="G39" s="188" cm="1">
        <f t="array" ref="G39">SUMPRODUCT('CCU Demand'!$D142:$T142,TRANSPOSE('Mortality Rates'!$E$8:$E$24))</f>
        <v>0</v>
      </c>
      <c r="H39" s="188" cm="1">
        <f t="array" ref="H39">SUMPRODUCT('Ward Demand'!$D71:$T71,TRANSPOSE('Mortality Rates'!$F$8:$F$24))</f>
        <v>107.0534975184373</v>
      </c>
      <c r="I39" s="188" cm="1">
        <f t="array" ref="I39">SUMPRODUCT('Ward Demand'!$D106:$T106,TRANSPOSE('Mortality Rates'!$G$8:$G$24))</f>
        <v>0</v>
      </c>
      <c r="K39" s="189">
        <f t="shared" si="2"/>
        <v>125.89481794050248</v>
      </c>
      <c r="L39" s="189">
        <f>SUM('Deaths - In capacity'!F35)</f>
        <v>125.89481794050248</v>
      </c>
      <c r="M39" s="189">
        <f t="shared" si="0"/>
        <v>0</v>
      </c>
      <c r="R39" s="233">
        <f t="shared" si="1"/>
        <v>44307</v>
      </c>
      <c r="S39" s="232">
        <f>SUM(E39:G39)-'Deaths - In capacity'!D35</f>
        <v>0</v>
      </c>
      <c r="T39" s="232">
        <f>SUM(H39:I39)-'Deaths - In capacity'!E35</f>
        <v>0</v>
      </c>
    </row>
    <row r="40" spans="1:20" x14ac:dyDescent="0.25">
      <c r="A40" s="135">
        <v>44314</v>
      </c>
      <c r="B40" s="130" t="s">
        <v>233</v>
      </c>
      <c r="E40" s="188" cm="1">
        <f t="array" ref="E40">SUMPRODUCT('CCU Demand'!$D73:$T73,TRANSPOSE('Mortality Rates'!$C$8:$C$24))</f>
        <v>13.188924295445624</v>
      </c>
      <c r="F40" s="188" cm="1">
        <f t="array" ref="F40">SUMPRODUCT('CCU Demand'!$D108:$T108,TRANSPOSE('Mortality Rates'!$D$8:$D$24))</f>
        <v>0</v>
      </c>
      <c r="G40" s="188" cm="1">
        <f t="array" ref="G40">SUMPRODUCT('CCU Demand'!$D143:$T143,TRANSPOSE('Mortality Rates'!$E$8:$E$24))</f>
        <v>0</v>
      </c>
      <c r="H40" s="188" cm="1">
        <f t="array" ref="H40">SUMPRODUCT('Ward Demand'!$D72:$T72,TRANSPOSE('Mortality Rates'!$F$8:$F$24))</f>
        <v>74.937448262906116</v>
      </c>
      <c r="I40" s="188" cm="1">
        <f t="array" ref="I40">SUMPRODUCT('Ward Demand'!$D107:$T107,TRANSPOSE('Mortality Rates'!$G$8:$G$24))</f>
        <v>0</v>
      </c>
      <c r="K40" s="189">
        <f t="shared" si="2"/>
        <v>88.126372558351733</v>
      </c>
      <c r="L40" s="189">
        <f>SUM('Deaths - In capacity'!F36)</f>
        <v>88.126372558351733</v>
      </c>
      <c r="M40" s="189">
        <f t="shared" si="0"/>
        <v>0</v>
      </c>
      <c r="R40" s="233">
        <f t="shared" si="1"/>
        <v>44314</v>
      </c>
      <c r="S40" s="232">
        <f>SUM(E40:G40)-'Deaths - In capacity'!D36</f>
        <v>0</v>
      </c>
      <c r="T40" s="232">
        <f>SUM(H40:I40)-'Deaths - In capacity'!E36</f>
        <v>0</v>
      </c>
    </row>
    <row r="41" spans="1:20" x14ac:dyDescent="0.25">
      <c r="E41" s="184"/>
      <c r="F41" s="184"/>
      <c r="G41" s="184"/>
      <c r="H41" s="184"/>
      <c r="I41" s="184"/>
      <c r="K41" s="185"/>
      <c r="L41" s="186"/>
      <c r="M41" s="187"/>
      <c r="S41" s="463"/>
      <c r="T41" s="463"/>
    </row>
    <row r="42" spans="1:20" x14ac:dyDescent="0.25">
      <c r="D42" s="183" t="s">
        <v>468</v>
      </c>
      <c r="E42" s="155">
        <f>SUM(E10:E40)</f>
        <v>9477.7603082638616</v>
      </c>
      <c r="F42" s="155">
        <f t="shared" ref="F42:G42" si="3">SUM(F10:F40)</f>
        <v>0</v>
      </c>
      <c r="G42" s="155">
        <f t="shared" si="3"/>
        <v>0</v>
      </c>
      <c r="H42" s="155">
        <f>SUM(H10:H40)</f>
        <v>53815.506247787627</v>
      </c>
      <c r="I42" s="155">
        <f>SUM(I10:I40)</f>
        <v>0</v>
      </c>
      <c r="K42" s="486">
        <f>SUM(K10:K40)</f>
        <v>63293.266556051487</v>
      </c>
      <c r="L42" s="487">
        <f>SUM(L10:L40)</f>
        <v>63293.266556051487</v>
      </c>
      <c r="M42" s="487">
        <f>SUM(M10:M40)</f>
        <v>0</v>
      </c>
      <c r="S42" s="155">
        <f>SUM(S10:S40)</f>
        <v>0</v>
      </c>
      <c r="T42" s="155">
        <f>SUM(T10:T40)</f>
        <v>0</v>
      </c>
    </row>
    <row r="44" spans="1:20" ht="15.75" thickBot="1" x14ac:dyDescent="0.3"/>
    <row r="45" spans="1:20" ht="15.75" thickTop="1" x14ac:dyDescent="0.25">
      <c r="A45" s="159" t="s">
        <v>469</v>
      </c>
      <c r="B45" s="160"/>
      <c r="C45" s="160"/>
      <c r="D45" s="160"/>
      <c r="E45" s="160"/>
      <c r="F45" s="160"/>
      <c r="G45" s="160"/>
      <c r="H45" s="160"/>
      <c r="I45" s="160"/>
      <c r="J45" s="160"/>
      <c r="K45" s="160"/>
      <c r="L45" s="179"/>
      <c r="M45" s="179"/>
      <c r="N45" s="160"/>
    </row>
    <row r="46" spans="1:20" x14ac:dyDescent="0.25">
      <c r="A46" s="162" t="s">
        <v>470</v>
      </c>
      <c r="B46" s="163"/>
      <c r="C46" s="163"/>
      <c r="D46" s="163"/>
      <c r="E46" s="163"/>
      <c r="F46" s="163"/>
      <c r="G46" s="163"/>
      <c r="H46" s="163"/>
      <c r="I46" s="163"/>
      <c r="J46" s="163"/>
      <c r="K46" s="163"/>
      <c r="L46" s="180"/>
      <c r="M46" s="180"/>
      <c r="N46" s="163"/>
    </row>
    <row r="47" spans="1:20" x14ac:dyDescent="0.25">
      <c r="A47" s="162" t="s">
        <v>471</v>
      </c>
      <c r="B47" s="163"/>
      <c r="C47" s="163"/>
      <c r="D47" s="163"/>
      <c r="E47" s="163"/>
      <c r="F47" s="163"/>
      <c r="G47" s="163"/>
      <c r="H47" s="163"/>
      <c r="I47" s="163"/>
      <c r="J47" s="163"/>
      <c r="K47" s="163"/>
      <c r="L47" s="180"/>
      <c r="M47" s="180"/>
      <c r="N47" s="163"/>
    </row>
    <row r="48" spans="1:20" x14ac:dyDescent="0.25">
      <c r="A48" s="162" t="s">
        <v>472</v>
      </c>
      <c r="B48" s="163"/>
      <c r="C48" s="163"/>
      <c r="D48" s="163"/>
      <c r="E48" s="163"/>
      <c r="F48" s="163"/>
      <c r="G48" s="163"/>
      <c r="H48" s="163"/>
      <c r="I48" s="163"/>
      <c r="J48" s="163"/>
      <c r="K48" s="163"/>
      <c r="L48" s="180"/>
      <c r="M48" s="180"/>
      <c r="N48" s="163"/>
    </row>
    <row r="49" spans="1:16378" x14ac:dyDescent="0.25">
      <c r="A49" s="162" t="s">
        <v>473</v>
      </c>
      <c r="B49" s="163"/>
      <c r="C49" s="163"/>
      <c r="D49" s="163"/>
      <c r="E49" s="163"/>
      <c r="F49" s="163"/>
      <c r="G49" s="163"/>
      <c r="H49" s="163"/>
      <c r="I49" s="163"/>
      <c r="J49" s="163"/>
      <c r="K49" s="163"/>
      <c r="L49" s="180"/>
      <c r="M49" s="180"/>
      <c r="N49" s="163"/>
    </row>
    <row r="50" spans="1:16378" x14ac:dyDescent="0.25">
      <c r="A50" s="162" t="s">
        <v>474</v>
      </c>
      <c r="B50" s="163"/>
      <c r="C50" s="163"/>
      <c r="D50" s="163"/>
      <c r="E50" s="163"/>
      <c r="F50" s="163"/>
      <c r="G50" s="163"/>
      <c r="H50" s="163"/>
      <c r="I50" s="163"/>
      <c r="J50" s="163"/>
      <c r="K50" s="163"/>
      <c r="L50" s="180"/>
      <c r="M50" s="180"/>
      <c r="N50" s="163"/>
    </row>
    <row r="51" spans="1:16378" x14ac:dyDescent="0.25">
      <c r="A51" s="169" t="s">
        <v>475</v>
      </c>
      <c r="B51" s="172"/>
      <c r="C51" s="172"/>
      <c r="D51" s="172"/>
      <c r="E51" s="172"/>
      <c r="F51" s="172"/>
      <c r="G51" s="172"/>
      <c r="H51" s="172"/>
      <c r="I51" s="172"/>
      <c r="J51" s="172"/>
      <c r="K51" s="172"/>
      <c r="L51" s="181"/>
      <c r="M51" s="181"/>
      <c r="N51" s="172"/>
      <c r="O51" s="158"/>
      <c r="P51" s="158"/>
      <c r="Q51" s="158"/>
      <c r="R51" s="158"/>
      <c r="S51" s="158"/>
      <c r="T51" s="158"/>
      <c r="U51" s="158"/>
      <c r="V51" s="158"/>
      <c r="W51" s="158"/>
      <c r="X51" s="158"/>
      <c r="Y51" s="158"/>
      <c r="Z51" s="158"/>
      <c r="AA51" s="158"/>
      <c r="AB51" s="158"/>
      <c r="AC51" s="158"/>
      <c r="AD51" s="158"/>
      <c r="AE51" s="158"/>
      <c r="AF51" s="158"/>
      <c r="AG51" s="158"/>
      <c r="AH51" s="158"/>
      <c r="AI51" s="158"/>
      <c r="AJ51" s="158"/>
      <c r="AK51" s="158"/>
      <c r="AL51" s="158"/>
      <c r="AM51" s="158"/>
      <c r="AN51" s="158"/>
      <c r="AO51" s="158"/>
      <c r="AP51" s="158"/>
      <c r="AQ51" s="158"/>
      <c r="AR51" s="158"/>
      <c r="AS51" s="158"/>
      <c r="AT51" s="158"/>
      <c r="AU51" s="158"/>
      <c r="AV51" s="158"/>
      <c r="AW51" s="158"/>
      <c r="AX51" s="158"/>
      <c r="AY51" s="158"/>
      <c r="AZ51" s="158"/>
      <c r="BA51" s="158"/>
      <c r="BB51" s="158"/>
      <c r="BC51" s="158"/>
      <c r="BD51" s="158"/>
      <c r="BE51" s="158"/>
      <c r="BF51" s="158"/>
      <c r="BG51" s="158"/>
      <c r="BH51" s="158"/>
      <c r="BI51" s="158"/>
      <c r="BJ51" s="158"/>
      <c r="BK51" s="158"/>
      <c r="BL51" s="158"/>
      <c r="BM51" s="158"/>
      <c r="BN51" s="158"/>
      <c r="BO51" s="158"/>
      <c r="BP51" s="158"/>
      <c r="BQ51" s="158"/>
      <c r="BR51" s="158"/>
      <c r="BS51" s="158"/>
      <c r="BT51" s="158"/>
      <c r="BU51" s="158"/>
      <c r="BV51" s="158"/>
      <c r="BW51" s="158"/>
      <c r="BX51" s="158"/>
      <c r="BY51" s="158"/>
      <c r="BZ51" s="158"/>
      <c r="CA51" s="158"/>
      <c r="CB51" s="158"/>
      <c r="CC51" s="158"/>
      <c r="CD51" s="158"/>
      <c r="CE51" s="158"/>
      <c r="CF51" s="158"/>
      <c r="CG51" s="158"/>
      <c r="CH51" s="158"/>
      <c r="CI51" s="158"/>
      <c r="CJ51" s="158"/>
      <c r="CK51" s="158"/>
      <c r="CL51" s="158"/>
      <c r="CM51" s="158"/>
      <c r="CN51" s="158"/>
      <c r="CO51" s="158"/>
      <c r="CP51" s="158"/>
      <c r="CQ51" s="158"/>
      <c r="CR51" s="158"/>
      <c r="CS51" s="158"/>
      <c r="CT51" s="158"/>
      <c r="CU51" s="158"/>
      <c r="CV51" s="158"/>
      <c r="CW51" s="158"/>
      <c r="CX51" s="158"/>
      <c r="CY51" s="158"/>
      <c r="CZ51" s="158"/>
      <c r="DA51" s="158"/>
      <c r="DB51" s="158"/>
      <c r="DC51" s="158"/>
      <c r="DD51" s="158"/>
      <c r="DE51" s="158"/>
      <c r="DF51" s="158"/>
      <c r="DG51" s="158"/>
      <c r="DH51" s="158"/>
      <c r="DI51" s="158"/>
      <c r="DJ51" s="158"/>
      <c r="DK51" s="158"/>
      <c r="DL51" s="158"/>
      <c r="DM51" s="158"/>
      <c r="DN51" s="158"/>
      <c r="DO51" s="158"/>
      <c r="DP51" s="158"/>
      <c r="DQ51" s="158"/>
      <c r="DR51" s="158"/>
      <c r="DS51" s="158"/>
      <c r="DT51" s="158"/>
      <c r="DU51" s="158"/>
      <c r="DV51" s="158"/>
      <c r="DW51" s="158"/>
      <c r="DX51" s="158"/>
      <c r="DY51" s="158"/>
      <c r="DZ51" s="158"/>
      <c r="EA51" s="158"/>
      <c r="EB51" s="158"/>
      <c r="EC51" s="158"/>
      <c r="ED51" s="158"/>
      <c r="EE51" s="158"/>
      <c r="EF51" s="158"/>
      <c r="EG51" s="158"/>
      <c r="EH51" s="158"/>
      <c r="EI51" s="158"/>
      <c r="EJ51" s="158"/>
      <c r="EK51" s="158"/>
      <c r="EL51" s="158"/>
      <c r="EM51" s="158"/>
      <c r="EN51" s="158"/>
      <c r="EO51" s="158"/>
      <c r="EP51" s="158"/>
      <c r="EQ51" s="158"/>
      <c r="ER51" s="158"/>
      <c r="ES51" s="158"/>
      <c r="ET51" s="158"/>
      <c r="EU51" s="158"/>
      <c r="EV51" s="158"/>
      <c r="EW51" s="158"/>
      <c r="EX51" s="158"/>
      <c r="EY51" s="158"/>
      <c r="EZ51" s="158"/>
      <c r="FA51" s="158"/>
      <c r="FB51" s="158"/>
      <c r="FC51" s="158"/>
      <c r="FD51" s="158"/>
      <c r="FE51" s="158"/>
      <c r="FF51" s="158"/>
      <c r="FG51" s="158"/>
      <c r="FH51" s="158"/>
      <c r="FI51" s="158"/>
      <c r="FJ51" s="158"/>
      <c r="FK51" s="158"/>
      <c r="FL51" s="158"/>
      <c r="FM51" s="158"/>
      <c r="FN51" s="158"/>
      <c r="FO51" s="158"/>
      <c r="FP51" s="158"/>
      <c r="FQ51" s="158"/>
      <c r="FR51" s="158"/>
      <c r="FS51" s="158"/>
      <c r="FT51" s="158"/>
      <c r="FU51" s="158"/>
      <c r="FV51" s="158"/>
      <c r="FW51" s="158"/>
      <c r="FX51" s="158"/>
      <c r="FY51" s="158"/>
      <c r="FZ51" s="158"/>
      <c r="GA51" s="158"/>
      <c r="GB51" s="158"/>
      <c r="GC51" s="158"/>
      <c r="GD51" s="158"/>
      <c r="GE51" s="158"/>
      <c r="GF51" s="158"/>
      <c r="GG51" s="158"/>
      <c r="GH51" s="158"/>
      <c r="GI51" s="158"/>
      <c r="GJ51" s="158"/>
      <c r="GK51" s="158"/>
      <c r="GL51" s="158"/>
      <c r="GM51" s="158"/>
      <c r="GN51" s="158"/>
      <c r="GO51" s="158"/>
      <c r="GP51" s="158"/>
      <c r="GQ51" s="158"/>
      <c r="GR51" s="158"/>
      <c r="GS51" s="158"/>
      <c r="GT51" s="158"/>
      <c r="GU51" s="158"/>
      <c r="GV51" s="158"/>
      <c r="GW51" s="158"/>
      <c r="GX51" s="158"/>
      <c r="GY51" s="158"/>
      <c r="GZ51" s="158"/>
      <c r="HA51" s="158"/>
      <c r="HB51" s="158"/>
      <c r="HC51" s="158"/>
      <c r="HD51" s="158"/>
      <c r="HE51" s="158"/>
      <c r="HF51" s="158"/>
      <c r="HG51" s="158"/>
      <c r="HH51" s="158"/>
      <c r="HI51" s="158"/>
      <c r="HJ51" s="158"/>
      <c r="HK51" s="158"/>
      <c r="HL51" s="158"/>
      <c r="HM51" s="158"/>
      <c r="HN51" s="158"/>
      <c r="HO51" s="158"/>
      <c r="HP51" s="158"/>
      <c r="HQ51" s="158"/>
      <c r="HR51" s="158"/>
      <c r="HS51" s="158"/>
      <c r="HT51" s="158"/>
      <c r="HU51" s="158"/>
      <c r="HV51" s="158"/>
      <c r="HW51" s="158"/>
      <c r="HX51" s="158"/>
      <c r="HY51" s="158"/>
      <c r="HZ51" s="158"/>
      <c r="IA51" s="158"/>
      <c r="IB51" s="158"/>
      <c r="IC51" s="158"/>
      <c r="ID51" s="158"/>
      <c r="IE51" s="158"/>
      <c r="IF51" s="158"/>
      <c r="IG51" s="158"/>
      <c r="IH51" s="158"/>
      <c r="II51" s="158"/>
      <c r="IJ51" s="158"/>
      <c r="IK51" s="158"/>
      <c r="IL51" s="158"/>
      <c r="IM51" s="158"/>
      <c r="IN51" s="158"/>
      <c r="IO51" s="158"/>
      <c r="IP51" s="158"/>
      <c r="IQ51" s="158"/>
      <c r="IR51" s="158"/>
      <c r="IS51" s="158"/>
      <c r="IT51" s="158"/>
      <c r="IU51" s="158"/>
      <c r="IV51" s="158"/>
      <c r="IW51" s="158"/>
      <c r="IX51" s="158"/>
      <c r="IY51" s="158"/>
      <c r="IZ51" s="158"/>
      <c r="JA51" s="158"/>
      <c r="JB51" s="158"/>
      <c r="JC51" s="158"/>
      <c r="JD51" s="158"/>
      <c r="JE51" s="158"/>
      <c r="JF51" s="158"/>
      <c r="JG51" s="158"/>
      <c r="JH51" s="158"/>
      <c r="JI51" s="158"/>
      <c r="JJ51" s="158"/>
      <c r="JK51" s="158"/>
      <c r="JL51" s="158"/>
      <c r="JM51" s="158"/>
      <c r="JN51" s="158"/>
      <c r="JO51" s="158"/>
      <c r="JP51" s="158"/>
      <c r="JQ51" s="158"/>
      <c r="JR51" s="158"/>
      <c r="JS51" s="158"/>
      <c r="JT51" s="158"/>
      <c r="JU51" s="158"/>
      <c r="JV51" s="158"/>
      <c r="JW51" s="158"/>
      <c r="JX51" s="158"/>
      <c r="JY51" s="158"/>
      <c r="JZ51" s="158"/>
      <c r="KA51" s="158"/>
      <c r="KB51" s="158"/>
      <c r="KC51" s="158"/>
      <c r="KD51" s="158"/>
      <c r="KE51" s="158"/>
      <c r="KF51" s="158"/>
      <c r="KG51" s="158"/>
      <c r="KH51" s="158"/>
      <c r="KI51" s="158"/>
      <c r="KJ51" s="158"/>
      <c r="KK51" s="158"/>
      <c r="KL51" s="158"/>
      <c r="KM51" s="158"/>
      <c r="KN51" s="158"/>
      <c r="KO51" s="158"/>
      <c r="KP51" s="158"/>
      <c r="KQ51" s="158"/>
      <c r="KR51" s="158"/>
      <c r="KS51" s="158"/>
      <c r="KT51" s="158"/>
      <c r="KU51" s="158"/>
      <c r="KV51" s="158"/>
      <c r="KW51" s="158"/>
      <c r="KX51" s="158"/>
      <c r="KY51" s="158"/>
      <c r="KZ51" s="158"/>
      <c r="LA51" s="158"/>
      <c r="LB51" s="158"/>
      <c r="LC51" s="158"/>
      <c r="LD51" s="158"/>
      <c r="LE51" s="158"/>
      <c r="LF51" s="158"/>
      <c r="LG51" s="158"/>
      <c r="LH51" s="158"/>
      <c r="LI51" s="158"/>
      <c r="LJ51" s="158"/>
      <c r="LK51" s="158"/>
      <c r="LL51" s="158"/>
      <c r="LM51" s="158"/>
      <c r="LN51" s="158"/>
      <c r="LO51" s="158"/>
      <c r="LP51" s="158"/>
      <c r="LQ51" s="158"/>
      <c r="LR51" s="158"/>
      <c r="LS51" s="158"/>
      <c r="LT51" s="158"/>
      <c r="LU51" s="158"/>
      <c r="LV51" s="158"/>
      <c r="LW51" s="158"/>
      <c r="LX51" s="158"/>
      <c r="LY51" s="158"/>
      <c r="LZ51" s="158"/>
      <c r="MA51" s="158"/>
      <c r="MB51" s="158"/>
      <c r="MC51" s="158"/>
      <c r="MD51" s="158"/>
      <c r="ME51" s="158"/>
      <c r="MF51" s="158"/>
      <c r="MG51" s="158"/>
      <c r="MH51" s="158"/>
      <c r="MI51" s="158"/>
      <c r="MJ51" s="158"/>
      <c r="MK51" s="158"/>
      <c r="ML51" s="158"/>
      <c r="MM51" s="158"/>
      <c r="MN51" s="158"/>
      <c r="MO51" s="158"/>
      <c r="MP51" s="158"/>
      <c r="MQ51" s="158"/>
      <c r="MR51" s="158"/>
      <c r="MS51" s="158"/>
      <c r="MT51" s="158"/>
      <c r="MU51" s="158"/>
      <c r="MV51" s="158"/>
      <c r="MW51" s="158"/>
      <c r="MX51" s="158"/>
      <c r="MY51" s="158"/>
      <c r="MZ51" s="158"/>
      <c r="NA51" s="158"/>
      <c r="NB51" s="158"/>
      <c r="NC51" s="158"/>
      <c r="ND51" s="158"/>
      <c r="NE51" s="158"/>
      <c r="NF51" s="158"/>
      <c r="NG51" s="158"/>
      <c r="NH51" s="158"/>
      <c r="NI51" s="158"/>
      <c r="NJ51" s="158"/>
      <c r="NK51" s="158"/>
      <c r="NL51" s="158"/>
      <c r="NM51" s="158"/>
      <c r="NN51" s="158"/>
      <c r="NO51" s="158"/>
      <c r="NP51" s="158"/>
      <c r="NQ51" s="158"/>
      <c r="NR51" s="158"/>
      <c r="NS51" s="158"/>
      <c r="NT51" s="158"/>
      <c r="NU51" s="158"/>
      <c r="NV51" s="158"/>
      <c r="NW51" s="158"/>
      <c r="NX51" s="158"/>
      <c r="NY51" s="158"/>
      <c r="NZ51" s="158"/>
      <c r="OA51" s="158"/>
      <c r="OB51" s="158"/>
      <c r="OC51" s="158"/>
      <c r="OD51" s="158"/>
      <c r="OE51" s="158"/>
      <c r="OF51" s="158"/>
      <c r="OG51" s="158"/>
      <c r="OH51" s="158"/>
      <c r="OI51" s="158"/>
      <c r="OJ51" s="158"/>
      <c r="OK51" s="158"/>
      <c r="OL51" s="158"/>
      <c r="OM51" s="158"/>
      <c r="ON51" s="158"/>
      <c r="OO51" s="158"/>
      <c r="OP51" s="158"/>
      <c r="OQ51" s="158"/>
      <c r="OR51" s="158"/>
      <c r="OS51" s="158"/>
      <c r="OT51" s="158"/>
      <c r="OU51" s="158"/>
      <c r="OV51" s="158"/>
      <c r="OW51" s="158"/>
      <c r="OX51" s="158"/>
      <c r="OY51" s="158"/>
      <c r="OZ51" s="158"/>
      <c r="PA51" s="158"/>
      <c r="PB51" s="158"/>
      <c r="PC51" s="158"/>
      <c r="PD51" s="158"/>
      <c r="PE51" s="158"/>
      <c r="PF51" s="158"/>
      <c r="PG51" s="158"/>
      <c r="PH51" s="158"/>
      <c r="PI51" s="158"/>
      <c r="PJ51" s="158"/>
      <c r="PK51" s="158"/>
      <c r="PL51" s="158"/>
      <c r="PM51" s="158"/>
      <c r="PN51" s="158"/>
      <c r="PO51" s="158"/>
      <c r="PP51" s="158"/>
      <c r="PQ51" s="158"/>
      <c r="PR51" s="158"/>
      <c r="PS51" s="158"/>
      <c r="PT51" s="158"/>
      <c r="PU51" s="158"/>
      <c r="PV51" s="158"/>
      <c r="PW51" s="158"/>
      <c r="PX51" s="158"/>
      <c r="PY51" s="158"/>
      <c r="PZ51" s="158"/>
      <c r="QA51" s="158"/>
      <c r="QB51" s="158"/>
      <c r="QC51" s="158"/>
      <c r="QD51" s="158"/>
      <c r="QE51" s="158"/>
      <c r="QF51" s="158"/>
      <c r="QG51" s="158"/>
      <c r="QH51" s="158"/>
      <c r="QI51" s="158"/>
      <c r="QJ51" s="158"/>
      <c r="QK51" s="158"/>
      <c r="QL51" s="158"/>
      <c r="QM51" s="158"/>
      <c r="QN51" s="158"/>
      <c r="QO51" s="158"/>
      <c r="QP51" s="158"/>
      <c r="QQ51" s="158"/>
      <c r="QR51" s="158"/>
      <c r="QS51" s="158"/>
      <c r="QT51" s="158"/>
      <c r="QU51" s="158"/>
      <c r="QV51" s="158"/>
      <c r="QW51" s="158"/>
      <c r="QX51" s="158"/>
      <c r="QY51" s="158"/>
      <c r="QZ51" s="158"/>
      <c r="RA51" s="158"/>
      <c r="RB51" s="158"/>
      <c r="RC51" s="158"/>
      <c r="RD51" s="158"/>
      <c r="RE51" s="158"/>
      <c r="RF51" s="158"/>
      <c r="RG51" s="158"/>
      <c r="RH51" s="158"/>
      <c r="RI51" s="158"/>
      <c r="RJ51" s="158"/>
      <c r="RK51" s="158"/>
      <c r="RL51" s="158"/>
      <c r="RM51" s="158"/>
      <c r="RN51" s="158"/>
      <c r="RO51" s="158"/>
      <c r="RP51" s="158"/>
      <c r="RQ51" s="158"/>
      <c r="RR51" s="158"/>
      <c r="RS51" s="158"/>
      <c r="RT51" s="158"/>
      <c r="RU51" s="158"/>
      <c r="RV51" s="158"/>
      <c r="RW51" s="158"/>
      <c r="RX51" s="158"/>
      <c r="RY51" s="158"/>
      <c r="RZ51" s="158"/>
      <c r="SA51" s="158"/>
      <c r="SB51" s="158"/>
      <c r="SC51" s="158"/>
      <c r="SD51" s="158"/>
      <c r="SE51" s="158"/>
      <c r="SF51" s="158"/>
      <c r="SG51" s="158"/>
      <c r="SH51" s="158"/>
      <c r="SI51" s="158"/>
      <c r="SJ51" s="158"/>
      <c r="SK51" s="158"/>
      <c r="SL51" s="158"/>
      <c r="SM51" s="158"/>
      <c r="SN51" s="158"/>
      <c r="SO51" s="158"/>
      <c r="SP51" s="158"/>
      <c r="SQ51" s="158"/>
      <c r="SR51" s="158"/>
      <c r="SS51" s="158"/>
      <c r="ST51" s="158"/>
      <c r="SU51" s="158"/>
      <c r="SV51" s="158"/>
      <c r="SW51" s="158"/>
      <c r="SX51" s="158"/>
      <c r="SY51" s="158"/>
      <c r="SZ51" s="158"/>
      <c r="TA51" s="158"/>
      <c r="TB51" s="158"/>
      <c r="TC51" s="158"/>
      <c r="TD51" s="158"/>
      <c r="TE51" s="158"/>
      <c r="TF51" s="158"/>
      <c r="TG51" s="158"/>
      <c r="TH51" s="158"/>
      <c r="TI51" s="158"/>
      <c r="TJ51" s="158"/>
      <c r="TK51" s="158"/>
      <c r="TL51" s="158"/>
      <c r="TM51" s="158"/>
      <c r="TN51" s="158"/>
      <c r="TO51" s="158"/>
      <c r="TP51" s="158"/>
      <c r="TQ51" s="158"/>
      <c r="TR51" s="158"/>
      <c r="TS51" s="158"/>
      <c r="TT51" s="158"/>
      <c r="TU51" s="158"/>
      <c r="TV51" s="158"/>
      <c r="TW51" s="158"/>
      <c r="TX51" s="158"/>
      <c r="TY51" s="158"/>
      <c r="TZ51" s="158"/>
      <c r="UA51" s="158"/>
      <c r="UB51" s="158"/>
      <c r="UC51" s="158"/>
      <c r="UD51" s="158"/>
      <c r="UE51" s="158"/>
      <c r="UF51" s="158"/>
      <c r="UG51" s="158"/>
      <c r="UH51" s="158"/>
      <c r="UI51" s="158"/>
      <c r="UJ51" s="158"/>
      <c r="UK51" s="158"/>
      <c r="UL51" s="158"/>
      <c r="UM51" s="158"/>
      <c r="UN51" s="158"/>
      <c r="UO51" s="158"/>
      <c r="UP51" s="158"/>
      <c r="UQ51" s="158"/>
      <c r="UR51" s="158"/>
      <c r="US51" s="158"/>
      <c r="UT51" s="158"/>
      <c r="UU51" s="158"/>
      <c r="UV51" s="158"/>
      <c r="UW51" s="158"/>
      <c r="UX51" s="158"/>
      <c r="UY51" s="158"/>
      <c r="UZ51" s="158"/>
      <c r="VA51" s="158"/>
      <c r="VB51" s="158"/>
      <c r="VC51" s="158"/>
      <c r="VD51" s="158"/>
      <c r="VE51" s="158"/>
      <c r="VF51" s="158"/>
      <c r="VG51" s="158"/>
      <c r="VH51" s="158"/>
      <c r="VI51" s="158"/>
      <c r="VJ51" s="158"/>
      <c r="VK51" s="158"/>
      <c r="VL51" s="158"/>
      <c r="VM51" s="158"/>
      <c r="VN51" s="158"/>
      <c r="VO51" s="158"/>
      <c r="VP51" s="158"/>
      <c r="VQ51" s="158"/>
      <c r="VR51" s="158"/>
      <c r="VS51" s="158"/>
      <c r="VT51" s="158"/>
      <c r="VU51" s="158"/>
      <c r="VV51" s="158"/>
      <c r="VW51" s="158"/>
      <c r="VX51" s="158"/>
      <c r="VY51" s="158"/>
      <c r="VZ51" s="158"/>
      <c r="WA51" s="158"/>
      <c r="WB51" s="158"/>
      <c r="WC51" s="158"/>
      <c r="WD51" s="158"/>
      <c r="WE51" s="158"/>
      <c r="WF51" s="158"/>
      <c r="WG51" s="158"/>
      <c r="WH51" s="158"/>
      <c r="WI51" s="158"/>
      <c r="WJ51" s="158"/>
      <c r="WK51" s="158"/>
      <c r="WL51" s="158"/>
      <c r="WM51" s="158"/>
      <c r="WN51" s="158"/>
      <c r="WO51" s="158"/>
      <c r="WP51" s="158"/>
      <c r="WQ51" s="158"/>
      <c r="WR51" s="158"/>
      <c r="WS51" s="158"/>
      <c r="WT51" s="158"/>
      <c r="WU51" s="158"/>
      <c r="WV51" s="158"/>
      <c r="WW51" s="158"/>
      <c r="WX51" s="158"/>
      <c r="WY51" s="158"/>
      <c r="WZ51" s="158"/>
      <c r="XA51" s="158"/>
      <c r="XB51" s="158"/>
      <c r="XC51" s="158"/>
      <c r="XD51" s="158"/>
      <c r="XE51" s="158"/>
      <c r="XF51" s="158"/>
      <c r="XG51" s="158"/>
      <c r="XH51" s="158"/>
      <c r="XI51" s="158"/>
      <c r="XJ51" s="158"/>
      <c r="XK51" s="158"/>
      <c r="XL51" s="158"/>
      <c r="XM51" s="158"/>
      <c r="XN51" s="158"/>
      <c r="XO51" s="158"/>
      <c r="XP51" s="158"/>
      <c r="XQ51" s="158"/>
      <c r="XR51" s="158"/>
      <c r="XS51" s="158"/>
      <c r="XT51" s="158"/>
      <c r="XU51" s="158"/>
      <c r="XV51" s="158"/>
      <c r="XW51" s="158"/>
      <c r="XX51" s="158"/>
      <c r="XY51" s="158"/>
      <c r="XZ51" s="158"/>
      <c r="YA51" s="158"/>
      <c r="YB51" s="158"/>
      <c r="YC51" s="158"/>
      <c r="YD51" s="158"/>
      <c r="YE51" s="158"/>
      <c r="YF51" s="158"/>
      <c r="YG51" s="158"/>
      <c r="YH51" s="158"/>
      <c r="YI51" s="158"/>
      <c r="YJ51" s="158"/>
      <c r="YK51" s="158"/>
      <c r="YL51" s="158"/>
      <c r="YM51" s="158"/>
      <c r="YN51" s="158"/>
      <c r="YO51" s="158"/>
      <c r="YP51" s="158"/>
      <c r="YQ51" s="158"/>
      <c r="YR51" s="158"/>
      <c r="YS51" s="158"/>
      <c r="YT51" s="158"/>
      <c r="YU51" s="158"/>
      <c r="YV51" s="158"/>
      <c r="YW51" s="158"/>
      <c r="YX51" s="158"/>
      <c r="YY51" s="158"/>
      <c r="YZ51" s="158"/>
      <c r="ZA51" s="158"/>
      <c r="ZB51" s="158"/>
      <c r="ZC51" s="158"/>
      <c r="ZD51" s="158"/>
      <c r="ZE51" s="158"/>
      <c r="ZF51" s="158"/>
      <c r="ZG51" s="158"/>
      <c r="ZH51" s="158"/>
      <c r="ZI51" s="158"/>
      <c r="ZJ51" s="158"/>
      <c r="ZK51" s="158"/>
      <c r="ZL51" s="158"/>
      <c r="ZM51" s="158"/>
      <c r="ZN51" s="158"/>
      <c r="ZO51" s="158"/>
      <c r="ZP51" s="158"/>
      <c r="ZQ51" s="158"/>
      <c r="ZR51" s="158"/>
      <c r="ZS51" s="158"/>
      <c r="ZT51" s="158"/>
      <c r="ZU51" s="158"/>
      <c r="ZV51" s="158"/>
      <c r="ZW51" s="158"/>
      <c r="ZX51" s="158"/>
      <c r="ZY51" s="158"/>
      <c r="ZZ51" s="158"/>
      <c r="AAA51" s="158"/>
      <c r="AAB51" s="158"/>
      <c r="AAC51" s="158"/>
      <c r="AAD51" s="158"/>
      <c r="AAE51" s="158"/>
      <c r="AAF51" s="158"/>
      <c r="AAG51" s="158"/>
      <c r="AAH51" s="158"/>
      <c r="AAI51" s="158"/>
      <c r="AAJ51" s="158"/>
      <c r="AAK51" s="158"/>
      <c r="AAL51" s="158"/>
      <c r="AAM51" s="158"/>
      <c r="AAN51" s="158"/>
      <c r="AAO51" s="158"/>
      <c r="AAP51" s="158"/>
      <c r="AAQ51" s="158"/>
      <c r="AAR51" s="158"/>
      <c r="AAS51" s="158"/>
      <c r="AAT51" s="158"/>
      <c r="AAU51" s="158"/>
      <c r="AAV51" s="158"/>
      <c r="AAW51" s="158"/>
      <c r="AAX51" s="158"/>
      <c r="AAY51" s="158"/>
      <c r="AAZ51" s="158"/>
      <c r="ABA51" s="158"/>
      <c r="ABB51" s="158"/>
      <c r="ABC51" s="158"/>
      <c r="ABD51" s="158"/>
      <c r="ABE51" s="158"/>
      <c r="ABF51" s="158"/>
      <c r="ABG51" s="158"/>
      <c r="ABH51" s="158"/>
      <c r="ABI51" s="158"/>
      <c r="ABJ51" s="158"/>
      <c r="ABK51" s="158"/>
      <c r="ABL51" s="158"/>
      <c r="ABM51" s="158"/>
      <c r="ABN51" s="158"/>
      <c r="ABO51" s="158"/>
      <c r="ABP51" s="158"/>
      <c r="ABQ51" s="158"/>
      <c r="ABR51" s="158"/>
      <c r="ABS51" s="158"/>
      <c r="ABT51" s="158"/>
      <c r="ABU51" s="158"/>
      <c r="ABV51" s="158"/>
      <c r="ABW51" s="158"/>
      <c r="ABX51" s="158"/>
      <c r="ABY51" s="158"/>
      <c r="ABZ51" s="158"/>
      <c r="ACA51" s="158"/>
      <c r="ACB51" s="158"/>
      <c r="ACC51" s="158"/>
      <c r="ACD51" s="158"/>
      <c r="ACE51" s="158"/>
      <c r="ACF51" s="158"/>
      <c r="ACG51" s="158"/>
      <c r="ACH51" s="158"/>
      <c r="ACI51" s="158"/>
      <c r="ACJ51" s="158"/>
      <c r="ACK51" s="158"/>
      <c r="ACL51" s="158"/>
      <c r="ACM51" s="158"/>
      <c r="ACN51" s="158"/>
      <c r="ACO51" s="158"/>
      <c r="ACP51" s="158"/>
      <c r="ACQ51" s="158"/>
      <c r="ACR51" s="158"/>
      <c r="ACS51" s="158"/>
      <c r="ACT51" s="158"/>
      <c r="ACU51" s="158"/>
      <c r="ACV51" s="158"/>
      <c r="ACW51" s="158"/>
      <c r="ACX51" s="158"/>
      <c r="ACY51" s="158"/>
      <c r="ACZ51" s="158"/>
      <c r="ADA51" s="158"/>
      <c r="ADB51" s="158"/>
      <c r="ADC51" s="158"/>
      <c r="ADD51" s="158"/>
      <c r="ADE51" s="158"/>
      <c r="ADF51" s="158"/>
      <c r="ADG51" s="158"/>
      <c r="ADH51" s="158"/>
      <c r="ADI51" s="158"/>
      <c r="ADJ51" s="158"/>
      <c r="ADK51" s="158"/>
      <c r="ADL51" s="158"/>
      <c r="ADM51" s="158"/>
      <c r="ADN51" s="158"/>
      <c r="ADO51" s="158"/>
      <c r="ADP51" s="158"/>
      <c r="ADQ51" s="158"/>
      <c r="ADR51" s="158"/>
      <c r="ADS51" s="158"/>
      <c r="ADT51" s="158"/>
      <c r="ADU51" s="158"/>
      <c r="ADV51" s="158"/>
      <c r="ADW51" s="158"/>
      <c r="ADX51" s="158"/>
      <c r="ADY51" s="158"/>
      <c r="ADZ51" s="158"/>
      <c r="AEA51" s="158"/>
      <c r="AEB51" s="158"/>
      <c r="AEC51" s="158"/>
      <c r="AED51" s="158"/>
      <c r="AEE51" s="158"/>
      <c r="AEF51" s="158"/>
      <c r="AEG51" s="158"/>
      <c r="AEH51" s="158"/>
      <c r="AEI51" s="158"/>
      <c r="AEJ51" s="158"/>
      <c r="AEK51" s="158"/>
      <c r="AEL51" s="158"/>
      <c r="AEM51" s="158"/>
      <c r="AEN51" s="158"/>
      <c r="AEO51" s="158"/>
      <c r="AEP51" s="158"/>
      <c r="AEQ51" s="158"/>
      <c r="AER51" s="158"/>
      <c r="AES51" s="158"/>
      <c r="AET51" s="158"/>
      <c r="AEU51" s="158"/>
      <c r="AEV51" s="158"/>
      <c r="AEW51" s="158"/>
      <c r="AEX51" s="158"/>
      <c r="AEY51" s="158"/>
      <c r="AEZ51" s="158"/>
      <c r="AFA51" s="158"/>
      <c r="AFB51" s="158"/>
      <c r="AFC51" s="158"/>
      <c r="AFD51" s="158"/>
      <c r="AFE51" s="158"/>
      <c r="AFF51" s="158"/>
      <c r="AFG51" s="158"/>
      <c r="AFH51" s="158"/>
      <c r="AFI51" s="158"/>
      <c r="AFJ51" s="158"/>
      <c r="AFK51" s="158"/>
      <c r="AFL51" s="158"/>
      <c r="AFM51" s="158"/>
      <c r="AFN51" s="158"/>
      <c r="AFO51" s="158"/>
      <c r="AFP51" s="158"/>
      <c r="AFQ51" s="158"/>
      <c r="AFR51" s="158"/>
      <c r="AFS51" s="158"/>
      <c r="AFT51" s="158"/>
      <c r="AFU51" s="158"/>
      <c r="AFV51" s="158"/>
      <c r="AFW51" s="158"/>
      <c r="AFX51" s="158"/>
      <c r="AFY51" s="158"/>
      <c r="AFZ51" s="158"/>
      <c r="AGA51" s="158"/>
      <c r="AGB51" s="158"/>
      <c r="AGC51" s="158"/>
      <c r="AGD51" s="158"/>
      <c r="AGE51" s="158"/>
      <c r="AGF51" s="158"/>
      <c r="AGG51" s="158"/>
      <c r="AGH51" s="158"/>
      <c r="AGI51" s="158"/>
      <c r="AGJ51" s="158"/>
      <c r="AGK51" s="158"/>
      <c r="AGL51" s="158"/>
      <c r="AGM51" s="158"/>
      <c r="AGN51" s="158"/>
      <c r="AGO51" s="158"/>
      <c r="AGP51" s="158"/>
      <c r="AGQ51" s="158"/>
      <c r="AGR51" s="158"/>
      <c r="AGS51" s="158"/>
      <c r="AGT51" s="158"/>
      <c r="AGU51" s="158"/>
      <c r="AGV51" s="158"/>
      <c r="AGW51" s="158"/>
      <c r="AGX51" s="158"/>
      <c r="AGY51" s="158"/>
      <c r="AGZ51" s="158"/>
      <c r="AHA51" s="158"/>
      <c r="AHB51" s="158"/>
      <c r="AHC51" s="158"/>
      <c r="AHD51" s="158"/>
      <c r="AHE51" s="158"/>
      <c r="AHF51" s="158"/>
      <c r="AHG51" s="158"/>
      <c r="AHH51" s="158"/>
      <c r="AHI51" s="158"/>
      <c r="AHJ51" s="158"/>
      <c r="AHK51" s="158"/>
      <c r="AHL51" s="158"/>
      <c r="AHM51" s="158"/>
      <c r="AHN51" s="158"/>
      <c r="AHO51" s="158"/>
      <c r="AHP51" s="158"/>
      <c r="AHQ51" s="158"/>
      <c r="AHR51" s="158"/>
      <c r="AHS51" s="158"/>
      <c r="AHT51" s="158"/>
      <c r="AHU51" s="158"/>
      <c r="AHV51" s="158"/>
      <c r="AHW51" s="158"/>
      <c r="AHX51" s="158"/>
      <c r="AHY51" s="158"/>
      <c r="AHZ51" s="158"/>
      <c r="AIA51" s="158"/>
      <c r="AIB51" s="158"/>
      <c r="AIC51" s="158"/>
      <c r="AID51" s="158"/>
      <c r="AIE51" s="158"/>
      <c r="AIF51" s="158"/>
      <c r="AIG51" s="158"/>
      <c r="AIH51" s="158"/>
      <c r="AII51" s="158"/>
      <c r="AIJ51" s="158"/>
      <c r="AIK51" s="158"/>
      <c r="AIL51" s="158"/>
      <c r="AIM51" s="158"/>
      <c r="AIN51" s="158"/>
      <c r="AIO51" s="158"/>
      <c r="AIP51" s="158"/>
      <c r="AIQ51" s="158"/>
      <c r="AIR51" s="158"/>
      <c r="AIS51" s="158"/>
      <c r="AIT51" s="158"/>
      <c r="AIU51" s="158"/>
      <c r="AIV51" s="158"/>
      <c r="AIW51" s="158"/>
      <c r="AIX51" s="158"/>
      <c r="AIY51" s="158"/>
      <c r="AIZ51" s="158"/>
      <c r="AJA51" s="158"/>
      <c r="AJB51" s="158"/>
      <c r="AJC51" s="158"/>
      <c r="AJD51" s="158"/>
      <c r="AJE51" s="158"/>
      <c r="AJF51" s="158"/>
      <c r="AJG51" s="158"/>
      <c r="AJH51" s="158"/>
      <c r="AJI51" s="158"/>
      <c r="AJJ51" s="158"/>
      <c r="AJK51" s="158"/>
      <c r="AJL51" s="158"/>
      <c r="AJM51" s="158"/>
      <c r="AJN51" s="158"/>
      <c r="AJO51" s="158"/>
      <c r="AJP51" s="158"/>
      <c r="AJQ51" s="158"/>
      <c r="AJR51" s="158"/>
      <c r="AJS51" s="158"/>
      <c r="AJT51" s="158"/>
      <c r="AJU51" s="158"/>
      <c r="AJV51" s="158"/>
      <c r="AJW51" s="158"/>
      <c r="AJX51" s="158"/>
      <c r="AJY51" s="158"/>
      <c r="AJZ51" s="158"/>
      <c r="AKA51" s="158"/>
      <c r="AKB51" s="158"/>
      <c r="AKC51" s="158"/>
      <c r="AKD51" s="158"/>
      <c r="AKE51" s="158"/>
      <c r="AKF51" s="158"/>
      <c r="AKG51" s="158"/>
      <c r="AKH51" s="158"/>
      <c r="AKI51" s="158"/>
      <c r="AKJ51" s="158"/>
      <c r="AKK51" s="158"/>
      <c r="AKL51" s="158"/>
      <c r="AKM51" s="158"/>
      <c r="AKN51" s="158"/>
      <c r="AKO51" s="158"/>
      <c r="AKP51" s="158"/>
      <c r="AKQ51" s="158"/>
      <c r="AKR51" s="158"/>
      <c r="AKS51" s="158"/>
      <c r="AKT51" s="158"/>
      <c r="AKU51" s="158"/>
      <c r="AKV51" s="158"/>
      <c r="AKW51" s="158"/>
      <c r="AKX51" s="158"/>
      <c r="AKY51" s="158"/>
      <c r="AKZ51" s="158"/>
      <c r="ALA51" s="158"/>
      <c r="ALB51" s="158"/>
      <c r="ALC51" s="158"/>
      <c r="ALD51" s="158"/>
      <c r="ALE51" s="158"/>
      <c r="ALF51" s="158"/>
      <c r="ALG51" s="158"/>
      <c r="ALH51" s="158"/>
      <c r="ALI51" s="158"/>
      <c r="ALJ51" s="158"/>
      <c r="ALK51" s="158"/>
      <c r="ALL51" s="158"/>
      <c r="ALM51" s="158"/>
      <c r="ALN51" s="158"/>
      <c r="ALO51" s="158"/>
      <c r="ALP51" s="158"/>
      <c r="ALQ51" s="158"/>
      <c r="ALR51" s="158"/>
      <c r="ALS51" s="158"/>
      <c r="ALT51" s="158"/>
      <c r="ALU51" s="158"/>
      <c r="ALV51" s="158"/>
      <c r="ALW51" s="158"/>
      <c r="ALX51" s="158"/>
      <c r="ALY51" s="158"/>
      <c r="ALZ51" s="158"/>
      <c r="AMA51" s="158"/>
      <c r="AMB51" s="158"/>
      <c r="AMC51" s="158"/>
      <c r="AMD51" s="158"/>
      <c r="AME51" s="158"/>
      <c r="AMF51" s="158"/>
      <c r="AMG51" s="158"/>
      <c r="AMH51" s="158"/>
      <c r="AMI51" s="158"/>
      <c r="AMJ51" s="158"/>
      <c r="AMK51" s="158"/>
      <c r="AML51" s="158"/>
      <c r="AMM51" s="158"/>
      <c r="AMN51" s="158"/>
      <c r="AMO51" s="158"/>
      <c r="AMP51" s="158"/>
      <c r="AMQ51" s="158"/>
      <c r="AMR51" s="158"/>
      <c r="AMS51" s="158"/>
      <c r="AMT51" s="158"/>
      <c r="AMU51" s="158"/>
      <c r="AMV51" s="158"/>
      <c r="AMW51" s="158"/>
      <c r="AMX51" s="158"/>
      <c r="AMY51" s="158"/>
      <c r="AMZ51" s="158"/>
      <c r="ANA51" s="158"/>
      <c r="ANB51" s="158"/>
      <c r="ANC51" s="158"/>
      <c r="AND51" s="158"/>
      <c r="ANE51" s="158"/>
      <c r="ANF51" s="158"/>
      <c r="ANG51" s="158"/>
      <c r="ANH51" s="158"/>
      <c r="ANI51" s="158"/>
      <c r="ANJ51" s="158"/>
      <c r="ANK51" s="158"/>
      <c r="ANL51" s="158"/>
      <c r="ANM51" s="158"/>
      <c r="ANN51" s="158"/>
      <c r="ANO51" s="158"/>
      <c r="ANP51" s="158"/>
      <c r="ANQ51" s="158"/>
      <c r="ANR51" s="158"/>
      <c r="ANS51" s="158"/>
      <c r="ANT51" s="158"/>
      <c r="ANU51" s="158"/>
      <c r="ANV51" s="158"/>
      <c r="ANW51" s="158"/>
      <c r="ANX51" s="158"/>
      <c r="ANY51" s="158"/>
      <c r="ANZ51" s="158"/>
      <c r="AOA51" s="158"/>
      <c r="AOB51" s="158"/>
      <c r="AOC51" s="158"/>
      <c r="AOD51" s="158"/>
      <c r="AOE51" s="158"/>
      <c r="AOF51" s="158"/>
      <c r="AOG51" s="158"/>
      <c r="AOH51" s="158"/>
      <c r="AOI51" s="158"/>
      <c r="AOJ51" s="158"/>
      <c r="AOK51" s="158"/>
      <c r="AOL51" s="158"/>
      <c r="AOM51" s="158"/>
      <c r="AON51" s="158"/>
      <c r="AOO51" s="158"/>
      <c r="AOP51" s="158"/>
      <c r="AOQ51" s="158"/>
      <c r="AOR51" s="158"/>
      <c r="AOS51" s="158"/>
      <c r="AOT51" s="158"/>
      <c r="AOU51" s="158"/>
      <c r="AOV51" s="158"/>
      <c r="AOW51" s="158"/>
      <c r="AOX51" s="158"/>
      <c r="AOY51" s="158"/>
      <c r="AOZ51" s="158"/>
      <c r="APA51" s="158"/>
      <c r="APB51" s="158"/>
      <c r="APC51" s="158"/>
      <c r="APD51" s="158"/>
      <c r="APE51" s="158"/>
      <c r="APF51" s="158"/>
      <c r="APG51" s="158"/>
      <c r="APH51" s="158"/>
      <c r="API51" s="158"/>
      <c r="APJ51" s="158"/>
      <c r="APK51" s="158"/>
      <c r="APL51" s="158"/>
      <c r="APM51" s="158"/>
      <c r="APN51" s="158"/>
      <c r="APO51" s="158"/>
      <c r="APP51" s="158"/>
      <c r="APQ51" s="158"/>
      <c r="APR51" s="158"/>
      <c r="APS51" s="158"/>
      <c r="APT51" s="158"/>
      <c r="APU51" s="158"/>
      <c r="APV51" s="158"/>
      <c r="APW51" s="158"/>
      <c r="APX51" s="158"/>
      <c r="APY51" s="158"/>
      <c r="APZ51" s="158"/>
      <c r="AQA51" s="158"/>
      <c r="AQB51" s="158"/>
      <c r="AQC51" s="158"/>
      <c r="AQD51" s="158"/>
      <c r="AQE51" s="158"/>
      <c r="AQF51" s="158"/>
      <c r="AQG51" s="158"/>
      <c r="AQH51" s="158"/>
      <c r="AQI51" s="158"/>
      <c r="AQJ51" s="158"/>
      <c r="AQK51" s="158"/>
      <c r="AQL51" s="158"/>
      <c r="AQM51" s="158"/>
      <c r="AQN51" s="158"/>
      <c r="AQO51" s="158"/>
      <c r="AQP51" s="158"/>
      <c r="AQQ51" s="158"/>
      <c r="AQR51" s="158"/>
      <c r="AQS51" s="158"/>
      <c r="AQT51" s="158"/>
      <c r="AQU51" s="158"/>
      <c r="AQV51" s="158"/>
      <c r="AQW51" s="158"/>
      <c r="AQX51" s="158"/>
      <c r="AQY51" s="158"/>
      <c r="AQZ51" s="158"/>
      <c r="ARA51" s="158"/>
      <c r="ARB51" s="158"/>
      <c r="ARC51" s="158"/>
      <c r="ARD51" s="158"/>
      <c r="ARE51" s="158"/>
      <c r="ARF51" s="158"/>
      <c r="ARG51" s="158"/>
      <c r="ARH51" s="158"/>
      <c r="ARI51" s="158"/>
      <c r="ARJ51" s="158"/>
      <c r="ARK51" s="158"/>
      <c r="ARL51" s="158"/>
      <c r="ARM51" s="158"/>
      <c r="ARN51" s="158"/>
      <c r="ARO51" s="158"/>
      <c r="ARP51" s="158"/>
      <c r="ARQ51" s="158"/>
      <c r="ARR51" s="158"/>
      <c r="ARS51" s="158"/>
      <c r="ART51" s="158"/>
      <c r="ARU51" s="158"/>
      <c r="ARV51" s="158"/>
      <c r="ARW51" s="158"/>
      <c r="ARX51" s="158"/>
      <c r="ARY51" s="158"/>
      <c r="ARZ51" s="158"/>
      <c r="ASA51" s="158"/>
      <c r="ASB51" s="158"/>
      <c r="ASC51" s="158"/>
      <c r="ASD51" s="158"/>
      <c r="ASE51" s="158"/>
      <c r="ASF51" s="158"/>
      <c r="ASG51" s="158"/>
      <c r="ASH51" s="158"/>
      <c r="ASI51" s="158"/>
      <c r="ASJ51" s="158"/>
      <c r="ASK51" s="158"/>
      <c r="ASL51" s="158"/>
      <c r="ASM51" s="158"/>
      <c r="ASN51" s="158"/>
      <c r="ASO51" s="158"/>
      <c r="ASP51" s="158"/>
      <c r="ASQ51" s="158"/>
      <c r="ASR51" s="158"/>
      <c r="ASS51" s="158"/>
      <c r="AST51" s="158"/>
      <c r="ASU51" s="158"/>
      <c r="ASV51" s="158"/>
      <c r="ASW51" s="158"/>
      <c r="ASX51" s="158"/>
      <c r="ASY51" s="158"/>
      <c r="ASZ51" s="158"/>
      <c r="ATA51" s="158"/>
      <c r="ATB51" s="158"/>
      <c r="ATC51" s="158"/>
      <c r="ATD51" s="158"/>
      <c r="ATE51" s="158"/>
      <c r="ATF51" s="158"/>
      <c r="ATG51" s="158"/>
      <c r="ATH51" s="158"/>
      <c r="ATI51" s="158"/>
      <c r="ATJ51" s="158"/>
      <c r="ATK51" s="158"/>
      <c r="ATL51" s="158"/>
      <c r="ATM51" s="158"/>
      <c r="ATN51" s="158"/>
      <c r="ATO51" s="158"/>
      <c r="ATP51" s="158"/>
      <c r="ATQ51" s="158"/>
      <c r="ATR51" s="158"/>
      <c r="ATS51" s="158"/>
      <c r="ATT51" s="158"/>
      <c r="ATU51" s="158"/>
      <c r="ATV51" s="158"/>
      <c r="ATW51" s="158"/>
      <c r="ATX51" s="158"/>
      <c r="ATY51" s="158"/>
      <c r="ATZ51" s="158"/>
      <c r="AUA51" s="158"/>
      <c r="AUB51" s="158"/>
      <c r="AUC51" s="158"/>
      <c r="AUD51" s="158"/>
      <c r="AUE51" s="158"/>
      <c r="AUF51" s="158"/>
      <c r="AUG51" s="158"/>
      <c r="AUH51" s="158"/>
      <c r="AUI51" s="158"/>
      <c r="AUJ51" s="158"/>
      <c r="AUK51" s="158"/>
      <c r="AUL51" s="158"/>
      <c r="AUM51" s="158"/>
      <c r="AUN51" s="158"/>
      <c r="AUO51" s="158"/>
      <c r="AUP51" s="158"/>
      <c r="AUQ51" s="158"/>
      <c r="AUR51" s="158"/>
      <c r="AUS51" s="158"/>
      <c r="AUT51" s="158"/>
      <c r="AUU51" s="158"/>
      <c r="AUV51" s="158"/>
      <c r="AUW51" s="158"/>
      <c r="AUX51" s="158"/>
      <c r="AUY51" s="158"/>
      <c r="AUZ51" s="158"/>
      <c r="AVA51" s="158"/>
      <c r="AVB51" s="158"/>
      <c r="AVC51" s="158"/>
      <c r="AVD51" s="158"/>
      <c r="AVE51" s="158"/>
      <c r="AVF51" s="158"/>
      <c r="AVG51" s="158"/>
      <c r="AVH51" s="158"/>
      <c r="AVI51" s="158"/>
      <c r="AVJ51" s="158"/>
      <c r="AVK51" s="158"/>
      <c r="AVL51" s="158"/>
      <c r="AVM51" s="158"/>
      <c r="AVN51" s="158"/>
      <c r="AVO51" s="158"/>
      <c r="AVP51" s="158"/>
      <c r="AVQ51" s="158"/>
      <c r="AVR51" s="158"/>
      <c r="AVS51" s="158"/>
      <c r="AVT51" s="158"/>
      <c r="AVU51" s="158"/>
      <c r="AVV51" s="158"/>
      <c r="AVW51" s="158"/>
      <c r="AVX51" s="158"/>
      <c r="AVY51" s="158"/>
      <c r="AVZ51" s="158"/>
      <c r="AWA51" s="158"/>
      <c r="AWB51" s="158"/>
      <c r="AWC51" s="158"/>
      <c r="AWD51" s="158"/>
      <c r="AWE51" s="158"/>
      <c r="AWF51" s="158"/>
      <c r="AWG51" s="158"/>
      <c r="AWH51" s="158"/>
      <c r="AWI51" s="158"/>
      <c r="AWJ51" s="158"/>
      <c r="AWK51" s="158"/>
      <c r="AWL51" s="158"/>
      <c r="AWM51" s="158"/>
      <c r="AWN51" s="158"/>
      <c r="AWO51" s="158"/>
      <c r="AWP51" s="158"/>
      <c r="AWQ51" s="158"/>
      <c r="AWR51" s="158"/>
      <c r="AWS51" s="158"/>
      <c r="AWT51" s="158"/>
      <c r="AWU51" s="158"/>
      <c r="AWV51" s="158"/>
      <c r="AWW51" s="158"/>
      <c r="AWX51" s="158"/>
      <c r="AWY51" s="158"/>
      <c r="AWZ51" s="158"/>
      <c r="AXA51" s="158"/>
      <c r="AXB51" s="158"/>
      <c r="AXC51" s="158"/>
      <c r="AXD51" s="158"/>
      <c r="AXE51" s="158"/>
      <c r="AXF51" s="158"/>
      <c r="AXG51" s="158"/>
      <c r="AXH51" s="158"/>
      <c r="AXI51" s="158"/>
      <c r="AXJ51" s="158"/>
      <c r="AXK51" s="158"/>
      <c r="AXL51" s="158"/>
      <c r="AXM51" s="158"/>
      <c r="AXN51" s="158"/>
      <c r="AXO51" s="158"/>
      <c r="AXP51" s="158"/>
      <c r="AXQ51" s="158"/>
      <c r="AXR51" s="158"/>
      <c r="AXS51" s="158"/>
      <c r="AXT51" s="158"/>
      <c r="AXU51" s="158"/>
      <c r="AXV51" s="158"/>
      <c r="AXW51" s="158"/>
      <c r="AXX51" s="158"/>
      <c r="AXY51" s="158"/>
      <c r="AXZ51" s="158"/>
      <c r="AYA51" s="158"/>
      <c r="AYB51" s="158"/>
      <c r="AYC51" s="158"/>
      <c r="AYD51" s="158"/>
      <c r="AYE51" s="158"/>
      <c r="AYF51" s="158"/>
      <c r="AYG51" s="158"/>
      <c r="AYH51" s="158"/>
      <c r="AYI51" s="158"/>
      <c r="AYJ51" s="158"/>
      <c r="AYK51" s="158"/>
      <c r="AYL51" s="158"/>
      <c r="AYM51" s="158"/>
      <c r="AYN51" s="158"/>
      <c r="AYO51" s="158"/>
      <c r="AYP51" s="158"/>
      <c r="AYQ51" s="158"/>
      <c r="AYR51" s="158"/>
      <c r="AYS51" s="158"/>
      <c r="AYT51" s="158"/>
      <c r="AYU51" s="158"/>
      <c r="AYV51" s="158"/>
      <c r="AYW51" s="158"/>
      <c r="AYX51" s="158"/>
      <c r="AYY51" s="158"/>
      <c r="AYZ51" s="158"/>
      <c r="AZA51" s="158"/>
      <c r="AZB51" s="158"/>
      <c r="AZC51" s="158"/>
      <c r="AZD51" s="158"/>
      <c r="AZE51" s="158"/>
      <c r="AZF51" s="158"/>
      <c r="AZG51" s="158"/>
      <c r="AZH51" s="158"/>
      <c r="AZI51" s="158"/>
      <c r="AZJ51" s="158"/>
      <c r="AZK51" s="158"/>
      <c r="AZL51" s="158"/>
      <c r="AZM51" s="158"/>
      <c r="AZN51" s="158"/>
      <c r="AZO51" s="158"/>
      <c r="AZP51" s="158"/>
      <c r="AZQ51" s="158"/>
      <c r="AZR51" s="158"/>
      <c r="AZS51" s="158"/>
      <c r="AZT51" s="158"/>
      <c r="AZU51" s="158"/>
      <c r="AZV51" s="158"/>
      <c r="AZW51" s="158"/>
      <c r="AZX51" s="158"/>
      <c r="AZY51" s="158"/>
      <c r="AZZ51" s="158"/>
      <c r="BAA51" s="158"/>
      <c r="BAB51" s="158"/>
      <c r="BAC51" s="158"/>
      <c r="BAD51" s="158"/>
      <c r="BAE51" s="158"/>
      <c r="BAF51" s="158"/>
      <c r="BAG51" s="158"/>
      <c r="BAH51" s="158"/>
      <c r="BAI51" s="158"/>
      <c r="BAJ51" s="158"/>
      <c r="BAK51" s="158"/>
      <c r="BAL51" s="158"/>
      <c r="BAM51" s="158"/>
      <c r="BAN51" s="158"/>
      <c r="BAO51" s="158"/>
      <c r="BAP51" s="158"/>
      <c r="BAQ51" s="158"/>
      <c r="BAR51" s="158"/>
      <c r="BAS51" s="158"/>
      <c r="BAT51" s="158"/>
      <c r="BAU51" s="158"/>
      <c r="BAV51" s="158"/>
      <c r="BAW51" s="158"/>
      <c r="BAX51" s="158"/>
      <c r="BAY51" s="158"/>
      <c r="BAZ51" s="158"/>
      <c r="BBA51" s="158"/>
      <c r="BBB51" s="158"/>
      <c r="BBC51" s="158"/>
      <c r="BBD51" s="158"/>
      <c r="BBE51" s="158"/>
      <c r="BBF51" s="158"/>
      <c r="BBG51" s="158"/>
      <c r="BBH51" s="158"/>
      <c r="BBI51" s="158"/>
      <c r="BBJ51" s="158"/>
      <c r="BBK51" s="158"/>
      <c r="BBL51" s="158"/>
      <c r="BBM51" s="158"/>
      <c r="BBN51" s="158"/>
      <c r="BBO51" s="158"/>
      <c r="BBP51" s="158"/>
      <c r="BBQ51" s="158"/>
      <c r="BBR51" s="158"/>
      <c r="BBS51" s="158"/>
      <c r="BBT51" s="158"/>
      <c r="BBU51" s="158"/>
      <c r="BBV51" s="158"/>
      <c r="BBW51" s="158"/>
      <c r="BBX51" s="158"/>
      <c r="BBY51" s="158"/>
      <c r="BBZ51" s="158"/>
      <c r="BCA51" s="158"/>
      <c r="BCB51" s="158"/>
      <c r="BCC51" s="158"/>
      <c r="BCD51" s="158"/>
      <c r="BCE51" s="158"/>
      <c r="BCF51" s="158"/>
      <c r="BCG51" s="158"/>
      <c r="BCH51" s="158"/>
      <c r="BCI51" s="158"/>
      <c r="BCJ51" s="158"/>
      <c r="BCK51" s="158"/>
      <c r="BCL51" s="158"/>
      <c r="BCM51" s="158"/>
      <c r="BCN51" s="158"/>
      <c r="BCO51" s="158"/>
      <c r="BCP51" s="158"/>
      <c r="BCQ51" s="158"/>
      <c r="BCR51" s="158"/>
      <c r="BCS51" s="158"/>
      <c r="BCT51" s="158"/>
      <c r="BCU51" s="158"/>
      <c r="BCV51" s="158"/>
      <c r="BCW51" s="158"/>
      <c r="BCX51" s="158"/>
      <c r="BCY51" s="158"/>
      <c r="BCZ51" s="158"/>
      <c r="BDA51" s="158"/>
      <c r="BDB51" s="158"/>
      <c r="BDC51" s="158"/>
      <c r="BDD51" s="158"/>
      <c r="BDE51" s="158"/>
      <c r="BDF51" s="158"/>
      <c r="BDG51" s="158"/>
      <c r="BDH51" s="158"/>
      <c r="BDI51" s="158"/>
      <c r="BDJ51" s="158"/>
      <c r="BDK51" s="158"/>
      <c r="BDL51" s="158"/>
      <c r="BDM51" s="158"/>
      <c r="BDN51" s="158"/>
      <c r="BDO51" s="158"/>
      <c r="BDP51" s="158"/>
      <c r="BDQ51" s="158"/>
      <c r="BDR51" s="158"/>
      <c r="BDS51" s="158"/>
      <c r="BDT51" s="158"/>
      <c r="BDU51" s="158"/>
      <c r="BDV51" s="158"/>
      <c r="BDW51" s="158"/>
      <c r="BDX51" s="158"/>
      <c r="BDY51" s="158"/>
      <c r="BDZ51" s="158"/>
      <c r="BEA51" s="158"/>
      <c r="BEB51" s="158"/>
      <c r="BEC51" s="158"/>
      <c r="BED51" s="158"/>
      <c r="BEE51" s="158"/>
      <c r="BEF51" s="158"/>
      <c r="BEG51" s="158"/>
      <c r="BEH51" s="158"/>
      <c r="BEI51" s="158"/>
      <c r="BEJ51" s="158"/>
      <c r="BEK51" s="158"/>
      <c r="BEL51" s="158"/>
      <c r="BEM51" s="158"/>
      <c r="BEN51" s="158"/>
      <c r="BEO51" s="158"/>
      <c r="BEP51" s="158"/>
      <c r="BEQ51" s="158"/>
      <c r="BER51" s="158"/>
      <c r="BES51" s="158"/>
      <c r="BET51" s="158"/>
      <c r="BEU51" s="158"/>
      <c r="BEV51" s="158"/>
      <c r="BEW51" s="158"/>
      <c r="BEX51" s="158"/>
      <c r="BEY51" s="158"/>
      <c r="BEZ51" s="158"/>
      <c r="BFA51" s="158"/>
      <c r="BFB51" s="158"/>
      <c r="BFC51" s="158"/>
      <c r="BFD51" s="158"/>
      <c r="BFE51" s="158"/>
      <c r="BFF51" s="158"/>
      <c r="BFG51" s="158"/>
      <c r="BFH51" s="158"/>
      <c r="BFI51" s="158"/>
      <c r="BFJ51" s="158"/>
      <c r="BFK51" s="158"/>
      <c r="BFL51" s="158"/>
      <c r="BFM51" s="158"/>
      <c r="BFN51" s="158"/>
      <c r="BFO51" s="158"/>
      <c r="BFP51" s="158"/>
      <c r="BFQ51" s="158"/>
      <c r="BFR51" s="158"/>
      <c r="BFS51" s="158"/>
      <c r="BFT51" s="158"/>
      <c r="BFU51" s="158"/>
      <c r="BFV51" s="158"/>
      <c r="BFW51" s="158"/>
      <c r="BFX51" s="158"/>
      <c r="BFY51" s="158"/>
      <c r="BFZ51" s="158"/>
      <c r="BGA51" s="158"/>
      <c r="BGB51" s="158"/>
      <c r="BGC51" s="158"/>
      <c r="BGD51" s="158"/>
      <c r="BGE51" s="158"/>
      <c r="BGF51" s="158"/>
      <c r="BGG51" s="158"/>
      <c r="BGH51" s="158"/>
      <c r="BGI51" s="158"/>
      <c r="BGJ51" s="158"/>
      <c r="BGK51" s="158"/>
      <c r="BGL51" s="158"/>
      <c r="BGM51" s="158"/>
      <c r="BGN51" s="158"/>
      <c r="BGO51" s="158"/>
      <c r="BGP51" s="158"/>
      <c r="BGQ51" s="158"/>
      <c r="BGR51" s="158"/>
      <c r="BGS51" s="158"/>
      <c r="BGT51" s="158"/>
      <c r="BGU51" s="158"/>
      <c r="BGV51" s="158"/>
      <c r="BGW51" s="158"/>
      <c r="BGX51" s="158"/>
      <c r="BGY51" s="158"/>
      <c r="BGZ51" s="158"/>
      <c r="BHA51" s="158"/>
      <c r="BHB51" s="158"/>
      <c r="BHC51" s="158"/>
      <c r="BHD51" s="158"/>
      <c r="BHE51" s="158"/>
      <c r="BHF51" s="158"/>
      <c r="BHG51" s="158"/>
      <c r="BHH51" s="158"/>
      <c r="BHI51" s="158"/>
      <c r="BHJ51" s="158"/>
      <c r="BHK51" s="158"/>
      <c r="BHL51" s="158"/>
      <c r="BHM51" s="158"/>
      <c r="BHN51" s="158"/>
      <c r="BHO51" s="158"/>
      <c r="BHP51" s="158"/>
      <c r="BHQ51" s="158"/>
      <c r="BHR51" s="158"/>
      <c r="BHS51" s="158"/>
      <c r="BHT51" s="158"/>
      <c r="BHU51" s="158"/>
      <c r="BHV51" s="158"/>
      <c r="BHW51" s="158"/>
      <c r="BHX51" s="158"/>
      <c r="BHY51" s="158"/>
      <c r="BHZ51" s="158"/>
      <c r="BIA51" s="158"/>
      <c r="BIB51" s="158"/>
      <c r="BIC51" s="158"/>
      <c r="BID51" s="158"/>
      <c r="BIE51" s="158"/>
      <c r="BIF51" s="158"/>
      <c r="BIG51" s="158"/>
      <c r="BIH51" s="158"/>
      <c r="BII51" s="158"/>
      <c r="BIJ51" s="158"/>
      <c r="BIK51" s="158"/>
      <c r="BIL51" s="158"/>
      <c r="BIM51" s="158"/>
      <c r="BIN51" s="158"/>
      <c r="BIO51" s="158"/>
      <c r="BIP51" s="158"/>
      <c r="BIQ51" s="158"/>
      <c r="BIR51" s="158"/>
      <c r="BIS51" s="158"/>
      <c r="BIT51" s="158"/>
      <c r="BIU51" s="158"/>
      <c r="BIV51" s="158"/>
      <c r="BIW51" s="158"/>
      <c r="BIX51" s="158"/>
      <c r="BIY51" s="158"/>
      <c r="BIZ51" s="158"/>
      <c r="BJA51" s="158"/>
      <c r="BJB51" s="158"/>
      <c r="BJC51" s="158"/>
      <c r="BJD51" s="158"/>
      <c r="BJE51" s="158"/>
      <c r="BJF51" s="158"/>
      <c r="BJG51" s="158"/>
      <c r="BJH51" s="158"/>
      <c r="BJI51" s="158"/>
      <c r="BJJ51" s="158"/>
      <c r="BJK51" s="158"/>
      <c r="BJL51" s="158"/>
      <c r="BJM51" s="158"/>
      <c r="BJN51" s="158"/>
      <c r="BJO51" s="158"/>
      <c r="BJP51" s="158"/>
      <c r="BJQ51" s="158"/>
      <c r="BJR51" s="158"/>
      <c r="BJS51" s="158"/>
      <c r="BJT51" s="158"/>
      <c r="BJU51" s="158"/>
      <c r="BJV51" s="158"/>
      <c r="BJW51" s="158"/>
      <c r="BJX51" s="158"/>
      <c r="BJY51" s="158"/>
      <c r="BJZ51" s="158"/>
      <c r="BKA51" s="158"/>
      <c r="BKB51" s="158"/>
      <c r="BKC51" s="158"/>
      <c r="BKD51" s="158"/>
      <c r="BKE51" s="158"/>
      <c r="BKF51" s="158"/>
      <c r="BKG51" s="158"/>
      <c r="BKH51" s="158"/>
      <c r="BKI51" s="158"/>
      <c r="BKJ51" s="158"/>
      <c r="BKK51" s="158"/>
      <c r="BKL51" s="158"/>
      <c r="BKM51" s="158"/>
      <c r="BKN51" s="158"/>
      <c r="BKO51" s="158"/>
      <c r="BKP51" s="158"/>
      <c r="BKQ51" s="158"/>
      <c r="BKR51" s="158"/>
      <c r="BKS51" s="158"/>
      <c r="BKT51" s="158"/>
      <c r="BKU51" s="158"/>
      <c r="BKV51" s="158"/>
      <c r="BKW51" s="158"/>
      <c r="BKX51" s="158"/>
      <c r="BKY51" s="158"/>
      <c r="BKZ51" s="158"/>
      <c r="BLA51" s="158"/>
      <c r="BLB51" s="158"/>
      <c r="BLC51" s="158"/>
      <c r="BLD51" s="158"/>
      <c r="BLE51" s="158"/>
      <c r="BLF51" s="158"/>
      <c r="BLG51" s="158"/>
      <c r="BLH51" s="158"/>
      <c r="BLI51" s="158"/>
      <c r="BLJ51" s="158"/>
      <c r="BLK51" s="158"/>
      <c r="BLL51" s="158"/>
      <c r="BLM51" s="158"/>
      <c r="BLN51" s="158"/>
      <c r="BLO51" s="158"/>
      <c r="BLP51" s="158"/>
      <c r="BLQ51" s="158"/>
      <c r="BLR51" s="158"/>
      <c r="BLS51" s="158"/>
      <c r="BLT51" s="158"/>
      <c r="BLU51" s="158"/>
      <c r="BLV51" s="158"/>
      <c r="BLW51" s="158"/>
      <c r="BLX51" s="158"/>
      <c r="BLY51" s="158"/>
      <c r="BLZ51" s="158"/>
      <c r="BMA51" s="158"/>
      <c r="BMB51" s="158"/>
      <c r="BMC51" s="158"/>
      <c r="BMD51" s="158"/>
      <c r="BME51" s="158"/>
      <c r="BMF51" s="158"/>
      <c r="BMG51" s="158"/>
      <c r="BMH51" s="158"/>
      <c r="BMI51" s="158"/>
      <c r="BMJ51" s="158"/>
      <c r="BMK51" s="158"/>
      <c r="BML51" s="158"/>
      <c r="BMM51" s="158"/>
      <c r="BMN51" s="158"/>
      <c r="BMO51" s="158"/>
      <c r="BMP51" s="158"/>
      <c r="BMQ51" s="158"/>
      <c r="BMR51" s="158"/>
      <c r="BMS51" s="158"/>
      <c r="BMT51" s="158"/>
      <c r="BMU51" s="158"/>
      <c r="BMV51" s="158"/>
      <c r="BMW51" s="158"/>
      <c r="BMX51" s="158"/>
      <c r="BMY51" s="158"/>
      <c r="BMZ51" s="158"/>
      <c r="BNA51" s="158"/>
      <c r="BNB51" s="158"/>
      <c r="BNC51" s="158"/>
      <c r="BND51" s="158"/>
      <c r="BNE51" s="158"/>
      <c r="BNF51" s="158"/>
      <c r="BNG51" s="158"/>
      <c r="BNH51" s="158"/>
      <c r="BNI51" s="158"/>
      <c r="BNJ51" s="158"/>
      <c r="BNK51" s="158"/>
      <c r="BNL51" s="158"/>
      <c r="BNM51" s="158"/>
      <c r="BNN51" s="158"/>
      <c r="BNO51" s="158"/>
      <c r="BNP51" s="158"/>
      <c r="BNQ51" s="158"/>
      <c r="BNR51" s="158"/>
      <c r="BNS51" s="158"/>
      <c r="BNT51" s="158"/>
      <c r="BNU51" s="158"/>
      <c r="BNV51" s="158"/>
      <c r="BNW51" s="158"/>
      <c r="BNX51" s="158"/>
      <c r="BNY51" s="158"/>
      <c r="BNZ51" s="158"/>
      <c r="BOA51" s="158"/>
      <c r="BOB51" s="158"/>
      <c r="BOC51" s="158"/>
      <c r="BOD51" s="158"/>
      <c r="BOE51" s="158"/>
      <c r="BOF51" s="158"/>
      <c r="BOG51" s="158"/>
      <c r="BOH51" s="158"/>
      <c r="BOI51" s="158"/>
      <c r="BOJ51" s="158"/>
      <c r="BOK51" s="158"/>
      <c r="BOL51" s="158"/>
      <c r="BOM51" s="158"/>
      <c r="BON51" s="158"/>
      <c r="BOO51" s="158"/>
      <c r="BOP51" s="158"/>
      <c r="BOQ51" s="158"/>
      <c r="BOR51" s="158"/>
      <c r="BOS51" s="158"/>
      <c r="BOT51" s="158"/>
      <c r="BOU51" s="158"/>
      <c r="BOV51" s="158"/>
      <c r="BOW51" s="158"/>
      <c r="BOX51" s="158"/>
      <c r="BOY51" s="158"/>
      <c r="BOZ51" s="158"/>
      <c r="BPA51" s="158"/>
      <c r="BPB51" s="158"/>
      <c r="BPC51" s="158"/>
      <c r="BPD51" s="158"/>
      <c r="BPE51" s="158"/>
      <c r="BPF51" s="158"/>
      <c r="BPG51" s="158"/>
      <c r="BPH51" s="158"/>
      <c r="BPI51" s="158"/>
      <c r="BPJ51" s="158"/>
      <c r="BPK51" s="158"/>
      <c r="BPL51" s="158"/>
      <c r="BPM51" s="158"/>
      <c r="BPN51" s="158"/>
      <c r="BPO51" s="158"/>
      <c r="BPP51" s="158"/>
      <c r="BPQ51" s="158"/>
      <c r="BPR51" s="158"/>
      <c r="BPS51" s="158"/>
      <c r="BPT51" s="158"/>
      <c r="BPU51" s="158"/>
      <c r="BPV51" s="158"/>
      <c r="BPW51" s="158"/>
      <c r="BPX51" s="158"/>
      <c r="BPY51" s="158"/>
      <c r="BPZ51" s="158"/>
      <c r="BQA51" s="158"/>
      <c r="BQB51" s="158"/>
      <c r="BQC51" s="158"/>
      <c r="BQD51" s="158"/>
      <c r="BQE51" s="158"/>
      <c r="BQF51" s="158"/>
      <c r="BQG51" s="158"/>
      <c r="BQH51" s="158"/>
      <c r="BQI51" s="158"/>
      <c r="BQJ51" s="158"/>
      <c r="BQK51" s="158"/>
      <c r="BQL51" s="158"/>
      <c r="BQM51" s="158"/>
      <c r="BQN51" s="158"/>
      <c r="BQO51" s="158"/>
      <c r="BQP51" s="158"/>
      <c r="BQQ51" s="158"/>
      <c r="BQR51" s="158"/>
      <c r="BQS51" s="158"/>
      <c r="BQT51" s="158"/>
      <c r="BQU51" s="158"/>
      <c r="BQV51" s="158"/>
      <c r="BQW51" s="158"/>
      <c r="BQX51" s="158"/>
      <c r="BQY51" s="158"/>
      <c r="BQZ51" s="158"/>
      <c r="BRA51" s="158"/>
      <c r="BRB51" s="158"/>
      <c r="BRC51" s="158"/>
      <c r="BRD51" s="158"/>
      <c r="BRE51" s="158"/>
      <c r="BRF51" s="158"/>
      <c r="BRG51" s="158"/>
      <c r="BRH51" s="158"/>
      <c r="BRI51" s="158"/>
      <c r="BRJ51" s="158"/>
      <c r="BRK51" s="158"/>
      <c r="BRL51" s="158"/>
      <c r="BRM51" s="158"/>
      <c r="BRN51" s="158"/>
      <c r="BRO51" s="158"/>
      <c r="BRP51" s="158"/>
      <c r="BRQ51" s="158"/>
      <c r="BRR51" s="158"/>
      <c r="BRS51" s="158"/>
      <c r="BRT51" s="158"/>
      <c r="BRU51" s="158"/>
      <c r="BRV51" s="158"/>
      <c r="BRW51" s="158"/>
      <c r="BRX51" s="158"/>
      <c r="BRY51" s="158"/>
      <c r="BRZ51" s="158"/>
      <c r="BSA51" s="158"/>
      <c r="BSB51" s="158"/>
      <c r="BSC51" s="158"/>
      <c r="BSD51" s="158"/>
      <c r="BSE51" s="158"/>
      <c r="BSF51" s="158"/>
      <c r="BSG51" s="158"/>
      <c r="BSH51" s="158"/>
      <c r="BSI51" s="158"/>
      <c r="BSJ51" s="158"/>
      <c r="BSK51" s="158"/>
      <c r="BSL51" s="158"/>
      <c r="BSM51" s="158"/>
      <c r="BSN51" s="158"/>
      <c r="BSO51" s="158"/>
      <c r="BSP51" s="158"/>
      <c r="BSQ51" s="158"/>
      <c r="BSR51" s="158"/>
      <c r="BSS51" s="158"/>
      <c r="BST51" s="158"/>
      <c r="BSU51" s="158"/>
      <c r="BSV51" s="158"/>
      <c r="BSW51" s="158"/>
      <c r="BSX51" s="158"/>
      <c r="BSY51" s="158"/>
      <c r="BSZ51" s="158"/>
      <c r="BTA51" s="158"/>
      <c r="BTB51" s="158"/>
      <c r="BTC51" s="158"/>
      <c r="BTD51" s="158"/>
      <c r="BTE51" s="158"/>
      <c r="BTF51" s="158"/>
      <c r="BTG51" s="158"/>
      <c r="BTH51" s="158"/>
      <c r="BTI51" s="158"/>
      <c r="BTJ51" s="158"/>
      <c r="BTK51" s="158"/>
      <c r="BTL51" s="158"/>
      <c r="BTM51" s="158"/>
      <c r="BTN51" s="158"/>
      <c r="BTO51" s="158"/>
      <c r="BTP51" s="158"/>
      <c r="BTQ51" s="158"/>
      <c r="BTR51" s="158"/>
      <c r="BTS51" s="158"/>
      <c r="BTT51" s="158"/>
      <c r="BTU51" s="158"/>
      <c r="BTV51" s="158"/>
      <c r="BTW51" s="158"/>
      <c r="BTX51" s="158"/>
      <c r="BTY51" s="158"/>
      <c r="BTZ51" s="158"/>
      <c r="BUA51" s="158"/>
      <c r="BUB51" s="158"/>
      <c r="BUC51" s="158"/>
      <c r="BUD51" s="158"/>
      <c r="BUE51" s="158"/>
      <c r="BUF51" s="158"/>
      <c r="BUG51" s="158"/>
      <c r="BUH51" s="158"/>
      <c r="BUI51" s="158"/>
      <c r="BUJ51" s="158"/>
      <c r="BUK51" s="158"/>
      <c r="BUL51" s="158"/>
      <c r="BUM51" s="158"/>
      <c r="BUN51" s="158"/>
      <c r="BUO51" s="158"/>
      <c r="BUP51" s="158"/>
      <c r="BUQ51" s="158"/>
      <c r="BUR51" s="158"/>
      <c r="BUS51" s="158"/>
      <c r="BUT51" s="158"/>
      <c r="BUU51" s="158"/>
      <c r="BUV51" s="158"/>
      <c r="BUW51" s="158"/>
      <c r="BUX51" s="158"/>
      <c r="BUY51" s="158"/>
      <c r="BUZ51" s="158"/>
      <c r="BVA51" s="158"/>
      <c r="BVB51" s="158"/>
      <c r="BVC51" s="158"/>
      <c r="BVD51" s="158"/>
      <c r="BVE51" s="158"/>
      <c r="BVF51" s="158"/>
      <c r="BVG51" s="158"/>
      <c r="BVH51" s="158"/>
      <c r="BVI51" s="158"/>
      <c r="BVJ51" s="158"/>
      <c r="BVK51" s="158"/>
      <c r="BVL51" s="158"/>
      <c r="BVM51" s="158"/>
      <c r="BVN51" s="158"/>
      <c r="BVO51" s="158"/>
      <c r="BVP51" s="158"/>
      <c r="BVQ51" s="158"/>
      <c r="BVR51" s="158"/>
      <c r="BVS51" s="158"/>
      <c r="BVT51" s="158"/>
      <c r="BVU51" s="158"/>
      <c r="BVV51" s="158"/>
      <c r="BVW51" s="158"/>
      <c r="BVX51" s="158"/>
      <c r="BVY51" s="158"/>
      <c r="BVZ51" s="158"/>
      <c r="BWA51" s="158"/>
      <c r="BWB51" s="158"/>
      <c r="BWC51" s="158"/>
      <c r="BWD51" s="158"/>
      <c r="BWE51" s="158"/>
      <c r="BWF51" s="158"/>
      <c r="BWG51" s="158"/>
      <c r="BWH51" s="158"/>
      <c r="BWI51" s="158"/>
      <c r="BWJ51" s="158"/>
      <c r="BWK51" s="158"/>
      <c r="BWL51" s="158"/>
      <c r="BWM51" s="158"/>
      <c r="BWN51" s="158"/>
      <c r="BWO51" s="158"/>
      <c r="BWP51" s="158"/>
      <c r="BWQ51" s="158"/>
      <c r="BWR51" s="158"/>
      <c r="BWS51" s="158"/>
      <c r="BWT51" s="158"/>
      <c r="BWU51" s="158"/>
      <c r="BWV51" s="158"/>
      <c r="BWW51" s="158"/>
      <c r="BWX51" s="158"/>
      <c r="BWY51" s="158"/>
      <c r="BWZ51" s="158"/>
      <c r="BXA51" s="158"/>
      <c r="BXB51" s="158"/>
      <c r="BXC51" s="158"/>
      <c r="BXD51" s="158"/>
      <c r="BXE51" s="158"/>
      <c r="BXF51" s="158"/>
      <c r="BXG51" s="158"/>
      <c r="BXH51" s="158"/>
      <c r="BXI51" s="158"/>
      <c r="BXJ51" s="158"/>
      <c r="BXK51" s="158"/>
      <c r="BXL51" s="158"/>
      <c r="BXM51" s="158"/>
      <c r="BXN51" s="158"/>
      <c r="BXO51" s="158"/>
      <c r="BXP51" s="158"/>
      <c r="BXQ51" s="158"/>
      <c r="BXR51" s="158"/>
      <c r="BXS51" s="158"/>
      <c r="BXT51" s="158"/>
      <c r="BXU51" s="158"/>
      <c r="BXV51" s="158"/>
      <c r="BXW51" s="158"/>
      <c r="BXX51" s="158"/>
      <c r="BXY51" s="158"/>
      <c r="BXZ51" s="158"/>
      <c r="BYA51" s="158"/>
      <c r="BYB51" s="158"/>
      <c r="BYC51" s="158"/>
      <c r="BYD51" s="158"/>
      <c r="BYE51" s="158"/>
      <c r="BYF51" s="158"/>
      <c r="BYG51" s="158"/>
      <c r="BYH51" s="158"/>
      <c r="BYI51" s="158"/>
      <c r="BYJ51" s="158"/>
      <c r="BYK51" s="158"/>
      <c r="BYL51" s="158"/>
      <c r="BYM51" s="158"/>
      <c r="BYN51" s="158"/>
      <c r="BYO51" s="158"/>
      <c r="BYP51" s="158"/>
      <c r="BYQ51" s="158"/>
      <c r="BYR51" s="158"/>
      <c r="BYS51" s="158"/>
      <c r="BYT51" s="158"/>
      <c r="BYU51" s="158"/>
      <c r="BYV51" s="158"/>
      <c r="BYW51" s="158"/>
      <c r="BYX51" s="158"/>
      <c r="BYY51" s="158"/>
      <c r="BYZ51" s="158"/>
      <c r="BZA51" s="158"/>
      <c r="BZB51" s="158"/>
      <c r="BZC51" s="158"/>
      <c r="BZD51" s="158"/>
      <c r="BZE51" s="158"/>
      <c r="BZF51" s="158"/>
      <c r="BZG51" s="158"/>
      <c r="BZH51" s="158"/>
      <c r="BZI51" s="158"/>
      <c r="BZJ51" s="158"/>
      <c r="BZK51" s="158"/>
      <c r="BZL51" s="158"/>
      <c r="BZM51" s="158"/>
      <c r="BZN51" s="158"/>
      <c r="BZO51" s="158"/>
      <c r="BZP51" s="158"/>
      <c r="BZQ51" s="158"/>
      <c r="BZR51" s="158"/>
      <c r="BZS51" s="158"/>
      <c r="BZT51" s="158"/>
      <c r="BZU51" s="158"/>
      <c r="BZV51" s="158"/>
      <c r="BZW51" s="158"/>
      <c r="BZX51" s="158"/>
      <c r="BZY51" s="158"/>
      <c r="BZZ51" s="158"/>
      <c r="CAA51" s="158"/>
      <c r="CAB51" s="158"/>
      <c r="CAC51" s="158"/>
      <c r="CAD51" s="158"/>
      <c r="CAE51" s="158"/>
      <c r="CAF51" s="158"/>
      <c r="CAG51" s="158"/>
      <c r="CAH51" s="158"/>
      <c r="CAI51" s="158"/>
      <c r="CAJ51" s="158"/>
      <c r="CAK51" s="158"/>
      <c r="CAL51" s="158"/>
      <c r="CAM51" s="158"/>
      <c r="CAN51" s="158"/>
      <c r="CAO51" s="158"/>
      <c r="CAP51" s="158"/>
      <c r="CAQ51" s="158"/>
      <c r="CAR51" s="158"/>
      <c r="CAS51" s="158"/>
      <c r="CAT51" s="158"/>
      <c r="CAU51" s="158"/>
      <c r="CAV51" s="158"/>
      <c r="CAW51" s="158"/>
      <c r="CAX51" s="158"/>
      <c r="CAY51" s="158"/>
      <c r="CAZ51" s="158"/>
      <c r="CBA51" s="158"/>
      <c r="CBB51" s="158"/>
      <c r="CBC51" s="158"/>
      <c r="CBD51" s="158"/>
      <c r="CBE51" s="158"/>
      <c r="CBF51" s="158"/>
      <c r="CBG51" s="158"/>
      <c r="CBH51" s="158"/>
      <c r="CBI51" s="158"/>
      <c r="CBJ51" s="158"/>
      <c r="CBK51" s="158"/>
      <c r="CBL51" s="158"/>
      <c r="CBM51" s="158"/>
      <c r="CBN51" s="158"/>
      <c r="CBO51" s="158"/>
      <c r="CBP51" s="158"/>
      <c r="CBQ51" s="158"/>
      <c r="CBR51" s="158"/>
      <c r="CBS51" s="158"/>
      <c r="CBT51" s="158"/>
      <c r="CBU51" s="158"/>
      <c r="CBV51" s="158"/>
      <c r="CBW51" s="158"/>
      <c r="CBX51" s="158"/>
      <c r="CBY51" s="158"/>
      <c r="CBZ51" s="158"/>
      <c r="CCA51" s="158"/>
      <c r="CCB51" s="158"/>
      <c r="CCC51" s="158"/>
      <c r="CCD51" s="158"/>
      <c r="CCE51" s="158"/>
      <c r="CCF51" s="158"/>
      <c r="CCG51" s="158"/>
      <c r="CCH51" s="158"/>
      <c r="CCI51" s="158"/>
      <c r="CCJ51" s="158"/>
      <c r="CCK51" s="158"/>
      <c r="CCL51" s="158"/>
      <c r="CCM51" s="158"/>
      <c r="CCN51" s="158"/>
      <c r="CCO51" s="158"/>
      <c r="CCP51" s="158"/>
      <c r="CCQ51" s="158"/>
      <c r="CCR51" s="158"/>
      <c r="CCS51" s="158"/>
      <c r="CCT51" s="158"/>
      <c r="CCU51" s="158"/>
      <c r="CCV51" s="158"/>
      <c r="CCW51" s="158"/>
      <c r="CCX51" s="158"/>
      <c r="CCY51" s="158"/>
      <c r="CCZ51" s="158"/>
      <c r="CDA51" s="158"/>
      <c r="CDB51" s="158"/>
      <c r="CDC51" s="158"/>
      <c r="CDD51" s="158"/>
      <c r="CDE51" s="158"/>
      <c r="CDF51" s="158"/>
      <c r="CDG51" s="158"/>
      <c r="CDH51" s="158"/>
      <c r="CDI51" s="158"/>
      <c r="CDJ51" s="158"/>
      <c r="CDK51" s="158"/>
      <c r="CDL51" s="158"/>
      <c r="CDM51" s="158"/>
      <c r="CDN51" s="158"/>
      <c r="CDO51" s="158"/>
      <c r="CDP51" s="158"/>
      <c r="CDQ51" s="158"/>
      <c r="CDR51" s="158"/>
      <c r="CDS51" s="158"/>
      <c r="CDT51" s="158"/>
      <c r="CDU51" s="158"/>
      <c r="CDV51" s="158"/>
      <c r="CDW51" s="158"/>
      <c r="CDX51" s="158"/>
      <c r="CDY51" s="158"/>
      <c r="CDZ51" s="158"/>
      <c r="CEA51" s="158"/>
      <c r="CEB51" s="158"/>
      <c r="CEC51" s="158"/>
      <c r="CED51" s="158"/>
      <c r="CEE51" s="158"/>
      <c r="CEF51" s="158"/>
      <c r="CEG51" s="158"/>
      <c r="CEH51" s="158"/>
      <c r="CEI51" s="158"/>
      <c r="CEJ51" s="158"/>
      <c r="CEK51" s="158"/>
      <c r="CEL51" s="158"/>
      <c r="CEM51" s="158"/>
      <c r="CEN51" s="158"/>
      <c r="CEO51" s="158"/>
      <c r="CEP51" s="158"/>
      <c r="CEQ51" s="158"/>
      <c r="CER51" s="158"/>
      <c r="CES51" s="158"/>
      <c r="CET51" s="158"/>
      <c r="CEU51" s="158"/>
      <c r="CEV51" s="158"/>
      <c r="CEW51" s="158"/>
      <c r="CEX51" s="158"/>
      <c r="CEY51" s="158"/>
      <c r="CEZ51" s="158"/>
      <c r="CFA51" s="158"/>
      <c r="CFB51" s="158"/>
      <c r="CFC51" s="158"/>
      <c r="CFD51" s="158"/>
      <c r="CFE51" s="158"/>
      <c r="CFF51" s="158"/>
      <c r="CFG51" s="158"/>
      <c r="CFH51" s="158"/>
      <c r="CFI51" s="158"/>
      <c r="CFJ51" s="158"/>
      <c r="CFK51" s="158"/>
      <c r="CFL51" s="158"/>
      <c r="CFM51" s="158"/>
      <c r="CFN51" s="158"/>
      <c r="CFO51" s="158"/>
      <c r="CFP51" s="158"/>
      <c r="CFQ51" s="158"/>
      <c r="CFR51" s="158"/>
      <c r="CFS51" s="158"/>
      <c r="CFT51" s="158"/>
      <c r="CFU51" s="158"/>
      <c r="CFV51" s="158"/>
      <c r="CFW51" s="158"/>
      <c r="CFX51" s="158"/>
      <c r="CFY51" s="158"/>
      <c r="CFZ51" s="158"/>
      <c r="CGA51" s="158"/>
      <c r="CGB51" s="158"/>
      <c r="CGC51" s="158"/>
      <c r="CGD51" s="158"/>
      <c r="CGE51" s="158"/>
      <c r="CGF51" s="158"/>
      <c r="CGG51" s="158"/>
      <c r="CGH51" s="158"/>
      <c r="CGI51" s="158"/>
      <c r="CGJ51" s="158"/>
      <c r="CGK51" s="158"/>
      <c r="CGL51" s="158"/>
      <c r="CGM51" s="158"/>
      <c r="CGN51" s="158"/>
      <c r="CGO51" s="158"/>
      <c r="CGP51" s="158"/>
      <c r="CGQ51" s="158"/>
      <c r="CGR51" s="158"/>
      <c r="CGS51" s="158"/>
      <c r="CGT51" s="158"/>
      <c r="CGU51" s="158"/>
      <c r="CGV51" s="158"/>
      <c r="CGW51" s="158"/>
      <c r="CGX51" s="158"/>
      <c r="CGY51" s="158"/>
      <c r="CGZ51" s="158"/>
      <c r="CHA51" s="158"/>
      <c r="CHB51" s="158"/>
      <c r="CHC51" s="158"/>
      <c r="CHD51" s="158"/>
      <c r="CHE51" s="158"/>
      <c r="CHF51" s="158"/>
      <c r="CHG51" s="158"/>
      <c r="CHH51" s="158"/>
      <c r="CHI51" s="158"/>
      <c r="CHJ51" s="158"/>
      <c r="CHK51" s="158"/>
      <c r="CHL51" s="158"/>
      <c r="CHM51" s="158"/>
      <c r="CHN51" s="158"/>
      <c r="CHO51" s="158"/>
      <c r="CHP51" s="158"/>
      <c r="CHQ51" s="158"/>
      <c r="CHR51" s="158"/>
      <c r="CHS51" s="158"/>
      <c r="CHT51" s="158"/>
      <c r="CHU51" s="158"/>
      <c r="CHV51" s="158"/>
      <c r="CHW51" s="158"/>
      <c r="CHX51" s="158"/>
      <c r="CHY51" s="158"/>
      <c r="CHZ51" s="158"/>
      <c r="CIA51" s="158"/>
      <c r="CIB51" s="158"/>
      <c r="CIC51" s="158"/>
      <c r="CID51" s="158"/>
      <c r="CIE51" s="158"/>
      <c r="CIF51" s="158"/>
      <c r="CIG51" s="158"/>
      <c r="CIH51" s="158"/>
      <c r="CII51" s="158"/>
      <c r="CIJ51" s="158"/>
      <c r="CIK51" s="158"/>
      <c r="CIL51" s="158"/>
      <c r="CIM51" s="158"/>
      <c r="CIN51" s="158"/>
      <c r="CIO51" s="158"/>
      <c r="CIP51" s="158"/>
      <c r="CIQ51" s="158"/>
      <c r="CIR51" s="158"/>
      <c r="CIS51" s="158"/>
      <c r="CIT51" s="158"/>
      <c r="CIU51" s="158"/>
      <c r="CIV51" s="158"/>
      <c r="CIW51" s="158"/>
      <c r="CIX51" s="158"/>
      <c r="CIY51" s="158"/>
      <c r="CIZ51" s="158"/>
      <c r="CJA51" s="158"/>
      <c r="CJB51" s="158"/>
      <c r="CJC51" s="158"/>
      <c r="CJD51" s="158"/>
      <c r="CJE51" s="158"/>
      <c r="CJF51" s="158"/>
      <c r="CJG51" s="158"/>
      <c r="CJH51" s="158"/>
      <c r="CJI51" s="158"/>
      <c r="CJJ51" s="158"/>
      <c r="CJK51" s="158"/>
      <c r="CJL51" s="158"/>
      <c r="CJM51" s="158"/>
      <c r="CJN51" s="158"/>
      <c r="CJO51" s="158"/>
      <c r="CJP51" s="158"/>
      <c r="CJQ51" s="158"/>
      <c r="CJR51" s="158"/>
      <c r="CJS51" s="158"/>
      <c r="CJT51" s="158"/>
      <c r="CJU51" s="158"/>
      <c r="CJV51" s="158"/>
      <c r="CJW51" s="158"/>
      <c r="CJX51" s="158"/>
      <c r="CJY51" s="158"/>
      <c r="CJZ51" s="158"/>
      <c r="CKA51" s="158"/>
      <c r="CKB51" s="158"/>
      <c r="CKC51" s="158"/>
      <c r="CKD51" s="158"/>
      <c r="CKE51" s="158"/>
      <c r="CKF51" s="158"/>
      <c r="CKG51" s="158"/>
      <c r="CKH51" s="158"/>
      <c r="CKI51" s="158"/>
      <c r="CKJ51" s="158"/>
      <c r="CKK51" s="158"/>
      <c r="CKL51" s="158"/>
      <c r="CKM51" s="158"/>
      <c r="CKN51" s="158"/>
      <c r="CKO51" s="158"/>
      <c r="CKP51" s="158"/>
      <c r="CKQ51" s="158"/>
      <c r="CKR51" s="158"/>
      <c r="CKS51" s="158"/>
      <c r="CKT51" s="158"/>
      <c r="CKU51" s="158"/>
      <c r="CKV51" s="158"/>
      <c r="CKW51" s="158"/>
      <c r="CKX51" s="158"/>
      <c r="CKY51" s="158"/>
      <c r="CKZ51" s="158"/>
      <c r="CLA51" s="158"/>
      <c r="CLB51" s="158"/>
      <c r="CLC51" s="158"/>
      <c r="CLD51" s="158"/>
      <c r="CLE51" s="158"/>
      <c r="CLF51" s="158"/>
      <c r="CLG51" s="158"/>
      <c r="CLH51" s="158"/>
      <c r="CLI51" s="158"/>
      <c r="CLJ51" s="158"/>
      <c r="CLK51" s="158"/>
      <c r="CLL51" s="158"/>
      <c r="CLM51" s="158"/>
      <c r="CLN51" s="158"/>
      <c r="CLO51" s="158"/>
      <c r="CLP51" s="158"/>
      <c r="CLQ51" s="158"/>
      <c r="CLR51" s="158"/>
      <c r="CLS51" s="158"/>
      <c r="CLT51" s="158"/>
      <c r="CLU51" s="158"/>
      <c r="CLV51" s="158"/>
      <c r="CLW51" s="158"/>
      <c r="CLX51" s="158"/>
      <c r="CLY51" s="158"/>
      <c r="CLZ51" s="158"/>
      <c r="CMA51" s="158"/>
      <c r="CMB51" s="158"/>
      <c r="CMC51" s="158"/>
      <c r="CMD51" s="158"/>
      <c r="CME51" s="158"/>
      <c r="CMF51" s="158"/>
      <c r="CMG51" s="158"/>
      <c r="CMH51" s="158"/>
      <c r="CMI51" s="158"/>
      <c r="CMJ51" s="158"/>
      <c r="CMK51" s="158"/>
      <c r="CML51" s="158"/>
      <c r="CMM51" s="158"/>
      <c r="CMN51" s="158"/>
      <c r="CMO51" s="158"/>
      <c r="CMP51" s="158"/>
      <c r="CMQ51" s="158"/>
      <c r="CMR51" s="158"/>
      <c r="CMS51" s="158"/>
      <c r="CMT51" s="158"/>
      <c r="CMU51" s="158"/>
      <c r="CMV51" s="158"/>
      <c r="CMW51" s="158"/>
      <c r="CMX51" s="158"/>
      <c r="CMY51" s="158"/>
      <c r="CMZ51" s="158"/>
      <c r="CNA51" s="158"/>
      <c r="CNB51" s="158"/>
      <c r="CNC51" s="158"/>
      <c r="CND51" s="158"/>
      <c r="CNE51" s="158"/>
      <c r="CNF51" s="158"/>
      <c r="CNG51" s="158"/>
      <c r="CNH51" s="158"/>
      <c r="CNI51" s="158"/>
      <c r="CNJ51" s="158"/>
      <c r="CNK51" s="158"/>
      <c r="CNL51" s="158"/>
      <c r="CNM51" s="158"/>
      <c r="CNN51" s="158"/>
      <c r="CNO51" s="158"/>
      <c r="CNP51" s="158"/>
      <c r="CNQ51" s="158"/>
      <c r="CNR51" s="158"/>
      <c r="CNS51" s="158"/>
      <c r="CNT51" s="158"/>
      <c r="CNU51" s="158"/>
      <c r="CNV51" s="158"/>
      <c r="CNW51" s="158"/>
      <c r="CNX51" s="158"/>
      <c r="CNY51" s="158"/>
      <c r="CNZ51" s="158"/>
      <c r="COA51" s="158"/>
      <c r="COB51" s="158"/>
      <c r="COC51" s="158"/>
      <c r="COD51" s="158"/>
      <c r="COE51" s="158"/>
      <c r="COF51" s="158"/>
      <c r="COG51" s="158"/>
      <c r="COH51" s="158"/>
      <c r="COI51" s="158"/>
      <c r="COJ51" s="158"/>
      <c r="COK51" s="158"/>
      <c r="COL51" s="158"/>
      <c r="COM51" s="158"/>
      <c r="CON51" s="158"/>
      <c r="COO51" s="158"/>
      <c r="COP51" s="158"/>
      <c r="COQ51" s="158"/>
      <c r="COR51" s="158"/>
      <c r="COS51" s="158"/>
      <c r="COT51" s="158"/>
      <c r="COU51" s="158"/>
      <c r="COV51" s="158"/>
      <c r="COW51" s="158"/>
      <c r="COX51" s="158"/>
      <c r="COY51" s="158"/>
      <c r="COZ51" s="158"/>
      <c r="CPA51" s="158"/>
      <c r="CPB51" s="158"/>
      <c r="CPC51" s="158"/>
      <c r="CPD51" s="158"/>
      <c r="CPE51" s="158"/>
      <c r="CPF51" s="158"/>
      <c r="CPG51" s="158"/>
      <c r="CPH51" s="158"/>
      <c r="CPI51" s="158"/>
      <c r="CPJ51" s="158"/>
      <c r="CPK51" s="158"/>
      <c r="CPL51" s="158"/>
      <c r="CPM51" s="158"/>
      <c r="CPN51" s="158"/>
      <c r="CPO51" s="158"/>
      <c r="CPP51" s="158"/>
      <c r="CPQ51" s="158"/>
      <c r="CPR51" s="158"/>
      <c r="CPS51" s="158"/>
      <c r="CPT51" s="158"/>
      <c r="CPU51" s="158"/>
      <c r="CPV51" s="158"/>
      <c r="CPW51" s="158"/>
      <c r="CPX51" s="158"/>
      <c r="CPY51" s="158"/>
      <c r="CPZ51" s="158"/>
      <c r="CQA51" s="158"/>
      <c r="CQB51" s="158"/>
      <c r="CQC51" s="158"/>
      <c r="CQD51" s="158"/>
      <c r="CQE51" s="158"/>
      <c r="CQF51" s="158"/>
      <c r="CQG51" s="158"/>
      <c r="CQH51" s="158"/>
      <c r="CQI51" s="158"/>
      <c r="CQJ51" s="158"/>
      <c r="CQK51" s="158"/>
      <c r="CQL51" s="158"/>
      <c r="CQM51" s="158"/>
      <c r="CQN51" s="158"/>
      <c r="CQO51" s="158"/>
      <c r="CQP51" s="158"/>
      <c r="CQQ51" s="158"/>
      <c r="CQR51" s="158"/>
      <c r="CQS51" s="158"/>
      <c r="CQT51" s="158"/>
      <c r="CQU51" s="158"/>
      <c r="CQV51" s="158"/>
      <c r="CQW51" s="158"/>
      <c r="CQX51" s="158"/>
      <c r="CQY51" s="158"/>
      <c r="CQZ51" s="158"/>
      <c r="CRA51" s="158"/>
      <c r="CRB51" s="158"/>
      <c r="CRC51" s="158"/>
      <c r="CRD51" s="158"/>
      <c r="CRE51" s="158"/>
      <c r="CRF51" s="158"/>
      <c r="CRG51" s="158"/>
      <c r="CRH51" s="158"/>
      <c r="CRI51" s="158"/>
      <c r="CRJ51" s="158"/>
      <c r="CRK51" s="158"/>
      <c r="CRL51" s="158"/>
      <c r="CRM51" s="158"/>
      <c r="CRN51" s="158"/>
      <c r="CRO51" s="158"/>
      <c r="CRP51" s="158"/>
      <c r="CRQ51" s="158"/>
      <c r="CRR51" s="158"/>
      <c r="CRS51" s="158"/>
      <c r="CRT51" s="158"/>
      <c r="CRU51" s="158"/>
      <c r="CRV51" s="158"/>
      <c r="CRW51" s="158"/>
      <c r="CRX51" s="158"/>
      <c r="CRY51" s="158"/>
      <c r="CRZ51" s="158"/>
      <c r="CSA51" s="158"/>
      <c r="CSB51" s="158"/>
      <c r="CSC51" s="158"/>
      <c r="CSD51" s="158"/>
      <c r="CSE51" s="158"/>
      <c r="CSF51" s="158"/>
      <c r="CSG51" s="158"/>
      <c r="CSH51" s="158"/>
      <c r="CSI51" s="158"/>
      <c r="CSJ51" s="158"/>
      <c r="CSK51" s="158"/>
      <c r="CSL51" s="158"/>
      <c r="CSM51" s="158"/>
      <c r="CSN51" s="158"/>
      <c r="CSO51" s="158"/>
      <c r="CSP51" s="158"/>
      <c r="CSQ51" s="158"/>
      <c r="CSR51" s="158"/>
      <c r="CSS51" s="158"/>
      <c r="CST51" s="158"/>
      <c r="CSU51" s="158"/>
      <c r="CSV51" s="158"/>
      <c r="CSW51" s="158"/>
      <c r="CSX51" s="158"/>
      <c r="CSY51" s="158"/>
      <c r="CSZ51" s="158"/>
      <c r="CTA51" s="158"/>
      <c r="CTB51" s="158"/>
      <c r="CTC51" s="158"/>
      <c r="CTD51" s="158"/>
      <c r="CTE51" s="158"/>
      <c r="CTF51" s="158"/>
      <c r="CTG51" s="158"/>
      <c r="CTH51" s="158"/>
      <c r="CTI51" s="158"/>
      <c r="CTJ51" s="158"/>
      <c r="CTK51" s="158"/>
      <c r="CTL51" s="158"/>
      <c r="CTM51" s="158"/>
      <c r="CTN51" s="158"/>
      <c r="CTO51" s="158"/>
      <c r="CTP51" s="158"/>
      <c r="CTQ51" s="158"/>
      <c r="CTR51" s="158"/>
      <c r="CTS51" s="158"/>
      <c r="CTT51" s="158"/>
      <c r="CTU51" s="158"/>
      <c r="CTV51" s="158"/>
      <c r="CTW51" s="158"/>
      <c r="CTX51" s="158"/>
      <c r="CTY51" s="158"/>
      <c r="CTZ51" s="158"/>
      <c r="CUA51" s="158"/>
      <c r="CUB51" s="158"/>
      <c r="CUC51" s="158"/>
      <c r="CUD51" s="158"/>
      <c r="CUE51" s="158"/>
      <c r="CUF51" s="158"/>
      <c r="CUG51" s="158"/>
      <c r="CUH51" s="158"/>
      <c r="CUI51" s="158"/>
      <c r="CUJ51" s="158"/>
      <c r="CUK51" s="158"/>
      <c r="CUL51" s="158"/>
      <c r="CUM51" s="158"/>
      <c r="CUN51" s="158"/>
      <c r="CUO51" s="158"/>
      <c r="CUP51" s="158"/>
      <c r="CUQ51" s="158"/>
      <c r="CUR51" s="158"/>
      <c r="CUS51" s="158"/>
      <c r="CUT51" s="158"/>
      <c r="CUU51" s="158"/>
      <c r="CUV51" s="158"/>
      <c r="CUW51" s="158"/>
      <c r="CUX51" s="158"/>
      <c r="CUY51" s="158"/>
      <c r="CUZ51" s="158"/>
      <c r="CVA51" s="158"/>
      <c r="CVB51" s="158"/>
      <c r="CVC51" s="158"/>
      <c r="CVD51" s="158"/>
      <c r="CVE51" s="158"/>
      <c r="CVF51" s="158"/>
      <c r="CVG51" s="158"/>
      <c r="CVH51" s="158"/>
      <c r="CVI51" s="158"/>
      <c r="CVJ51" s="158"/>
      <c r="CVK51" s="158"/>
      <c r="CVL51" s="158"/>
      <c r="CVM51" s="158"/>
      <c r="CVN51" s="158"/>
      <c r="CVO51" s="158"/>
      <c r="CVP51" s="158"/>
      <c r="CVQ51" s="158"/>
      <c r="CVR51" s="158"/>
      <c r="CVS51" s="158"/>
      <c r="CVT51" s="158"/>
      <c r="CVU51" s="158"/>
      <c r="CVV51" s="158"/>
      <c r="CVW51" s="158"/>
      <c r="CVX51" s="158"/>
      <c r="CVY51" s="158"/>
      <c r="CVZ51" s="158"/>
      <c r="CWA51" s="158"/>
      <c r="CWB51" s="158"/>
      <c r="CWC51" s="158"/>
      <c r="CWD51" s="158"/>
      <c r="CWE51" s="158"/>
      <c r="CWF51" s="158"/>
      <c r="CWG51" s="158"/>
      <c r="CWH51" s="158"/>
      <c r="CWI51" s="158"/>
      <c r="CWJ51" s="158"/>
      <c r="CWK51" s="158"/>
      <c r="CWL51" s="158"/>
      <c r="CWM51" s="158"/>
      <c r="CWN51" s="158"/>
      <c r="CWO51" s="158"/>
      <c r="CWP51" s="158"/>
      <c r="CWQ51" s="158"/>
      <c r="CWR51" s="158"/>
      <c r="CWS51" s="158"/>
      <c r="CWT51" s="158"/>
      <c r="CWU51" s="158"/>
      <c r="CWV51" s="158"/>
      <c r="CWW51" s="158"/>
      <c r="CWX51" s="158"/>
      <c r="CWY51" s="158"/>
      <c r="CWZ51" s="158"/>
      <c r="CXA51" s="158"/>
      <c r="CXB51" s="158"/>
      <c r="CXC51" s="158"/>
      <c r="CXD51" s="158"/>
      <c r="CXE51" s="158"/>
      <c r="CXF51" s="158"/>
      <c r="CXG51" s="158"/>
      <c r="CXH51" s="158"/>
      <c r="CXI51" s="158"/>
      <c r="CXJ51" s="158"/>
      <c r="CXK51" s="158"/>
      <c r="CXL51" s="158"/>
      <c r="CXM51" s="158"/>
      <c r="CXN51" s="158"/>
      <c r="CXO51" s="158"/>
      <c r="CXP51" s="158"/>
      <c r="CXQ51" s="158"/>
      <c r="CXR51" s="158"/>
      <c r="CXS51" s="158"/>
      <c r="CXT51" s="158"/>
      <c r="CXU51" s="158"/>
      <c r="CXV51" s="158"/>
      <c r="CXW51" s="158"/>
      <c r="CXX51" s="158"/>
      <c r="CXY51" s="158"/>
      <c r="CXZ51" s="158"/>
      <c r="CYA51" s="158"/>
      <c r="CYB51" s="158"/>
      <c r="CYC51" s="158"/>
      <c r="CYD51" s="158"/>
      <c r="CYE51" s="158"/>
      <c r="CYF51" s="158"/>
      <c r="CYG51" s="158"/>
      <c r="CYH51" s="158"/>
      <c r="CYI51" s="158"/>
      <c r="CYJ51" s="158"/>
      <c r="CYK51" s="158"/>
      <c r="CYL51" s="158"/>
      <c r="CYM51" s="158"/>
      <c r="CYN51" s="158"/>
      <c r="CYO51" s="158"/>
      <c r="CYP51" s="158"/>
      <c r="CYQ51" s="158"/>
      <c r="CYR51" s="158"/>
      <c r="CYS51" s="158"/>
      <c r="CYT51" s="158"/>
      <c r="CYU51" s="158"/>
      <c r="CYV51" s="158"/>
      <c r="CYW51" s="158"/>
      <c r="CYX51" s="158"/>
      <c r="CYY51" s="158"/>
      <c r="CYZ51" s="158"/>
      <c r="CZA51" s="158"/>
      <c r="CZB51" s="158"/>
      <c r="CZC51" s="158"/>
      <c r="CZD51" s="158"/>
      <c r="CZE51" s="158"/>
      <c r="CZF51" s="158"/>
      <c r="CZG51" s="158"/>
      <c r="CZH51" s="158"/>
      <c r="CZI51" s="158"/>
      <c r="CZJ51" s="158"/>
      <c r="CZK51" s="158"/>
      <c r="CZL51" s="158"/>
      <c r="CZM51" s="158"/>
      <c r="CZN51" s="158"/>
      <c r="CZO51" s="158"/>
      <c r="CZP51" s="158"/>
      <c r="CZQ51" s="158"/>
      <c r="CZR51" s="158"/>
      <c r="CZS51" s="158"/>
      <c r="CZT51" s="158"/>
      <c r="CZU51" s="158"/>
      <c r="CZV51" s="158"/>
      <c r="CZW51" s="158"/>
      <c r="CZX51" s="158"/>
      <c r="CZY51" s="158"/>
      <c r="CZZ51" s="158"/>
      <c r="DAA51" s="158"/>
      <c r="DAB51" s="158"/>
      <c r="DAC51" s="158"/>
      <c r="DAD51" s="158"/>
      <c r="DAE51" s="158"/>
      <c r="DAF51" s="158"/>
      <c r="DAG51" s="158"/>
      <c r="DAH51" s="158"/>
      <c r="DAI51" s="158"/>
      <c r="DAJ51" s="158"/>
      <c r="DAK51" s="158"/>
      <c r="DAL51" s="158"/>
      <c r="DAM51" s="158"/>
      <c r="DAN51" s="158"/>
      <c r="DAO51" s="158"/>
      <c r="DAP51" s="158"/>
      <c r="DAQ51" s="158"/>
      <c r="DAR51" s="158"/>
      <c r="DAS51" s="158"/>
      <c r="DAT51" s="158"/>
      <c r="DAU51" s="158"/>
      <c r="DAV51" s="158"/>
      <c r="DAW51" s="158"/>
      <c r="DAX51" s="158"/>
      <c r="DAY51" s="158"/>
      <c r="DAZ51" s="158"/>
      <c r="DBA51" s="158"/>
      <c r="DBB51" s="158"/>
      <c r="DBC51" s="158"/>
      <c r="DBD51" s="158"/>
      <c r="DBE51" s="158"/>
      <c r="DBF51" s="158"/>
      <c r="DBG51" s="158"/>
      <c r="DBH51" s="158"/>
      <c r="DBI51" s="158"/>
      <c r="DBJ51" s="158"/>
      <c r="DBK51" s="158"/>
      <c r="DBL51" s="158"/>
      <c r="DBM51" s="158"/>
      <c r="DBN51" s="158"/>
      <c r="DBO51" s="158"/>
      <c r="DBP51" s="158"/>
      <c r="DBQ51" s="158"/>
      <c r="DBR51" s="158"/>
      <c r="DBS51" s="158"/>
      <c r="DBT51" s="158"/>
      <c r="DBU51" s="158"/>
      <c r="DBV51" s="158"/>
      <c r="DBW51" s="158"/>
      <c r="DBX51" s="158"/>
      <c r="DBY51" s="158"/>
      <c r="DBZ51" s="158"/>
      <c r="DCA51" s="158"/>
      <c r="DCB51" s="158"/>
      <c r="DCC51" s="158"/>
      <c r="DCD51" s="158"/>
      <c r="DCE51" s="158"/>
      <c r="DCF51" s="158"/>
      <c r="DCG51" s="158"/>
      <c r="DCH51" s="158"/>
      <c r="DCI51" s="158"/>
      <c r="DCJ51" s="158"/>
      <c r="DCK51" s="158"/>
      <c r="DCL51" s="158"/>
      <c r="DCM51" s="158"/>
      <c r="DCN51" s="158"/>
      <c r="DCO51" s="158"/>
      <c r="DCP51" s="158"/>
      <c r="DCQ51" s="158"/>
      <c r="DCR51" s="158"/>
      <c r="DCS51" s="158"/>
      <c r="DCT51" s="158"/>
      <c r="DCU51" s="158"/>
      <c r="DCV51" s="158"/>
      <c r="DCW51" s="158"/>
      <c r="DCX51" s="158"/>
      <c r="DCY51" s="158"/>
      <c r="DCZ51" s="158"/>
      <c r="DDA51" s="158"/>
      <c r="DDB51" s="158"/>
      <c r="DDC51" s="158"/>
      <c r="DDD51" s="158"/>
      <c r="DDE51" s="158"/>
      <c r="DDF51" s="158"/>
      <c r="DDG51" s="158"/>
      <c r="DDH51" s="158"/>
      <c r="DDI51" s="158"/>
      <c r="DDJ51" s="158"/>
      <c r="DDK51" s="158"/>
      <c r="DDL51" s="158"/>
      <c r="DDM51" s="158"/>
      <c r="DDN51" s="158"/>
      <c r="DDO51" s="158"/>
      <c r="DDP51" s="158"/>
      <c r="DDQ51" s="158"/>
      <c r="DDR51" s="158"/>
      <c r="DDS51" s="158"/>
      <c r="DDT51" s="158"/>
      <c r="DDU51" s="158"/>
      <c r="DDV51" s="158"/>
      <c r="DDW51" s="158"/>
      <c r="DDX51" s="158"/>
      <c r="DDY51" s="158"/>
      <c r="DDZ51" s="158"/>
      <c r="DEA51" s="158"/>
      <c r="DEB51" s="158"/>
      <c r="DEC51" s="158"/>
      <c r="DED51" s="158"/>
      <c r="DEE51" s="158"/>
      <c r="DEF51" s="158"/>
      <c r="DEG51" s="158"/>
      <c r="DEH51" s="158"/>
      <c r="DEI51" s="158"/>
      <c r="DEJ51" s="158"/>
      <c r="DEK51" s="158"/>
      <c r="DEL51" s="158"/>
      <c r="DEM51" s="158"/>
      <c r="DEN51" s="158"/>
      <c r="DEO51" s="158"/>
      <c r="DEP51" s="158"/>
      <c r="DEQ51" s="158"/>
      <c r="DER51" s="158"/>
      <c r="DES51" s="158"/>
      <c r="DET51" s="158"/>
      <c r="DEU51" s="158"/>
      <c r="DEV51" s="158"/>
      <c r="DEW51" s="158"/>
      <c r="DEX51" s="158"/>
      <c r="DEY51" s="158"/>
      <c r="DEZ51" s="158"/>
      <c r="DFA51" s="158"/>
      <c r="DFB51" s="158"/>
      <c r="DFC51" s="158"/>
      <c r="DFD51" s="158"/>
      <c r="DFE51" s="158"/>
      <c r="DFF51" s="158"/>
      <c r="DFG51" s="158"/>
      <c r="DFH51" s="158"/>
      <c r="DFI51" s="158"/>
      <c r="DFJ51" s="158"/>
      <c r="DFK51" s="158"/>
      <c r="DFL51" s="158"/>
      <c r="DFM51" s="158"/>
      <c r="DFN51" s="158"/>
      <c r="DFO51" s="158"/>
      <c r="DFP51" s="158"/>
      <c r="DFQ51" s="158"/>
      <c r="DFR51" s="158"/>
      <c r="DFS51" s="158"/>
      <c r="DFT51" s="158"/>
      <c r="DFU51" s="158"/>
      <c r="DFV51" s="158"/>
      <c r="DFW51" s="158"/>
      <c r="DFX51" s="158"/>
      <c r="DFY51" s="158"/>
      <c r="DFZ51" s="158"/>
      <c r="DGA51" s="158"/>
      <c r="DGB51" s="158"/>
      <c r="DGC51" s="158"/>
      <c r="DGD51" s="158"/>
      <c r="DGE51" s="158"/>
      <c r="DGF51" s="158"/>
      <c r="DGG51" s="158"/>
      <c r="DGH51" s="158"/>
      <c r="DGI51" s="158"/>
      <c r="DGJ51" s="158"/>
      <c r="DGK51" s="158"/>
      <c r="DGL51" s="158"/>
      <c r="DGM51" s="158"/>
      <c r="DGN51" s="158"/>
      <c r="DGO51" s="158"/>
      <c r="DGP51" s="158"/>
      <c r="DGQ51" s="158"/>
      <c r="DGR51" s="158"/>
      <c r="DGS51" s="158"/>
      <c r="DGT51" s="158"/>
      <c r="DGU51" s="158"/>
      <c r="DGV51" s="158"/>
      <c r="DGW51" s="158"/>
      <c r="DGX51" s="158"/>
      <c r="DGY51" s="158"/>
      <c r="DGZ51" s="158"/>
      <c r="DHA51" s="158"/>
      <c r="DHB51" s="158"/>
      <c r="DHC51" s="158"/>
      <c r="DHD51" s="158"/>
      <c r="DHE51" s="158"/>
      <c r="DHF51" s="158"/>
      <c r="DHG51" s="158"/>
      <c r="DHH51" s="158"/>
      <c r="DHI51" s="158"/>
      <c r="DHJ51" s="158"/>
      <c r="DHK51" s="158"/>
      <c r="DHL51" s="158"/>
      <c r="DHM51" s="158"/>
      <c r="DHN51" s="158"/>
      <c r="DHO51" s="158"/>
      <c r="DHP51" s="158"/>
      <c r="DHQ51" s="158"/>
      <c r="DHR51" s="158"/>
      <c r="DHS51" s="158"/>
      <c r="DHT51" s="158"/>
      <c r="DHU51" s="158"/>
      <c r="DHV51" s="158"/>
      <c r="DHW51" s="158"/>
      <c r="DHX51" s="158"/>
      <c r="DHY51" s="158"/>
      <c r="DHZ51" s="158"/>
      <c r="DIA51" s="158"/>
      <c r="DIB51" s="158"/>
      <c r="DIC51" s="158"/>
      <c r="DID51" s="158"/>
      <c r="DIE51" s="158"/>
      <c r="DIF51" s="158"/>
      <c r="DIG51" s="158"/>
      <c r="DIH51" s="158"/>
      <c r="DII51" s="158"/>
      <c r="DIJ51" s="158"/>
      <c r="DIK51" s="158"/>
      <c r="DIL51" s="158"/>
      <c r="DIM51" s="158"/>
      <c r="DIN51" s="158"/>
      <c r="DIO51" s="158"/>
      <c r="DIP51" s="158"/>
      <c r="DIQ51" s="158"/>
      <c r="DIR51" s="158"/>
      <c r="DIS51" s="158"/>
      <c r="DIT51" s="158"/>
      <c r="DIU51" s="158"/>
      <c r="DIV51" s="158"/>
      <c r="DIW51" s="158"/>
      <c r="DIX51" s="158"/>
      <c r="DIY51" s="158"/>
      <c r="DIZ51" s="158"/>
      <c r="DJA51" s="158"/>
      <c r="DJB51" s="158"/>
      <c r="DJC51" s="158"/>
      <c r="DJD51" s="158"/>
      <c r="DJE51" s="158"/>
      <c r="DJF51" s="158"/>
      <c r="DJG51" s="158"/>
      <c r="DJH51" s="158"/>
      <c r="DJI51" s="158"/>
      <c r="DJJ51" s="158"/>
      <c r="DJK51" s="158"/>
      <c r="DJL51" s="158"/>
      <c r="DJM51" s="158"/>
      <c r="DJN51" s="158"/>
      <c r="DJO51" s="158"/>
      <c r="DJP51" s="158"/>
      <c r="DJQ51" s="158"/>
      <c r="DJR51" s="158"/>
      <c r="DJS51" s="158"/>
      <c r="DJT51" s="158"/>
      <c r="DJU51" s="158"/>
      <c r="DJV51" s="158"/>
      <c r="DJW51" s="158"/>
      <c r="DJX51" s="158"/>
      <c r="DJY51" s="158"/>
      <c r="DJZ51" s="158"/>
      <c r="DKA51" s="158"/>
      <c r="DKB51" s="158"/>
      <c r="DKC51" s="158"/>
      <c r="DKD51" s="158"/>
      <c r="DKE51" s="158"/>
      <c r="DKF51" s="158"/>
      <c r="DKG51" s="158"/>
      <c r="DKH51" s="158"/>
      <c r="DKI51" s="158"/>
      <c r="DKJ51" s="158"/>
      <c r="DKK51" s="158"/>
      <c r="DKL51" s="158"/>
      <c r="DKM51" s="158"/>
      <c r="DKN51" s="158"/>
      <c r="DKO51" s="158"/>
      <c r="DKP51" s="158"/>
      <c r="DKQ51" s="158"/>
      <c r="DKR51" s="158"/>
      <c r="DKS51" s="158"/>
      <c r="DKT51" s="158"/>
      <c r="DKU51" s="158"/>
      <c r="DKV51" s="158"/>
      <c r="DKW51" s="158"/>
      <c r="DKX51" s="158"/>
      <c r="DKY51" s="158"/>
      <c r="DKZ51" s="158"/>
      <c r="DLA51" s="158"/>
      <c r="DLB51" s="158"/>
      <c r="DLC51" s="158"/>
      <c r="DLD51" s="158"/>
      <c r="DLE51" s="158"/>
      <c r="DLF51" s="158"/>
      <c r="DLG51" s="158"/>
      <c r="DLH51" s="158"/>
      <c r="DLI51" s="158"/>
      <c r="DLJ51" s="158"/>
      <c r="DLK51" s="158"/>
      <c r="DLL51" s="158"/>
      <c r="DLM51" s="158"/>
      <c r="DLN51" s="158"/>
      <c r="DLO51" s="158"/>
      <c r="DLP51" s="158"/>
      <c r="DLQ51" s="158"/>
      <c r="DLR51" s="158"/>
      <c r="DLS51" s="158"/>
      <c r="DLT51" s="158"/>
      <c r="DLU51" s="158"/>
      <c r="DLV51" s="158"/>
      <c r="DLW51" s="158"/>
      <c r="DLX51" s="158"/>
      <c r="DLY51" s="158"/>
      <c r="DLZ51" s="158"/>
      <c r="DMA51" s="158"/>
      <c r="DMB51" s="158"/>
      <c r="DMC51" s="158"/>
      <c r="DMD51" s="158"/>
      <c r="DME51" s="158"/>
      <c r="DMF51" s="158"/>
      <c r="DMG51" s="158"/>
      <c r="DMH51" s="158"/>
      <c r="DMI51" s="158"/>
      <c r="DMJ51" s="158"/>
      <c r="DMK51" s="158"/>
      <c r="DML51" s="158"/>
      <c r="DMM51" s="158"/>
      <c r="DMN51" s="158"/>
      <c r="DMO51" s="158"/>
      <c r="DMP51" s="158"/>
      <c r="DMQ51" s="158"/>
      <c r="DMR51" s="158"/>
      <c r="DMS51" s="158"/>
      <c r="DMT51" s="158"/>
      <c r="DMU51" s="158"/>
      <c r="DMV51" s="158"/>
      <c r="DMW51" s="158"/>
      <c r="DMX51" s="158"/>
      <c r="DMY51" s="158"/>
      <c r="DMZ51" s="158"/>
      <c r="DNA51" s="158"/>
      <c r="DNB51" s="158"/>
      <c r="DNC51" s="158"/>
      <c r="DND51" s="158"/>
      <c r="DNE51" s="158"/>
      <c r="DNF51" s="158"/>
      <c r="DNG51" s="158"/>
      <c r="DNH51" s="158"/>
      <c r="DNI51" s="158"/>
      <c r="DNJ51" s="158"/>
      <c r="DNK51" s="158"/>
      <c r="DNL51" s="158"/>
      <c r="DNM51" s="158"/>
      <c r="DNN51" s="158"/>
      <c r="DNO51" s="158"/>
      <c r="DNP51" s="158"/>
      <c r="DNQ51" s="158"/>
      <c r="DNR51" s="158"/>
      <c r="DNS51" s="158"/>
      <c r="DNT51" s="158"/>
      <c r="DNU51" s="158"/>
      <c r="DNV51" s="158"/>
      <c r="DNW51" s="158"/>
      <c r="DNX51" s="158"/>
      <c r="DNY51" s="158"/>
      <c r="DNZ51" s="158"/>
      <c r="DOA51" s="158"/>
      <c r="DOB51" s="158"/>
      <c r="DOC51" s="158"/>
      <c r="DOD51" s="158"/>
      <c r="DOE51" s="158"/>
      <c r="DOF51" s="158"/>
      <c r="DOG51" s="158"/>
      <c r="DOH51" s="158"/>
      <c r="DOI51" s="158"/>
      <c r="DOJ51" s="158"/>
      <c r="DOK51" s="158"/>
      <c r="DOL51" s="158"/>
      <c r="DOM51" s="158"/>
      <c r="DON51" s="158"/>
      <c r="DOO51" s="158"/>
      <c r="DOP51" s="158"/>
      <c r="DOQ51" s="158"/>
      <c r="DOR51" s="158"/>
      <c r="DOS51" s="158"/>
      <c r="DOT51" s="158"/>
      <c r="DOU51" s="158"/>
      <c r="DOV51" s="158"/>
      <c r="DOW51" s="158"/>
      <c r="DOX51" s="158"/>
      <c r="DOY51" s="158"/>
      <c r="DOZ51" s="158"/>
      <c r="DPA51" s="158"/>
      <c r="DPB51" s="158"/>
      <c r="DPC51" s="158"/>
      <c r="DPD51" s="158"/>
      <c r="DPE51" s="158"/>
      <c r="DPF51" s="158"/>
      <c r="DPG51" s="158"/>
      <c r="DPH51" s="158"/>
      <c r="DPI51" s="158"/>
      <c r="DPJ51" s="158"/>
      <c r="DPK51" s="158"/>
      <c r="DPL51" s="158"/>
      <c r="DPM51" s="158"/>
      <c r="DPN51" s="158"/>
      <c r="DPO51" s="158"/>
      <c r="DPP51" s="158"/>
      <c r="DPQ51" s="158"/>
      <c r="DPR51" s="158"/>
      <c r="DPS51" s="158"/>
      <c r="DPT51" s="158"/>
      <c r="DPU51" s="158"/>
      <c r="DPV51" s="158"/>
      <c r="DPW51" s="158"/>
      <c r="DPX51" s="158"/>
      <c r="DPY51" s="158"/>
      <c r="DPZ51" s="158"/>
      <c r="DQA51" s="158"/>
      <c r="DQB51" s="158"/>
      <c r="DQC51" s="158"/>
      <c r="DQD51" s="158"/>
      <c r="DQE51" s="158"/>
      <c r="DQF51" s="158"/>
      <c r="DQG51" s="158"/>
      <c r="DQH51" s="158"/>
      <c r="DQI51" s="158"/>
      <c r="DQJ51" s="158"/>
      <c r="DQK51" s="158"/>
      <c r="DQL51" s="158"/>
      <c r="DQM51" s="158"/>
      <c r="DQN51" s="158"/>
      <c r="DQO51" s="158"/>
      <c r="DQP51" s="158"/>
      <c r="DQQ51" s="158"/>
      <c r="DQR51" s="158"/>
      <c r="DQS51" s="158"/>
      <c r="DQT51" s="158"/>
      <c r="DQU51" s="158"/>
      <c r="DQV51" s="158"/>
      <c r="DQW51" s="158"/>
      <c r="DQX51" s="158"/>
      <c r="DQY51" s="158"/>
      <c r="DQZ51" s="158"/>
      <c r="DRA51" s="158"/>
      <c r="DRB51" s="158"/>
      <c r="DRC51" s="158"/>
      <c r="DRD51" s="158"/>
      <c r="DRE51" s="158"/>
      <c r="DRF51" s="158"/>
      <c r="DRG51" s="158"/>
      <c r="DRH51" s="158"/>
      <c r="DRI51" s="158"/>
      <c r="DRJ51" s="158"/>
      <c r="DRK51" s="158"/>
      <c r="DRL51" s="158"/>
      <c r="DRM51" s="158"/>
      <c r="DRN51" s="158"/>
      <c r="DRO51" s="158"/>
      <c r="DRP51" s="158"/>
      <c r="DRQ51" s="158"/>
      <c r="DRR51" s="158"/>
      <c r="DRS51" s="158"/>
      <c r="DRT51" s="158"/>
      <c r="DRU51" s="158"/>
      <c r="DRV51" s="158"/>
      <c r="DRW51" s="158"/>
      <c r="DRX51" s="158"/>
      <c r="DRY51" s="158"/>
      <c r="DRZ51" s="158"/>
      <c r="DSA51" s="158"/>
      <c r="DSB51" s="158"/>
      <c r="DSC51" s="158"/>
      <c r="DSD51" s="158"/>
      <c r="DSE51" s="158"/>
      <c r="DSF51" s="158"/>
      <c r="DSG51" s="158"/>
      <c r="DSH51" s="158"/>
      <c r="DSI51" s="158"/>
      <c r="DSJ51" s="158"/>
      <c r="DSK51" s="158"/>
      <c r="DSL51" s="158"/>
      <c r="DSM51" s="158"/>
      <c r="DSN51" s="158"/>
      <c r="DSO51" s="158"/>
      <c r="DSP51" s="158"/>
      <c r="DSQ51" s="158"/>
      <c r="DSR51" s="158"/>
      <c r="DSS51" s="158"/>
      <c r="DST51" s="158"/>
      <c r="DSU51" s="158"/>
      <c r="DSV51" s="158"/>
      <c r="DSW51" s="158"/>
      <c r="DSX51" s="158"/>
      <c r="DSY51" s="158"/>
      <c r="DSZ51" s="158"/>
      <c r="DTA51" s="158"/>
      <c r="DTB51" s="158"/>
      <c r="DTC51" s="158"/>
      <c r="DTD51" s="158"/>
      <c r="DTE51" s="158"/>
      <c r="DTF51" s="158"/>
      <c r="DTG51" s="158"/>
      <c r="DTH51" s="158"/>
      <c r="DTI51" s="158"/>
      <c r="DTJ51" s="158"/>
      <c r="DTK51" s="158"/>
      <c r="DTL51" s="158"/>
      <c r="DTM51" s="158"/>
      <c r="DTN51" s="158"/>
      <c r="DTO51" s="158"/>
      <c r="DTP51" s="158"/>
      <c r="DTQ51" s="158"/>
      <c r="DTR51" s="158"/>
      <c r="DTS51" s="158"/>
      <c r="DTT51" s="158"/>
      <c r="DTU51" s="158"/>
      <c r="DTV51" s="158"/>
      <c r="DTW51" s="158"/>
      <c r="DTX51" s="158"/>
      <c r="DTY51" s="158"/>
      <c r="DTZ51" s="158"/>
      <c r="DUA51" s="158"/>
      <c r="DUB51" s="158"/>
      <c r="DUC51" s="158"/>
      <c r="DUD51" s="158"/>
      <c r="DUE51" s="158"/>
      <c r="DUF51" s="158"/>
      <c r="DUG51" s="158"/>
      <c r="DUH51" s="158"/>
      <c r="DUI51" s="158"/>
      <c r="DUJ51" s="158"/>
      <c r="DUK51" s="158"/>
      <c r="DUL51" s="158"/>
      <c r="DUM51" s="158"/>
      <c r="DUN51" s="158"/>
      <c r="DUO51" s="158"/>
      <c r="DUP51" s="158"/>
      <c r="DUQ51" s="158"/>
      <c r="DUR51" s="158"/>
      <c r="DUS51" s="158"/>
      <c r="DUT51" s="158"/>
      <c r="DUU51" s="158"/>
      <c r="DUV51" s="158"/>
      <c r="DUW51" s="158"/>
      <c r="DUX51" s="158"/>
      <c r="DUY51" s="158"/>
      <c r="DUZ51" s="158"/>
      <c r="DVA51" s="158"/>
      <c r="DVB51" s="158"/>
      <c r="DVC51" s="158"/>
      <c r="DVD51" s="158"/>
      <c r="DVE51" s="158"/>
      <c r="DVF51" s="158"/>
      <c r="DVG51" s="158"/>
      <c r="DVH51" s="158"/>
      <c r="DVI51" s="158"/>
      <c r="DVJ51" s="158"/>
      <c r="DVK51" s="158"/>
      <c r="DVL51" s="158"/>
      <c r="DVM51" s="158"/>
      <c r="DVN51" s="158"/>
      <c r="DVO51" s="158"/>
      <c r="DVP51" s="158"/>
      <c r="DVQ51" s="158"/>
      <c r="DVR51" s="158"/>
      <c r="DVS51" s="158"/>
      <c r="DVT51" s="158"/>
      <c r="DVU51" s="158"/>
      <c r="DVV51" s="158"/>
      <c r="DVW51" s="158"/>
      <c r="DVX51" s="158"/>
      <c r="DVY51" s="158"/>
      <c r="DVZ51" s="158"/>
      <c r="DWA51" s="158"/>
      <c r="DWB51" s="158"/>
      <c r="DWC51" s="158"/>
      <c r="DWD51" s="158"/>
      <c r="DWE51" s="158"/>
      <c r="DWF51" s="158"/>
      <c r="DWG51" s="158"/>
      <c r="DWH51" s="158"/>
      <c r="DWI51" s="158"/>
      <c r="DWJ51" s="158"/>
      <c r="DWK51" s="158"/>
      <c r="DWL51" s="158"/>
      <c r="DWM51" s="158"/>
      <c r="DWN51" s="158"/>
      <c r="DWO51" s="158"/>
      <c r="DWP51" s="158"/>
      <c r="DWQ51" s="158"/>
      <c r="DWR51" s="158"/>
      <c r="DWS51" s="158"/>
      <c r="DWT51" s="158"/>
      <c r="DWU51" s="158"/>
      <c r="DWV51" s="158"/>
      <c r="DWW51" s="158"/>
      <c r="DWX51" s="158"/>
      <c r="DWY51" s="158"/>
      <c r="DWZ51" s="158"/>
      <c r="DXA51" s="158"/>
      <c r="DXB51" s="158"/>
      <c r="DXC51" s="158"/>
      <c r="DXD51" s="158"/>
      <c r="DXE51" s="158"/>
      <c r="DXF51" s="158"/>
      <c r="DXG51" s="158"/>
      <c r="DXH51" s="158"/>
      <c r="DXI51" s="158"/>
      <c r="DXJ51" s="158"/>
      <c r="DXK51" s="158"/>
      <c r="DXL51" s="158"/>
      <c r="DXM51" s="158"/>
      <c r="DXN51" s="158"/>
      <c r="DXO51" s="158"/>
      <c r="DXP51" s="158"/>
      <c r="DXQ51" s="158"/>
      <c r="DXR51" s="158"/>
      <c r="DXS51" s="158"/>
      <c r="DXT51" s="158"/>
      <c r="DXU51" s="158"/>
      <c r="DXV51" s="158"/>
      <c r="DXW51" s="158"/>
      <c r="DXX51" s="158"/>
      <c r="DXY51" s="158"/>
      <c r="DXZ51" s="158"/>
      <c r="DYA51" s="158"/>
      <c r="DYB51" s="158"/>
      <c r="DYC51" s="158"/>
      <c r="DYD51" s="158"/>
      <c r="DYE51" s="158"/>
      <c r="DYF51" s="158"/>
      <c r="DYG51" s="158"/>
      <c r="DYH51" s="158"/>
      <c r="DYI51" s="158"/>
      <c r="DYJ51" s="158"/>
      <c r="DYK51" s="158"/>
      <c r="DYL51" s="158"/>
      <c r="DYM51" s="158"/>
      <c r="DYN51" s="158"/>
      <c r="DYO51" s="158"/>
      <c r="DYP51" s="158"/>
      <c r="DYQ51" s="158"/>
      <c r="DYR51" s="158"/>
      <c r="DYS51" s="158"/>
      <c r="DYT51" s="158"/>
      <c r="DYU51" s="158"/>
      <c r="DYV51" s="158"/>
      <c r="DYW51" s="158"/>
      <c r="DYX51" s="158"/>
      <c r="DYY51" s="158"/>
      <c r="DYZ51" s="158"/>
      <c r="DZA51" s="158"/>
      <c r="DZB51" s="158"/>
      <c r="DZC51" s="158"/>
      <c r="DZD51" s="158"/>
      <c r="DZE51" s="158"/>
      <c r="DZF51" s="158"/>
      <c r="DZG51" s="158"/>
      <c r="DZH51" s="158"/>
      <c r="DZI51" s="158"/>
      <c r="DZJ51" s="158"/>
      <c r="DZK51" s="158"/>
      <c r="DZL51" s="158"/>
      <c r="DZM51" s="158"/>
      <c r="DZN51" s="158"/>
      <c r="DZO51" s="158"/>
      <c r="DZP51" s="158"/>
      <c r="DZQ51" s="158"/>
      <c r="DZR51" s="158"/>
      <c r="DZS51" s="158"/>
      <c r="DZT51" s="158"/>
      <c r="DZU51" s="158"/>
      <c r="DZV51" s="158"/>
      <c r="DZW51" s="158"/>
      <c r="DZX51" s="158"/>
      <c r="DZY51" s="158"/>
      <c r="DZZ51" s="158"/>
      <c r="EAA51" s="158"/>
      <c r="EAB51" s="158"/>
      <c r="EAC51" s="158"/>
      <c r="EAD51" s="158"/>
      <c r="EAE51" s="158"/>
      <c r="EAF51" s="158"/>
      <c r="EAG51" s="158"/>
      <c r="EAH51" s="158"/>
      <c r="EAI51" s="158"/>
      <c r="EAJ51" s="158"/>
      <c r="EAK51" s="158"/>
      <c r="EAL51" s="158"/>
      <c r="EAM51" s="158"/>
      <c r="EAN51" s="158"/>
      <c r="EAO51" s="158"/>
      <c r="EAP51" s="158"/>
      <c r="EAQ51" s="158"/>
      <c r="EAR51" s="158"/>
      <c r="EAS51" s="158"/>
      <c r="EAT51" s="158"/>
      <c r="EAU51" s="158"/>
      <c r="EAV51" s="158"/>
      <c r="EAW51" s="158"/>
      <c r="EAX51" s="158"/>
      <c r="EAY51" s="158"/>
      <c r="EAZ51" s="158"/>
      <c r="EBA51" s="158"/>
      <c r="EBB51" s="158"/>
      <c r="EBC51" s="158"/>
      <c r="EBD51" s="158"/>
      <c r="EBE51" s="158"/>
      <c r="EBF51" s="158"/>
      <c r="EBG51" s="158"/>
      <c r="EBH51" s="158"/>
      <c r="EBI51" s="158"/>
      <c r="EBJ51" s="158"/>
      <c r="EBK51" s="158"/>
      <c r="EBL51" s="158"/>
      <c r="EBM51" s="158"/>
      <c r="EBN51" s="158"/>
      <c r="EBO51" s="158"/>
      <c r="EBP51" s="158"/>
      <c r="EBQ51" s="158"/>
      <c r="EBR51" s="158"/>
      <c r="EBS51" s="158"/>
      <c r="EBT51" s="158"/>
      <c r="EBU51" s="158"/>
      <c r="EBV51" s="158"/>
      <c r="EBW51" s="158"/>
      <c r="EBX51" s="158"/>
      <c r="EBY51" s="158"/>
      <c r="EBZ51" s="158"/>
      <c r="ECA51" s="158"/>
      <c r="ECB51" s="158"/>
      <c r="ECC51" s="158"/>
      <c r="ECD51" s="158"/>
      <c r="ECE51" s="158"/>
      <c r="ECF51" s="158"/>
      <c r="ECG51" s="158"/>
      <c r="ECH51" s="158"/>
      <c r="ECI51" s="158"/>
      <c r="ECJ51" s="158"/>
      <c r="ECK51" s="158"/>
      <c r="ECL51" s="158"/>
      <c r="ECM51" s="158"/>
      <c r="ECN51" s="158"/>
      <c r="ECO51" s="158"/>
      <c r="ECP51" s="158"/>
      <c r="ECQ51" s="158"/>
      <c r="ECR51" s="158"/>
      <c r="ECS51" s="158"/>
      <c r="ECT51" s="158"/>
      <c r="ECU51" s="158"/>
      <c r="ECV51" s="158"/>
      <c r="ECW51" s="158"/>
      <c r="ECX51" s="158"/>
      <c r="ECY51" s="158"/>
      <c r="ECZ51" s="158"/>
      <c r="EDA51" s="158"/>
      <c r="EDB51" s="158"/>
      <c r="EDC51" s="158"/>
      <c r="EDD51" s="158"/>
      <c r="EDE51" s="158"/>
      <c r="EDF51" s="158"/>
      <c r="EDG51" s="158"/>
      <c r="EDH51" s="158"/>
      <c r="EDI51" s="158"/>
      <c r="EDJ51" s="158"/>
      <c r="EDK51" s="158"/>
      <c r="EDL51" s="158"/>
      <c r="EDM51" s="158"/>
      <c r="EDN51" s="158"/>
      <c r="EDO51" s="158"/>
      <c r="EDP51" s="158"/>
      <c r="EDQ51" s="158"/>
      <c r="EDR51" s="158"/>
      <c r="EDS51" s="158"/>
      <c r="EDT51" s="158"/>
      <c r="EDU51" s="158"/>
      <c r="EDV51" s="158"/>
      <c r="EDW51" s="158"/>
      <c r="EDX51" s="158"/>
      <c r="EDY51" s="158"/>
      <c r="EDZ51" s="158"/>
      <c r="EEA51" s="158"/>
      <c r="EEB51" s="158"/>
      <c r="EEC51" s="158"/>
      <c r="EED51" s="158"/>
      <c r="EEE51" s="158"/>
      <c r="EEF51" s="158"/>
      <c r="EEG51" s="158"/>
      <c r="EEH51" s="158"/>
      <c r="EEI51" s="158"/>
      <c r="EEJ51" s="158"/>
      <c r="EEK51" s="158"/>
      <c r="EEL51" s="158"/>
      <c r="EEM51" s="158"/>
      <c r="EEN51" s="158"/>
      <c r="EEO51" s="158"/>
      <c r="EEP51" s="158"/>
      <c r="EEQ51" s="158"/>
      <c r="EER51" s="158"/>
      <c r="EES51" s="158"/>
      <c r="EET51" s="158"/>
      <c r="EEU51" s="158"/>
      <c r="EEV51" s="158"/>
      <c r="EEW51" s="158"/>
      <c r="EEX51" s="158"/>
      <c r="EEY51" s="158"/>
      <c r="EEZ51" s="158"/>
      <c r="EFA51" s="158"/>
      <c r="EFB51" s="158"/>
      <c r="EFC51" s="158"/>
      <c r="EFD51" s="158"/>
      <c r="EFE51" s="158"/>
      <c r="EFF51" s="158"/>
      <c r="EFG51" s="158"/>
      <c r="EFH51" s="158"/>
      <c r="EFI51" s="158"/>
      <c r="EFJ51" s="158"/>
      <c r="EFK51" s="158"/>
      <c r="EFL51" s="158"/>
      <c r="EFM51" s="158"/>
      <c r="EFN51" s="158"/>
      <c r="EFO51" s="158"/>
      <c r="EFP51" s="158"/>
      <c r="EFQ51" s="158"/>
      <c r="EFR51" s="158"/>
      <c r="EFS51" s="158"/>
      <c r="EFT51" s="158"/>
      <c r="EFU51" s="158"/>
      <c r="EFV51" s="158"/>
      <c r="EFW51" s="158"/>
      <c r="EFX51" s="158"/>
      <c r="EFY51" s="158"/>
      <c r="EFZ51" s="158"/>
      <c r="EGA51" s="158"/>
      <c r="EGB51" s="158"/>
      <c r="EGC51" s="158"/>
      <c r="EGD51" s="158"/>
      <c r="EGE51" s="158"/>
      <c r="EGF51" s="158"/>
      <c r="EGG51" s="158"/>
      <c r="EGH51" s="158"/>
      <c r="EGI51" s="158"/>
      <c r="EGJ51" s="158"/>
      <c r="EGK51" s="158"/>
      <c r="EGL51" s="158"/>
      <c r="EGM51" s="158"/>
      <c r="EGN51" s="158"/>
      <c r="EGO51" s="158"/>
      <c r="EGP51" s="158"/>
      <c r="EGQ51" s="158"/>
      <c r="EGR51" s="158"/>
      <c r="EGS51" s="158"/>
      <c r="EGT51" s="158"/>
      <c r="EGU51" s="158"/>
      <c r="EGV51" s="158"/>
      <c r="EGW51" s="158"/>
      <c r="EGX51" s="158"/>
      <c r="EGY51" s="158"/>
      <c r="EGZ51" s="158"/>
      <c r="EHA51" s="158"/>
      <c r="EHB51" s="158"/>
      <c r="EHC51" s="158"/>
      <c r="EHD51" s="158"/>
      <c r="EHE51" s="158"/>
      <c r="EHF51" s="158"/>
      <c r="EHG51" s="158"/>
      <c r="EHH51" s="158"/>
      <c r="EHI51" s="158"/>
      <c r="EHJ51" s="158"/>
      <c r="EHK51" s="158"/>
      <c r="EHL51" s="158"/>
      <c r="EHM51" s="158"/>
      <c r="EHN51" s="158"/>
      <c r="EHO51" s="158"/>
      <c r="EHP51" s="158"/>
      <c r="EHQ51" s="158"/>
      <c r="EHR51" s="158"/>
      <c r="EHS51" s="158"/>
      <c r="EHT51" s="158"/>
      <c r="EHU51" s="158"/>
      <c r="EHV51" s="158"/>
      <c r="EHW51" s="158"/>
      <c r="EHX51" s="158"/>
      <c r="EHY51" s="158"/>
      <c r="EHZ51" s="158"/>
      <c r="EIA51" s="158"/>
      <c r="EIB51" s="158"/>
      <c r="EIC51" s="158"/>
      <c r="EID51" s="158"/>
      <c r="EIE51" s="158"/>
      <c r="EIF51" s="158"/>
      <c r="EIG51" s="158"/>
      <c r="EIH51" s="158"/>
      <c r="EII51" s="158"/>
      <c r="EIJ51" s="158"/>
      <c r="EIK51" s="158"/>
      <c r="EIL51" s="158"/>
      <c r="EIM51" s="158"/>
      <c r="EIN51" s="158"/>
      <c r="EIO51" s="158"/>
      <c r="EIP51" s="158"/>
      <c r="EIQ51" s="158"/>
      <c r="EIR51" s="158"/>
      <c r="EIS51" s="158"/>
      <c r="EIT51" s="158"/>
      <c r="EIU51" s="158"/>
      <c r="EIV51" s="158"/>
      <c r="EIW51" s="158"/>
      <c r="EIX51" s="158"/>
      <c r="EIY51" s="158"/>
      <c r="EIZ51" s="158"/>
      <c r="EJA51" s="158"/>
      <c r="EJB51" s="158"/>
      <c r="EJC51" s="158"/>
      <c r="EJD51" s="158"/>
      <c r="EJE51" s="158"/>
      <c r="EJF51" s="158"/>
      <c r="EJG51" s="158"/>
      <c r="EJH51" s="158"/>
      <c r="EJI51" s="158"/>
      <c r="EJJ51" s="158"/>
      <c r="EJK51" s="158"/>
      <c r="EJL51" s="158"/>
      <c r="EJM51" s="158"/>
      <c r="EJN51" s="158"/>
      <c r="EJO51" s="158"/>
      <c r="EJP51" s="158"/>
      <c r="EJQ51" s="158"/>
      <c r="EJR51" s="158"/>
      <c r="EJS51" s="158"/>
      <c r="EJT51" s="158"/>
      <c r="EJU51" s="158"/>
      <c r="EJV51" s="158"/>
      <c r="EJW51" s="158"/>
      <c r="EJX51" s="158"/>
      <c r="EJY51" s="158"/>
      <c r="EJZ51" s="158"/>
      <c r="EKA51" s="158"/>
      <c r="EKB51" s="158"/>
      <c r="EKC51" s="158"/>
      <c r="EKD51" s="158"/>
      <c r="EKE51" s="158"/>
      <c r="EKF51" s="158"/>
      <c r="EKG51" s="158"/>
      <c r="EKH51" s="158"/>
      <c r="EKI51" s="158"/>
      <c r="EKJ51" s="158"/>
      <c r="EKK51" s="158"/>
      <c r="EKL51" s="158"/>
      <c r="EKM51" s="158"/>
      <c r="EKN51" s="158"/>
      <c r="EKO51" s="158"/>
      <c r="EKP51" s="158"/>
      <c r="EKQ51" s="158"/>
      <c r="EKR51" s="158"/>
      <c r="EKS51" s="158"/>
      <c r="EKT51" s="158"/>
      <c r="EKU51" s="158"/>
      <c r="EKV51" s="158"/>
      <c r="EKW51" s="158"/>
      <c r="EKX51" s="158"/>
      <c r="EKY51" s="158"/>
      <c r="EKZ51" s="158"/>
      <c r="ELA51" s="158"/>
      <c r="ELB51" s="158"/>
      <c r="ELC51" s="158"/>
      <c r="ELD51" s="158"/>
      <c r="ELE51" s="158"/>
      <c r="ELF51" s="158"/>
      <c r="ELG51" s="158"/>
      <c r="ELH51" s="158"/>
      <c r="ELI51" s="158"/>
      <c r="ELJ51" s="158"/>
      <c r="ELK51" s="158"/>
      <c r="ELL51" s="158"/>
      <c r="ELM51" s="158"/>
      <c r="ELN51" s="158"/>
      <c r="ELO51" s="158"/>
      <c r="ELP51" s="158"/>
      <c r="ELQ51" s="158"/>
      <c r="ELR51" s="158"/>
      <c r="ELS51" s="158"/>
      <c r="ELT51" s="158"/>
      <c r="ELU51" s="158"/>
      <c r="ELV51" s="158"/>
      <c r="ELW51" s="158"/>
      <c r="ELX51" s="158"/>
      <c r="ELY51" s="158"/>
      <c r="ELZ51" s="158"/>
      <c r="EMA51" s="158"/>
      <c r="EMB51" s="158"/>
      <c r="EMC51" s="158"/>
      <c r="EMD51" s="158"/>
      <c r="EME51" s="158"/>
      <c r="EMF51" s="158"/>
      <c r="EMG51" s="158"/>
      <c r="EMH51" s="158"/>
      <c r="EMI51" s="158"/>
      <c r="EMJ51" s="158"/>
      <c r="EMK51" s="158"/>
      <c r="EML51" s="158"/>
      <c r="EMM51" s="158"/>
      <c r="EMN51" s="158"/>
      <c r="EMO51" s="158"/>
      <c r="EMP51" s="158"/>
      <c r="EMQ51" s="158"/>
      <c r="EMR51" s="158"/>
      <c r="EMS51" s="158"/>
      <c r="EMT51" s="158"/>
      <c r="EMU51" s="158"/>
      <c r="EMV51" s="158"/>
      <c r="EMW51" s="158"/>
      <c r="EMX51" s="158"/>
      <c r="EMY51" s="158"/>
      <c r="EMZ51" s="158"/>
      <c r="ENA51" s="158"/>
      <c r="ENB51" s="158"/>
      <c r="ENC51" s="158"/>
      <c r="END51" s="158"/>
      <c r="ENE51" s="158"/>
      <c r="ENF51" s="158"/>
      <c r="ENG51" s="158"/>
      <c r="ENH51" s="158"/>
      <c r="ENI51" s="158"/>
      <c r="ENJ51" s="158"/>
      <c r="ENK51" s="158"/>
      <c r="ENL51" s="158"/>
      <c r="ENM51" s="158"/>
      <c r="ENN51" s="158"/>
      <c r="ENO51" s="158"/>
      <c r="ENP51" s="158"/>
      <c r="ENQ51" s="158"/>
      <c r="ENR51" s="158"/>
      <c r="ENS51" s="158"/>
      <c r="ENT51" s="158"/>
      <c r="ENU51" s="158"/>
      <c r="ENV51" s="158"/>
      <c r="ENW51" s="158"/>
      <c r="ENX51" s="158"/>
      <c r="ENY51" s="158"/>
      <c r="ENZ51" s="158"/>
      <c r="EOA51" s="158"/>
      <c r="EOB51" s="158"/>
      <c r="EOC51" s="158"/>
      <c r="EOD51" s="158"/>
      <c r="EOE51" s="158"/>
      <c r="EOF51" s="158"/>
      <c r="EOG51" s="158"/>
      <c r="EOH51" s="158"/>
      <c r="EOI51" s="158"/>
      <c r="EOJ51" s="158"/>
      <c r="EOK51" s="158"/>
      <c r="EOL51" s="158"/>
      <c r="EOM51" s="158"/>
      <c r="EON51" s="158"/>
      <c r="EOO51" s="158"/>
      <c r="EOP51" s="158"/>
      <c r="EOQ51" s="158"/>
      <c r="EOR51" s="158"/>
      <c r="EOS51" s="158"/>
      <c r="EOT51" s="158"/>
      <c r="EOU51" s="158"/>
      <c r="EOV51" s="158"/>
      <c r="EOW51" s="158"/>
      <c r="EOX51" s="158"/>
      <c r="EOY51" s="158"/>
      <c r="EOZ51" s="158"/>
      <c r="EPA51" s="158"/>
      <c r="EPB51" s="158"/>
      <c r="EPC51" s="158"/>
      <c r="EPD51" s="158"/>
      <c r="EPE51" s="158"/>
      <c r="EPF51" s="158"/>
      <c r="EPG51" s="158"/>
      <c r="EPH51" s="158"/>
      <c r="EPI51" s="158"/>
      <c r="EPJ51" s="158"/>
      <c r="EPK51" s="158"/>
      <c r="EPL51" s="158"/>
      <c r="EPM51" s="158"/>
      <c r="EPN51" s="158"/>
      <c r="EPO51" s="158"/>
      <c r="EPP51" s="158"/>
      <c r="EPQ51" s="158"/>
      <c r="EPR51" s="158"/>
      <c r="EPS51" s="158"/>
      <c r="EPT51" s="158"/>
      <c r="EPU51" s="158"/>
      <c r="EPV51" s="158"/>
      <c r="EPW51" s="158"/>
      <c r="EPX51" s="158"/>
      <c r="EPY51" s="158"/>
      <c r="EPZ51" s="158"/>
      <c r="EQA51" s="158"/>
      <c r="EQB51" s="158"/>
      <c r="EQC51" s="158"/>
      <c r="EQD51" s="158"/>
      <c r="EQE51" s="158"/>
      <c r="EQF51" s="158"/>
      <c r="EQG51" s="158"/>
      <c r="EQH51" s="158"/>
      <c r="EQI51" s="158"/>
      <c r="EQJ51" s="158"/>
      <c r="EQK51" s="158"/>
      <c r="EQL51" s="158"/>
      <c r="EQM51" s="158"/>
      <c r="EQN51" s="158"/>
      <c r="EQO51" s="158"/>
      <c r="EQP51" s="158"/>
      <c r="EQQ51" s="158"/>
      <c r="EQR51" s="158"/>
      <c r="EQS51" s="158"/>
      <c r="EQT51" s="158"/>
      <c r="EQU51" s="158"/>
      <c r="EQV51" s="158"/>
      <c r="EQW51" s="158"/>
      <c r="EQX51" s="158"/>
      <c r="EQY51" s="158"/>
      <c r="EQZ51" s="158"/>
      <c r="ERA51" s="158"/>
      <c r="ERB51" s="158"/>
      <c r="ERC51" s="158"/>
      <c r="ERD51" s="158"/>
      <c r="ERE51" s="158"/>
      <c r="ERF51" s="158"/>
      <c r="ERG51" s="158"/>
      <c r="ERH51" s="158"/>
      <c r="ERI51" s="158"/>
      <c r="ERJ51" s="158"/>
      <c r="ERK51" s="158"/>
      <c r="ERL51" s="158"/>
      <c r="ERM51" s="158"/>
      <c r="ERN51" s="158"/>
      <c r="ERO51" s="158"/>
      <c r="ERP51" s="158"/>
      <c r="ERQ51" s="158"/>
      <c r="ERR51" s="158"/>
      <c r="ERS51" s="158"/>
      <c r="ERT51" s="158"/>
      <c r="ERU51" s="158"/>
      <c r="ERV51" s="158"/>
      <c r="ERW51" s="158"/>
      <c r="ERX51" s="158"/>
      <c r="ERY51" s="158"/>
      <c r="ERZ51" s="158"/>
      <c r="ESA51" s="158"/>
      <c r="ESB51" s="158"/>
      <c r="ESC51" s="158"/>
      <c r="ESD51" s="158"/>
      <c r="ESE51" s="158"/>
      <c r="ESF51" s="158"/>
      <c r="ESG51" s="158"/>
      <c r="ESH51" s="158"/>
      <c r="ESI51" s="158"/>
      <c r="ESJ51" s="158"/>
      <c r="ESK51" s="158"/>
      <c r="ESL51" s="158"/>
      <c r="ESM51" s="158"/>
      <c r="ESN51" s="158"/>
      <c r="ESO51" s="158"/>
      <c r="ESP51" s="158"/>
      <c r="ESQ51" s="158"/>
      <c r="ESR51" s="158"/>
      <c r="ESS51" s="158"/>
      <c r="EST51" s="158"/>
      <c r="ESU51" s="158"/>
      <c r="ESV51" s="158"/>
      <c r="ESW51" s="158"/>
      <c r="ESX51" s="158"/>
      <c r="ESY51" s="158"/>
      <c r="ESZ51" s="158"/>
      <c r="ETA51" s="158"/>
      <c r="ETB51" s="158"/>
      <c r="ETC51" s="158"/>
      <c r="ETD51" s="158"/>
      <c r="ETE51" s="158"/>
      <c r="ETF51" s="158"/>
      <c r="ETG51" s="158"/>
      <c r="ETH51" s="158"/>
      <c r="ETI51" s="158"/>
      <c r="ETJ51" s="158"/>
      <c r="ETK51" s="158"/>
      <c r="ETL51" s="158"/>
      <c r="ETM51" s="158"/>
      <c r="ETN51" s="158"/>
      <c r="ETO51" s="158"/>
      <c r="ETP51" s="158"/>
      <c r="ETQ51" s="158"/>
      <c r="ETR51" s="158"/>
      <c r="ETS51" s="158"/>
      <c r="ETT51" s="158"/>
      <c r="ETU51" s="158"/>
      <c r="ETV51" s="158"/>
      <c r="ETW51" s="158"/>
      <c r="ETX51" s="158"/>
      <c r="ETY51" s="158"/>
      <c r="ETZ51" s="158"/>
      <c r="EUA51" s="158"/>
      <c r="EUB51" s="158"/>
      <c r="EUC51" s="158"/>
      <c r="EUD51" s="158"/>
      <c r="EUE51" s="158"/>
      <c r="EUF51" s="158"/>
      <c r="EUG51" s="158"/>
      <c r="EUH51" s="158"/>
      <c r="EUI51" s="158"/>
      <c r="EUJ51" s="158"/>
      <c r="EUK51" s="158"/>
      <c r="EUL51" s="158"/>
      <c r="EUM51" s="158"/>
      <c r="EUN51" s="158"/>
      <c r="EUO51" s="158"/>
      <c r="EUP51" s="158"/>
      <c r="EUQ51" s="158"/>
      <c r="EUR51" s="158"/>
      <c r="EUS51" s="158"/>
      <c r="EUT51" s="158"/>
      <c r="EUU51" s="158"/>
      <c r="EUV51" s="158"/>
      <c r="EUW51" s="158"/>
      <c r="EUX51" s="158"/>
      <c r="EUY51" s="158"/>
      <c r="EUZ51" s="158"/>
      <c r="EVA51" s="158"/>
      <c r="EVB51" s="158"/>
      <c r="EVC51" s="158"/>
      <c r="EVD51" s="158"/>
      <c r="EVE51" s="158"/>
      <c r="EVF51" s="158"/>
      <c r="EVG51" s="158"/>
      <c r="EVH51" s="158"/>
      <c r="EVI51" s="158"/>
      <c r="EVJ51" s="158"/>
      <c r="EVK51" s="158"/>
      <c r="EVL51" s="158"/>
      <c r="EVM51" s="158"/>
      <c r="EVN51" s="158"/>
      <c r="EVO51" s="158"/>
      <c r="EVP51" s="158"/>
      <c r="EVQ51" s="158"/>
      <c r="EVR51" s="158"/>
      <c r="EVS51" s="158"/>
      <c r="EVT51" s="158"/>
      <c r="EVU51" s="158"/>
      <c r="EVV51" s="158"/>
      <c r="EVW51" s="158"/>
      <c r="EVX51" s="158"/>
      <c r="EVY51" s="158"/>
      <c r="EVZ51" s="158"/>
      <c r="EWA51" s="158"/>
      <c r="EWB51" s="158"/>
      <c r="EWC51" s="158"/>
      <c r="EWD51" s="158"/>
      <c r="EWE51" s="158"/>
      <c r="EWF51" s="158"/>
      <c r="EWG51" s="158"/>
      <c r="EWH51" s="158"/>
      <c r="EWI51" s="158"/>
      <c r="EWJ51" s="158"/>
      <c r="EWK51" s="158"/>
      <c r="EWL51" s="158"/>
      <c r="EWM51" s="158"/>
      <c r="EWN51" s="158"/>
      <c r="EWO51" s="158"/>
      <c r="EWP51" s="158"/>
      <c r="EWQ51" s="158"/>
      <c r="EWR51" s="158"/>
      <c r="EWS51" s="158"/>
      <c r="EWT51" s="158"/>
      <c r="EWU51" s="158"/>
      <c r="EWV51" s="158"/>
      <c r="EWW51" s="158"/>
      <c r="EWX51" s="158"/>
      <c r="EWY51" s="158"/>
      <c r="EWZ51" s="158"/>
      <c r="EXA51" s="158"/>
      <c r="EXB51" s="158"/>
      <c r="EXC51" s="158"/>
      <c r="EXD51" s="158"/>
      <c r="EXE51" s="158"/>
      <c r="EXF51" s="158"/>
      <c r="EXG51" s="158"/>
      <c r="EXH51" s="158"/>
      <c r="EXI51" s="158"/>
      <c r="EXJ51" s="158"/>
      <c r="EXK51" s="158"/>
      <c r="EXL51" s="158"/>
      <c r="EXM51" s="158"/>
      <c r="EXN51" s="158"/>
      <c r="EXO51" s="158"/>
      <c r="EXP51" s="158"/>
      <c r="EXQ51" s="158"/>
      <c r="EXR51" s="158"/>
      <c r="EXS51" s="158"/>
      <c r="EXT51" s="158"/>
      <c r="EXU51" s="158"/>
      <c r="EXV51" s="158"/>
      <c r="EXW51" s="158"/>
      <c r="EXX51" s="158"/>
      <c r="EXY51" s="158"/>
      <c r="EXZ51" s="158"/>
      <c r="EYA51" s="158"/>
      <c r="EYB51" s="158"/>
      <c r="EYC51" s="158"/>
      <c r="EYD51" s="158"/>
      <c r="EYE51" s="158"/>
      <c r="EYF51" s="158"/>
      <c r="EYG51" s="158"/>
      <c r="EYH51" s="158"/>
      <c r="EYI51" s="158"/>
      <c r="EYJ51" s="158"/>
      <c r="EYK51" s="158"/>
      <c r="EYL51" s="158"/>
      <c r="EYM51" s="158"/>
      <c r="EYN51" s="158"/>
      <c r="EYO51" s="158"/>
      <c r="EYP51" s="158"/>
      <c r="EYQ51" s="158"/>
      <c r="EYR51" s="158"/>
      <c r="EYS51" s="158"/>
      <c r="EYT51" s="158"/>
      <c r="EYU51" s="158"/>
      <c r="EYV51" s="158"/>
      <c r="EYW51" s="158"/>
      <c r="EYX51" s="158"/>
      <c r="EYY51" s="158"/>
      <c r="EYZ51" s="158"/>
      <c r="EZA51" s="158"/>
      <c r="EZB51" s="158"/>
      <c r="EZC51" s="158"/>
      <c r="EZD51" s="158"/>
      <c r="EZE51" s="158"/>
      <c r="EZF51" s="158"/>
      <c r="EZG51" s="158"/>
      <c r="EZH51" s="158"/>
      <c r="EZI51" s="158"/>
      <c r="EZJ51" s="158"/>
      <c r="EZK51" s="158"/>
      <c r="EZL51" s="158"/>
      <c r="EZM51" s="158"/>
      <c r="EZN51" s="158"/>
      <c r="EZO51" s="158"/>
      <c r="EZP51" s="158"/>
      <c r="EZQ51" s="158"/>
      <c r="EZR51" s="158"/>
      <c r="EZS51" s="158"/>
      <c r="EZT51" s="158"/>
      <c r="EZU51" s="158"/>
      <c r="EZV51" s="158"/>
      <c r="EZW51" s="158"/>
      <c r="EZX51" s="158"/>
      <c r="EZY51" s="158"/>
      <c r="EZZ51" s="158"/>
      <c r="FAA51" s="158"/>
      <c r="FAB51" s="158"/>
      <c r="FAC51" s="158"/>
      <c r="FAD51" s="158"/>
      <c r="FAE51" s="158"/>
      <c r="FAF51" s="158"/>
      <c r="FAG51" s="158"/>
      <c r="FAH51" s="158"/>
      <c r="FAI51" s="158"/>
      <c r="FAJ51" s="158"/>
      <c r="FAK51" s="158"/>
      <c r="FAL51" s="158"/>
      <c r="FAM51" s="158"/>
      <c r="FAN51" s="158"/>
      <c r="FAO51" s="158"/>
      <c r="FAP51" s="158"/>
      <c r="FAQ51" s="158"/>
      <c r="FAR51" s="158"/>
      <c r="FAS51" s="158"/>
      <c r="FAT51" s="158"/>
      <c r="FAU51" s="158"/>
      <c r="FAV51" s="158"/>
      <c r="FAW51" s="158"/>
      <c r="FAX51" s="158"/>
      <c r="FAY51" s="158"/>
      <c r="FAZ51" s="158"/>
      <c r="FBA51" s="158"/>
      <c r="FBB51" s="158"/>
      <c r="FBC51" s="158"/>
      <c r="FBD51" s="158"/>
      <c r="FBE51" s="158"/>
      <c r="FBF51" s="158"/>
      <c r="FBG51" s="158"/>
      <c r="FBH51" s="158"/>
      <c r="FBI51" s="158"/>
      <c r="FBJ51" s="158"/>
      <c r="FBK51" s="158"/>
      <c r="FBL51" s="158"/>
      <c r="FBM51" s="158"/>
      <c r="FBN51" s="158"/>
      <c r="FBO51" s="158"/>
      <c r="FBP51" s="158"/>
      <c r="FBQ51" s="158"/>
      <c r="FBR51" s="158"/>
      <c r="FBS51" s="158"/>
      <c r="FBT51" s="158"/>
      <c r="FBU51" s="158"/>
      <c r="FBV51" s="158"/>
      <c r="FBW51" s="158"/>
      <c r="FBX51" s="158"/>
      <c r="FBY51" s="158"/>
      <c r="FBZ51" s="158"/>
      <c r="FCA51" s="158"/>
      <c r="FCB51" s="158"/>
      <c r="FCC51" s="158"/>
      <c r="FCD51" s="158"/>
      <c r="FCE51" s="158"/>
      <c r="FCF51" s="158"/>
      <c r="FCG51" s="158"/>
      <c r="FCH51" s="158"/>
      <c r="FCI51" s="158"/>
      <c r="FCJ51" s="158"/>
      <c r="FCK51" s="158"/>
      <c r="FCL51" s="158"/>
      <c r="FCM51" s="158"/>
      <c r="FCN51" s="158"/>
      <c r="FCO51" s="158"/>
      <c r="FCP51" s="158"/>
      <c r="FCQ51" s="158"/>
      <c r="FCR51" s="158"/>
      <c r="FCS51" s="158"/>
      <c r="FCT51" s="158"/>
      <c r="FCU51" s="158"/>
      <c r="FCV51" s="158"/>
      <c r="FCW51" s="158"/>
      <c r="FCX51" s="158"/>
      <c r="FCY51" s="158"/>
      <c r="FCZ51" s="158"/>
      <c r="FDA51" s="158"/>
      <c r="FDB51" s="158"/>
      <c r="FDC51" s="158"/>
      <c r="FDD51" s="158"/>
      <c r="FDE51" s="158"/>
      <c r="FDF51" s="158"/>
      <c r="FDG51" s="158"/>
      <c r="FDH51" s="158"/>
      <c r="FDI51" s="158"/>
      <c r="FDJ51" s="158"/>
      <c r="FDK51" s="158"/>
      <c r="FDL51" s="158"/>
      <c r="FDM51" s="158"/>
      <c r="FDN51" s="158"/>
      <c r="FDO51" s="158"/>
      <c r="FDP51" s="158"/>
      <c r="FDQ51" s="158"/>
      <c r="FDR51" s="158"/>
      <c r="FDS51" s="158"/>
      <c r="FDT51" s="158"/>
      <c r="FDU51" s="158"/>
      <c r="FDV51" s="158"/>
      <c r="FDW51" s="158"/>
      <c r="FDX51" s="158"/>
      <c r="FDY51" s="158"/>
      <c r="FDZ51" s="158"/>
      <c r="FEA51" s="158"/>
      <c r="FEB51" s="158"/>
      <c r="FEC51" s="158"/>
      <c r="FED51" s="158"/>
      <c r="FEE51" s="158"/>
      <c r="FEF51" s="158"/>
      <c r="FEG51" s="158"/>
      <c r="FEH51" s="158"/>
      <c r="FEI51" s="158"/>
      <c r="FEJ51" s="158"/>
      <c r="FEK51" s="158"/>
      <c r="FEL51" s="158"/>
      <c r="FEM51" s="158"/>
      <c r="FEN51" s="158"/>
      <c r="FEO51" s="158"/>
      <c r="FEP51" s="158"/>
      <c r="FEQ51" s="158"/>
      <c r="FER51" s="158"/>
      <c r="FES51" s="158"/>
      <c r="FET51" s="158"/>
      <c r="FEU51" s="158"/>
      <c r="FEV51" s="158"/>
      <c r="FEW51" s="158"/>
      <c r="FEX51" s="158"/>
      <c r="FEY51" s="158"/>
      <c r="FEZ51" s="158"/>
      <c r="FFA51" s="158"/>
      <c r="FFB51" s="158"/>
      <c r="FFC51" s="158"/>
      <c r="FFD51" s="158"/>
      <c r="FFE51" s="158"/>
      <c r="FFF51" s="158"/>
      <c r="FFG51" s="158"/>
      <c r="FFH51" s="158"/>
      <c r="FFI51" s="158"/>
      <c r="FFJ51" s="158"/>
      <c r="FFK51" s="158"/>
      <c r="FFL51" s="158"/>
      <c r="FFM51" s="158"/>
      <c r="FFN51" s="158"/>
      <c r="FFO51" s="158"/>
      <c r="FFP51" s="158"/>
      <c r="FFQ51" s="158"/>
      <c r="FFR51" s="158"/>
      <c r="FFS51" s="158"/>
      <c r="FFT51" s="158"/>
      <c r="FFU51" s="158"/>
      <c r="FFV51" s="158"/>
      <c r="FFW51" s="158"/>
      <c r="FFX51" s="158"/>
      <c r="FFY51" s="158"/>
      <c r="FFZ51" s="158"/>
      <c r="FGA51" s="158"/>
      <c r="FGB51" s="158"/>
      <c r="FGC51" s="158"/>
      <c r="FGD51" s="158"/>
      <c r="FGE51" s="158"/>
      <c r="FGF51" s="158"/>
      <c r="FGG51" s="158"/>
      <c r="FGH51" s="158"/>
      <c r="FGI51" s="158"/>
      <c r="FGJ51" s="158"/>
      <c r="FGK51" s="158"/>
      <c r="FGL51" s="158"/>
      <c r="FGM51" s="158"/>
      <c r="FGN51" s="158"/>
      <c r="FGO51" s="158"/>
      <c r="FGP51" s="158"/>
      <c r="FGQ51" s="158"/>
      <c r="FGR51" s="158"/>
      <c r="FGS51" s="158"/>
      <c r="FGT51" s="158"/>
      <c r="FGU51" s="158"/>
      <c r="FGV51" s="158"/>
      <c r="FGW51" s="158"/>
      <c r="FGX51" s="158"/>
      <c r="FGY51" s="158"/>
      <c r="FGZ51" s="158"/>
      <c r="FHA51" s="158"/>
      <c r="FHB51" s="158"/>
      <c r="FHC51" s="158"/>
      <c r="FHD51" s="158"/>
      <c r="FHE51" s="158"/>
      <c r="FHF51" s="158"/>
      <c r="FHG51" s="158"/>
      <c r="FHH51" s="158"/>
      <c r="FHI51" s="158"/>
      <c r="FHJ51" s="158"/>
      <c r="FHK51" s="158"/>
      <c r="FHL51" s="158"/>
      <c r="FHM51" s="158"/>
      <c r="FHN51" s="158"/>
      <c r="FHO51" s="158"/>
      <c r="FHP51" s="158"/>
      <c r="FHQ51" s="158"/>
      <c r="FHR51" s="158"/>
      <c r="FHS51" s="158"/>
      <c r="FHT51" s="158"/>
      <c r="FHU51" s="158"/>
      <c r="FHV51" s="158"/>
      <c r="FHW51" s="158"/>
      <c r="FHX51" s="158"/>
      <c r="FHY51" s="158"/>
      <c r="FHZ51" s="158"/>
      <c r="FIA51" s="158"/>
      <c r="FIB51" s="158"/>
      <c r="FIC51" s="158"/>
      <c r="FID51" s="158"/>
      <c r="FIE51" s="158"/>
      <c r="FIF51" s="158"/>
      <c r="FIG51" s="158"/>
      <c r="FIH51" s="158"/>
      <c r="FII51" s="158"/>
      <c r="FIJ51" s="158"/>
      <c r="FIK51" s="158"/>
      <c r="FIL51" s="158"/>
      <c r="FIM51" s="158"/>
      <c r="FIN51" s="158"/>
      <c r="FIO51" s="158"/>
      <c r="FIP51" s="158"/>
      <c r="FIQ51" s="158"/>
      <c r="FIR51" s="158"/>
      <c r="FIS51" s="158"/>
      <c r="FIT51" s="158"/>
      <c r="FIU51" s="158"/>
      <c r="FIV51" s="158"/>
      <c r="FIW51" s="158"/>
      <c r="FIX51" s="158"/>
      <c r="FIY51" s="158"/>
      <c r="FIZ51" s="158"/>
      <c r="FJA51" s="158"/>
      <c r="FJB51" s="158"/>
      <c r="FJC51" s="158"/>
      <c r="FJD51" s="158"/>
      <c r="FJE51" s="158"/>
      <c r="FJF51" s="158"/>
      <c r="FJG51" s="158"/>
      <c r="FJH51" s="158"/>
      <c r="FJI51" s="158"/>
      <c r="FJJ51" s="158"/>
      <c r="FJK51" s="158"/>
      <c r="FJL51" s="158"/>
      <c r="FJM51" s="158"/>
      <c r="FJN51" s="158"/>
      <c r="FJO51" s="158"/>
      <c r="FJP51" s="158"/>
      <c r="FJQ51" s="158"/>
      <c r="FJR51" s="158"/>
      <c r="FJS51" s="158"/>
      <c r="FJT51" s="158"/>
      <c r="FJU51" s="158"/>
      <c r="FJV51" s="158"/>
      <c r="FJW51" s="158"/>
      <c r="FJX51" s="158"/>
      <c r="FJY51" s="158"/>
      <c r="FJZ51" s="158"/>
      <c r="FKA51" s="158"/>
      <c r="FKB51" s="158"/>
      <c r="FKC51" s="158"/>
      <c r="FKD51" s="158"/>
      <c r="FKE51" s="158"/>
      <c r="FKF51" s="158"/>
      <c r="FKG51" s="158"/>
      <c r="FKH51" s="158"/>
      <c r="FKI51" s="158"/>
      <c r="FKJ51" s="158"/>
      <c r="FKK51" s="158"/>
      <c r="FKL51" s="158"/>
      <c r="FKM51" s="158"/>
      <c r="FKN51" s="158"/>
      <c r="FKO51" s="158"/>
      <c r="FKP51" s="158"/>
      <c r="FKQ51" s="158"/>
      <c r="FKR51" s="158"/>
      <c r="FKS51" s="158"/>
      <c r="FKT51" s="158"/>
      <c r="FKU51" s="158"/>
      <c r="FKV51" s="158"/>
      <c r="FKW51" s="158"/>
      <c r="FKX51" s="158"/>
      <c r="FKY51" s="158"/>
      <c r="FKZ51" s="158"/>
      <c r="FLA51" s="158"/>
      <c r="FLB51" s="158"/>
      <c r="FLC51" s="158"/>
      <c r="FLD51" s="158"/>
      <c r="FLE51" s="158"/>
      <c r="FLF51" s="158"/>
      <c r="FLG51" s="158"/>
      <c r="FLH51" s="158"/>
      <c r="FLI51" s="158"/>
      <c r="FLJ51" s="158"/>
      <c r="FLK51" s="158"/>
      <c r="FLL51" s="158"/>
      <c r="FLM51" s="158"/>
      <c r="FLN51" s="158"/>
      <c r="FLO51" s="158"/>
      <c r="FLP51" s="158"/>
      <c r="FLQ51" s="158"/>
      <c r="FLR51" s="158"/>
      <c r="FLS51" s="158"/>
      <c r="FLT51" s="158"/>
      <c r="FLU51" s="158"/>
      <c r="FLV51" s="158"/>
      <c r="FLW51" s="158"/>
      <c r="FLX51" s="158"/>
      <c r="FLY51" s="158"/>
      <c r="FLZ51" s="158"/>
      <c r="FMA51" s="158"/>
      <c r="FMB51" s="158"/>
      <c r="FMC51" s="158"/>
      <c r="FMD51" s="158"/>
      <c r="FME51" s="158"/>
      <c r="FMF51" s="158"/>
      <c r="FMG51" s="158"/>
      <c r="FMH51" s="158"/>
      <c r="FMI51" s="158"/>
      <c r="FMJ51" s="158"/>
      <c r="FMK51" s="158"/>
      <c r="FML51" s="158"/>
      <c r="FMM51" s="158"/>
      <c r="FMN51" s="158"/>
      <c r="FMO51" s="158"/>
      <c r="FMP51" s="158"/>
      <c r="FMQ51" s="158"/>
      <c r="FMR51" s="158"/>
      <c r="FMS51" s="158"/>
      <c r="FMT51" s="158"/>
      <c r="FMU51" s="158"/>
      <c r="FMV51" s="158"/>
      <c r="FMW51" s="158"/>
      <c r="FMX51" s="158"/>
      <c r="FMY51" s="158"/>
      <c r="FMZ51" s="158"/>
      <c r="FNA51" s="158"/>
      <c r="FNB51" s="158"/>
      <c r="FNC51" s="158"/>
      <c r="FND51" s="158"/>
      <c r="FNE51" s="158"/>
      <c r="FNF51" s="158"/>
      <c r="FNG51" s="158"/>
      <c r="FNH51" s="158"/>
      <c r="FNI51" s="158"/>
      <c r="FNJ51" s="158"/>
      <c r="FNK51" s="158"/>
      <c r="FNL51" s="158"/>
      <c r="FNM51" s="158"/>
      <c r="FNN51" s="158"/>
      <c r="FNO51" s="158"/>
      <c r="FNP51" s="158"/>
      <c r="FNQ51" s="158"/>
      <c r="FNR51" s="158"/>
      <c r="FNS51" s="158"/>
      <c r="FNT51" s="158"/>
      <c r="FNU51" s="158"/>
      <c r="FNV51" s="158"/>
      <c r="FNW51" s="158"/>
      <c r="FNX51" s="158"/>
      <c r="FNY51" s="158"/>
      <c r="FNZ51" s="158"/>
      <c r="FOA51" s="158"/>
      <c r="FOB51" s="158"/>
      <c r="FOC51" s="158"/>
      <c r="FOD51" s="158"/>
      <c r="FOE51" s="158"/>
      <c r="FOF51" s="158"/>
      <c r="FOG51" s="158"/>
      <c r="FOH51" s="158"/>
      <c r="FOI51" s="158"/>
      <c r="FOJ51" s="158"/>
      <c r="FOK51" s="158"/>
      <c r="FOL51" s="158"/>
      <c r="FOM51" s="158"/>
      <c r="FON51" s="158"/>
      <c r="FOO51" s="158"/>
      <c r="FOP51" s="158"/>
      <c r="FOQ51" s="158"/>
      <c r="FOR51" s="158"/>
      <c r="FOS51" s="158"/>
      <c r="FOT51" s="158"/>
      <c r="FOU51" s="158"/>
      <c r="FOV51" s="158"/>
      <c r="FOW51" s="158"/>
      <c r="FOX51" s="158"/>
      <c r="FOY51" s="158"/>
      <c r="FOZ51" s="158"/>
      <c r="FPA51" s="158"/>
      <c r="FPB51" s="158"/>
      <c r="FPC51" s="158"/>
      <c r="FPD51" s="158"/>
      <c r="FPE51" s="158"/>
      <c r="FPF51" s="158"/>
      <c r="FPG51" s="158"/>
      <c r="FPH51" s="158"/>
      <c r="FPI51" s="158"/>
      <c r="FPJ51" s="158"/>
      <c r="FPK51" s="158"/>
      <c r="FPL51" s="158"/>
      <c r="FPM51" s="158"/>
      <c r="FPN51" s="158"/>
      <c r="FPO51" s="158"/>
      <c r="FPP51" s="158"/>
      <c r="FPQ51" s="158"/>
      <c r="FPR51" s="158"/>
      <c r="FPS51" s="158"/>
      <c r="FPT51" s="158"/>
      <c r="FPU51" s="158"/>
      <c r="FPV51" s="158"/>
      <c r="FPW51" s="158"/>
      <c r="FPX51" s="158"/>
      <c r="FPY51" s="158"/>
      <c r="FPZ51" s="158"/>
      <c r="FQA51" s="158"/>
      <c r="FQB51" s="158"/>
      <c r="FQC51" s="158"/>
      <c r="FQD51" s="158"/>
      <c r="FQE51" s="158"/>
      <c r="FQF51" s="158"/>
      <c r="FQG51" s="158"/>
      <c r="FQH51" s="158"/>
      <c r="FQI51" s="158"/>
      <c r="FQJ51" s="158"/>
      <c r="FQK51" s="158"/>
      <c r="FQL51" s="158"/>
      <c r="FQM51" s="158"/>
      <c r="FQN51" s="158"/>
      <c r="FQO51" s="158"/>
      <c r="FQP51" s="158"/>
      <c r="FQQ51" s="158"/>
      <c r="FQR51" s="158"/>
      <c r="FQS51" s="158"/>
      <c r="FQT51" s="158"/>
      <c r="FQU51" s="158"/>
      <c r="FQV51" s="158"/>
      <c r="FQW51" s="158"/>
      <c r="FQX51" s="158"/>
      <c r="FQY51" s="158"/>
      <c r="FQZ51" s="158"/>
      <c r="FRA51" s="158"/>
      <c r="FRB51" s="158"/>
      <c r="FRC51" s="158"/>
      <c r="FRD51" s="158"/>
      <c r="FRE51" s="158"/>
      <c r="FRF51" s="158"/>
      <c r="FRG51" s="158"/>
      <c r="FRH51" s="158"/>
      <c r="FRI51" s="158"/>
      <c r="FRJ51" s="158"/>
      <c r="FRK51" s="158"/>
      <c r="FRL51" s="158"/>
      <c r="FRM51" s="158"/>
      <c r="FRN51" s="158"/>
      <c r="FRO51" s="158"/>
      <c r="FRP51" s="158"/>
      <c r="FRQ51" s="158"/>
      <c r="FRR51" s="158"/>
      <c r="FRS51" s="158"/>
      <c r="FRT51" s="158"/>
      <c r="FRU51" s="158"/>
      <c r="FRV51" s="158"/>
      <c r="FRW51" s="158"/>
      <c r="FRX51" s="158"/>
      <c r="FRY51" s="158"/>
      <c r="FRZ51" s="158"/>
      <c r="FSA51" s="158"/>
      <c r="FSB51" s="158"/>
      <c r="FSC51" s="158"/>
      <c r="FSD51" s="158"/>
      <c r="FSE51" s="158"/>
      <c r="FSF51" s="158"/>
      <c r="FSG51" s="158"/>
      <c r="FSH51" s="158"/>
      <c r="FSI51" s="158"/>
      <c r="FSJ51" s="158"/>
      <c r="FSK51" s="158"/>
      <c r="FSL51" s="158"/>
      <c r="FSM51" s="158"/>
      <c r="FSN51" s="158"/>
      <c r="FSO51" s="158"/>
      <c r="FSP51" s="158"/>
      <c r="FSQ51" s="158"/>
      <c r="FSR51" s="158"/>
      <c r="FSS51" s="158"/>
      <c r="FST51" s="158"/>
      <c r="FSU51" s="158"/>
      <c r="FSV51" s="158"/>
      <c r="FSW51" s="158"/>
      <c r="FSX51" s="158"/>
      <c r="FSY51" s="158"/>
      <c r="FSZ51" s="158"/>
      <c r="FTA51" s="158"/>
      <c r="FTB51" s="158"/>
      <c r="FTC51" s="158"/>
      <c r="FTD51" s="158"/>
      <c r="FTE51" s="158"/>
      <c r="FTF51" s="158"/>
      <c r="FTG51" s="158"/>
      <c r="FTH51" s="158"/>
      <c r="FTI51" s="158"/>
      <c r="FTJ51" s="158"/>
      <c r="FTK51" s="158"/>
      <c r="FTL51" s="158"/>
      <c r="FTM51" s="158"/>
      <c r="FTN51" s="158"/>
      <c r="FTO51" s="158"/>
      <c r="FTP51" s="158"/>
      <c r="FTQ51" s="158"/>
      <c r="FTR51" s="158"/>
      <c r="FTS51" s="158"/>
      <c r="FTT51" s="158"/>
      <c r="FTU51" s="158"/>
      <c r="FTV51" s="158"/>
      <c r="FTW51" s="158"/>
      <c r="FTX51" s="158"/>
      <c r="FTY51" s="158"/>
      <c r="FTZ51" s="158"/>
      <c r="FUA51" s="158"/>
      <c r="FUB51" s="158"/>
      <c r="FUC51" s="158"/>
      <c r="FUD51" s="158"/>
      <c r="FUE51" s="158"/>
      <c r="FUF51" s="158"/>
      <c r="FUG51" s="158"/>
      <c r="FUH51" s="158"/>
      <c r="FUI51" s="158"/>
      <c r="FUJ51" s="158"/>
      <c r="FUK51" s="158"/>
      <c r="FUL51" s="158"/>
      <c r="FUM51" s="158"/>
      <c r="FUN51" s="158"/>
      <c r="FUO51" s="158"/>
      <c r="FUP51" s="158"/>
      <c r="FUQ51" s="158"/>
      <c r="FUR51" s="158"/>
      <c r="FUS51" s="158"/>
      <c r="FUT51" s="158"/>
      <c r="FUU51" s="158"/>
      <c r="FUV51" s="158"/>
      <c r="FUW51" s="158"/>
      <c r="FUX51" s="158"/>
      <c r="FUY51" s="158"/>
      <c r="FUZ51" s="158"/>
      <c r="FVA51" s="158"/>
      <c r="FVB51" s="158"/>
      <c r="FVC51" s="158"/>
      <c r="FVD51" s="158"/>
      <c r="FVE51" s="158"/>
      <c r="FVF51" s="158"/>
      <c r="FVG51" s="158"/>
      <c r="FVH51" s="158"/>
      <c r="FVI51" s="158"/>
      <c r="FVJ51" s="158"/>
      <c r="FVK51" s="158"/>
      <c r="FVL51" s="158"/>
      <c r="FVM51" s="158"/>
      <c r="FVN51" s="158"/>
      <c r="FVO51" s="158"/>
      <c r="FVP51" s="158"/>
      <c r="FVQ51" s="158"/>
      <c r="FVR51" s="158"/>
      <c r="FVS51" s="158"/>
      <c r="FVT51" s="158"/>
      <c r="FVU51" s="158"/>
      <c r="FVV51" s="158"/>
      <c r="FVW51" s="158"/>
      <c r="FVX51" s="158"/>
      <c r="FVY51" s="158"/>
      <c r="FVZ51" s="158"/>
      <c r="FWA51" s="158"/>
      <c r="FWB51" s="158"/>
      <c r="FWC51" s="158"/>
      <c r="FWD51" s="158"/>
      <c r="FWE51" s="158"/>
      <c r="FWF51" s="158"/>
      <c r="FWG51" s="158"/>
      <c r="FWH51" s="158"/>
      <c r="FWI51" s="158"/>
      <c r="FWJ51" s="158"/>
      <c r="FWK51" s="158"/>
      <c r="FWL51" s="158"/>
      <c r="FWM51" s="158"/>
      <c r="FWN51" s="158"/>
      <c r="FWO51" s="158"/>
      <c r="FWP51" s="158"/>
      <c r="FWQ51" s="158"/>
      <c r="FWR51" s="158"/>
      <c r="FWS51" s="158"/>
      <c r="FWT51" s="158"/>
      <c r="FWU51" s="158"/>
      <c r="FWV51" s="158"/>
      <c r="FWW51" s="158"/>
      <c r="FWX51" s="158"/>
      <c r="FWY51" s="158"/>
      <c r="FWZ51" s="158"/>
      <c r="FXA51" s="158"/>
      <c r="FXB51" s="158"/>
      <c r="FXC51" s="158"/>
      <c r="FXD51" s="158"/>
      <c r="FXE51" s="158"/>
      <c r="FXF51" s="158"/>
      <c r="FXG51" s="158"/>
      <c r="FXH51" s="158"/>
      <c r="FXI51" s="158"/>
      <c r="FXJ51" s="158"/>
      <c r="FXK51" s="158"/>
      <c r="FXL51" s="158"/>
      <c r="FXM51" s="158"/>
      <c r="FXN51" s="158"/>
      <c r="FXO51" s="158"/>
      <c r="FXP51" s="158"/>
      <c r="FXQ51" s="158"/>
      <c r="FXR51" s="158"/>
      <c r="FXS51" s="158"/>
      <c r="FXT51" s="158"/>
      <c r="FXU51" s="158"/>
      <c r="FXV51" s="158"/>
      <c r="FXW51" s="158"/>
      <c r="FXX51" s="158"/>
      <c r="FXY51" s="158"/>
      <c r="FXZ51" s="158"/>
      <c r="FYA51" s="158"/>
      <c r="FYB51" s="158"/>
      <c r="FYC51" s="158"/>
      <c r="FYD51" s="158"/>
      <c r="FYE51" s="158"/>
      <c r="FYF51" s="158"/>
      <c r="FYG51" s="158"/>
      <c r="FYH51" s="158"/>
      <c r="FYI51" s="158"/>
      <c r="FYJ51" s="158"/>
      <c r="FYK51" s="158"/>
      <c r="FYL51" s="158"/>
      <c r="FYM51" s="158"/>
      <c r="FYN51" s="158"/>
      <c r="FYO51" s="158"/>
      <c r="FYP51" s="158"/>
      <c r="FYQ51" s="158"/>
      <c r="FYR51" s="158"/>
      <c r="FYS51" s="158"/>
      <c r="FYT51" s="158"/>
      <c r="FYU51" s="158"/>
      <c r="FYV51" s="158"/>
      <c r="FYW51" s="158"/>
      <c r="FYX51" s="158"/>
      <c r="FYY51" s="158"/>
      <c r="FYZ51" s="158"/>
      <c r="FZA51" s="158"/>
      <c r="FZB51" s="158"/>
      <c r="FZC51" s="158"/>
      <c r="FZD51" s="158"/>
      <c r="FZE51" s="158"/>
      <c r="FZF51" s="158"/>
      <c r="FZG51" s="158"/>
      <c r="FZH51" s="158"/>
      <c r="FZI51" s="158"/>
      <c r="FZJ51" s="158"/>
      <c r="FZK51" s="158"/>
      <c r="FZL51" s="158"/>
      <c r="FZM51" s="158"/>
      <c r="FZN51" s="158"/>
      <c r="FZO51" s="158"/>
      <c r="FZP51" s="158"/>
      <c r="FZQ51" s="158"/>
      <c r="FZR51" s="158"/>
      <c r="FZS51" s="158"/>
      <c r="FZT51" s="158"/>
      <c r="FZU51" s="158"/>
      <c r="FZV51" s="158"/>
      <c r="FZW51" s="158"/>
      <c r="FZX51" s="158"/>
      <c r="FZY51" s="158"/>
      <c r="FZZ51" s="158"/>
      <c r="GAA51" s="158"/>
      <c r="GAB51" s="158"/>
      <c r="GAC51" s="158"/>
      <c r="GAD51" s="158"/>
      <c r="GAE51" s="158"/>
      <c r="GAF51" s="158"/>
      <c r="GAG51" s="158"/>
      <c r="GAH51" s="158"/>
      <c r="GAI51" s="158"/>
      <c r="GAJ51" s="158"/>
      <c r="GAK51" s="158"/>
      <c r="GAL51" s="158"/>
      <c r="GAM51" s="158"/>
      <c r="GAN51" s="158"/>
      <c r="GAO51" s="158"/>
      <c r="GAP51" s="158"/>
      <c r="GAQ51" s="158"/>
      <c r="GAR51" s="158"/>
      <c r="GAS51" s="158"/>
      <c r="GAT51" s="158"/>
      <c r="GAU51" s="158"/>
      <c r="GAV51" s="158"/>
      <c r="GAW51" s="158"/>
      <c r="GAX51" s="158"/>
      <c r="GAY51" s="158"/>
      <c r="GAZ51" s="158"/>
      <c r="GBA51" s="158"/>
      <c r="GBB51" s="158"/>
      <c r="GBC51" s="158"/>
      <c r="GBD51" s="158"/>
      <c r="GBE51" s="158"/>
      <c r="GBF51" s="158"/>
      <c r="GBG51" s="158"/>
      <c r="GBH51" s="158"/>
      <c r="GBI51" s="158"/>
      <c r="GBJ51" s="158"/>
      <c r="GBK51" s="158"/>
      <c r="GBL51" s="158"/>
      <c r="GBM51" s="158"/>
      <c r="GBN51" s="158"/>
      <c r="GBO51" s="158"/>
      <c r="GBP51" s="158"/>
      <c r="GBQ51" s="158"/>
      <c r="GBR51" s="158"/>
      <c r="GBS51" s="158"/>
      <c r="GBT51" s="158"/>
      <c r="GBU51" s="158"/>
      <c r="GBV51" s="158"/>
      <c r="GBW51" s="158"/>
      <c r="GBX51" s="158"/>
      <c r="GBY51" s="158"/>
      <c r="GBZ51" s="158"/>
      <c r="GCA51" s="158"/>
      <c r="GCB51" s="158"/>
      <c r="GCC51" s="158"/>
      <c r="GCD51" s="158"/>
      <c r="GCE51" s="158"/>
      <c r="GCF51" s="158"/>
      <c r="GCG51" s="158"/>
      <c r="GCH51" s="158"/>
      <c r="GCI51" s="158"/>
      <c r="GCJ51" s="158"/>
      <c r="GCK51" s="158"/>
      <c r="GCL51" s="158"/>
      <c r="GCM51" s="158"/>
      <c r="GCN51" s="158"/>
      <c r="GCO51" s="158"/>
      <c r="GCP51" s="158"/>
      <c r="GCQ51" s="158"/>
      <c r="GCR51" s="158"/>
      <c r="GCS51" s="158"/>
      <c r="GCT51" s="158"/>
      <c r="GCU51" s="158"/>
      <c r="GCV51" s="158"/>
      <c r="GCW51" s="158"/>
      <c r="GCX51" s="158"/>
      <c r="GCY51" s="158"/>
      <c r="GCZ51" s="158"/>
      <c r="GDA51" s="158"/>
      <c r="GDB51" s="158"/>
      <c r="GDC51" s="158"/>
      <c r="GDD51" s="158"/>
      <c r="GDE51" s="158"/>
      <c r="GDF51" s="158"/>
      <c r="GDG51" s="158"/>
      <c r="GDH51" s="158"/>
      <c r="GDI51" s="158"/>
      <c r="GDJ51" s="158"/>
      <c r="GDK51" s="158"/>
      <c r="GDL51" s="158"/>
      <c r="GDM51" s="158"/>
      <c r="GDN51" s="158"/>
      <c r="GDO51" s="158"/>
      <c r="GDP51" s="158"/>
      <c r="GDQ51" s="158"/>
      <c r="GDR51" s="158"/>
      <c r="GDS51" s="158"/>
      <c r="GDT51" s="158"/>
      <c r="GDU51" s="158"/>
      <c r="GDV51" s="158"/>
      <c r="GDW51" s="158"/>
      <c r="GDX51" s="158"/>
      <c r="GDY51" s="158"/>
      <c r="GDZ51" s="158"/>
      <c r="GEA51" s="158"/>
      <c r="GEB51" s="158"/>
      <c r="GEC51" s="158"/>
      <c r="GED51" s="158"/>
      <c r="GEE51" s="158"/>
      <c r="GEF51" s="158"/>
      <c r="GEG51" s="158"/>
      <c r="GEH51" s="158"/>
      <c r="GEI51" s="158"/>
      <c r="GEJ51" s="158"/>
      <c r="GEK51" s="158"/>
      <c r="GEL51" s="158"/>
      <c r="GEM51" s="158"/>
      <c r="GEN51" s="158"/>
      <c r="GEO51" s="158"/>
      <c r="GEP51" s="158"/>
      <c r="GEQ51" s="158"/>
      <c r="GER51" s="158"/>
      <c r="GES51" s="158"/>
      <c r="GET51" s="158"/>
      <c r="GEU51" s="158"/>
      <c r="GEV51" s="158"/>
      <c r="GEW51" s="158"/>
      <c r="GEX51" s="158"/>
      <c r="GEY51" s="158"/>
      <c r="GEZ51" s="158"/>
      <c r="GFA51" s="158"/>
      <c r="GFB51" s="158"/>
      <c r="GFC51" s="158"/>
      <c r="GFD51" s="158"/>
      <c r="GFE51" s="158"/>
      <c r="GFF51" s="158"/>
      <c r="GFG51" s="158"/>
      <c r="GFH51" s="158"/>
      <c r="GFI51" s="158"/>
      <c r="GFJ51" s="158"/>
      <c r="GFK51" s="158"/>
      <c r="GFL51" s="158"/>
      <c r="GFM51" s="158"/>
      <c r="GFN51" s="158"/>
      <c r="GFO51" s="158"/>
      <c r="GFP51" s="158"/>
      <c r="GFQ51" s="158"/>
      <c r="GFR51" s="158"/>
      <c r="GFS51" s="158"/>
      <c r="GFT51" s="158"/>
      <c r="GFU51" s="158"/>
      <c r="GFV51" s="158"/>
      <c r="GFW51" s="158"/>
      <c r="GFX51" s="158"/>
      <c r="GFY51" s="158"/>
      <c r="GFZ51" s="158"/>
      <c r="GGA51" s="158"/>
      <c r="GGB51" s="158"/>
      <c r="GGC51" s="158"/>
      <c r="GGD51" s="158"/>
      <c r="GGE51" s="158"/>
      <c r="GGF51" s="158"/>
      <c r="GGG51" s="158"/>
      <c r="GGH51" s="158"/>
      <c r="GGI51" s="158"/>
      <c r="GGJ51" s="158"/>
      <c r="GGK51" s="158"/>
      <c r="GGL51" s="158"/>
      <c r="GGM51" s="158"/>
      <c r="GGN51" s="158"/>
      <c r="GGO51" s="158"/>
      <c r="GGP51" s="158"/>
      <c r="GGQ51" s="158"/>
      <c r="GGR51" s="158"/>
      <c r="GGS51" s="158"/>
      <c r="GGT51" s="158"/>
      <c r="GGU51" s="158"/>
      <c r="GGV51" s="158"/>
      <c r="GGW51" s="158"/>
      <c r="GGX51" s="158"/>
      <c r="GGY51" s="158"/>
      <c r="GGZ51" s="158"/>
      <c r="GHA51" s="158"/>
      <c r="GHB51" s="158"/>
      <c r="GHC51" s="158"/>
      <c r="GHD51" s="158"/>
      <c r="GHE51" s="158"/>
      <c r="GHF51" s="158"/>
      <c r="GHG51" s="158"/>
      <c r="GHH51" s="158"/>
      <c r="GHI51" s="158"/>
      <c r="GHJ51" s="158"/>
      <c r="GHK51" s="158"/>
      <c r="GHL51" s="158"/>
      <c r="GHM51" s="158"/>
      <c r="GHN51" s="158"/>
      <c r="GHO51" s="158"/>
      <c r="GHP51" s="158"/>
      <c r="GHQ51" s="158"/>
      <c r="GHR51" s="158"/>
      <c r="GHS51" s="158"/>
      <c r="GHT51" s="158"/>
      <c r="GHU51" s="158"/>
      <c r="GHV51" s="158"/>
      <c r="GHW51" s="158"/>
      <c r="GHX51" s="158"/>
      <c r="GHY51" s="158"/>
      <c r="GHZ51" s="158"/>
      <c r="GIA51" s="158"/>
      <c r="GIB51" s="158"/>
      <c r="GIC51" s="158"/>
      <c r="GID51" s="158"/>
      <c r="GIE51" s="158"/>
      <c r="GIF51" s="158"/>
      <c r="GIG51" s="158"/>
      <c r="GIH51" s="158"/>
      <c r="GII51" s="158"/>
      <c r="GIJ51" s="158"/>
      <c r="GIK51" s="158"/>
      <c r="GIL51" s="158"/>
      <c r="GIM51" s="158"/>
      <c r="GIN51" s="158"/>
      <c r="GIO51" s="158"/>
      <c r="GIP51" s="158"/>
      <c r="GIQ51" s="158"/>
      <c r="GIR51" s="158"/>
      <c r="GIS51" s="158"/>
      <c r="GIT51" s="158"/>
      <c r="GIU51" s="158"/>
      <c r="GIV51" s="158"/>
      <c r="GIW51" s="158"/>
      <c r="GIX51" s="158"/>
      <c r="GIY51" s="158"/>
      <c r="GIZ51" s="158"/>
      <c r="GJA51" s="158"/>
      <c r="GJB51" s="158"/>
      <c r="GJC51" s="158"/>
      <c r="GJD51" s="158"/>
      <c r="GJE51" s="158"/>
      <c r="GJF51" s="158"/>
      <c r="GJG51" s="158"/>
      <c r="GJH51" s="158"/>
      <c r="GJI51" s="158"/>
      <c r="GJJ51" s="158"/>
      <c r="GJK51" s="158"/>
      <c r="GJL51" s="158"/>
      <c r="GJM51" s="158"/>
      <c r="GJN51" s="158"/>
      <c r="GJO51" s="158"/>
      <c r="GJP51" s="158"/>
      <c r="GJQ51" s="158"/>
      <c r="GJR51" s="158"/>
      <c r="GJS51" s="158"/>
      <c r="GJT51" s="158"/>
      <c r="GJU51" s="158"/>
      <c r="GJV51" s="158"/>
      <c r="GJW51" s="158"/>
      <c r="GJX51" s="158"/>
      <c r="GJY51" s="158"/>
      <c r="GJZ51" s="158"/>
      <c r="GKA51" s="158"/>
      <c r="GKB51" s="158"/>
      <c r="GKC51" s="158"/>
      <c r="GKD51" s="158"/>
      <c r="GKE51" s="158"/>
      <c r="GKF51" s="158"/>
      <c r="GKG51" s="158"/>
      <c r="GKH51" s="158"/>
      <c r="GKI51" s="158"/>
      <c r="GKJ51" s="158"/>
      <c r="GKK51" s="158"/>
      <c r="GKL51" s="158"/>
      <c r="GKM51" s="158"/>
      <c r="GKN51" s="158"/>
      <c r="GKO51" s="158"/>
      <c r="GKP51" s="158"/>
      <c r="GKQ51" s="158"/>
      <c r="GKR51" s="158"/>
      <c r="GKS51" s="158"/>
      <c r="GKT51" s="158"/>
      <c r="GKU51" s="158"/>
      <c r="GKV51" s="158"/>
      <c r="GKW51" s="158"/>
      <c r="GKX51" s="158"/>
      <c r="GKY51" s="158"/>
      <c r="GKZ51" s="158"/>
      <c r="GLA51" s="158"/>
      <c r="GLB51" s="158"/>
      <c r="GLC51" s="158"/>
      <c r="GLD51" s="158"/>
      <c r="GLE51" s="158"/>
      <c r="GLF51" s="158"/>
      <c r="GLG51" s="158"/>
      <c r="GLH51" s="158"/>
      <c r="GLI51" s="158"/>
      <c r="GLJ51" s="158"/>
      <c r="GLK51" s="158"/>
      <c r="GLL51" s="158"/>
      <c r="GLM51" s="158"/>
      <c r="GLN51" s="158"/>
      <c r="GLO51" s="158"/>
      <c r="GLP51" s="158"/>
      <c r="GLQ51" s="158"/>
      <c r="GLR51" s="158"/>
      <c r="GLS51" s="158"/>
      <c r="GLT51" s="158"/>
      <c r="GLU51" s="158"/>
      <c r="GLV51" s="158"/>
      <c r="GLW51" s="158"/>
      <c r="GLX51" s="158"/>
      <c r="GLY51" s="158"/>
      <c r="GLZ51" s="158"/>
      <c r="GMA51" s="158"/>
      <c r="GMB51" s="158"/>
      <c r="GMC51" s="158"/>
      <c r="GMD51" s="158"/>
      <c r="GME51" s="158"/>
      <c r="GMF51" s="158"/>
      <c r="GMG51" s="158"/>
      <c r="GMH51" s="158"/>
      <c r="GMI51" s="158"/>
      <c r="GMJ51" s="158"/>
      <c r="GMK51" s="158"/>
      <c r="GML51" s="158"/>
      <c r="GMM51" s="158"/>
      <c r="GMN51" s="158"/>
      <c r="GMO51" s="158"/>
      <c r="GMP51" s="158"/>
      <c r="GMQ51" s="158"/>
      <c r="GMR51" s="158"/>
      <c r="GMS51" s="158"/>
      <c r="GMT51" s="158"/>
      <c r="GMU51" s="158"/>
      <c r="GMV51" s="158"/>
      <c r="GMW51" s="158"/>
      <c r="GMX51" s="158"/>
      <c r="GMY51" s="158"/>
      <c r="GMZ51" s="158"/>
      <c r="GNA51" s="158"/>
      <c r="GNB51" s="158"/>
      <c r="GNC51" s="158"/>
      <c r="GND51" s="158"/>
      <c r="GNE51" s="158"/>
      <c r="GNF51" s="158"/>
      <c r="GNG51" s="158"/>
      <c r="GNH51" s="158"/>
      <c r="GNI51" s="158"/>
      <c r="GNJ51" s="158"/>
      <c r="GNK51" s="158"/>
      <c r="GNL51" s="158"/>
      <c r="GNM51" s="158"/>
      <c r="GNN51" s="158"/>
      <c r="GNO51" s="158"/>
      <c r="GNP51" s="158"/>
      <c r="GNQ51" s="158"/>
      <c r="GNR51" s="158"/>
      <c r="GNS51" s="158"/>
      <c r="GNT51" s="158"/>
      <c r="GNU51" s="158"/>
      <c r="GNV51" s="158"/>
      <c r="GNW51" s="158"/>
      <c r="GNX51" s="158"/>
      <c r="GNY51" s="158"/>
      <c r="GNZ51" s="158"/>
      <c r="GOA51" s="158"/>
      <c r="GOB51" s="158"/>
      <c r="GOC51" s="158"/>
      <c r="GOD51" s="158"/>
      <c r="GOE51" s="158"/>
      <c r="GOF51" s="158"/>
      <c r="GOG51" s="158"/>
      <c r="GOH51" s="158"/>
      <c r="GOI51" s="158"/>
      <c r="GOJ51" s="158"/>
      <c r="GOK51" s="158"/>
      <c r="GOL51" s="158"/>
      <c r="GOM51" s="158"/>
      <c r="GON51" s="158"/>
      <c r="GOO51" s="158"/>
      <c r="GOP51" s="158"/>
      <c r="GOQ51" s="158"/>
      <c r="GOR51" s="158"/>
      <c r="GOS51" s="158"/>
      <c r="GOT51" s="158"/>
      <c r="GOU51" s="158"/>
      <c r="GOV51" s="158"/>
      <c r="GOW51" s="158"/>
      <c r="GOX51" s="158"/>
      <c r="GOY51" s="158"/>
      <c r="GOZ51" s="158"/>
      <c r="GPA51" s="158"/>
      <c r="GPB51" s="158"/>
      <c r="GPC51" s="158"/>
      <c r="GPD51" s="158"/>
      <c r="GPE51" s="158"/>
      <c r="GPF51" s="158"/>
      <c r="GPG51" s="158"/>
      <c r="GPH51" s="158"/>
      <c r="GPI51" s="158"/>
      <c r="GPJ51" s="158"/>
      <c r="GPK51" s="158"/>
      <c r="GPL51" s="158"/>
      <c r="GPM51" s="158"/>
      <c r="GPN51" s="158"/>
      <c r="GPO51" s="158"/>
      <c r="GPP51" s="158"/>
      <c r="GPQ51" s="158"/>
      <c r="GPR51" s="158"/>
      <c r="GPS51" s="158"/>
      <c r="GPT51" s="158"/>
      <c r="GPU51" s="158"/>
      <c r="GPV51" s="158"/>
      <c r="GPW51" s="158"/>
      <c r="GPX51" s="158"/>
      <c r="GPY51" s="158"/>
      <c r="GPZ51" s="158"/>
      <c r="GQA51" s="158"/>
      <c r="GQB51" s="158"/>
      <c r="GQC51" s="158"/>
      <c r="GQD51" s="158"/>
      <c r="GQE51" s="158"/>
      <c r="GQF51" s="158"/>
      <c r="GQG51" s="158"/>
      <c r="GQH51" s="158"/>
      <c r="GQI51" s="158"/>
      <c r="GQJ51" s="158"/>
      <c r="GQK51" s="158"/>
      <c r="GQL51" s="158"/>
      <c r="GQM51" s="158"/>
      <c r="GQN51" s="158"/>
      <c r="GQO51" s="158"/>
      <c r="GQP51" s="158"/>
      <c r="GQQ51" s="158"/>
      <c r="GQR51" s="158"/>
      <c r="GQS51" s="158"/>
      <c r="GQT51" s="158"/>
      <c r="GQU51" s="158"/>
      <c r="GQV51" s="158"/>
      <c r="GQW51" s="158"/>
      <c r="GQX51" s="158"/>
      <c r="GQY51" s="158"/>
      <c r="GQZ51" s="158"/>
      <c r="GRA51" s="158"/>
      <c r="GRB51" s="158"/>
      <c r="GRC51" s="158"/>
      <c r="GRD51" s="158"/>
      <c r="GRE51" s="158"/>
      <c r="GRF51" s="158"/>
      <c r="GRG51" s="158"/>
      <c r="GRH51" s="158"/>
      <c r="GRI51" s="158"/>
      <c r="GRJ51" s="158"/>
      <c r="GRK51" s="158"/>
      <c r="GRL51" s="158"/>
      <c r="GRM51" s="158"/>
      <c r="GRN51" s="158"/>
      <c r="GRO51" s="158"/>
      <c r="GRP51" s="158"/>
      <c r="GRQ51" s="158"/>
      <c r="GRR51" s="158"/>
      <c r="GRS51" s="158"/>
      <c r="GRT51" s="158"/>
      <c r="GRU51" s="158"/>
      <c r="GRV51" s="158"/>
      <c r="GRW51" s="158"/>
      <c r="GRX51" s="158"/>
      <c r="GRY51" s="158"/>
      <c r="GRZ51" s="158"/>
      <c r="GSA51" s="158"/>
      <c r="GSB51" s="158"/>
      <c r="GSC51" s="158"/>
      <c r="GSD51" s="158"/>
      <c r="GSE51" s="158"/>
      <c r="GSF51" s="158"/>
      <c r="GSG51" s="158"/>
      <c r="GSH51" s="158"/>
      <c r="GSI51" s="158"/>
      <c r="GSJ51" s="158"/>
      <c r="GSK51" s="158"/>
      <c r="GSL51" s="158"/>
      <c r="GSM51" s="158"/>
      <c r="GSN51" s="158"/>
      <c r="GSO51" s="158"/>
      <c r="GSP51" s="158"/>
      <c r="GSQ51" s="158"/>
      <c r="GSR51" s="158"/>
      <c r="GSS51" s="158"/>
      <c r="GST51" s="158"/>
      <c r="GSU51" s="158"/>
      <c r="GSV51" s="158"/>
      <c r="GSW51" s="158"/>
      <c r="GSX51" s="158"/>
      <c r="GSY51" s="158"/>
      <c r="GSZ51" s="158"/>
      <c r="GTA51" s="158"/>
      <c r="GTB51" s="158"/>
      <c r="GTC51" s="158"/>
      <c r="GTD51" s="158"/>
      <c r="GTE51" s="158"/>
      <c r="GTF51" s="158"/>
      <c r="GTG51" s="158"/>
      <c r="GTH51" s="158"/>
      <c r="GTI51" s="158"/>
      <c r="GTJ51" s="158"/>
      <c r="GTK51" s="158"/>
      <c r="GTL51" s="158"/>
      <c r="GTM51" s="158"/>
      <c r="GTN51" s="158"/>
      <c r="GTO51" s="158"/>
      <c r="GTP51" s="158"/>
      <c r="GTQ51" s="158"/>
      <c r="GTR51" s="158"/>
      <c r="GTS51" s="158"/>
      <c r="GTT51" s="158"/>
      <c r="GTU51" s="158"/>
      <c r="GTV51" s="158"/>
      <c r="GTW51" s="158"/>
      <c r="GTX51" s="158"/>
      <c r="GTY51" s="158"/>
      <c r="GTZ51" s="158"/>
      <c r="GUA51" s="158"/>
      <c r="GUB51" s="158"/>
      <c r="GUC51" s="158"/>
      <c r="GUD51" s="158"/>
      <c r="GUE51" s="158"/>
      <c r="GUF51" s="158"/>
      <c r="GUG51" s="158"/>
      <c r="GUH51" s="158"/>
      <c r="GUI51" s="158"/>
      <c r="GUJ51" s="158"/>
      <c r="GUK51" s="158"/>
      <c r="GUL51" s="158"/>
      <c r="GUM51" s="158"/>
      <c r="GUN51" s="158"/>
      <c r="GUO51" s="158"/>
      <c r="GUP51" s="158"/>
      <c r="GUQ51" s="158"/>
      <c r="GUR51" s="158"/>
      <c r="GUS51" s="158"/>
      <c r="GUT51" s="158"/>
      <c r="GUU51" s="158"/>
      <c r="GUV51" s="158"/>
      <c r="GUW51" s="158"/>
      <c r="GUX51" s="158"/>
      <c r="GUY51" s="158"/>
      <c r="GUZ51" s="158"/>
      <c r="GVA51" s="158"/>
      <c r="GVB51" s="158"/>
      <c r="GVC51" s="158"/>
      <c r="GVD51" s="158"/>
      <c r="GVE51" s="158"/>
      <c r="GVF51" s="158"/>
      <c r="GVG51" s="158"/>
      <c r="GVH51" s="158"/>
      <c r="GVI51" s="158"/>
      <c r="GVJ51" s="158"/>
      <c r="GVK51" s="158"/>
      <c r="GVL51" s="158"/>
      <c r="GVM51" s="158"/>
      <c r="GVN51" s="158"/>
      <c r="GVO51" s="158"/>
      <c r="GVP51" s="158"/>
      <c r="GVQ51" s="158"/>
      <c r="GVR51" s="158"/>
      <c r="GVS51" s="158"/>
      <c r="GVT51" s="158"/>
      <c r="GVU51" s="158"/>
      <c r="GVV51" s="158"/>
      <c r="GVW51" s="158"/>
      <c r="GVX51" s="158"/>
      <c r="GVY51" s="158"/>
      <c r="GVZ51" s="158"/>
      <c r="GWA51" s="158"/>
      <c r="GWB51" s="158"/>
      <c r="GWC51" s="158"/>
      <c r="GWD51" s="158"/>
      <c r="GWE51" s="158"/>
      <c r="GWF51" s="158"/>
      <c r="GWG51" s="158"/>
      <c r="GWH51" s="158"/>
      <c r="GWI51" s="158"/>
      <c r="GWJ51" s="158"/>
      <c r="GWK51" s="158"/>
      <c r="GWL51" s="158"/>
      <c r="GWM51" s="158"/>
      <c r="GWN51" s="158"/>
      <c r="GWO51" s="158"/>
      <c r="GWP51" s="158"/>
      <c r="GWQ51" s="158"/>
      <c r="GWR51" s="158"/>
      <c r="GWS51" s="158"/>
      <c r="GWT51" s="158"/>
      <c r="GWU51" s="158"/>
      <c r="GWV51" s="158"/>
      <c r="GWW51" s="158"/>
      <c r="GWX51" s="158"/>
      <c r="GWY51" s="158"/>
      <c r="GWZ51" s="158"/>
      <c r="GXA51" s="158"/>
      <c r="GXB51" s="158"/>
      <c r="GXC51" s="158"/>
      <c r="GXD51" s="158"/>
      <c r="GXE51" s="158"/>
      <c r="GXF51" s="158"/>
      <c r="GXG51" s="158"/>
      <c r="GXH51" s="158"/>
      <c r="GXI51" s="158"/>
      <c r="GXJ51" s="158"/>
      <c r="GXK51" s="158"/>
      <c r="GXL51" s="158"/>
      <c r="GXM51" s="158"/>
      <c r="GXN51" s="158"/>
      <c r="GXO51" s="158"/>
      <c r="GXP51" s="158"/>
      <c r="GXQ51" s="158"/>
      <c r="GXR51" s="158"/>
      <c r="GXS51" s="158"/>
      <c r="GXT51" s="158"/>
      <c r="GXU51" s="158"/>
      <c r="GXV51" s="158"/>
      <c r="GXW51" s="158"/>
      <c r="GXX51" s="158"/>
      <c r="GXY51" s="158"/>
      <c r="GXZ51" s="158"/>
      <c r="GYA51" s="158"/>
      <c r="GYB51" s="158"/>
      <c r="GYC51" s="158"/>
      <c r="GYD51" s="158"/>
      <c r="GYE51" s="158"/>
      <c r="GYF51" s="158"/>
      <c r="GYG51" s="158"/>
      <c r="GYH51" s="158"/>
      <c r="GYI51" s="158"/>
      <c r="GYJ51" s="158"/>
      <c r="GYK51" s="158"/>
      <c r="GYL51" s="158"/>
      <c r="GYM51" s="158"/>
      <c r="GYN51" s="158"/>
      <c r="GYO51" s="158"/>
      <c r="GYP51" s="158"/>
      <c r="GYQ51" s="158"/>
      <c r="GYR51" s="158"/>
      <c r="GYS51" s="158"/>
      <c r="GYT51" s="158"/>
      <c r="GYU51" s="158"/>
      <c r="GYV51" s="158"/>
      <c r="GYW51" s="158"/>
      <c r="GYX51" s="158"/>
      <c r="GYY51" s="158"/>
      <c r="GYZ51" s="158"/>
      <c r="GZA51" s="158"/>
      <c r="GZB51" s="158"/>
      <c r="GZC51" s="158"/>
      <c r="GZD51" s="158"/>
      <c r="GZE51" s="158"/>
      <c r="GZF51" s="158"/>
      <c r="GZG51" s="158"/>
      <c r="GZH51" s="158"/>
      <c r="GZI51" s="158"/>
      <c r="GZJ51" s="158"/>
      <c r="GZK51" s="158"/>
      <c r="GZL51" s="158"/>
      <c r="GZM51" s="158"/>
      <c r="GZN51" s="158"/>
      <c r="GZO51" s="158"/>
      <c r="GZP51" s="158"/>
      <c r="GZQ51" s="158"/>
      <c r="GZR51" s="158"/>
      <c r="GZS51" s="158"/>
      <c r="GZT51" s="158"/>
      <c r="GZU51" s="158"/>
      <c r="GZV51" s="158"/>
      <c r="GZW51" s="158"/>
      <c r="GZX51" s="158"/>
      <c r="GZY51" s="158"/>
      <c r="GZZ51" s="158"/>
      <c r="HAA51" s="158"/>
      <c r="HAB51" s="158"/>
      <c r="HAC51" s="158"/>
      <c r="HAD51" s="158"/>
      <c r="HAE51" s="158"/>
      <c r="HAF51" s="158"/>
      <c r="HAG51" s="158"/>
      <c r="HAH51" s="158"/>
      <c r="HAI51" s="158"/>
      <c r="HAJ51" s="158"/>
      <c r="HAK51" s="158"/>
      <c r="HAL51" s="158"/>
      <c r="HAM51" s="158"/>
      <c r="HAN51" s="158"/>
      <c r="HAO51" s="158"/>
      <c r="HAP51" s="158"/>
      <c r="HAQ51" s="158"/>
      <c r="HAR51" s="158"/>
      <c r="HAS51" s="158"/>
      <c r="HAT51" s="158"/>
      <c r="HAU51" s="158"/>
      <c r="HAV51" s="158"/>
      <c r="HAW51" s="158"/>
      <c r="HAX51" s="158"/>
      <c r="HAY51" s="158"/>
      <c r="HAZ51" s="158"/>
      <c r="HBA51" s="158"/>
      <c r="HBB51" s="158"/>
      <c r="HBC51" s="158"/>
      <c r="HBD51" s="158"/>
      <c r="HBE51" s="158"/>
      <c r="HBF51" s="158"/>
      <c r="HBG51" s="158"/>
      <c r="HBH51" s="158"/>
      <c r="HBI51" s="158"/>
      <c r="HBJ51" s="158"/>
      <c r="HBK51" s="158"/>
      <c r="HBL51" s="158"/>
      <c r="HBM51" s="158"/>
      <c r="HBN51" s="158"/>
      <c r="HBO51" s="158"/>
      <c r="HBP51" s="158"/>
      <c r="HBQ51" s="158"/>
      <c r="HBR51" s="158"/>
      <c r="HBS51" s="158"/>
      <c r="HBT51" s="158"/>
      <c r="HBU51" s="158"/>
      <c r="HBV51" s="158"/>
      <c r="HBW51" s="158"/>
      <c r="HBX51" s="158"/>
      <c r="HBY51" s="158"/>
      <c r="HBZ51" s="158"/>
      <c r="HCA51" s="158"/>
      <c r="HCB51" s="158"/>
      <c r="HCC51" s="158"/>
      <c r="HCD51" s="158"/>
      <c r="HCE51" s="158"/>
      <c r="HCF51" s="158"/>
      <c r="HCG51" s="158"/>
      <c r="HCH51" s="158"/>
      <c r="HCI51" s="158"/>
      <c r="HCJ51" s="158"/>
      <c r="HCK51" s="158"/>
      <c r="HCL51" s="158"/>
      <c r="HCM51" s="158"/>
      <c r="HCN51" s="158"/>
      <c r="HCO51" s="158"/>
      <c r="HCP51" s="158"/>
      <c r="HCQ51" s="158"/>
      <c r="HCR51" s="158"/>
      <c r="HCS51" s="158"/>
      <c r="HCT51" s="158"/>
      <c r="HCU51" s="158"/>
      <c r="HCV51" s="158"/>
      <c r="HCW51" s="158"/>
      <c r="HCX51" s="158"/>
      <c r="HCY51" s="158"/>
      <c r="HCZ51" s="158"/>
      <c r="HDA51" s="158"/>
      <c r="HDB51" s="158"/>
      <c r="HDC51" s="158"/>
      <c r="HDD51" s="158"/>
      <c r="HDE51" s="158"/>
      <c r="HDF51" s="158"/>
      <c r="HDG51" s="158"/>
      <c r="HDH51" s="158"/>
      <c r="HDI51" s="158"/>
      <c r="HDJ51" s="158"/>
      <c r="HDK51" s="158"/>
      <c r="HDL51" s="158"/>
      <c r="HDM51" s="158"/>
      <c r="HDN51" s="158"/>
      <c r="HDO51" s="158"/>
      <c r="HDP51" s="158"/>
      <c r="HDQ51" s="158"/>
      <c r="HDR51" s="158"/>
      <c r="HDS51" s="158"/>
      <c r="HDT51" s="158"/>
      <c r="HDU51" s="158"/>
      <c r="HDV51" s="158"/>
      <c r="HDW51" s="158"/>
      <c r="HDX51" s="158"/>
      <c r="HDY51" s="158"/>
      <c r="HDZ51" s="158"/>
      <c r="HEA51" s="158"/>
      <c r="HEB51" s="158"/>
      <c r="HEC51" s="158"/>
      <c r="HED51" s="158"/>
      <c r="HEE51" s="158"/>
      <c r="HEF51" s="158"/>
      <c r="HEG51" s="158"/>
      <c r="HEH51" s="158"/>
      <c r="HEI51" s="158"/>
      <c r="HEJ51" s="158"/>
      <c r="HEK51" s="158"/>
      <c r="HEL51" s="158"/>
      <c r="HEM51" s="158"/>
      <c r="HEN51" s="158"/>
      <c r="HEO51" s="158"/>
      <c r="HEP51" s="158"/>
      <c r="HEQ51" s="158"/>
      <c r="HER51" s="158"/>
      <c r="HES51" s="158"/>
      <c r="HET51" s="158"/>
      <c r="HEU51" s="158"/>
      <c r="HEV51" s="158"/>
      <c r="HEW51" s="158"/>
      <c r="HEX51" s="158"/>
      <c r="HEY51" s="158"/>
      <c r="HEZ51" s="158"/>
      <c r="HFA51" s="158"/>
      <c r="HFB51" s="158"/>
      <c r="HFC51" s="158"/>
      <c r="HFD51" s="158"/>
      <c r="HFE51" s="158"/>
      <c r="HFF51" s="158"/>
      <c r="HFG51" s="158"/>
      <c r="HFH51" s="158"/>
      <c r="HFI51" s="158"/>
      <c r="HFJ51" s="158"/>
      <c r="HFK51" s="158"/>
      <c r="HFL51" s="158"/>
      <c r="HFM51" s="158"/>
      <c r="HFN51" s="158"/>
      <c r="HFO51" s="158"/>
      <c r="HFP51" s="158"/>
      <c r="HFQ51" s="158"/>
      <c r="HFR51" s="158"/>
      <c r="HFS51" s="158"/>
      <c r="HFT51" s="158"/>
      <c r="HFU51" s="158"/>
      <c r="HFV51" s="158"/>
      <c r="HFW51" s="158"/>
      <c r="HFX51" s="158"/>
      <c r="HFY51" s="158"/>
      <c r="HFZ51" s="158"/>
      <c r="HGA51" s="158"/>
      <c r="HGB51" s="158"/>
      <c r="HGC51" s="158"/>
      <c r="HGD51" s="158"/>
      <c r="HGE51" s="158"/>
      <c r="HGF51" s="158"/>
      <c r="HGG51" s="158"/>
      <c r="HGH51" s="158"/>
      <c r="HGI51" s="158"/>
      <c r="HGJ51" s="158"/>
      <c r="HGK51" s="158"/>
      <c r="HGL51" s="158"/>
      <c r="HGM51" s="158"/>
      <c r="HGN51" s="158"/>
      <c r="HGO51" s="158"/>
      <c r="HGP51" s="158"/>
      <c r="HGQ51" s="158"/>
      <c r="HGR51" s="158"/>
      <c r="HGS51" s="158"/>
      <c r="HGT51" s="158"/>
      <c r="HGU51" s="158"/>
      <c r="HGV51" s="158"/>
      <c r="HGW51" s="158"/>
      <c r="HGX51" s="158"/>
      <c r="HGY51" s="158"/>
      <c r="HGZ51" s="158"/>
      <c r="HHA51" s="158"/>
      <c r="HHB51" s="158"/>
      <c r="HHC51" s="158"/>
      <c r="HHD51" s="158"/>
      <c r="HHE51" s="158"/>
      <c r="HHF51" s="158"/>
      <c r="HHG51" s="158"/>
      <c r="HHH51" s="158"/>
      <c r="HHI51" s="158"/>
      <c r="HHJ51" s="158"/>
      <c r="HHK51" s="158"/>
      <c r="HHL51" s="158"/>
      <c r="HHM51" s="158"/>
      <c r="HHN51" s="158"/>
      <c r="HHO51" s="158"/>
      <c r="HHP51" s="158"/>
      <c r="HHQ51" s="158"/>
      <c r="HHR51" s="158"/>
      <c r="HHS51" s="158"/>
      <c r="HHT51" s="158"/>
      <c r="HHU51" s="158"/>
      <c r="HHV51" s="158"/>
      <c r="HHW51" s="158"/>
      <c r="HHX51" s="158"/>
      <c r="HHY51" s="158"/>
      <c r="HHZ51" s="158"/>
      <c r="HIA51" s="158"/>
      <c r="HIB51" s="158"/>
      <c r="HIC51" s="158"/>
      <c r="HID51" s="158"/>
      <c r="HIE51" s="158"/>
      <c r="HIF51" s="158"/>
      <c r="HIG51" s="158"/>
      <c r="HIH51" s="158"/>
      <c r="HII51" s="158"/>
      <c r="HIJ51" s="158"/>
      <c r="HIK51" s="158"/>
      <c r="HIL51" s="158"/>
      <c r="HIM51" s="158"/>
      <c r="HIN51" s="158"/>
      <c r="HIO51" s="158"/>
      <c r="HIP51" s="158"/>
      <c r="HIQ51" s="158"/>
      <c r="HIR51" s="158"/>
      <c r="HIS51" s="158"/>
      <c r="HIT51" s="158"/>
      <c r="HIU51" s="158"/>
      <c r="HIV51" s="158"/>
      <c r="HIW51" s="158"/>
      <c r="HIX51" s="158"/>
      <c r="HIY51" s="158"/>
      <c r="HIZ51" s="158"/>
      <c r="HJA51" s="158"/>
      <c r="HJB51" s="158"/>
      <c r="HJC51" s="158"/>
      <c r="HJD51" s="158"/>
      <c r="HJE51" s="158"/>
      <c r="HJF51" s="158"/>
      <c r="HJG51" s="158"/>
      <c r="HJH51" s="158"/>
      <c r="HJI51" s="158"/>
      <c r="HJJ51" s="158"/>
      <c r="HJK51" s="158"/>
      <c r="HJL51" s="158"/>
      <c r="HJM51" s="158"/>
      <c r="HJN51" s="158"/>
      <c r="HJO51" s="158"/>
      <c r="HJP51" s="158"/>
      <c r="HJQ51" s="158"/>
      <c r="HJR51" s="158"/>
      <c r="HJS51" s="158"/>
      <c r="HJT51" s="158"/>
      <c r="HJU51" s="158"/>
      <c r="HJV51" s="158"/>
      <c r="HJW51" s="158"/>
      <c r="HJX51" s="158"/>
      <c r="HJY51" s="158"/>
      <c r="HJZ51" s="158"/>
      <c r="HKA51" s="158"/>
      <c r="HKB51" s="158"/>
      <c r="HKC51" s="158"/>
      <c r="HKD51" s="158"/>
      <c r="HKE51" s="158"/>
      <c r="HKF51" s="158"/>
      <c r="HKG51" s="158"/>
      <c r="HKH51" s="158"/>
      <c r="HKI51" s="158"/>
      <c r="HKJ51" s="158"/>
      <c r="HKK51" s="158"/>
      <c r="HKL51" s="158"/>
      <c r="HKM51" s="158"/>
      <c r="HKN51" s="158"/>
      <c r="HKO51" s="158"/>
      <c r="HKP51" s="158"/>
      <c r="HKQ51" s="158"/>
      <c r="HKR51" s="158"/>
      <c r="HKS51" s="158"/>
      <c r="HKT51" s="158"/>
      <c r="HKU51" s="158"/>
      <c r="HKV51" s="158"/>
      <c r="HKW51" s="158"/>
      <c r="HKX51" s="158"/>
      <c r="HKY51" s="158"/>
      <c r="HKZ51" s="158"/>
      <c r="HLA51" s="158"/>
      <c r="HLB51" s="158"/>
      <c r="HLC51" s="158"/>
      <c r="HLD51" s="158"/>
      <c r="HLE51" s="158"/>
      <c r="HLF51" s="158"/>
      <c r="HLG51" s="158"/>
      <c r="HLH51" s="158"/>
      <c r="HLI51" s="158"/>
      <c r="HLJ51" s="158"/>
      <c r="HLK51" s="158"/>
      <c r="HLL51" s="158"/>
      <c r="HLM51" s="158"/>
      <c r="HLN51" s="158"/>
      <c r="HLO51" s="158"/>
      <c r="HLP51" s="158"/>
      <c r="HLQ51" s="158"/>
      <c r="HLR51" s="158"/>
      <c r="HLS51" s="158"/>
      <c r="HLT51" s="158"/>
      <c r="HLU51" s="158"/>
      <c r="HLV51" s="158"/>
      <c r="HLW51" s="158"/>
      <c r="HLX51" s="158"/>
      <c r="HLY51" s="158"/>
      <c r="HLZ51" s="158"/>
      <c r="HMA51" s="158"/>
      <c r="HMB51" s="158"/>
      <c r="HMC51" s="158"/>
      <c r="HMD51" s="158"/>
      <c r="HME51" s="158"/>
      <c r="HMF51" s="158"/>
      <c r="HMG51" s="158"/>
      <c r="HMH51" s="158"/>
      <c r="HMI51" s="158"/>
      <c r="HMJ51" s="158"/>
      <c r="HMK51" s="158"/>
      <c r="HML51" s="158"/>
      <c r="HMM51" s="158"/>
      <c r="HMN51" s="158"/>
      <c r="HMO51" s="158"/>
      <c r="HMP51" s="158"/>
      <c r="HMQ51" s="158"/>
      <c r="HMR51" s="158"/>
      <c r="HMS51" s="158"/>
      <c r="HMT51" s="158"/>
      <c r="HMU51" s="158"/>
      <c r="HMV51" s="158"/>
      <c r="HMW51" s="158"/>
      <c r="HMX51" s="158"/>
      <c r="HMY51" s="158"/>
      <c r="HMZ51" s="158"/>
      <c r="HNA51" s="158"/>
      <c r="HNB51" s="158"/>
      <c r="HNC51" s="158"/>
      <c r="HND51" s="158"/>
      <c r="HNE51" s="158"/>
      <c r="HNF51" s="158"/>
      <c r="HNG51" s="158"/>
      <c r="HNH51" s="158"/>
      <c r="HNI51" s="158"/>
      <c r="HNJ51" s="158"/>
      <c r="HNK51" s="158"/>
      <c r="HNL51" s="158"/>
      <c r="HNM51" s="158"/>
      <c r="HNN51" s="158"/>
      <c r="HNO51" s="158"/>
      <c r="HNP51" s="158"/>
      <c r="HNQ51" s="158"/>
      <c r="HNR51" s="158"/>
      <c r="HNS51" s="158"/>
      <c r="HNT51" s="158"/>
      <c r="HNU51" s="158"/>
      <c r="HNV51" s="158"/>
      <c r="HNW51" s="158"/>
      <c r="HNX51" s="158"/>
      <c r="HNY51" s="158"/>
      <c r="HNZ51" s="158"/>
      <c r="HOA51" s="158"/>
      <c r="HOB51" s="158"/>
      <c r="HOC51" s="158"/>
      <c r="HOD51" s="158"/>
      <c r="HOE51" s="158"/>
      <c r="HOF51" s="158"/>
      <c r="HOG51" s="158"/>
      <c r="HOH51" s="158"/>
      <c r="HOI51" s="158"/>
      <c r="HOJ51" s="158"/>
      <c r="HOK51" s="158"/>
      <c r="HOL51" s="158"/>
      <c r="HOM51" s="158"/>
      <c r="HON51" s="158"/>
      <c r="HOO51" s="158"/>
      <c r="HOP51" s="158"/>
      <c r="HOQ51" s="158"/>
      <c r="HOR51" s="158"/>
      <c r="HOS51" s="158"/>
      <c r="HOT51" s="158"/>
      <c r="HOU51" s="158"/>
      <c r="HOV51" s="158"/>
      <c r="HOW51" s="158"/>
      <c r="HOX51" s="158"/>
      <c r="HOY51" s="158"/>
      <c r="HOZ51" s="158"/>
      <c r="HPA51" s="158"/>
      <c r="HPB51" s="158"/>
      <c r="HPC51" s="158"/>
      <c r="HPD51" s="158"/>
      <c r="HPE51" s="158"/>
      <c r="HPF51" s="158"/>
      <c r="HPG51" s="158"/>
      <c r="HPH51" s="158"/>
      <c r="HPI51" s="158"/>
      <c r="HPJ51" s="158"/>
      <c r="HPK51" s="158"/>
      <c r="HPL51" s="158"/>
      <c r="HPM51" s="158"/>
      <c r="HPN51" s="158"/>
      <c r="HPO51" s="158"/>
      <c r="HPP51" s="158"/>
      <c r="HPQ51" s="158"/>
      <c r="HPR51" s="158"/>
      <c r="HPS51" s="158"/>
      <c r="HPT51" s="158"/>
      <c r="HPU51" s="158"/>
      <c r="HPV51" s="158"/>
      <c r="HPW51" s="158"/>
      <c r="HPX51" s="158"/>
      <c r="HPY51" s="158"/>
      <c r="HPZ51" s="158"/>
      <c r="HQA51" s="158"/>
      <c r="HQB51" s="158"/>
      <c r="HQC51" s="158"/>
      <c r="HQD51" s="158"/>
      <c r="HQE51" s="158"/>
      <c r="HQF51" s="158"/>
      <c r="HQG51" s="158"/>
      <c r="HQH51" s="158"/>
      <c r="HQI51" s="158"/>
      <c r="HQJ51" s="158"/>
      <c r="HQK51" s="158"/>
      <c r="HQL51" s="158"/>
      <c r="HQM51" s="158"/>
      <c r="HQN51" s="158"/>
      <c r="HQO51" s="158"/>
      <c r="HQP51" s="158"/>
      <c r="HQQ51" s="158"/>
      <c r="HQR51" s="158"/>
      <c r="HQS51" s="158"/>
      <c r="HQT51" s="158"/>
      <c r="HQU51" s="158"/>
      <c r="HQV51" s="158"/>
      <c r="HQW51" s="158"/>
      <c r="HQX51" s="158"/>
      <c r="HQY51" s="158"/>
      <c r="HQZ51" s="158"/>
      <c r="HRA51" s="158"/>
      <c r="HRB51" s="158"/>
      <c r="HRC51" s="158"/>
      <c r="HRD51" s="158"/>
      <c r="HRE51" s="158"/>
      <c r="HRF51" s="158"/>
      <c r="HRG51" s="158"/>
      <c r="HRH51" s="158"/>
      <c r="HRI51" s="158"/>
      <c r="HRJ51" s="158"/>
      <c r="HRK51" s="158"/>
      <c r="HRL51" s="158"/>
      <c r="HRM51" s="158"/>
      <c r="HRN51" s="158"/>
      <c r="HRO51" s="158"/>
      <c r="HRP51" s="158"/>
      <c r="HRQ51" s="158"/>
      <c r="HRR51" s="158"/>
      <c r="HRS51" s="158"/>
      <c r="HRT51" s="158"/>
      <c r="HRU51" s="158"/>
      <c r="HRV51" s="158"/>
      <c r="HRW51" s="158"/>
      <c r="HRX51" s="158"/>
      <c r="HRY51" s="158"/>
      <c r="HRZ51" s="158"/>
      <c r="HSA51" s="158"/>
      <c r="HSB51" s="158"/>
      <c r="HSC51" s="158"/>
      <c r="HSD51" s="158"/>
      <c r="HSE51" s="158"/>
      <c r="HSF51" s="158"/>
      <c r="HSG51" s="158"/>
      <c r="HSH51" s="158"/>
      <c r="HSI51" s="158"/>
      <c r="HSJ51" s="158"/>
      <c r="HSK51" s="158"/>
      <c r="HSL51" s="158"/>
      <c r="HSM51" s="158"/>
      <c r="HSN51" s="158"/>
      <c r="HSO51" s="158"/>
      <c r="HSP51" s="158"/>
      <c r="HSQ51" s="158"/>
      <c r="HSR51" s="158"/>
      <c r="HSS51" s="158"/>
      <c r="HST51" s="158"/>
      <c r="HSU51" s="158"/>
      <c r="HSV51" s="158"/>
      <c r="HSW51" s="158"/>
      <c r="HSX51" s="158"/>
      <c r="HSY51" s="158"/>
      <c r="HSZ51" s="158"/>
      <c r="HTA51" s="158"/>
      <c r="HTB51" s="158"/>
      <c r="HTC51" s="158"/>
      <c r="HTD51" s="158"/>
      <c r="HTE51" s="158"/>
      <c r="HTF51" s="158"/>
      <c r="HTG51" s="158"/>
      <c r="HTH51" s="158"/>
      <c r="HTI51" s="158"/>
      <c r="HTJ51" s="158"/>
      <c r="HTK51" s="158"/>
      <c r="HTL51" s="158"/>
      <c r="HTM51" s="158"/>
      <c r="HTN51" s="158"/>
      <c r="HTO51" s="158"/>
      <c r="HTP51" s="158"/>
      <c r="HTQ51" s="158"/>
      <c r="HTR51" s="158"/>
      <c r="HTS51" s="158"/>
      <c r="HTT51" s="158"/>
      <c r="HTU51" s="158"/>
      <c r="HTV51" s="158"/>
      <c r="HTW51" s="158"/>
      <c r="HTX51" s="158"/>
      <c r="HTY51" s="158"/>
      <c r="HTZ51" s="158"/>
      <c r="HUA51" s="158"/>
      <c r="HUB51" s="158"/>
      <c r="HUC51" s="158"/>
      <c r="HUD51" s="158"/>
      <c r="HUE51" s="158"/>
      <c r="HUF51" s="158"/>
      <c r="HUG51" s="158"/>
      <c r="HUH51" s="158"/>
      <c r="HUI51" s="158"/>
      <c r="HUJ51" s="158"/>
      <c r="HUK51" s="158"/>
      <c r="HUL51" s="158"/>
      <c r="HUM51" s="158"/>
      <c r="HUN51" s="158"/>
      <c r="HUO51" s="158"/>
      <c r="HUP51" s="158"/>
      <c r="HUQ51" s="158"/>
      <c r="HUR51" s="158"/>
      <c r="HUS51" s="158"/>
      <c r="HUT51" s="158"/>
      <c r="HUU51" s="158"/>
      <c r="HUV51" s="158"/>
      <c r="HUW51" s="158"/>
      <c r="HUX51" s="158"/>
      <c r="HUY51" s="158"/>
      <c r="HUZ51" s="158"/>
      <c r="HVA51" s="158"/>
      <c r="HVB51" s="158"/>
      <c r="HVC51" s="158"/>
      <c r="HVD51" s="158"/>
      <c r="HVE51" s="158"/>
      <c r="HVF51" s="158"/>
      <c r="HVG51" s="158"/>
      <c r="HVH51" s="158"/>
      <c r="HVI51" s="158"/>
      <c r="HVJ51" s="158"/>
      <c r="HVK51" s="158"/>
      <c r="HVL51" s="158"/>
      <c r="HVM51" s="158"/>
      <c r="HVN51" s="158"/>
      <c r="HVO51" s="158"/>
      <c r="HVP51" s="158"/>
      <c r="HVQ51" s="158"/>
      <c r="HVR51" s="158"/>
      <c r="HVS51" s="158"/>
      <c r="HVT51" s="158"/>
      <c r="HVU51" s="158"/>
      <c r="HVV51" s="158"/>
      <c r="HVW51" s="158"/>
      <c r="HVX51" s="158"/>
      <c r="HVY51" s="158"/>
      <c r="HVZ51" s="158"/>
      <c r="HWA51" s="158"/>
      <c r="HWB51" s="158"/>
      <c r="HWC51" s="158"/>
      <c r="HWD51" s="158"/>
      <c r="HWE51" s="158"/>
      <c r="HWF51" s="158"/>
      <c r="HWG51" s="158"/>
      <c r="HWH51" s="158"/>
      <c r="HWI51" s="158"/>
      <c r="HWJ51" s="158"/>
      <c r="HWK51" s="158"/>
      <c r="HWL51" s="158"/>
      <c r="HWM51" s="158"/>
      <c r="HWN51" s="158"/>
      <c r="HWO51" s="158"/>
      <c r="HWP51" s="158"/>
      <c r="HWQ51" s="158"/>
      <c r="HWR51" s="158"/>
      <c r="HWS51" s="158"/>
      <c r="HWT51" s="158"/>
      <c r="HWU51" s="158"/>
      <c r="HWV51" s="158"/>
      <c r="HWW51" s="158"/>
      <c r="HWX51" s="158"/>
      <c r="HWY51" s="158"/>
      <c r="HWZ51" s="158"/>
      <c r="HXA51" s="158"/>
      <c r="HXB51" s="158"/>
      <c r="HXC51" s="158"/>
      <c r="HXD51" s="158"/>
      <c r="HXE51" s="158"/>
      <c r="HXF51" s="158"/>
      <c r="HXG51" s="158"/>
      <c r="HXH51" s="158"/>
      <c r="HXI51" s="158"/>
      <c r="HXJ51" s="158"/>
      <c r="HXK51" s="158"/>
      <c r="HXL51" s="158"/>
      <c r="HXM51" s="158"/>
      <c r="HXN51" s="158"/>
      <c r="HXO51" s="158"/>
      <c r="HXP51" s="158"/>
      <c r="HXQ51" s="158"/>
      <c r="HXR51" s="158"/>
      <c r="HXS51" s="158"/>
      <c r="HXT51" s="158"/>
      <c r="HXU51" s="158"/>
      <c r="HXV51" s="158"/>
      <c r="HXW51" s="158"/>
      <c r="HXX51" s="158"/>
      <c r="HXY51" s="158"/>
      <c r="HXZ51" s="158"/>
      <c r="HYA51" s="158"/>
      <c r="HYB51" s="158"/>
      <c r="HYC51" s="158"/>
      <c r="HYD51" s="158"/>
      <c r="HYE51" s="158"/>
      <c r="HYF51" s="158"/>
      <c r="HYG51" s="158"/>
      <c r="HYH51" s="158"/>
      <c r="HYI51" s="158"/>
      <c r="HYJ51" s="158"/>
      <c r="HYK51" s="158"/>
      <c r="HYL51" s="158"/>
      <c r="HYM51" s="158"/>
      <c r="HYN51" s="158"/>
      <c r="HYO51" s="158"/>
      <c r="HYP51" s="158"/>
      <c r="HYQ51" s="158"/>
      <c r="HYR51" s="158"/>
      <c r="HYS51" s="158"/>
      <c r="HYT51" s="158"/>
      <c r="HYU51" s="158"/>
      <c r="HYV51" s="158"/>
      <c r="HYW51" s="158"/>
      <c r="HYX51" s="158"/>
      <c r="HYY51" s="158"/>
      <c r="HYZ51" s="158"/>
      <c r="HZA51" s="158"/>
      <c r="HZB51" s="158"/>
      <c r="HZC51" s="158"/>
      <c r="HZD51" s="158"/>
      <c r="HZE51" s="158"/>
      <c r="HZF51" s="158"/>
      <c r="HZG51" s="158"/>
      <c r="HZH51" s="158"/>
      <c r="HZI51" s="158"/>
      <c r="HZJ51" s="158"/>
      <c r="HZK51" s="158"/>
      <c r="HZL51" s="158"/>
      <c r="HZM51" s="158"/>
      <c r="HZN51" s="158"/>
      <c r="HZO51" s="158"/>
      <c r="HZP51" s="158"/>
      <c r="HZQ51" s="158"/>
      <c r="HZR51" s="158"/>
      <c r="HZS51" s="158"/>
      <c r="HZT51" s="158"/>
      <c r="HZU51" s="158"/>
      <c r="HZV51" s="158"/>
      <c r="HZW51" s="158"/>
      <c r="HZX51" s="158"/>
      <c r="HZY51" s="158"/>
      <c r="HZZ51" s="158"/>
      <c r="IAA51" s="158"/>
      <c r="IAB51" s="158"/>
      <c r="IAC51" s="158"/>
      <c r="IAD51" s="158"/>
      <c r="IAE51" s="158"/>
      <c r="IAF51" s="158"/>
      <c r="IAG51" s="158"/>
      <c r="IAH51" s="158"/>
      <c r="IAI51" s="158"/>
      <c r="IAJ51" s="158"/>
      <c r="IAK51" s="158"/>
      <c r="IAL51" s="158"/>
      <c r="IAM51" s="158"/>
      <c r="IAN51" s="158"/>
      <c r="IAO51" s="158"/>
      <c r="IAP51" s="158"/>
      <c r="IAQ51" s="158"/>
      <c r="IAR51" s="158"/>
      <c r="IAS51" s="158"/>
      <c r="IAT51" s="158"/>
      <c r="IAU51" s="158"/>
      <c r="IAV51" s="158"/>
      <c r="IAW51" s="158"/>
      <c r="IAX51" s="158"/>
      <c r="IAY51" s="158"/>
      <c r="IAZ51" s="158"/>
      <c r="IBA51" s="158"/>
      <c r="IBB51" s="158"/>
      <c r="IBC51" s="158"/>
      <c r="IBD51" s="158"/>
      <c r="IBE51" s="158"/>
      <c r="IBF51" s="158"/>
      <c r="IBG51" s="158"/>
      <c r="IBH51" s="158"/>
      <c r="IBI51" s="158"/>
      <c r="IBJ51" s="158"/>
      <c r="IBK51" s="158"/>
      <c r="IBL51" s="158"/>
      <c r="IBM51" s="158"/>
      <c r="IBN51" s="158"/>
      <c r="IBO51" s="158"/>
      <c r="IBP51" s="158"/>
      <c r="IBQ51" s="158"/>
      <c r="IBR51" s="158"/>
      <c r="IBS51" s="158"/>
      <c r="IBT51" s="158"/>
      <c r="IBU51" s="158"/>
      <c r="IBV51" s="158"/>
      <c r="IBW51" s="158"/>
      <c r="IBX51" s="158"/>
      <c r="IBY51" s="158"/>
      <c r="IBZ51" s="158"/>
      <c r="ICA51" s="158"/>
      <c r="ICB51" s="158"/>
      <c r="ICC51" s="158"/>
      <c r="ICD51" s="158"/>
      <c r="ICE51" s="158"/>
      <c r="ICF51" s="158"/>
      <c r="ICG51" s="158"/>
      <c r="ICH51" s="158"/>
      <c r="ICI51" s="158"/>
      <c r="ICJ51" s="158"/>
      <c r="ICK51" s="158"/>
      <c r="ICL51" s="158"/>
      <c r="ICM51" s="158"/>
      <c r="ICN51" s="158"/>
      <c r="ICO51" s="158"/>
      <c r="ICP51" s="158"/>
      <c r="ICQ51" s="158"/>
      <c r="ICR51" s="158"/>
      <c r="ICS51" s="158"/>
      <c r="ICT51" s="158"/>
      <c r="ICU51" s="158"/>
      <c r="ICV51" s="158"/>
      <c r="ICW51" s="158"/>
      <c r="ICX51" s="158"/>
      <c r="ICY51" s="158"/>
      <c r="ICZ51" s="158"/>
      <c r="IDA51" s="158"/>
      <c r="IDB51" s="158"/>
      <c r="IDC51" s="158"/>
      <c r="IDD51" s="158"/>
      <c r="IDE51" s="158"/>
      <c r="IDF51" s="158"/>
      <c r="IDG51" s="158"/>
      <c r="IDH51" s="158"/>
      <c r="IDI51" s="158"/>
      <c r="IDJ51" s="158"/>
      <c r="IDK51" s="158"/>
      <c r="IDL51" s="158"/>
      <c r="IDM51" s="158"/>
      <c r="IDN51" s="158"/>
      <c r="IDO51" s="158"/>
      <c r="IDP51" s="158"/>
      <c r="IDQ51" s="158"/>
      <c r="IDR51" s="158"/>
      <c r="IDS51" s="158"/>
      <c r="IDT51" s="158"/>
      <c r="IDU51" s="158"/>
      <c r="IDV51" s="158"/>
      <c r="IDW51" s="158"/>
      <c r="IDX51" s="158"/>
      <c r="IDY51" s="158"/>
      <c r="IDZ51" s="158"/>
      <c r="IEA51" s="158"/>
      <c r="IEB51" s="158"/>
      <c r="IEC51" s="158"/>
      <c r="IED51" s="158"/>
      <c r="IEE51" s="158"/>
      <c r="IEF51" s="158"/>
      <c r="IEG51" s="158"/>
      <c r="IEH51" s="158"/>
      <c r="IEI51" s="158"/>
      <c r="IEJ51" s="158"/>
      <c r="IEK51" s="158"/>
      <c r="IEL51" s="158"/>
      <c r="IEM51" s="158"/>
      <c r="IEN51" s="158"/>
      <c r="IEO51" s="158"/>
      <c r="IEP51" s="158"/>
      <c r="IEQ51" s="158"/>
      <c r="IER51" s="158"/>
      <c r="IES51" s="158"/>
      <c r="IET51" s="158"/>
      <c r="IEU51" s="158"/>
      <c r="IEV51" s="158"/>
      <c r="IEW51" s="158"/>
      <c r="IEX51" s="158"/>
      <c r="IEY51" s="158"/>
      <c r="IEZ51" s="158"/>
      <c r="IFA51" s="158"/>
      <c r="IFB51" s="158"/>
      <c r="IFC51" s="158"/>
      <c r="IFD51" s="158"/>
      <c r="IFE51" s="158"/>
      <c r="IFF51" s="158"/>
      <c r="IFG51" s="158"/>
      <c r="IFH51" s="158"/>
      <c r="IFI51" s="158"/>
      <c r="IFJ51" s="158"/>
      <c r="IFK51" s="158"/>
      <c r="IFL51" s="158"/>
      <c r="IFM51" s="158"/>
      <c r="IFN51" s="158"/>
      <c r="IFO51" s="158"/>
      <c r="IFP51" s="158"/>
      <c r="IFQ51" s="158"/>
      <c r="IFR51" s="158"/>
      <c r="IFS51" s="158"/>
      <c r="IFT51" s="158"/>
      <c r="IFU51" s="158"/>
      <c r="IFV51" s="158"/>
      <c r="IFW51" s="158"/>
      <c r="IFX51" s="158"/>
      <c r="IFY51" s="158"/>
      <c r="IFZ51" s="158"/>
      <c r="IGA51" s="158"/>
      <c r="IGB51" s="158"/>
      <c r="IGC51" s="158"/>
      <c r="IGD51" s="158"/>
      <c r="IGE51" s="158"/>
      <c r="IGF51" s="158"/>
      <c r="IGG51" s="158"/>
      <c r="IGH51" s="158"/>
      <c r="IGI51" s="158"/>
      <c r="IGJ51" s="158"/>
      <c r="IGK51" s="158"/>
      <c r="IGL51" s="158"/>
      <c r="IGM51" s="158"/>
      <c r="IGN51" s="158"/>
      <c r="IGO51" s="158"/>
      <c r="IGP51" s="158"/>
      <c r="IGQ51" s="158"/>
      <c r="IGR51" s="158"/>
      <c r="IGS51" s="158"/>
      <c r="IGT51" s="158"/>
      <c r="IGU51" s="158"/>
      <c r="IGV51" s="158"/>
      <c r="IGW51" s="158"/>
      <c r="IGX51" s="158"/>
      <c r="IGY51" s="158"/>
      <c r="IGZ51" s="158"/>
      <c r="IHA51" s="158"/>
      <c r="IHB51" s="158"/>
      <c r="IHC51" s="158"/>
      <c r="IHD51" s="158"/>
      <c r="IHE51" s="158"/>
      <c r="IHF51" s="158"/>
      <c r="IHG51" s="158"/>
      <c r="IHH51" s="158"/>
      <c r="IHI51" s="158"/>
      <c r="IHJ51" s="158"/>
      <c r="IHK51" s="158"/>
      <c r="IHL51" s="158"/>
      <c r="IHM51" s="158"/>
      <c r="IHN51" s="158"/>
      <c r="IHO51" s="158"/>
      <c r="IHP51" s="158"/>
      <c r="IHQ51" s="158"/>
      <c r="IHR51" s="158"/>
      <c r="IHS51" s="158"/>
      <c r="IHT51" s="158"/>
      <c r="IHU51" s="158"/>
      <c r="IHV51" s="158"/>
      <c r="IHW51" s="158"/>
      <c r="IHX51" s="158"/>
      <c r="IHY51" s="158"/>
      <c r="IHZ51" s="158"/>
      <c r="IIA51" s="158"/>
      <c r="IIB51" s="158"/>
      <c r="IIC51" s="158"/>
      <c r="IID51" s="158"/>
      <c r="IIE51" s="158"/>
      <c r="IIF51" s="158"/>
      <c r="IIG51" s="158"/>
      <c r="IIH51" s="158"/>
      <c r="III51" s="158"/>
      <c r="IIJ51" s="158"/>
      <c r="IIK51" s="158"/>
      <c r="IIL51" s="158"/>
      <c r="IIM51" s="158"/>
      <c r="IIN51" s="158"/>
      <c r="IIO51" s="158"/>
      <c r="IIP51" s="158"/>
      <c r="IIQ51" s="158"/>
      <c r="IIR51" s="158"/>
      <c r="IIS51" s="158"/>
      <c r="IIT51" s="158"/>
      <c r="IIU51" s="158"/>
      <c r="IIV51" s="158"/>
      <c r="IIW51" s="158"/>
      <c r="IIX51" s="158"/>
      <c r="IIY51" s="158"/>
      <c r="IIZ51" s="158"/>
      <c r="IJA51" s="158"/>
      <c r="IJB51" s="158"/>
      <c r="IJC51" s="158"/>
      <c r="IJD51" s="158"/>
      <c r="IJE51" s="158"/>
      <c r="IJF51" s="158"/>
      <c r="IJG51" s="158"/>
      <c r="IJH51" s="158"/>
      <c r="IJI51" s="158"/>
      <c r="IJJ51" s="158"/>
      <c r="IJK51" s="158"/>
      <c r="IJL51" s="158"/>
      <c r="IJM51" s="158"/>
      <c r="IJN51" s="158"/>
      <c r="IJO51" s="158"/>
      <c r="IJP51" s="158"/>
      <c r="IJQ51" s="158"/>
      <c r="IJR51" s="158"/>
      <c r="IJS51" s="158"/>
      <c r="IJT51" s="158"/>
      <c r="IJU51" s="158"/>
      <c r="IJV51" s="158"/>
      <c r="IJW51" s="158"/>
      <c r="IJX51" s="158"/>
      <c r="IJY51" s="158"/>
      <c r="IJZ51" s="158"/>
      <c r="IKA51" s="158"/>
      <c r="IKB51" s="158"/>
      <c r="IKC51" s="158"/>
      <c r="IKD51" s="158"/>
      <c r="IKE51" s="158"/>
      <c r="IKF51" s="158"/>
      <c r="IKG51" s="158"/>
      <c r="IKH51" s="158"/>
      <c r="IKI51" s="158"/>
      <c r="IKJ51" s="158"/>
      <c r="IKK51" s="158"/>
      <c r="IKL51" s="158"/>
      <c r="IKM51" s="158"/>
      <c r="IKN51" s="158"/>
      <c r="IKO51" s="158"/>
      <c r="IKP51" s="158"/>
      <c r="IKQ51" s="158"/>
      <c r="IKR51" s="158"/>
      <c r="IKS51" s="158"/>
      <c r="IKT51" s="158"/>
      <c r="IKU51" s="158"/>
      <c r="IKV51" s="158"/>
      <c r="IKW51" s="158"/>
      <c r="IKX51" s="158"/>
      <c r="IKY51" s="158"/>
      <c r="IKZ51" s="158"/>
      <c r="ILA51" s="158"/>
      <c r="ILB51" s="158"/>
      <c r="ILC51" s="158"/>
      <c r="ILD51" s="158"/>
      <c r="ILE51" s="158"/>
      <c r="ILF51" s="158"/>
      <c r="ILG51" s="158"/>
      <c r="ILH51" s="158"/>
      <c r="ILI51" s="158"/>
      <c r="ILJ51" s="158"/>
      <c r="ILK51" s="158"/>
      <c r="ILL51" s="158"/>
      <c r="ILM51" s="158"/>
      <c r="ILN51" s="158"/>
      <c r="ILO51" s="158"/>
      <c r="ILP51" s="158"/>
      <c r="ILQ51" s="158"/>
      <c r="ILR51" s="158"/>
      <c r="ILS51" s="158"/>
      <c r="ILT51" s="158"/>
      <c r="ILU51" s="158"/>
      <c r="ILV51" s="158"/>
      <c r="ILW51" s="158"/>
      <c r="ILX51" s="158"/>
      <c r="ILY51" s="158"/>
      <c r="ILZ51" s="158"/>
      <c r="IMA51" s="158"/>
      <c r="IMB51" s="158"/>
      <c r="IMC51" s="158"/>
      <c r="IMD51" s="158"/>
      <c r="IME51" s="158"/>
      <c r="IMF51" s="158"/>
      <c r="IMG51" s="158"/>
      <c r="IMH51" s="158"/>
      <c r="IMI51" s="158"/>
      <c r="IMJ51" s="158"/>
      <c r="IMK51" s="158"/>
      <c r="IML51" s="158"/>
      <c r="IMM51" s="158"/>
      <c r="IMN51" s="158"/>
      <c r="IMO51" s="158"/>
      <c r="IMP51" s="158"/>
      <c r="IMQ51" s="158"/>
      <c r="IMR51" s="158"/>
      <c r="IMS51" s="158"/>
      <c r="IMT51" s="158"/>
      <c r="IMU51" s="158"/>
      <c r="IMV51" s="158"/>
      <c r="IMW51" s="158"/>
      <c r="IMX51" s="158"/>
      <c r="IMY51" s="158"/>
      <c r="IMZ51" s="158"/>
      <c r="INA51" s="158"/>
      <c r="INB51" s="158"/>
      <c r="INC51" s="158"/>
      <c r="IND51" s="158"/>
      <c r="INE51" s="158"/>
      <c r="INF51" s="158"/>
      <c r="ING51" s="158"/>
      <c r="INH51" s="158"/>
      <c r="INI51" s="158"/>
      <c r="INJ51" s="158"/>
      <c r="INK51" s="158"/>
      <c r="INL51" s="158"/>
      <c r="INM51" s="158"/>
      <c r="INN51" s="158"/>
      <c r="INO51" s="158"/>
      <c r="INP51" s="158"/>
      <c r="INQ51" s="158"/>
      <c r="INR51" s="158"/>
      <c r="INS51" s="158"/>
      <c r="INT51" s="158"/>
      <c r="INU51" s="158"/>
      <c r="INV51" s="158"/>
      <c r="INW51" s="158"/>
      <c r="INX51" s="158"/>
      <c r="INY51" s="158"/>
      <c r="INZ51" s="158"/>
      <c r="IOA51" s="158"/>
      <c r="IOB51" s="158"/>
      <c r="IOC51" s="158"/>
      <c r="IOD51" s="158"/>
      <c r="IOE51" s="158"/>
      <c r="IOF51" s="158"/>
      <c r="IOG51" s="158"/>
      <c r="IOH51" s="158"/>
      <c r="IOI51" s="158"/>
      <c r="IOJ51" s="158"/>
      <c r="IOK51" s="158"/>
      <c r="IOL51" s="158"/>
      <c r="IOM51" s="158"/>
      <c r="ION51" s="158"/>
      <c r="IOO51" s="158"/>
      <c r="IOP51" s="158"/>
      <c r="IOQ51" s="158"/>
      <c r="IOR51" s="158"/>
      <c r="IOS51" s="158"/>
      <c r="IOT51" s="158"/>
      <c r="IOU51" s="158"/>
      <c r="IOV51" s="158"/>
      <c r="IOW51" s="158"/>
      <c r="IOX51" s="158"/>
      <c r="IOY51" s="158"/>
      <c r="IOZ51" s="158"/>
      <c r="IPA51" s="158"/>
      <c r="IPB51" s="158"/>
      <c r="IPC51" s="158"/>
      <c r="IPD51" s="158"/>
      <c r="IPE51" s="158"/>
      <c r="IPF51" s="158"/>
      <c r="IPG51" s="158"/>
      <c r="IPH51" s="158"/>
      <c r="IPI51" s="158"/>
      <c r="IPJ51" s="158"/>
      <c r="IPK51" s="158"/>
      <c r="IPL51" s="158"/>
      <c r="IPM51" s="158"/>
      <c r="IPN51" s="158"/>
      <c r="IPO51" s="158"/>
      <c r="IPP51" s="158"/>
      <c r="IPQ51" s="158"/>
      <c r="IPR51" s="158"/>
      <c r="IPS51" s="158"/>
      <c r="IPT51" s="158"/>
      <c r="IPU51" s="158"/>
      <c r="IPV51" s="158"/>
      <c r="IPW51" s="158"/>
      <c r="IPX51" s="158"/>
      <c r="IPY51" s="158"/>
      <c r="IPZ51" s="158"/>
      <c r="IQA51" s="158"/>
      <c r="IQB51" s="158"/>
      <c r="IQC51" s="158"/>
      <c r="IQD51" s="158"/>
      <c r="IQE51" s="158"/>
      <c r="IQF51" s="158"/>
      <c r="IQG51" s="158"/>
      <c r="IQH51" s="158"/>
      <c r="IQI51" s="158"/>
      <c r="IQJ51" s="158"/>
      <c r="IQK51" s="158"/>
      <c r="IQL51" s="158"/>
      <c r="IQM51" s="158"/>
      <c r="IQN51" s="158"/>
      <c r="IQO51" s="158"/>
      <c r="IQP51" s="158"/>
      <c r="IQQ51" s="158"/>
      <c r="IQR51" s="158"/>
      <c r="IQS51" s="158"/>
      <c r="IQT51" s="158"/>
      <c r="IQU51" s="158"/>
      <c r="IQV51" s="158"/>
      <c r="IQW51" s="158"/>
      <c r="IQX51" s="158"/>
      <c r="IQY51" s="158"/>
      <c r="IQZ51" s="158"/>
      <c r="IRA51" s="158"/>
      <c r="IRB51" s="158"/>
      <c r="IRC51" s="158"/>
      <c r="IRD51" s="158"/>
      <c r="IRE51" s="158"/>
      <c r="IRF51" s="158"/>
      <c r="IRG51" s="158"/>
      <c r="IRH51" s="158"/>
      <c r="IRI51" s="158"/>
      <c r="IRJ51" s="158"/>
      <c r="IRK51" s="158"/>
      <c r="IRL51" s="158"/>
      <c r="IRM51" s="158"/>
      <c r="IRN51" s="158"/>
      <c r="IRO51" s="158"/>
      <c r="IRP51" s="158"/>
      <c r="IRQ51" s="158"/>
      <c r="IRR51" s="158"/>
      <c r="IRS51" s="158"/>
      <c r="IRT51" s="158"/>
      <c r="IRU51" s="158"/>
      <c r="IRV51" s="158"/>
      <c r="IRW51" s="158"/>
      <c r="IRX51" s="158"/>
      <c r="IRY51" s="158"/>
      <c r="IRZ51" s="158"/>
      <c r="ISA51" s="158"/>
      <c r="ISB51" s="158"/>
      <c r="ISC51" s="158"/>
      <c r="ISD51" s="158"/>
      <c r="ISE51" s="158"/>
      <c r="ISF51" s="158"/>
      <c r="ISG51" s="158"/>
      <c r="ISH51" s="158"/>
      <c r="ISI51" s="158"/>
      <c r="ISJ51" s="158"/>
      <c r="ISK51" s="158"/>
      <c r="ISL51" s="158"/>
      <c r="ISM51" s="158"/>
      <c r="ISN51" s="158"/>
      <c r="ISO51" s="158"/>
      <c r="ISP51" s="158"/>
      <c r="ISQ51" s="158"/>
      <c r="ISR51" s="158"/>
      <c r="ISS51" s="158"/>
      <c r="IST51" s="158"/>
      <c r="ISU51" s="158"/>
      <c r="ISV51" s="158"/>
      <c r="ISW51" s="158"/>
      <c r="ISX51" s="158"/>
      <c r="ISY51" s="158"/>
      <c r="ISZ51" s="158"/>
      <c r="ITA51" s="158"/>
      <c r="ITB51" s="158"/>
      <c r="ITC51" s="158"/>
      <c r="ITD51" s="158"/>
      <c r="ITE51" s="158"/>
      <c r="ITF51" s="158"/>
      <c r="ITG51" s="158"/>
      <c r="ITH51" s="158"/>
      <c r="ITI51" s="158"/>
      <c r="ITJ51" s="158"/>
      <c r="ITK51" s="158"/>
      <c r="ITL51" s="158"/>
      <c r="ITM51" s="158"/>
      <c r="ITN51" s="158"/>
      <c r="ITO51" s="158"/>
      <c r="ITP51" s="158"/>
      <c r="ITQ51" s="158"/>
      <c r="ITR51" s="158"/>
      <c r="ITS51" s="158"/>
      <c r="ITT51" s="158"/>
      <c r="ITU51" s="158"/>
      <c r="ITV51" s="158"/>
      <c r="ITW51" s="158"/>
      <c r="ITX51" s="158"/>
      <c r="ITY51" s="158"/>
      <c r="ITZ51" s="158"/>
      <c r="IUA51" s="158"/>
      <c r="IUB51" s="158"/>
      <c r="IUC51" s="158"/>
      <c r="IUD51" s="158"/>
      <c r="IUE51" s="158"/>
      <c r="IUF51" s="158"/>
      <c r="IUG51" s="158"/>
      <c r="IUH51" s="158"/>
      <c r="IUI51" s="158"/>
      <c r="IUJ51" s="158"/>
      <c r="IUK51" s="158"/>
      <c r="IUL51" s="158"/>
      <c r="IUM51" s="158"/>
      <c r="IUN51" s="158"/>
      <c r="IUO51" s="158"/>
      <c r="IUP51" s="158"/>
      <c r="IUQ51" s="158"/>
      <c r="IUR51" s="158"/>
      <c r="IUS51" s="158"/>
      <c r="IUT51" s="158"/>
      <c r="IUU51" s="158"/>
      <c r="IUV51" s="158"/>
      <c r="IUW51" s="158"/>
      <c r="IUX51" s="158"/>
      <c r="IUY51" s="158"/>
      <c r="IUZ51" s="158"/>
      <c r="IVA51" s="158"/>
      <c r="IVB51" s="158"/>
      <c r="IVC51" s="158"/>
      <c r="IVD51" s="158"/>
      <c r="IVE51" s="158"/>
      <c r="IVF51" s="158"/>
      <c r="IVG51" s="158"/>
      <c r="IVH51" s="158"/>
      <c r="IVI51" s="158"/>
      <c r="IVJ51" s="158"/>
      <c r="IVK51" s="158"/>
      <c r="IVL51" s="158"/>
      <c r="IVM51" s="158"/>
      <c r="IVN51" s="158"/>
      <c r="IVO51" s="158"/>
      <c r="IVP51" s="158"/>
      <c r="IVQ51" s="158"/>
      <c r="IVR51" s="158"/>
      <c r="IVS51" s="158"/>
      <c r="IVT51" s="158"/>
      <c r="IVU51" s="158"/>
      <c r="IVV51" s="158"/>
      <c r="IVW51" s="158"/>
      <c r="IVX51" s="158"/>
      <c r="IVY51" s="158"/>
      <c r="IVZ51" s="158"/>
      <c r="IWA51" s="158"/>
      <c r="IWB51" s="158"/>
      <c r="IWC51" s="158"/>
      <c r="IWD51" s="158"/>
      <c r="IWE51" s="158"/>
      <c r="IWF51" s="158"/>
      <c r="IWG51" s="158"/>
      <c r="IWH51" s="158"/>
      <c r="IWI51" s="158"/>
      <c r="IWJ51" s="158"/>
      <c r="IWK51" s="158"/>
      <c r="IWL51" s="158"/>
      <c r="IWM51" s="158"/>
      <c r="IWN51" s="158"/>
      <c r="IWO51" s="158"/>
      <c r="IWP51" s="158"/>
      <c r="IWQ51" s="158"/>
      <c r="IWR51" s="158"/>
      <c r="IWS51" s="158"/>
      <c r="IWT51" s="158"/>
      <c r="IWU51" s="158"/>
      <c r="IWV51" s="158"/>
      <c r="IWW51" s="158"/>
      <c r="IWX51" s="158"/>
      <c r="IWY51" s="158"/>
      <c r="IWZ51" s="158"/>
      <c r="IXA51" s="158"/>
      <c r="IXB51" s="158"/>
      <c r="IXC51" s="158"/>
      <c r="IXD51" s="158"/>
      <c r="IXE51" s="158"/>
      <c r="IXF51" s="158"/>
      <c r="IXG51" s="158"/>
      <c r="IXH51" s="158"/>
      <c r="IXI51" s="158"/>
      <c r="IXJ51" s="158"/>
      <c r="IXK51" s="158"/>
      <c r="IXL51" s="158"/>
      <c r="IXM51" s="158"/>
      <c r="IXN51" s="158"/>
      <c r="IXO51" s="158"/>
      <c r="IXP51" s="158"/>
      <c r="IXQ51" s="158"/>
      <c r="IXR51" s="158"/>
      <c r="IXS51" s="158"/>
      <c r="IXT51" s="158"/>
      <c r="IXU51" s="158"/>
      <c r="IXV51" s="158"/>
      <c r="IXW51" s="158"/>
      <c r="IXX51" s="158"/>
      <c r="IXY51" s="158"/>
      <c r="IXZ51" s="158"/>
      <c r="IYA51" s="158"/>
      <c r="IYB51" s="158"/>
      <c r="IYC51" s="158"/>
      <c r="IYD51" s="158"/>
      <c r="IYE51" s="158"/>
      <c r="IYF51" s="158"/>
      <c r="IYG51" s="158"/>
      <c r="IYH51" s="158"/>
      <c r="IYI51" s="158"/>
      <c r="IYJ51" s="158"/>
      <c r="IYK51" s="158"/>
      <c r="IYL51" s="158"/>
      <c r="IYM51" s="158"/>
      <c r="IYN51" s="158"/>
      <c r="IYO51" s="158"/>
      <c r="IYP51" s="158"/>
      <c r="IYQ51" s="158"/>
      <c r="IYR51" s="158"/>
      <c r="IYS51" s="158"/>
      <c r="IYT51" s="158"/>
      <c r="IYU51" s="158"/>
      <c r="IYV51" s="158"/>
      <c r="IYW51" s="158"/>
      <c r="IYX51" s="158"/>
      <c r="IYY51" s="158"/>
      <c r="IYZ51" s="158"/>
      <c r="IZA51" s="158"/>
      <c r="IZB51" s="158"/>
      <c r="IZC51" s="158"/>
      <c r="IZD51" s="158"/>
      <c r="IZE51" s="158"/>
      <c r="IZF51" s="158"/>
      <c r="IZG51" s="158"/>
      <c r="IZH51" s="158"/>
      <c r="IZI51" s="158"/>
      <c r="IZJ51" s="158"/>
      <c r="IZK51" s="158"/>
      <c r="IZL51" s="158"/>
      <c r="IZM51" s="158"/>
      <c r="IZN51" s="158"/>
      <c r="IZO51" s="158"/>
      <c r="IZP51" s="158"/>
      <c r="IZQ51" s="158"/>
      <c r="IZR51" s="158"/>
      <c r="IZS51" s="158"/>
      <c r="IZT51" s="158"/>
      <c r="IZU51" s="158"/>
      <c r="IZV51" s="158"/>
      <c r="IZW51" s="158"/>
      <c r="IZX51" s="158"/>
      <c r="IZY51" s="158"/>
      <c r="IZZ51" s="158"/>
      <c r="JAA51" s="158"/>
      <c r="JAB51" s="158"/>
      <c r="JAC51" s="158"/>
      <c r="JAD51" s="158"/>
      <c r="JAE51" s="158"/>
      <c r="JAF51" s="158"/>
      <c r="JAG51" s="158"/>
      <c r="JAH51" s="158"/>
      <c r="JAI51" s="158"/>
      <c r="JAJ51" s="158"/>
      <c r="JAK51" s="158"/>
      <c r="JAL51" s="158"/>
      <c r="JAM51" s="158"/>
      <c r="JAN51" s="158"/>
      <c r="JAO51" s="158"/>
      <c r="JAP51" s="158"/>
      <c r="JAQ51" s="158"/>
      <c r="JAR51" s="158"/>
      <c r="JAS51" s="158"/>
      <c r="JAT51" s="158"/>
      <c r="JAU51" s="158"/>
      <c r="JAV51" s="158"/>
      <c r="JAW51" s="158"/>
      <c r="JAX51" s="158"/>
      <c r="JAY51" s="158"/>
      <c r="JAZ51" s="158"/>
      <c r="JBA51" s="158"/>
      <c r="JBB51" s="158"/>
      <c r="JBC51" s="158"/>
      <c r="JBD51" s="158"/>
      <c r="JBE51" s="158"/>
      <c r="JBF51" s="158"/>
      <c r="JBG51" s="158"/>
      <c r="JBH51" s="158"/>
      <c r="JBI51" s="158"/>
      <c r="JBJ51" s="158"/>
      <c r="JBK51" s="158"/>
      <c r="JBL51" s="158"/>
      <c r="JBM51" s="158"/>
      <c r="JBN51" s="158"/>
      <c r="JBO51" s="158"/>
      <c r="JBP51" s="158"/>
      <c r="JBQ51" s="158"/>
      <c r="JBR51" s="158"/>
      <c r="JBS51" s="158"/>
      <c r="JBT51" s="158"/>
      <c r="JBU51" s="158"/>
      <c r="JBV51" s="158"/>
      <c r="JBW51" s="158"/>
      <c r="JBX51" s="158"/>
      <c r="JBY51" s="158"/>
      <c r="JBZ51" s="158"/>
      <c r="JCA51" s="158"/>
      <c r="JCB51" s="158"/>
      <c r="JCC51" s="158"/>
      <c r="JCD51" s="158"/>
      <c r="JCE51" s="158"/>
      <c r="JCF51" s="158"/>
      <c r="JCG51" s="158"/>
      <c r="JCH51" s="158"/>
      <c r="JCI51" s="158"/>
      <c r="JCJ51" s="158"/>
      <c r="JCK51" s="158"/>
      <c r="JCL51" s="158"/>
      <c r="JCM51" s="158"/>
      <c r="JCN51" s="158"/>
      <c r="JCO51" s="158"/>
      <c r="JCP51" s="158"/>
      <c r="JCQ51" s="158"/>
      <c r="JCR51" s="158"/>
      <c r="JCS51" s="158"/>
      <c r="JCT51" s="158"/>
      <c r="JCU51" s="158"/>
      <c r="JCV51" s="158"/>
      <c r="JCW51" s="158"/>
      <c r="JCX51" s="158"/>
      <c r="JCY51" s="158"/>
      <c r="JCZ51" s="158"/>
      <c r="JDA51" s="158"/>
      <c r="JDB51" s="158"/>
      <c r="JDC51" s="158"/>
      <c r="JDD51" s="158"/>
      <c r="JDE51" s="158"/>
      <c r="JDF51" s="158"/>
      <c r="JDG51" s="158"/>
      <c r="JDH51" s="158"/>
      <c r="JDI51" s="158"/>
      <c r="JDJ51" s="158"/>
      <c r="JDK51" s="158"/>
      <c r="JDL51" s="158"/>
      <c r="JDM51" s="158"/>
      <c r="JDN51" s="158"/>
      <c r="JDO51" s="158"/>
      <c r="JDP51" s="158"/>
      <c r="JDQ51" s="158"/>
      <c r="JDR51" s="158"/>
      <c r="JDS51" s="158"/>
      <c r="JDT51" s="158"/>
      <c r="JDU51" s="158"/>
      <c r="JDV51" s="158"/>
      <c r="JDW51" s="158"/>
      <c r="JDX51" s="158"/>
      <c r="JDY51" s="158"/>
      <c r="JDZ51" s="158"/>
      <c r="JEA51" s="158"/>
      <c r="JEB51" s="158"/>
      <c r="JEC51" s="158"/>
      <c r="JED51" s="158"/>
      <c r="JEE51" s="158"/>
      <c r="JEF51" s="158"/>
      <c r="JEG51" s="158"/>
      <c r="JEH51" s="158"/>
      <c r="JEI51" s="158"/>
      <c r="JEJ51" s="158"/>
      <c r="JEK51" s="158"/>
      <c r="JEL51" s="158"/>
      <c r="JEM51" s="158"/>
      <c r="JEN51" s="158"/>
      <c r="JEO51" s="158"/>
      <c r="JEP51" s="158"/>
      <c r="JEQ51" s="158"/>
      <c r="JER51" s="158"/>
      <c r="JES51" s="158"/>
      <c r="JET51" s="158"/>
      <c r="JEU51" s="158"/>
      <c r="JEV51" s="158"/>
      <c r="JEW51" s="158"/>
      <c r="JEX51" s="158"/>
      <c r="JEY51" s="158"/>
      <c r="JEZ51" s="158"/>
      <c r="JFA51" s="158"/>
      <c r="JFB51" s="158"/>
      <c r="JFC51" s="158"/>
      <c r="JFD51" s="158"/>
      <c r="JFE51" s="158"/>
      <c r="JFF51" s="158"/>
      <c r="JFG51" s="158"/>
      <c r="JFH51" s="158"/>
      <c r="JFI51" s="158"/>
      <c r="JFJ51" s="158"/>
      <c r="JFK51" s="158"/>
      <c r="JFL51" s="158"/>
      <c r="JFM51" s="158"/>
      <c r="JFN51" s="158"/>
      <c r="JFO51" s="158"/>
      <c r="JFP51" s="158"/>
      <c r="JFQ51" s="158"/>
      <c r="JFR51" s="158"/>
      <c r="JFS51" s="158"/>
      <c r="JFT51" s="158"/>
      <c r="JFU51" s="158"/>
      <c r="JFV51" s="158"/>
      <c r="JFW51" s="158"/>
      <c r="JFX51" s="158"/>
      <c r="JFY51" s="158"/>
      <c r="JFZ51" s="158"/>
      <c r="JGA51" s="158"/>
      <c r="JGB51" s="158"/>
      <c r="JGC51" s="158"/>
      <c r="JGD51" s="158"/>
      <c r="JGE51" s="158"/>
      <c r="JGF51" s="158"/>
      <c r="JGG51" s="158"/>
      <c r="JGH51" s="158"/>
      <c r="JGI51" s="158"/>
      <c r="JGJ51" s="158"/>
      <c r="JGK51" s="158"/>
      <c r="JGL51" s="158"/>
      <c r="JGM51" s="158"/>
      <c r="JGN51" s="158"/>
      <c r="JGO51" s="158"/>
      <c r="JGP51" s="158"/>
      <c r="JGQ51" s="158"/>
      <c r="JGR51" s="158"/>
      <c r="JGS51" s="158"/>
      <c r="JGT51" s="158"/>
      <c r="JGU51" s="158"/>
      <c r="JGV51" s="158"/>
      <c r="JGW51" s="158"/>
      <c r="JGX51" s="158"/>
      <c r="JGY51" s="158"/>
      <c r="JGZ51" s="158"/>
      <c r="JHA51" s="158"/>
      <c r="JHB51" s="158"/>
      <c r="JHC51" s="158"/>
      <c r="JHD51" s="158"/>
      <c r="JHE51" s="158"/>
      <c r="JHF51" s="158"/>
      <c r="JHG51" s="158"/>
      <c r="JHH51" s="158"/>
      <c r="JHI51" s="158"/>
      <c r="JHJ51" s="158"/>
      <c r="JHK51" s="158"/>
      <c r="JHL51" s="158"/>
      <c r="JHM51" s="158"/>
      <c r="JHN51" s="158"/>
      <c r="JHO51" s="158"/>
      <c r="JHP51" s="158"/>
      <c r="JHQ51" s="158"/>
      <c r="JHR51" s="158"/>
      <c r="JHS51" s="158"/>
      <c r="JHT51" s="158"/>
      <c r="JHU51" s="158"/>
      <c r="JHV51" s="158"/>
      <c r="JHW51" s="158"/>
      <c r="JHX51" s="158"/>
      <c r="JHY51" s="158"/>
      <c r="JHZ51" s="158"/>
      <c r="JIA51" s="158"/>
      <c r="JIB51" s="158"/>
      <c r="JIC51" s="158"/>
      <c r="JID51" s="158"/>
      <c r="JIE51" s="158"/>
      <c r="JIF51" s="158"/>
      <c r="JIG51" s="158"/>
      <c r="JIH51" s="158"/>
      <c r="JII51" s="158"/>
      <c r="JIJ51" s="158"/>
      <c r="JIK51" s="158"/>
      <c r="JIL51" s="158"/>
      <c r="JIM51" s="158"/>
      <c r="JIN51" s="158"/>
      <c r="JIO51" s="158"/>
      <c r="JIP51" s="158"/>
      <c r="JIQ51" s="158"/>
      <c r="JIR51" s="158"/>
      <c r="JIS51" s="158"/>
      <c r="JIT51" s="158"/>
      <c r="JIU51" s="158"/>
      <c r="JIV51" s="158"/>
      <c r="JIW51" s="158"/>
      <c r="JIX51" s="158"/>
      <c r="JIY51" s="158"/>
      <c r="JIZ51" s="158"/>
      <c r="JJA51" s="158"/>
      <c r="JJB51" s="158"/>
      <c r="JJC51" s="158"/>
      <c r="JJD51" s="158"/>
      <c r="JJE51" s="158"/>
      <c r="JJF51" s="158"/>
      <c r="JJG51" s="158"/>
      <c r="JJH51" s="158"/>
      <c r="JJI51" s="158"/>
      <c r="JJJ51" s="158"/>
      <c r="JJK51" s="158"/>
      <c r="JJL51" s="158"/>
      <c r="JJM51" s="158"/>
      <c r="JJN51" s="158"/>
      <c r="JJO51" s="158"/>
      <c r="JJP51" s="158"/>
      <c r="JJQ51" s="158"/>
      <c r="JJR51" s="158"/>
      <c r="JJS51" s="158"/>
      <c r="JJT51" s="158"/>
      <c r="JJU51" s="158"/>
      <c r="JJV51" s="158"/>
      <c r="JJW51" s="158"/>
      <c r="JJX51" s="158"/>
      <c r="JJY51" s="158"/>
      <c r="JJZ51" s="158"/>
      <c r="JKA51" s="158"/>
      <c r="JKB51" s="158"/>
      <c r="JKC51" s="158"/>
      <c r="JKD51" s="158"/>
      <c r="JKE51" s="158"/>
      <c r="JKF51" s="158"/>
      <c r="JKG51" s="158"/>
      <c r="JKH51" s="158"/>
      <c r="JKI51" s="158"/>
      <c r="JKJ51" s="158"/>
      <c r="JKK51" s="158"/>
      <c r="JKL51" s="158"/>
      <c r="JKM51" s="158"/>
      <c r="JKN51" s="158"/>
      <c r="JKO51" s="158"/>
      <c r="JKP51" s="158"/>
      <c r="JKQ51" s="158"/>
      <c r="JKR51" s="158"/>
      <c r="JKS51" s="158"/>
      <c r="JKT51" s="158"/>
      <c r="JKU51" s="158"/>
      <c r="JKV51" s="158"/>
      <c r="JKW51" s="158"/>
      <c r="JKX51" s="158"/>
      <c r="JKY51" s="158"/>
      <c r="JKZ51" s="158"/>
      <c r="JLA51" s="158"/>
      <c r="JLB51" s="158"/>
      <c r="JLC51" s="158"/>
      <c r="JLD51" s="158"/>
      <c r="JLE51" s="158"/>
      <c r="JLF51" s="158"/>
      <c r="JLG51" s="158"/>
      <c r="JLH51" s="158"/>
      <c r="JLI51" s="158"/>
      <c r="JLJ51" s="158"/>
      <c r="JLK51" s="158"/>
      <c r="JLL51" s="158"/>
      <c r="JLM51" s="158"/>
      <c r="JLN51" s="158"/>
      <c r="JLO51" s="158"/>
      <c r="JLP51" s="158"/>
      <c r="JLQ51" s="158"/>
      <c r="JLR51" s="158"/>
      <c r="JLS51" s="158"/>
      <c r="JLT51" s="158"/>
      <c r="JLU51" s="158"/>
      <c r="JLV51" s="158"/>
      <c r="JLW51" s="158"/>
      <c r="JLX51" s="158"/>
      <c r="JLY51" s="158"/>
      <c r="JLZ51" s="158"/>
      <c r="JMA51" s="158"/>
      <c r="JMB51" s="158"/>
      <c r="JMC51" s="158"/>
      <c r="JMD51" s="158"/>
      <c r="JME51" s="158"/>
      <c r="JMF51" s="158"/>
      <c r="JMG51" s="158"/>
      <c r="JMH51" s="158"/>
      <c r="JMI51" s="158"/>
      <c r="JMJ51" s="158"/>
      <c r="JMK51" s="158"/>
      <c r="JML51" s="158"/>
      <c r="JMM51" s="158"/>
      <c r="JMN51" s="158"/>
      <c r="JMO51" s="158"/>
      <c r="JMP51" s="158"/>
      <c r="JMQ51" s="158"/>
      <c r="JMR51" s="158"/>
      <c r="JMS51" s="158"/>
      <c r="JMT51" s="158"/>
      <c r="JMU51" s="158"/>
      <c r="JMV51" s="158"/>
      <c r="JMW51" s="158"/>
      <c r="JMX51" s="158"/>
      <c r="JMY51" s="158"/>
      <c r="JMZ51" s="158"/>
      <c r="JNA51" s="158"/>
      <c r="JNB51" s="158"/>
      <c r="JNC51" s="158"/>
      <c r="JND51" s="158"/>
      <c r="JNE51" s="158"/>
      <c r="JNF51" s="158"/>
      <c r="JNG51" s="158"/>
      <c r="JNH51" s="158"/>
      <c r="JNI51" s="158"/>
      <c r="JNJ51" s="158"/>
      <c r="JNK51" s="158"/>
      <c r="JNL51" s="158"/>
      <c r="JNM51" s="158"/>
      <c r="JNN51" s="158"/>
      <c r="JNO51" s="158"/>
      <c r="JNP51" s="158"/>
      <c r="JNQ51" s="158"/>
      <c r="JNR51" s="158"/>
      <c r="JNS51" s="158"/>
      <c r="JNT51" s="158"/>
      <c r="JNU51" s="158"/>
      <c r="JNV51" s="158"/>
      <c r="JNW51" s="158"/>
      <c r="JNX51" s="158"/>
      <c r="JNY51" s="158"/>
      <c r="JNZ51" s="158"/>
      <c r="JOA51" s="158"/>
      <c r="JOB51" s="158"/>
      <c r="JOC51" s="158"/>
      <c r="JOD51" s="158"/>
      <c r="JOE51" s="158"/>
      <c r="JOF51" s="158"/>
      <c r="JOG51" s="158"/>
      <c r="JOH51" s="158"/>
      <c r="JOI51" s="158"/>
      <c r="JOJ51" s="158"/>
      <c r="JOK51" s="158"/>
      <c r="JOL51" s="158"/>
      <c r="JOM51" s="158"/>
      <c r="JON51" s="158"/>
      <c r="JOO51" s="158"/>
      <c r="JOP51" s="158"/>
      <c r="JOQ51" s="158"/>
      <c r="JOR51" s="158"/>
      <c r="JOS51" s="158"/>
      <c r="JOT51" s="158"/>
      <c r="JOU51" s="158"/>
      <c r="JOV51" s="158"/>
      <c r="JOW51" s="158"/>
      <c r="JOX51" s="158"/>
      <c r="JOY51" s="158"/>
      <c r="JOZ51" s="158"/>
      <c r="JPA51" s="158"/>
      <c r="JPB51" s="158"/>
      <c r="JPC51" s="158"/>
      <c r="JPD51" s="158"/>
      <c r="JPE51" s="158"/>
      <c r="JPF51" s="158"/>
      <c r="JPG51" s="158"/>
      <c r="JPH51" s="158"/>
      <c r="JPI51" s="158"/>
      <c r="JPJ51" s="158"/>
      <c r="JPK51" s="158"/>
      <c r="JPL51" s="158"/>
      <c r="JPM51" s="158"/>
      <c r="JPN51" s="158"/>
      <c r="JPO51" s="158"/>
      <c r="JPP51" s="158"/>
      <c r="JPQ51" s="158"/>
      <c r="JPR51" s="158"/>
      <c r="JPS51" s="158"/>
      <c r="JPT51" s="158"/>
      <c r="JPU51" s="158"/>
      <c r="JPV51" s="158"/>
      <c r="JPW51" s="158"/>
      <c r="JPX51" s="158"/>
      <c r="JPY51" s="158"/>
      <c r="JPZ51" s="158"/>
      <c r="JQA51" s="158"/>
      <c r="JQB51" s="158"/>
      <c r="JQC51" s="158"/>
      <c r="JQD51" s="158"/>
      <c r="JQE51" s="158"/>
      <c r="JQF51" s="158"/>
      <c r="JQG51" s="158"/>
      <c r="JQH51" s="158"/>
      <c r="JQI51" s="158"/>
      <c r="JQJ51" s="158"/>
      <c r="JQK51" s="158"/>
      <c r="JQL51" s="158"/>
      <c r="JQM51" s="158"/>
      <c r="JQN51" s="158"/>
      <c r="JQO51" s="158"/>
      <c r="JQP51" s="158"/>
      <c r="JQQ51" s="158"/>
      <c r="JQR51" s="158"/>
      <c r="JQS51" s="158"/>
      <c r="JQT51" s="158"/>
      <c r="JQU51" s="158"/>
      <c r="JQV51" s="158"/>
      <c r="JQW51" s="158"/>
      <c r="JQX51" s="158"/>
      <c r="JQY51" s="158"/>
      <c r="JQZ51" s="158"/>
      <c r="JRA51" s="158"/>
      <c r="JRB51" s="158"/>
      <c r="JRC51" s="158"/>
      <c r="JRD51" s="158"/>
      <c r="JRE51" s="158"/>
      <c r="JRF51" s="158"/>
      <c r="JRG51" s="158"/>
      <c r="JRH51" s="158"/>
      <c r="JRI51" s="158"/>
      <c r="JRJ51" s="158"/>
      <c r="JRK51" s="158"/>
      <c r="JRL51" s="158"/>
      <c r="JRM51" s="158"/>
      <c r="JRN51" s="158"/>
      <c r="JRO51" s="158"/>
      <c r="JRP51" s="158"/>
      <c r="JRQ51" s="158"/>
      <c r="JRR51" s="158"/>
      <c r="JRS51" s="158"/>
      <c r="JRT51" s="158"/>
      <c r="JRU51" s="158"/>
      <c r="JRV51" s="158"/>
      <c r="JRW51" s="158"/>
      <c r="JRX51" s="158"/>
      <c r="JRY51" s="158"/>
      <c r="JRZ51" s="158"/>
      <c r="JSA51" s="158"/>
      <c r="JSB51" s="158"/>
      <c r="JSC51" s="158"/>
      <c r="JSD51" s="158"/>
      <c r="JSE51" s="158"/>
      <c r="JSF51" s="158"/>
      <c r="JSG51" s="158"/>
      <c r="JSH51" s="158"/>
      <c r="JSI51" s="158"/>
      <c r="JSJ51" s="158"/>
      <c r="JSK51" s="158"/>
      <c r="JSL51" s="158"/>
      <c r="JSM51" s="158"/>
      <c r="JSN51" s="158"/>
      <c r="JSO51" s="158"/>
      <c r="JSP51" s="158"/>
      <c r="JSQ51" s="158"/>
      <c r="JSR51" s="158"/>
      <c r="JSS51" s="158"/>
      <c r="JST51" s="158"/>
      <c r="JSU51" s="158"/>
      <c r="JSV51" s="158"/>
      <c r="JSW51" s="158"/>
      <c r="JSX51" s="158"/>
      <c r="JSY51" s="158"/>
      <c r="JSZ51" s="158"/>
      <c r="JTA51" s="158"/>
      <c r="JTB51" s="158"/>
      <c r="JTC51" s="158"/>
      <c r="JTD51" s="158"/>
      <c r="JTE51" s="158"/>
      <c r="JTF51" s="158"/>
      <c r="JTG51" s="158"/>
      <c r="JTH51" s="158"/>
      <c r="JTI51" s="158"/>
      <c r="JTJ51" s="158"/>
      <c r="JTK51" s="158"/>
      <c r="JTL51" s="158"/>
      <c r="JTM51" s="158"/>
      <c r="JTN51" s="158"/>
      <c r="JTO51" s="158"/>
      <c r="JTP51" s="158"/>
      <c r="JTQ51" s="158"/>
      <c r="JTR51" s="158"/>
      <c r="JTS51" s="158"/>
      <c r="JTT51" s="158"/>
      <c r="JTU51" s="158"/>
      <c r="JTV51" s="158"/>
      <c r="JTW51" s="158"/>
      <c r="JTX51" s="158"/>
      <c r="JTY51" s="158"/>
      <c r="JTZ51" s="158"/>
      <c r="JUA51" s="158"/>
      <c r="JUB51" s="158"/>
      <c r="JUC51" s="158"/>
      <c r="JUD51" s="158"/>
      <c r="JUE51" s="158"/>
      <c r="JUF51" s="158"/>
      <c r="JUG51" s="158"/>
      <c r="JUH51" s="158"/>
      <c r="JUI51" s="158"/>
      <c r="JUJ51" s="158"/>
      <c r="JUK51" s="158"/>
      <c r="JUL51" s="158"/>
      <c r="JUM51" s="158"/>
      <c r="JUN51" s="158"/>
      <c r="JUO51" s="158"/>
      <c r="JUP51" s="158"/>
      <c r="JUQ51" s="158"/>
      <c r="JUR51" s="158"/>
      <c r="JUS51" s="158"/>
      <c r="JUT51" s="158"/>
      <c r="JUU51" s="158"/>
      <c r="JUV51" s="158"/>
      <c r="JUW51" s="158"/>
      <c r="JUX51" s="158"/>
      <c r="JUY51" s="158"/>
      <c r="JUZ51" s="158"/>
      <c r="JVA51" s="158"/>
      <c r="JVB51" s="158"/>
      <c r="JVC51" s="158"/>
      <c r="JVD51" s="158"/>
      <c r="JVE51" s="158"/>
      <c r="JVF51" s="158"/>
      <c r="JVG51" s="158"/>
      <c r="JVH51" s="158"/>
      <c r="JVI51" s="158"/>
      <c r="JVJ51" s="158"/>
      <c r="JVK51" s="158"/>
      <c r="JVL51" s="158"/>
      <c r="JVM51" s="158"/>
      <c r="JVN51" s="158"/>
      <c r="JVO51" s="158"/>
      <c r="JVP51" s="158"/>
      <c r="JVQ51" s="158"/>
      <c r="JVR51" s="158"/>
      <c r="JVS51" s="158"/>
      <c r="JVT51" s="158"/>
      <c r="JVU51" s="158"/>
      <c r="JVV51" s="158"/>
      <c r="JVW51" s="158"/>
      <c r="JVX51" s="158"/>
      <c r="JVY51" s="158"/>
      <c r="JVZ51" s="158"/>
      <c r="JWA51" s="158"/>
      <c r="JWB51" s="158"/>
      <c r="JWC51" s="158"/>
      <c r="JWD51" s="158"/>
      <c r="JWE51" s="158"/>
      <c r="JWF51" s="158"/>
      <c r="JWG51" s="158"/>
      <c r="JWH51" s="158"/>
      <c r="JWI51" s="158"/>
      <c r="JWJ51" s="158"/>
      <c r="JWK51" s="158"/>
      <c r="JWL51" s="158"/>
      <c r="JWM51" s="158"/>
      <c r="JWN51" s="158"/>
      <c r="JWO51" s="158"/>
      <c r="JWP51" s="158"/>
      <c r="JWQ51" s="158"/>
      <c r="JWR51" s="158"/>
      <c r="JWS51" s="158"/>
      <c r="JWT51" s="158"/>
      <c r="JWU51" s="158"/>
      <c r="JWV51" s="158"/>
      <c r="JWW51" s="158"/>
      <c r="JWX51" s="158"/>
      <c r="JWY51" s="158"/>
      <c r="JWZ51" s="158"/>
      <c r="JXA51" s="158"/>
      <c r="JXB51" s="158"/>
      <c r="JXC51" s="158"/>
      <c r="JXD51" s="158"/>
      <c r="JXE51" s="158"/>
      <c r="JXF51" s="158"/>
      <c r="JXG51" s="158"/>
      <c r="JXH51" s="158"/>
      <c r="JXI51" s="158"/>
      <c r="JXJ51" s="158"/>
      <c r="JXK51" s="158"/>
      <c r="JXL51" s="158"/>
      <c r="JXM51" s="158"/>
      <c r="JXN51" s="158"/>
      <c r="JXO51" s="158"/>
      <c r="JXP51" s="158"/>
      <c r="JXQ51" s="158"/>
      <c r="JXR51" s="158"/>
      <c r="JXS51" s="158"/>
      <c r="JXT51" s="158"/>
      <c r="JXU51" s="158"/>
      <c r="JXV51" s="158"/>
      <c r="JXW51" s="158"/>
      <c r="JXX51" s="158"/>
      <c r="JXY51" s="158"/>
      <c r="JXZ51" s="158"/>
      <c r="JYA51" s="158"/>
      <c r="JYB51" s="158"/>
      <c r="JYC51" s="158"/>
      <c r="JYD51" s="158"/>
      <c r="JYE51" s="158"/>
      <c r="JYF51" s="158"/>
      <c r="JYG51" s="158"/>
      <c r="JYH51" s="158"/>
      <c r="JYI51" s="158"/>
      <c r="JYJ51" s="158"/>
      <c r="JYK51" s="158"/>
      <c r="JYL51" s="158"/>
      <c r="JYM51" s="158"/>
      <c r="JYN51" s="158"/>
      <c r="JYO51" s="158"/>
      <c r="JYP51" s="158"/>
      <c r="JYQ51" s="158"/>
      <c r="JYR51" s="158"/>
      <c r="JYS51" s="158"/>
      <c r="JYT51" s="158"/>
      <c r="JYU51" s="158"/>
      <c r="JYV51" s="158"/>
      <c r="JYW51" s="158"/>
      <c r="JYX51" s="158"/>
      <c r="JYY51" s="158"/>
      <c r="JYZ51" s="158"/>
      <c r="JZA51" s="158"/>
      <c r="JZB51" s="158"/>
      <c r="JZC51" s="158"/>
      <c r="JZD51" s="158"/>
      <c r="JZE51" s="158"/>
      <c r="JZF51" s="158"/>
      <c r="JZG51" s="158"/>
      <c r="JZH51" s="158"/>
      <c r="JZI51" s="158"/>
      <c r="JZJ51" s="158"/>
      <c r="JZK51" s="158"/>
      <c r="JZL51" s="158"/>
      <c r="JZM51" s="158"/>
      <c r="JZN51" s="158"/>
      <c r="JZO51" s="158"/>
      <c r="JZP51" s="158"/>
      <c r="JZQ51" s="158"/>
      <c r="JZR51" s="158"/>
      <c r="JZS51" s="158"/>
      <c r="JZT51" s="158"/>
      <c r="JZU51" s="158"/>
      <c r="JZV51" s="158"/>
      <c r="JZW51" s="158"/>
      <c r="JZX51" s="158"/>
      <c r="JZY51" s="158"/>
      <c r="JZZ51" s="158"/>
      <c r="KAA51" s="158"/>
      <c r="KAB51" s="158"/>
      <c r="KAC51" s="158"/>
      <c r="KAD51" s="158"/>
      <c r="KAE51" s="158"/>
      <c r="KAF51" s="158"/>
      <c r="KAG51" s="158"/>
      <c r="KAH51" s="158"/>
      <c r="KAI51" s="158"/>
      <c r="KAJ51" s="158"/>
      <c r="KAK51" s="158"/>
      <c r="KAL51" s="158"/>
      <c r="KAM51" s="158"/>
      <c r="KAN51" s="158"/>
      <c r="KAO51" s="158"/>
      <c r="KAP51" s="158"/>
      <c r="KAQ51" s="158"/>
      <c r="KAR51" s="158"/>
      <c r="KAS51" s="158"/>
      <c r="KAT51" s="158"/>
      <c r="KAU51" s="158"/>
      <c r="KAV51" s="158"/>
      <c r="KAW51" s="158"/>
      <c r="KAX51" s="158"/>
      <c r="KAY51" s="158"/>
      <c r="KAZ51" s="158"/>
      <c r="KBA51" s="158"/>
      <c r="KBB51" s="158"/>
      <c r="KBC51" s="158"/>
      <c r="KBD51" s="158"/>
      <c r="KBE51" s="158"/>
      <c r="KBF51" s="158"/>
      <c r="KBG51" s="158"/>
      <c r="KBH51" s="158"/>
      <c r="KBI51" s="158"/>
      <c r="KBJ51" s="158"/>
      <c r="KBK51" s="158"/>
      <c r="KBL51" s="158"/>
      <c r="KBM51" s="158"/>
      <c r="KBN51" s="158"/>
      <c r="KBO51" s="158"/>
      <c r="KBP51" s="158"/>
      <c r="KBQ51" s="158"/>
      <c r="KBR51" s="158"/>
      <c r="KBS51" s="158"/>
      <c r="KBT51" s="158"/>
      <c r="KBU51" s="158"/>
      <c r="KBV51" s="158"/>
      <c r="KBW51" s="158"/>
      <c r="KBX51" s="158"/>
      <c r="KBY51" s="158"/>
      <c r="KBZ51" s="158"/>
      <c r="KCA51" s="158"/>
      <c r="KCB51" s="158"/>
      <c r="KCC51" s="158"/>
      <c r="KCD51" s="158"/>
      <c r="KCE51" s="158"/>
      <c r="KCF51" s="158"/>
      <c r="KCG51" s="158"/>
      <c r="KCH51" s="158"/>
      <c r="KCI51" s="158"/>
      <c r="KCJ51" s="158"/>
      <c r="KCK51" s="158"/>
      <c r="KCL51" s="158"/>
      <c r="KCM51" s="158"/>
      <c r="KCN51" s="158"/>
      <c r="KCO51" s="158"/>
      <c r="KCP51" s="158"/>
      <c r="KCQ51" s="158"/>
      <c r="KCR51" s="158"/>
      <c r="KCS51" s="158"/>
      <c r="KCT51" s="158"/>
      <c r="KCU51" s="158"/>
      <c r="KCV51" s="158"/>
      <c r="KCW51" s="158"/>
      <c r="KCX51" s="158"/>
      <c r="KCY51" s="158"/>
      <c r="KCZ51" s="158"/>
      <c r="KDA51" s="158"/>
      <c r="KDB51" s="158"/>
      <c r="KDC51" s="158"/>
      <c r="KDD51" s="158"/>
      <c r="KDE51" s="158"/>
      <c r="KDF51" s="158"/>
      <c r="KDG51" s="158"/>
      <c r="KDH51" s="158"/>
      <c r="KDI51" s="158"/>
      <c r="KDJ51" s="158"/>
      <c r="KDK51" s="158"/>
      <c r="KDL51" s="158"/>
      <c r="KDM51" s="158"/>
      <c r="KDN51" s="158"/>
      <c r="KDO51" s="158"/>
      <c r="KDP51" s="158"/>
      <c r="KDQ51" s="158"/>
      <c r="KDR51" s="158"/>
      <c r="KDS51" s="158"/>
      <c r="KDT51" s="158"/>
      <c r="KDU51" s="158"/>
      <c r="KDV51" s="158"/>
      <c r="KDW51" s="158"/>
      <c r="KDX51" s="158"/>
      <c r="KDY51" s="158"/>
      <c r="KDZ51" s="158"/>
      <c r="KEA51" s="158"/>
      <c r="KEB51" s="158"/>
      <c r="KEC51" s="158"/>
      <c r="KED51" s="158"/>
      <c r="KEE51" s="158"/>
      <c r="KEF51" s="158"/>
      <c r="KEG51" s="158"/>
      <c r="KEH51" s="158"/>
      <c r="KEI51" s="158"/>
      <c r="KEJ51" s="158"/>
      <c r="KEK51" s="158"/>
      <c r="KEL51" s="158"/>
      <c r="KEM51" s="158"/>
      <c r="KEN51" s="158"/>
      <c r="KEO51" s="158"/>
      <c r="KEP51" s="158"/>
      <c r="KEQ51" s="158"/>
      <c r="KER51" s="158"/>
      <c r="KES51" s="158"/>
      <c r="KET51" s="158"/>
      <c r="KEU51" s="158"/>
      <c r="KEV51" s="158"/>
      <c r="KEW51" s="158"/>
      <c r="KEX51" s="158"/>
      <c r="KEY51" s="158"/>
      <c r="KEZ51" s="158"/>
      <c r="KFA51" s="158"/>
      <c r="KFB51" s="158"/>
      <c r="KFC51" s="158"/>
      <c r="KFD51" s="158"/>
      <c r="KFE51" s="158"/>
      <c r="KFF51" s="158"/>
      <c r="KFG51" s="158"/>
      <c r="KFH51" s="158"/>
      <c r="KFI51" s="158"/>
      <c r="KFJ51" s="158"/>
      <c r="KFK51" s="158"/>
      <c r="KFL51" s="158"/>
      <c r="KFM51" s="158"/>
      <c r="KFN51" s="158"/>
      <c r="KFO51" s="158"/>
      <c r="KFP51" s="158"/>
      <c r="KFQ51" s="158"/>
      <c r="KFR51" s="158"/>
      <c r="KFS51" s="158"/>
      <c r="KFT51" s="158"/>
      <c r="KFU51" s="158"/>
      <c r="KFV51" s="158"/>
      <c r="KFW51" s="158"/>
      <c r="KFX51" s="158"/>
      <c r="KFY51" s="158"/>
      <c r="KFZ51" s="158"/>
      <c r="KGA51" s="158"/>
      <c r="KGB51" s="158"/>
      <c r="KGC51" s="158"/>
      <c r="KGD51" s="158"/>
      <c r="KGE51" s="158"/>
      <c r="KGF51" s="158"/>
      <c r="KGG51" s="158"/>
      <c r="KGH51" s="158"/>
      <c r="KGI51" s="158"/>
      <c r="KGJ51" s="158"/>
      <c r="KGK51" s="158"/>
      <c r="KGL51" s="158"/>
      <c r="KGM51" s="158"/>
      <c r="KGN51" s="158"/>
      <c r="KGO51" s="158"/>
      <c r="KGP51" s="158"/>
      <c r="KGQ51" s="158"/>
      <c r="KGR51" s="158"/>
      <c r="KGS51" s="158"/>
      <c r="KGT51" s="158"/>
      <c r="KGU51" s="158"/>
      <c r="KGV51" s="158"/>
      <c r="KGW51" s="158"/>
      <c r="KGX51" s="158"/>
      <c r="KGY51" s="158"/>
      <c r="KGZ51" s="158"/>
      <c r="KHA51" s="158"/>
      <c r="KHB51" s="158"/>
      <c r="KHC51" s="158"/>
      <c r="KHD51" s="158"/>
      <c r="KHE51" s="158"/>
      <c r="KHF51" s="158"/>
      <c r="KHG51" s="158"/>
      <c r="KHH51" s="158"/>
      <c r="KHI51" s="158"/>
      <c r="KHJ51" s="158"/>
      <c r="KHK51" s="158"/>
      <c r="KHL51" s="158"/>
      <c r="KHM51" s="158"/>
      <c r="KHN51" s="158"/>
      <c r="KHO51" s="158"/>
      <c r="KHP51" s="158"/>
      <c r="KHQ51" s="158"/>
      <c r="KHR51" s="158"/>
      <c r="KHS51" s="158"/>
      <c r="KHT51" s="158"/>
      <c r="KHU51" s="158"/>
      <c r="KHV51" s="158"/>
      <c r="KHW51" s="158"/>
      <c r="KHX51" s="158"/>
      <c r="KHY51" s="158"/>
      <c r="KHZ51" s="158"/>
      <c r="KIA51" s="158"/>
      <c r="KIB51" s="158"/>
      <c r="KIC51" s="158"/>
      <c r="KID51" s="158"/>
      <c r="KIE51" s="158"/>
      <c r="KIF51" s="158"/>
      <c r="KIG51" s="158"/>
      <c r="KIH51" s="158"/>
      <c r="KII51" s="158"/>
      <c r="KIJ51" s="158"/>
      <c r="KIK51" s="158"/>
      <c r="KIL51" s="158"/>
      <c r="KIM51" s="158"/>
      <c r="KIN51" s="158"/>
      <c r="KIO51" s="158"/>
      <c r="KIP51" s="158"/>
      <c r="KIQ51" s="158"/>
      <c r="KIR51" s="158"/>
      <c r="KIS51" s="158"/>
      <c r="KIT51" s="158"/>
      <c r="KIU51" s="158"/>
      <c r="KIV51" s="158"/>
      <c r="KIW51" s="158"/>
      <c r="KIX51" s="158"/>
      <c r="KIY51" s="158"/>
      <c r="KIZ51" s="158"/>
      <c r="KJA51" s="158"/>
      <c r="KJB51" s="158"/>
      <c r="KJC51" s="158"/>
      <c r="KJD51" s="158"/>
      <c r="KJE51" s="158"/>
      <c r="KJF51" s="158"/>
      <c r="KJG51" s="158"/>
      <c r="KJH51" s="158"/>
      <c r="KJI51" s="158"/>
      <c r="KJJ51" s="158"/>
      <c r="KJK51" s="158"/>
      <c r="KJL51" s="158"/>
      <c r="KJM51" s="158"/>
      <c r="KJN51" s="158"/>
      <c r="KJO51" s="158"/>
      <c r="KJP51" s="158"/>
      <c r="KJQ51" s="158"/>
      <c r="KJR51" s="158"/>
      <c r="KJS51" s="158"/>
      <c r="KJT51" s="158"/>
      <c r="KJU51" s="158"/>
      <c r="KJV51" s="158"/>
      <c r="KJW51" s="158"/>
      <c r="KJX51" s="158"/>
      <c r="KJY51" s="158"/>
      <c r="KJZ51" s="158"/>
      <c r="KKA51" s="158"/>
      <c r="KKB51" s="158"/>
      <c r="KKC51" s="158"/>
      <c r="KKD51" s="158"/>
      <c r="KKE51" s="158"/>
      <c r="KKF51" s="158"/>
      <c r="KKG51" s="158"/>
      <c r="KKH51" s="158"/>
      <c r="KKI51" s="158"/>
      <c r="KKJ51" s="158"/>
      <c r="KKK51" s="158"/>
      <c r="KKL51" s="158"/>
      <c r="KKM51" s="158"/>
      <c r="KKN51" s="158"/>
      <c r="KKO51" s="158"/>
      <c r="KKP51" s="158"/>
      <c r="KKQ51" s="158"/>
      <c r="KKR51" s="158"/>
      <c r="KKS51" s="158"/>
      <c r="KKT51" s="158"/>
      <c r="KKU51" s="158"/>
      <c r="KKV51" s="158"/>
      <c r="KKW51" s="158"/>
      <c r="KKX51" s="158"/>
      <c r="KKY51" s="158"/>
      <c r="KKZ51" s="158"/>
      <c r="KLA51" s="158"/>
      <c r="KLB51" s="158"/>
      <c r="KLC51" s="158"/>
      <c r="KLD51" s="158"/>
      <c r="KLE51" s="158"/>
      <c r="KLF51" s="158"/>
      <c r="KLG51" s="158"/>
      <c r="KLH51" s="158"/>
      <c r="KLI51" s="158"/>
      <c r="KLJ51" s="158"/>
      <c r="KLK51" s="158"/>
      <c r="KLL51" s="158"/>
      <c r="KLM51" s="158"/>
      <c r="KLN51" s="158"/>
      <c r="KLO51" s="158"/>
      <c r="KLP51" s="158"/>
      <c r="KLQ51" s="158"/>
      <c r="KLR51" s="158"/>
      <c r="KLS51" s="158"/>
      <c r="KLT51" s="158"/>
      <c r="KLU51" s="158"/>
      <c r="KLV51" s="158"/>
      <c r="KLW51" s="158"/>
      <c r="KLX51" s="158"/>
      <c r="KLY51" s="158"/>
      <c r="KLZ51" s="158"/>
      <c r="KMA51" s="158"/>
      <c r="KMB51" s="158"/>
      <c r="KMC51" s="158"/>
      <c r="KMD51" s="158"/>
      <c r="KME51" s="158"/>
      <c r="KMF51" s="158"/>
      <c r="KMG51" s="158"/>
      <c r="KMH51" s="158"/>
      <c r="KMI51" s="158"/>
      <c r="KMJ51" s="158"/>
      <c r="KMK51" s="158"/>
      <c r="KML51" s="158"/>
      <c r="KMM51" s="158"/>
      <c r="KMN51" s="158"/>
      <c r="KMO51" s="158"/>
      <c r="KMP51" s="158"/>
      <c r="KMQ51" s="158"/>
      <c r="KMR51" s="158"/>
      <c r="KMS51" s="158"/>
      <c r="KMT51" s="158"/>
      <c r="KMU51" s="158"/>
      <c r="KMV51" s="158"/>
      <c r="KMW51" s="158"/>
      <c r="KMX51" s="158"/>
      <c r="KMY51" s="158"/>
      <c r="KMZ51" s="158"/>
      <c r="KNA51" s="158"/>
      <c r="KNB51" s="158"/>
      <c r="KNC51" s="158"/>
      <c r="KND51" s="158"/>
      <c r="KNE51" s="158"/>
      <c r="KNF51" s="158"/>
      <c r="KNG51" s="158"/>
      <c r="KNH51" s="158"/>
      <c r="KNI51" s="158"/>
      <c r="KNJ51" s="158"/>
      <c r="KNK51" s="158"/>
      <c r="KNL51" s="158"/>
      <c r="KNM51" s="158"/>
      <c r="KNN51" s="158"/>
      <c r="KNO51" s="158"/>
      <c r="KNP51" s="158"/>
      <c r="KNQ51" s="158"/>
      <c r="KNR51" s="158"/>
      <c r="KNS51" s="158"/>
      <c r="KNT51" s="158"/>
      <c r="KNU51" s="158"/>
      <c r="KNV51" s="158"/>
      <c r="KNW51" s="158"/>
      <c r="KNX51" s="158"/>
      <c r="KNY51" s="158"/>
      <c r="KNZ51" s="158"/>
      <c r="KOA51" s="158"/>
      <c r="KOB51" s="158"/>
      <c r="KOC51" s="158"/>
      <c r="KOD51" s="158"/>
      <c r="KOE51" s="158"/>
      <c r="KOF51" s="158"/>
      <c r="KOG51" s="158"/>
      <c r="KOH51" s="158"/>
      <c r="KOI51" s="158"/>
      <c r="KOJ51" s="158"/>
      <c r="KOK51" s="158"/>
      <c r="KOL51" s="158"/>
      <c r="KOM51" s="158"/>
      <c r="KON51" s="158"/>
      <c r="KOO51" s="158"/>
      <c r="KOP51" s="158"/>
      <c r="KOQ51" s="158"/>
      <c r="KOR51" s="158"/>
      <c r="KOS51" s="158"/>
      <c r="KOT51" s="158"/>
      <c r="KOU51" s="158"/>
      <c r="KOV51" s="158"/>
      <c r="KOW51" s="158"/>
      <c r="KOX51" s="158"/>
      <c r="KOY51" s="158"/>
      <c r="KOZ51" s="158"/>
      <c r="KPA51" s="158"/>
      <c r="KPB51" s="158"/>
      <c r="KPC51" s="158"/>
      <c r="KPD51" s="158"/>
      <c r="KPE51" s="158"/>
      <c r="KPF51" s="158"/>
      <c r="KPG51" s="158"/>
      <c r="KPH51" s="158"/>
      <c r="KPI51" s="158"/>
      <c r="KPJ51" s="158"/>
      <c r="KPK51" s="158"/>
      <c r="KPL51" s="158"/>
      <c r="KPM51" s="158"/>
      <c r="KPN51" s="158"/>
      <c r="KPO51" s="158"/>
      <c r="KPP51" s="158"/>
      <c r="KPQ51" s="158"/>
      <c r="KPR51" s="158"/>
      <c r="KPS51" s="158"/>
      <c r="KPT51" s="158"/>
      <c r="KPU51" s="158"/>
      <c r="KPV51" s="158"/>
      <c r="KPW51" s="158"/>
      <c r="KPX51" s="158"/>
      <c r="KPY51" s="158"/>
      <c r="KPZ51" s="158"/>
      <c r="KQA51" s="158"/>
      <c r="KQB51" s="158"/>
      <c r="KQC51" s="158"/>
      <c r="KQD51" s="158"/>
      <c r="KQE51" s="158"/>
      <c r="KQF51" s="158"/>
      <c r="KQG51" s="158"/>
      <c r="KQH51" s="158"/>
      <c r="KQI51" s="158"/>
      <c r="KQJ51" s="158"/>
      <c r="KQK51" s="158"/>
      <c r="KQL51" s="158"/>
      <c r="KQM51" s="158"/>
      <c r="KQN51" s="158"/>
      <c r="KQO51" s="158"/>
      <c r="KQP51" s="158"/>
      <c r="KQQ51" s="158"/>
      <c r="KQR51" s="158"/>
      <c r="KQS51" s="158"/>
      <c r="KQT51" s="158"/>
      <c r="KQU51" s="158"/>
      <c r="KQV51" s="158"/>
      <c r="KQW51" s="158"/>
      <c r="KQX51" s="158"/>
      <c r="KQY51" s="158"/>
      <c r="KQZ51" s="158"/>
      <c r="KRA51" s="158"/>
      <c r="KRB51" s="158"/>
      <c r="KRC51" s="158"/>
      <c r="KRD51" s="158"/>
      <c r="KRE51" s="158"/>
      <c r="KRF51" s="158"/>
      <c r="KRG51" s="158"/>
      <c r="KRH51" s="158"/>
      <c r="KRI51" s="158"/>
      <c r="KRJ51" s="158"/>
      <c r="KRK51" s="158"/>
      <c r="KRL51" s="158"/>
      <c r="KRM51" s="158"/>
      <c r="KRN51" s="158"/>
      <c r="KRO51" s="158"/>
      <c r="KRP51" s="158"/>
      <c r="KRQ51" s="158"/>
      <c r="KRR51" s="158"/>
      <c r="KRS51" s="158"/>
      <c r="KRT51" s="158"/>
      <c r="KRU51" s="158"/>
      <c r="KRV51" s="158"/>
      <c r="KRW51" s="158"/>
      <c r="KRX51" s="158"/>
      <c r="KRY51" s="158"/>
      <c r="KRZ51" s="158"/>
      <c r="KSA51" s="158"/>
      <c r="KSB51" s="158"/>
      <c r="KSC51" s="158"/>
      <c r="KSD51" s="158"/>
      <c r="KSE51" s="158"/>
      <c r="KSF51" s="158"/>
      <c r="KSG51" s="158"/>
      <c r="KSH51" s="158"/>
      <c r="KSI51" s="158"/>
      <c r="KSJ51" s="158"/>
      <c r="KSK51" s="158"/>
      <c r="KSL51" s="158"/>
      <c r="KSM51" s="158"/>
      <c r="KSN51" s="158"/>
      <c r="KSO51" s="158"/>
      <c r="KSP51" s="158"/>
      <c r="KSQ51" s="158"/>
      <c r="KSR51" s="158"/>
      <c r="KSS51" s="158"/>
      <c r="KST51" s="158"/>
      <c r="KSU51" s="158"/>
      <c r="KSV51" s="158"/>
      <c r="KSW51" s="158"/>
      <c r="KSX51" s="158"/>
      <c r="KSY51" s="158"/>
      <c r="KSZ51" s="158"/>
      <c r="KTA51" s="158"/>
      <c r="KTB51" s="158"/>
      <c r="KTC51" s="158"/>
      <c r="KTD51" s="158"/>
      <c r="KTE51" s="158"/>
      <c r="KTF51" s="158"/>
      <c r="KTG51" s="158"/>
      <c r="KTH51" s="158"/>
      <c r="KTI51" s="158"/>
      <c r="KTJ51" s="158"/>
      <c r="KTK51" s="158"/>
      <c r="KTL51" s="158"/>
      <c r="KTM51" s="158"/>
      <c r="KTN51" s="158"/>
      <c r="KTO51" s="158"/>
      <c r="KTP51" s="158"/>
      <c r="KTQ51" s="158"/>
      <c r="KTR51" s="158"/>
      <c r="KTS51" s="158"/>
      <c r="KTT51" s="158"/>
      <c r="KTU51" s="158"/>
      <c r="KTV51" s="158"/>
      <c r="KTW51" s="158"/>
      <c r="KTX51" s="158"/>
      <c r="KTY51" s="158"/>
      <c r="KTZ51" s="158"/>
      <c r="KUA51" s="158"/>
      <c r="KUB51" s="158"/>
      <c r="KUC51" s="158"/>
      <c r="KUD51" s="158"/>
      <c r="KUE51" s="158"/>
      <c r="KUF51" s="158"/>
      <c r="KUG51" s="158"/>
      <c r="KUH51" s="158"/>
      <c r="KUI51" s="158"/>
      <c r="KUJ51" s="158"/>
      <c r="KUK51" s="158"/>
      <c r="KUL51" s="158"/>
      <c r="KUM51" s="158"/>
      <c r="KUN51" s="158"/>
      <c r="KUO51" s="158"/>
      <c r="KUP51" s="158"/>
      <c r="KUQ51" s="158"/>
      <c r="KUR51" s="158"/>
      <c r="KUS51" s="158"/>
      <c r="KUT51" s="158"/>
      <c r="KUU51" s="158"/>
      <c r="KUV51" s="158"/>
      <c r="KUW51" s="158"/>
      <c r="KUX51" s="158"/>
      <c r="KUY51" s="158"/>
      <c r="KUZ51" s="158"/>
      <c r="KVA51" s="158"/>
      <c r="KVB51" s="158"/>
      <c r="KVC51" s="158"/>
      <c r="KVD51" s="158"/>
      <c r="KVE51" s="158"/>
      <c r="KVF51" s="158"/>
      <c r="KVG51" s="158"/>
      <c r="KVH51" s="158"/>
      <c r="KVI51" s="158"/>
      <c r="KVJ51" s="158"/>
      <c r="KVK51" s="158"/>
      <c r="KVL51" s="158"/>
      <c r="KVM51" s="158"/>
      <c r="KVN51" s="158"/>
      <c r="KVO51" s="158"/>
      <c r="KVP51" s="158"/>
      <c r="KVQ51" s="158"/>
      <c r="KVR51" s="158"/>
      <c r="KVS51" s="158"/>
      <c r="KVT51" s="158"/>
      <c r="KVU51" s="158"/>
      <c r="KVV51" s="158"/>
      <c r="KVW51" s="158"/>
      <c r="KVX51" s="158"/>
      <c r="KVY51" s="158"/>
      <c r="KVZ51" s="158"/>
      <c r="KWA51" s="158"/>
      <c r="KWB51" s="158"/>
      <c r="KWC51" s="158"/>
      <c r="KWD51" s="158"/>
      <c r="KWE51" s="158"/>
      <c r="KWF51" s="158"/>
      <c r="KWG51" s="158"/>
      <c r="KWH51" s="158"/>
      <c r="KWI51" s="158"/>
      <c r="KWJ51" s="158"/>
      <c r="KWK51" s="158"/>
      <c r="KWL51" s="158"/>
      <c r="KWM51" s="158"/>
      <c r="KWN51" s="158"/>
      <c r="KWO51" s="158"/>
      <c r="KWP51" s="158"/>
      <c r="KWQ51" s="158"/>
      <c r="KWR51" s="158"/>
      <c r="KWS51" s="158"/>
      <c r="KWT51" s="158"/>
      <c r="KWU51" s="158"/>
      <c r="KWV51" s="158"/>
      <c r="KWW51" s="158"/>
      <c r="KWX51" s="158"/>
      <c r="KWY51" s="158"/>
      <c r="KWZ51" s="158"/>
      <c r="KXA51" s="158"/>
      <c r="KXB51" s="158"/>
      <c r="KXC51" s="158"/>
      <c r="KXD51" s="158"/>
      <c r="KXE51" s="158"/>
      <c r="KXF51" s="158"/>
      <c r="KXG51" s="158"/>
      <c r="KXH51" s="158"/>
      <c r="KXI51" s="158"/>
      <c r="KXJ51" s="158"/>
      <c r="KXK51" s="158"/>
      <c r="KXL51" s="158"/>
      <c r="KXM51" s="158"/>
      <c r="KXN51" s="158"/>
      <c r="KXO51" s="158"/>
      <c r="KXP51" s="158"/>
      <c r="KXQ51" s="158"/>
      <c r="KXR51" s="158"/>
      <c r="KXS51" s="158"/>
      <c r="KXT51" s="158"/>
      <c r="KXU51" s="158"/>
      <c r="KXV51" s="158"/>
      <c r="KXW51" s="158"/>
      <c r="KXX51" s="158"/>
      <c r="KXY51" s="158"/>
      <c r="KXZ51" s="158"/>
      <c r="KYA51" s="158"/>
      <c r="KYB51" s="158"/>
      <c r="KYC51" s="158"/>
      <c r="KYD51" s="158"/>
      <c r="KYE51" s="158"/>
      <c r="KYF51" s="158"/>
      <c r="KYG51" s="158"/>
      <c r="KYH51" s="158"/>
      <c r="KYI51" s="158"/>
      <c r="KYJ51" s="158"/>
      <c r="KYK51" s="158"/>
      <c r="KYL51" s="158"/>
      <c r="KYM51" s="158"/>
      <c r="KYN51" s="158"/>
      <c r="KYO51" s="158"/>
      <c r="KYP51" s="158"/>
      <c r="KYQ51" s="158"/>
      <c r="KYR51" s="158"/>
      <c r="KYS51" s="158"/>
      <c r="KYT51" s="158"/>
      <c r="KYU51" s="158"/>
      <c r="KYV51" s="158"/>
      <c r="KYW51" s="158"/>
      <c r="KYX51" s="158"/>
      <c r="KYY51" s="158"/>
      <c r="KYZ51" s="158"/>
      <c r="KZA51" s="158"/>
      <c r="KZB51" s="158"/>
      <c r="KZC51" s="158"/>
      <c r="KZD51" s="158"/>
      <c r="KZE51" s="158"/>
      <c r="KZF51" s="158"/>
      <c r="KZG51" s="158"/>
      <c r="KZH51" s="158"/>
      <c r="KZI51" s="158"/>
      <c r="KZJ51" s="158"/>
      <c r="KZK51" s="158"/>
      <c r="KZL51" s="158"/>
      <c r="KZM51" s="158"/>
      <c r="KZN51" s="158"/>
      <c r="KZO51" s="158"/>
      <c r="KZP51" s="158"/>
      <c r="KZQ51" s="158"/>
      <c r="KZR51" s="158"/>
      <c r="KZS51" s="158"/>
      <c r="KZT51" s="158"/>
      <c r="KZU51" s="158"/>
      <c r="KZV51" s="158"/>
      <c r="KZW51" s="158"/>
      <c r="KZX51" s="158"/>
      <c r="KZY51" s="158"/>
      <c r="KZZ51" s="158"/>
      <c r="LAA51" s="158"/>
      <c r="LAB51" s="158"/>
      <c r="LAC51" s="158"/>
      <c r="LAD51" s="158"/>
      <c r="LAE51" s="158"/>
      <c r="LAF51" s="158"/>
      <c r="LAG51" s="158"/>
      <c r="LAH51" s="158"/>
      <c r="LAI51" s="158"/>
      <c r="LAJ51" s="158"/>
      <c r="LAK51" s="158"/>
      <c r="LAL51" s="158"/>
      <c r="LAM51" s="158"/>
      <c r="LAN51" s="158"/>
      <c r="LAO51" s="158"/>
      <c r="LAP51" s="158"/>
      <c r="LAQ51" s="158"/>
      <c r="LAR51" s="158"/>
      <c r="LAS51" s="158"/>
      <c r="LAT51" s="158"/>
      <c r="LAU51" s="158"/>
      <c r="LAV51" s="158"/>
      <c r="LAW51" s="158"/>
      <c r="LAX51" s="158"/>
      <c r="LAY51" s="158"/>
      <c r="LAZ51" s="158"/>
      <c r="LBA51" s="158"/>
      <c r="LBB51" s="158"/>
      <c r="LBC51" s="158"/>
      <c r="LBD51" s="158"/>
      <c r="LBE51" s="158"/>
      <c r="LBF51" s="158"/>
      <c r="LBG51" s="158"/>
      <c r="LBH51" s="158"/>
      <c r="LBI51" s="158"/>
      <c r="LBJ51" s="158"/>
      <c r="LBK51" s="158"/>
      <c r="LBL51" s="158"/>
      <c r="LBM51" s="158"/>
      <c r="LBN51" s="158"/>
      <c r="LBO51" s="158"/>
      <c r="LBP51" s="158"/>
      <c r="LBQ51" s="158"/>
      <c r="LBR51" s="158"/>
      <c r="LBS51" s="158"/>
      <c r="LBT51" s="158"/>
      <c r="LBU51" s="158"/>
      <c r="LBV51" s="158"/>
      <c r="LBW51" s="158"/>
      <c r="LBX51" s="158"/>
      <c r="LBY51" s="158"/>
      <c r="LBZ51" s="158"/>
      <c r="LCA51" s="158"/>
      <c r="LCB51" s="158"/>
      <c r="LCC51" s="158"/>
      <c r="LCD51" s="158"/>
      <c r="LCE51" s="158"/>
      <c r="LCF51" s="158"/>
      <c r="LCG51" s="158"/>
      <c r="LCH51" s="158"/>
      <c r="LCI51" s="158"/>
      <c r="LCJ51" s="158"/>
      <c r="LCK51" s="158"/>
      <c r="LCL51" s="158"/>
      <c r="LCM51" s="158"/>
      <c r="LCN51" s="158"/>
      <c r="LCO51" s="158"/>
      <c r="LCP51" s="158"/>
      <c r="LCQ51" s="158"/>
      <c r="LCR51" s="158"/>
      <c r="LCS51" s="158"/>
      <c r="LCT51" s="158"/>
      <c r="LCU51" s="158"/>
      <c r="LCV51" s="158"/>
      <c r="LCW51" s="158"/>
      <c r="LCX51" s="158"/>
      <c r="LCY51" s="158"/>
      <c r="LCZ51" s="158"/>
      <c r="LDA51" s="158"/>
      <c r="LDB51" s="158"/>
      <c r="LDC51" s="158"/>
      <c r="LDD51" s="158"/>
      <c r="LDE51" s="158"/>
      <c r="LDF51" s="158"/>
      <c r="LDG51" s="158"/>
      <c r="LDH51" s="158"/>
      <c r="LDI51" s="158"/>
      <c r="LDJ51" s="158"/>
      <c r="LDK51" s="158"/>
      <c r="LDL51" s="158"/>
      <c r="LDM51" s="158"/>
      <c r="LDN51" s="158"/>
      <c r="LDO51" s="158"/>
      <c r="LDP51" s="158"/>
      <c r="LDQ51" s="158"/>
      <c r="LDR51" s="158"/>
      <c r="LDS51" s="158"/>
      <c r="LDT51" s="158"/>
      <c r="LDU51" s="158"/>
      <c r="LDV51" s="158"/>
      <c r="LDW51" s="158"/>
      <c r="LDX51" s="158"/>
      <c r="LDY51" s="158"/>
      <c r="LDZ51" s="158"/>
      <c r="LEA51" s="158"/>
      <c r="LEB51" s="158"/>
      <c r="LEC51" s="158"/>
      <c r="LED51" s="158"/>
      <c r="LEE51" s="158"/>
      <c r="LEF51" s="158"/>
      <c r="LEG51" s="158"/>
      <c r="LEH51" s="158"/>
      <c r="LEI51" s="158"/>
      <c r="LEJ51" s="158"/>
      <c r="LEK51" s="158"/>
      <c r="LEL51" s="158"/>
      <c r="LEM51" s="158"/>
      <c r="LEN51" s="158"/>
      <c r="LEO51" s="158"/>
      <c r="LEP51" s="158"/>
      <c r="LEQ51" s="158"/>
      <c r="LER51" s="158"/>
      <c r="LES51" s="158"/>
      <c r="LET51" s="158"/>
      <c r="LEU51" s="158"/>
      <c r="LEV51" s="158"/>
      <c r="LEW51" s="158"/>
      <c r="LEX51" s="158"/>
      <c r="LEY51" s="158"/>
      <c r="LEZ51" s="158"/>
      <c r="LFA51" s="158"/>
      <c r="LFB51" s="158"/>
      <c r="LFC51" s="158"/>
      <c r="LFD51" s="158"/>
      <c r="LFE51" s="158"/>
      <c r="LFF51" s="158"/>
      <c r="LFG51" s="158"/>
      <c r="LFH51" s="158"/>
      <c r="LFI51" s="158"/>
      <c r="LFJ51" s="158"/>
      <c r="LFK51" s="158"/>
      <c r="LFL51" s="158"/>
      <c r="LFM51" s="158"/>
      <c r="LFN51" s="158"/>
      <c r="LFO51" s="158"/>
      <c r="LFP51" s="158"/>
      <c r="LFQ51" s="158"/>
      <c r="LFR51" s="158"/>
      <c r="LFS51" s="158"/>
      <c r="LFT51" s="158"/>
      <c r="LFU51" s="158"/>
      <c r="LFV51" s="158"/>
      <c r="LFW51" s="158"/>
      <c r="LFX51" s="158"/>
      <c r="LFY51" s="158"/>
      <c r="LFZ51" s="158"/>
      <c r="LGA51" s="158"/>
      <c r="LGB51" s="158"/>
      <c r="LGC51" s="158"/>
      <c r="LGD51" s="158"/>
      <c r="LGE51" s="158"/>
      <c r="LGF51" s="158"/>
      <c r="LGG51" s="158"/>
      <c r="LGH51" s="158"/>
      <c r="LGI51" s="158"/>
      <c r="LGJ51" s="158"/>
      <c r="LGK51" s="158"/>
      <c r="LGL51" s="158"/>
      <c r="LGM51" s="158"/>
      <c r="LGN51" s="158"/>
      <c r="LGO51" s="158"/>
      <c r="LGP51" s="158"/>
      <c r="LGQ51" s="158"/>
      <c r="LGR51" s="158"/>
      <c r="LGS51" s="158"/>
      <c r="LGT51" s="158"/>
      <c r="LGU51" s="158"/>
      <c r="LGV51" s="158"/>
      <c r="LGW51" s="158"/>
      <c r="LGX51" s="158"/>
      <c r="LGY51" s="158"/>
      <c r="LGZ51" s="158"/>
      <c r="LHA51" s="158"/>
      <c r="LHB51" s="158"/>
      <c r="LHC51" s="158"/>
      <c r="LHD51" s="158"/>
      <c r="LHE51" s="158"/>
      <c r="LHF51" s="158"/>
      <c r="LHG51" s="158"/>
      <c r="LHH51" s="158"/>
      <c r="LHI51" s="158"/>
      <c r="LHJ51" s="158"/>
      <c r="LHK51" s="158"/>
      <c r="LHL51" s="158"/>
      <c r="LHM51" s="158"/>
      <c r="LHN51" s="158"/>
      <c r="LHO51" s="158"/>
      <c r="LHP51" s="158"/>
      <c r="LHQ51" s="158"/>
      <c r="LHR51" s="158"/>
      <c r="LHS51" s="158"/>
      <c r="LHT51" s="158"/>
      <c r="LHU51" s="158"/>
      <c r="LHV51" s="158"/>
      <c r="LHW51" s="158"/>
      <c r="LHX51" s="158"/>
      <c r="LHY51" s="158"/>
      <c r="LHZ51" s="158"/>
      <c r="LIA51" s="158"/>
      <c r="LIB51" s="158"/>
      <c r="LIC51" s="158"/>
      <c r="LID51" s="158"/>
      <c r="LIE51" s="158"/>
      <c r="LIF51" s="158"/>
      <c r="LIG51" s="158"/>
      <c r="LIH51" s="158"/>
      <c r="LII51" s="158"/>
      <c r="LIJ51" s="158"/>
      <c r="LIK51" s="158"/>
      <c r="LIL51" s="158"/>
      <c r="LIM51" s="158"/>
      <c r="LIN51" s="158"/>
      <c r="LIO51" s="158"/>
      <c r="LIP51" s="158"/>
      <c r="LIQ51" s="158"/>
      <c r="LIR51" s="158"/>
      <c r="LIS51" s="158"/>
      <c r="LIT51" s="158"/>
      <c r="LIU51" s="158"/>
      <c r="LIV51" s="158"/>
      <c r="LIW51" s="158"/>
      <c r="LIX51" s="158"/>
      <c r="LIY51" s="158"/>
      <c r="LIZ51" s="158"/>
      <c r="LJA51" s="158"/>
      <c r="LJB51" s="158"/>
      <c r="LJC51" s="158"/>
      <c r="LJD51" s="158"/>
      <c r="LJE51" s="158"/>
      <c r="LJF51" s="158"/>
      <c r="LJG51" s="158"/>
      <c r="LJH51" s="158"/>
      <c r="LJI51" s="158"/>
      <c r="LJJ51" s="158"/>
      <c r="LJK51" s="158"/>
      <c r="LJL51" s="158"/>
      <c r="LJM51" s="158"/>
      <c r="LJN51" s="158"/>
      <c r="LJO51" s="158"/>
      <c r="LJP51" s="158"/>
      <c r="LJQ51" s="158"/>
      <c r="LJR51" s="158"/>
      <c r="LJS51" s="158"/>
      <c r="LJT51" s="158"/>
      <c r="LJU51" s="158"/>
      <c r="LJV51" s="158"/>
      <c r="LJW51" s="158"/>
      <c r="LJX51" s="158"/>
      <c r="LJY51" s="158"/>
      <c r="LJZ51" s="158"/>
      <c r="LKA51" s="158"/>
      <c r="LKB51" s="158"/>
      <c r="LKC51" s="158"/>
      <c r="LKD51" s="158"/>
      <c r="LKE51" s="158"/>
      <c r="LKF51" s="158"/>
      <c r="LKG51" s="158"/>
      <c r="LKH51" s="158"/>
      <c r="LKI51" s="158"/>
      <c r="LKJ51" s="158"/>
      <c r="LKK51" s="158"/>
      <c r="LKL51" s="158"/>
      <c r="LKM51" s="158"/>
      <c r="LKN51" s="158"/>
      <c r="LKO51" s="158"/>
      <c r="LKP51" s="158"/>
      <c r="LKQ51" s="158"/>
      <c r="LKR51" s="158"/>
      <c r="LKS51" s="158"/>
      <c r="LKT51" s="158"/>
      <c r="LKU51" s="158"/>
      <c r="LKV51" s="158"/>
      <c r="LKW51" s="158"/>
      <c r="LKX51" s="158"/>
      <c r="LKY51" s="158"/>
      <c r="LKZ51" s="158"/>
      <c r="LLA51" s="158"/>
      <c r="LLB51" s="158"/>
      <c r="LLC51" s="158"/>
      <c r="LLD51" s="158"/>
      <c r="LLE51" s="158"/>
      <c r="LLF51" s="158"/>
      <c r="LLG51" s="158"/>
      <c r="LLH51" s="158"/>
      <c r="LLI51" s="158"/>
      <c r="LLJ51" s="158"/>
      <c r="LLK51" s="158"/>
      <c r="LLL51" s="158"/>
      <c r="LLM51" s="158"/>
      <c r="LLN51" s="158"/>
      <c r="LLO51" s="158"/>
      <c r="LLP51" s="158"/>
      <c r="LLQ51" s="158"/>
      <c r="LLR51" s="158"/>
      <c r="LLS51" s="158"/>
      <c r="LLT51" s="158"/>
      <c r="LLU51" s="158"/>
      <c r="LLV51" s="158"/>
      <c r="LLW51" s="158"/>
      <c r="LLX51" s="158"/>
      <c r="LLY51" s="158"/>
      <c r="LLZ51" s="158"/>
      <c r="LMA51" s="158"/>
      <c r="LMB51" s="158"/>
      <c r="LMC51" s="158"/>
      <c r="LMD51" s="158"/>
      <c r="LME51" s="158"/>
      <c r="LMF51" s="158"/>
      <c r="LMG51" s="158"/>
      <c r="LMH51" s="158"/>
      <c r="LMI51" s="158"/>
      <c r="LMJ51" s="158"/>
      <c r="LMK51" s="158"/>
      <c r="LML51" s="158"/>
      <c r="LMM51" s="158"/>
      <c r="LMN51" s="158"/>
      <c r="LMO51" s="158"/>
      <c r="LMP51" s="158"/>
      <c r="LMQ51" s="158"/>
      <c r="LMR51" s="158"/>
      <c r="LMS51" s="158"/>
      <c r="LMT51" s="158"/>
      <c r="LMU51" s="158"/>
      <c r="LMV51" s="158"/>
      <c r="LMW51" s="158"/>
      <c r="LMX51" s="158"/>
      <c r="LMY51" s="158"/>
      <c r="LMZ51" s="158"/>
      <c r="LNA51" s="158"/>
      <c r="LNB51" s="158"/>
      <c r="LNC51" s="158"/>
      <c r="LND51" s="158"/>
      <c r="LNE51" s="158"/>
      <c r="LNF51" s="158"/>
      <c r="LNG51" s="158"/>
      <c r="LNH51" s="158"/>
      <c r="LNI51" s="158"/>
      <c r="LNJ51" s="158"/>
      <c r="LNK51" s="158"/>
      <c r="LNL51" s="158"/>
      <c r="LNM51" s="158"/>
      <c r="LNN51" s="158"/>
      <c r="LNO51" s="158"/>
      <c r="LNP51" s="158"/>
      <c r="LNQ51" s="158"/>
      <c r="LNR51" s="158"/>
      <c r="LNS51" s="158"/>
      <c r="LNT51" s="158"/>
      <c r="LNU51" s="158"/>
      <c r="LNV51" s="158"/>
      <c r="LNW51" s="158"/>
      <c r="LNX51" s="158"/>
      <c r="LNY51" s="158"/>
      <c r="LNZ51" s="158"/>
      <c r="LOA51" s="158"/>
      <c r="LOB51" s="158"/>
      <c r="LOC51" s="158"/>
      <c r="LOD51" s="158"/>
      <c r="LOE51" s="158"/>
      <c r="LOF51" s="158"/>
      <c r="LOG51" s="158"/>
      <c r="LOH51" s="158"/>
      <c r="LOI51" s="158"/>
      <c r="LOJ51" s="158"/>
      <c r="LOK51" s="158"/>
      <c r="LOL51" s="158"/>
      <c r="LOM51" s="158"/>
      <c r="LON51" s="158"/>
      <c r="LOO51" s="158"/>
      <c r="LOP51" s="158"/>
      <c r="LOQ51" s="158"/>
      <c r="LOR51" s="158"/>
      <c r="LOS51" s="158"/>
      <c r="LOT51" s="158"/>
      <c r="LOU51" s="158"/>
      <c r="LOV51" s="158"/>
      <c r="LOW51" s="158"/>
      <c r="LOX51" s="158"/>
      <c r="LOY51" s="158"/>
      <c r="LOZ51" s="158"/>
      <c r="LPA51" s="158"/>
      <c r="LPB51" s="158"/>
      <c r="LPC51" s="158"/>
      <c r="LPD51" s="158"/>
      <c r="LPE51" s="158"/>
      <c r="LPF51" s="158"/>
      <c r="LPG51" s="158"/>
      <c r="LPH51" s="158"/>
      <c r="LPI51" s="158"/>
      <c r="LPJ51" s="158"/>
      <c r="LPK51" s="158"/>
      <c r="LPL51" s="158"/>
      <c r="LPM51" s="158"/>
      <c r="LPN51" s="158"/>
      <c r="LPO51" s="158"/>
      <c r="LPP51" s="158"/>
      <c r="LPQ51" s="158"/>
      <c r="LPR51" s="158"/>
      <c r="LPS51" s="158"/>
      <c r="LPT51" s="158"/>
      <c r="LPU51" s="158"/>
      <c r="LPV51" s="158"/>
      <c r="LPW51" s="158"/>
      <c r="LPX51" s="158"/>
      <c r="LPY51" s="158"/>
      <c r="LPZ51" s="158"/>
      <c r="LQA51" s="158"/>
      <c r="LQB51" s="158"/>
      <c r="LQC51" s="158"/>
      <c r="LQD51" s="158"/>
      <c r="LQE51" s="158"/>
      <c r="LQF51" s="158"/>
      <c r="LQG51" s="158"/>
      <c r="LQH51" s="158"/>
      <c r="LQI51" s="158"/>
      <c r="LQJ51" s="158"/>
      <c r="LQK51" s="158"/>
      <c r="LQL51" s="158"/>
      <c r="LQM51" s="158"/>
      <c r="LQN51" s="158"/>
      <c r="LQO51" s="158"/>
      <c r="LQP51" s="158"/>
      <c r="LQQ51" s="158"/>
      <c r="LQR51" s="158"/>
      <c r="LQS51" s="158"/>
      <c r="LQT51" s="158"/>
      <c r="LQU51" s="158"/>
      <c r="LQV51" s="158"/>
      <c r="LQW51" s="158"/>
      <c r="LQX51" s="158"/>
      <c r="LQY51" s="158"/>
      <c r="LQZ51" s="158"/>
      <c r="LRA51" s="158"/>
      <c r="LRB51" s="158"/>
      <c r="LRC51" s="158"/>
      <c r="LRD51" s="158"/>
      <c r="LRE51" s="158"/>
      <c r="LRF51" s="158"/>
      <c r="LRG51" s="158"/>
      <c r="LRH51" s="158"/>
      <c r="LRI51" s="158"/>
      <c r="LRJ51" s="158"/>
      <c r="LRK51" s="158"/>
      <c r="LRL51" s="158"/>
      <c r="LRM51" s="158"/>
      <c r="LRN51" s="158"/>
      <c r="LRO51" s="158"/>
      <c r="LRP51" s="158"/>
      <c r="LRQ51" s="158"/>
      <c r="LRR51" s="158"/>
      <c r="LRS51" s="158"/>
      <c r="LRT51" s="158"/>
      <c r="LRU51" s="158"/>
      <c r="LRV51" s="158"/>
      <c r="LRW51" s="158"/>
      <c r="LRX51" s="158"/>
      <c r="LRY51" s="158"/>
      <c r="LRZ51" s="158"/>
      <c r="LSA51" s="158"/>
      <c r="LSB51" s="158"/>
      <c r="LSC51" s="158"/>
      <c r="LSD51" s="158"/>
      <c r="LSE51" s="158"/>
      <c r="LSF51" s="158"/>
      <c r="LSG51" s="158"/>
      <c r="LSH51" s="158"/>
      <c r="LSI51" s="158"/>
      <c r="LSJ51" s="158"/>
      <c r="LSK51" s="158"/>
      <c r="LSL51" s="158"/>
      <c r="LSM51" s="158"/>
      <c r="LSN51" s="158"/>
      <c r="LSO51" s="158"/>
      <c r="LSP51" s="158"/>
      <c r="LSQ51" s="158"/>
      <c r="LSR51" s="158"/>
      <c r="LSS51" s="158"/>
      <c r="LST51" s="158"/>
      <c r="LSU51" s="158"/>
      <c r="LSV51" s="158"/>
      <c r="LSW51" s="158"/>
      <c r="LSX51" s="158"/>
      <c r="LSY51" s="158"/>
      <c r="LSZ51" s="158"/>
      <c r="LTA51" s="158"/>
      <c r="LTB51" s="158"/>
      <c r="LTC51" s="158"/>
      <c r="LTD51" s="158"/>
      <c r="LTE51" s="158"/>
      <c r="LTF51" s="158"/>
      <c r="LTG51" s="158"/>
      <c r="LTH51" s="158"/>
      <c r="LTI51" s="158"/>
      <c r="LTJ51" s="158"/>
      <c r="LTK51" s="158"/>
      <c r="LTL51" s="158"/>
      <c r="LTM51" s="158"/>
      <c r="LTN51" s="158"/>
      <c r="LTO51" s="158"/>
      <c r="LTP51" s="158"/>
      <c r="LTQ51" s="158"/>
      <c r="LTR51" s="158"/>
      <c r="LTS51" s="158"/>
      <c r="LTT51" s="158"/>
      <c r="LTU51" s="158"/>
      <c r="LTV51" s="158"/>
      <c r="LTW51" s="158"/>
      <c r="LTX51" s="158"/>
      <c r="LTY51" s="158"/>
      <c r="LTZ51" s="158"/>
      <c r="LUA51" s="158"/>
      <c r="LUB51" s="158"/>
      <c r="LUC51" s="158"/>
      <c r="LUD51" s="158"/>
      <c r="LUE51" s="158"/>
      <c r="LUF51" s="158"/>
      <c r="LUG51" s="158"/>
      <c r="LUH51" s="158"/>
      <c r="LUI51" s="158"/>
      <c r="LUJ51" s="158"/>
      <c r="LUK51" s="158"/>
      <c r="LUL51" s="158"/>
      <c r="LUM51" s="158"/>
      <c r="LUN51" s="158"/>
      <c r="LUO51" s="158"/>
      <c r="LUP51" s="158"/>
      <c r="LUQ51" s="158"/>
      <c r="LUR51" s="158"/>
      <c r="LUS51" s="158"/>
      <c r="LUT51" s="158"/>
      <c r="LUU51" s="158"/>
      <c r="LUV51" s="158"/>
      <c r="LUW51" s="158"/>
      <c r="LUX51" s="158"/>
      <c r="LUY51" s="158"/>
      <c r="LUZ51" s="158"/>
      <c r="LVA51" s="158"/>
      <c r="LVB51" s="158"/>
      <c r="LVC51" s="158"/>
      <c r="LVD51" s="158"/>
      <c r="LVE51" s="158"/>
      <c r="LVF51" s="158"/>
      <c r="LVG51" s="158"/>
      <c r="LVH51" s="158"/>
      <c r="LVI51" s="158"/>
      <c r="LVJ51" s="158"/>
      <c r="LVK51" s="158"/>
      <c r="LVL51" s="158"/>
      <c r="LVM51" s="158"/>
      <c r="LVN51" s="158"/>
      <c r="LVO51" s="158"/>
      <c r="LVP51" s="158"/>
      <c r="LVQ51" s="158"/>
      <c r="LVR51" s="158"/>
      <c r="LVS51" s="158"/>
      <c r="LVT51" s="158"/>
      <c r="LVU51" s="158"/>
      <c r="LVV51" s="158"/>
      <c r="LVW51" s="158"/>
      <c r="LVX51" s="158"/>
      <c r="LVY51" s="158"/>
      <c r="LVZ51" s="158"/>
      <c r="LWA51" s="158"/>
      <c r="LWB51" s="158"/>
      <c r="LWC51" s="158"/>
      <c r="LWD51" s="158"/>
      <c r="LWE51" s="158"/>
      <c r="LWF51" s="158"/>
      <c r="LWG51" s="158"/>
      <c r="LWH51" s="158"/>
      <c r="LWI51" s="158"/>
      <c r="LWJ51" s="158"/>
      <c r="LWK51" s="158"/>
      <c r="LWL51" s="158"/>
      <c r="LWM51" s="158"/>
      <c r="LWN51" s="158"/>
      <c r="LWO51" s="158"/>
      <c r="LWP51" s="158"/>
      <c r="LWQ51" s="158"/>
      <c r="LWR51" s="158"/>
      <c r="LWS51" s="158"/>
      <c r="LWT51" s="158"/>
      <c r="LWU51" s="158"/>
      <c r="LWV51" s="158"/>
      <c r="LWW51" s="158"/>
      <c r="LWX51" s="158"/>
      <c r="LWY51" s="158"/>
      <c r="LWZ51" s="158"/>
      <c r="LXA51" s="158"/>
      <c r="LXB51" s="158"/>
      <c r="LXC51" s="158"/>
      <c r="LXD51" s="158"/>
      <c r="LXE51" s="158"/>
      <c r="LXF51" s="158"/>
      <c r="LXG51" s="158"/>
      <c r="LXH51" s="158"/>
      <c r="LXI51" s="158"/>
      <c r="LXJ51" s="158"/>
      <c r="LXK51" s="158"/>
      <c r="LXL51" s="158"/>
      <c r="LXM51" s="158"/>
      <c r="LXN51" s="158"/>
      <c r="LXO51" s="158"/>
      <c r="LXP51" s="158"/>
      <c r="LXQ51" s="158"/>
      <c r="LXR51" s="158"/>
      <c r="LXS51" s="158"/>
      <c r="LXT51" s="158"/>
      <c r="LXU51" s="158"/>
      <c r="LXV51" s="158"/>
      <c r="LXW51" s="158"/>
      <c r="LXX51" s="158"/>
      <c r="LXY51" s="158"/>
      <c r="LXZ51" s="158"/>
      <c r="LYA51" s="158"/>
      <c r="LYB51" s="158"/>
      <c r="LYC51" s="158"/>
      <c r="LYD51" s="158"/>
      <c r="LYE51" s="158"/>
      <c r="LYF51" s="158"/>
      <c r="LYG51" s="158"/>
      <c r="LYH51" s="158"/>
      <c r="LYI51" s="158"/>
      <c r="LYJ51" s="158"/>
      <c r="LYK51" s="158"/>
      <c r="LYL51" s="158"/>
      <c r="LYM51" s="158"/>
      <c r="LYN51" s="158"/>
      <c r="LYO51" s="158"/>
      <c r="LYP51" s="158"/>
      <c r="LYQ51" s="158"/>
      <c r="LYR51" s="158"/>
      <c r="LYS51" s="158"/>
      <c r="LYT51" s="158"/>
      <c r="LYU51" s="158"/>
      <c r="LYV51" s="158"/>
      <c r="LYW51" s="158"/>
      <c r="LYX51" s="158"/>
      <c r="LYY51" s="158"/>
      <c r="LYZ51" s="158"/>
      <c r="LZA51" s="158"/>
      <c r="LZB51" s="158"/>
      <c r="LZC51" s="158"/>
      <c r="LZD51" s="158"/>
      <c r="LZE51" s="158"/>
      <c r="LZF51" s="158"/>
      <c r="LZG51" s="158"/>
      <c r="LZH51" s="158"/>
      <c r="LZI51" s="158"/>
      <c r="LZJ51" s="158"/>
      <c r="LZK51" s="158"/>
      <c r="LZL51" s="158"/>
      <c r="LZM51" s="158"/>
      <c r="LZN51" s="158"/>
      <c r="LZO51" s="158"/>
      <c r="LZP51" s="158"/>
      <c r="LZQ51" s="158"/>
      <c r="LZR51" s="158"/>
      <c r="LZS51" s="158"/>
      <c r="LZT51" s="158"/>
      <c r="LZU51" s="158"/>
      <c r="LZV51" s="158"/>
      <c r="LZW51" s="158"/>
      <c r="LZX51" s="158"/>
      <c r="LZY51" s="158"/>
      <c r="LZZ51" s="158"/>
      <c r="MAA51" s="158"/>
      <c r="MAB51" s="158"/>
      <c r="MAC51" s="158"/>
      <c r="MAD51" s="158"/>
      <c r="MAE51" s="158"/>
      <c r="MAF51" s="158"/>
      <c r="MAG51" s="158"/>
      <c r="MAH51" s="158"/>
      <c r="MAI51" s="158"/>
      <c r="MAJ51" s="158"/>
      <c r="MAK51" s="158"/>
      <c r="MAL51" s="158"/>
      <c r="MAM51" s="158"/>
      <c r="MAN51" s="158"/>
      <c r="MAO51" s="158"/>
      <c r="MAP51" s="158"/>
      <c r="MAQ51" s="158"/>
      <c r="MAR51" s="158"/>
      <c r="MAS51" s="158"/>
      <c r="MAT51" s="158"/>
      <c r="MAU51" s="158"/>
      <c r="MAV51" s="158"/>
      <c r="MAW51" s="158"/>
      <c r="MAX51" s="158"/>
      <c r="MAY51" s="158"/>
      <c r="MAZ51" s="158"/>
      <c r="MBA51" s="158"/>
      <c r="MBB51" s="158"/>
      <c r="MBC51" s="158"/>
      <c r="MBD51" s="158"/>
      <c r="MBE51" s="158"/>
      <c r="MBF51" s="158"/>
      <c r="MBG51" s="158"/>
      <c r="MBH51" s="158"/>
      <c r="MBI51" s="158"/>
      <c r="MBJ51" s="158"/>
      <c r="MBK51" s="158"/>
      <c r="MBL51" s="158"/>
      <c r="MBM51" s="158"/>
      <c r="MBN51" s="158"/>
      <c r="MBO51" s="158"/>
      <c r="MBP51" s="158"/>
      <c r="MBQ51" s="158"/>
      <c r="MBR51" s="158"/>
      <c r="MBS51" s="158"/>
      <c r="MBT51" s="158"/>
      <c r="MBU51" s="158"/>
      <c r="MBV51" s="158"/>
      <c r="MBW51" s="158"/>
      <c r="MBX51" s="158"/>
      <c r="MBY51" s="158"/>
      <c r="MBZ51" s="158"/>
      <c r="MCA51" s="158"/>
      <c r="MCB51" s="158"/>
      <c r="MCC51" s="158"/>
      <c r="MCD51" s="158"/>
      <c r="MCE51" s="158"/>
      <c r="MCF51" s="158"/>
      <c r="MCG51" s="158"/>
      <c r="MCH51" s="158"/>
      <c r="MCI51" s="158"/>
      <c r="MCJ51" s="158"/>
      <c r="MCK51" s="158"/>
      <c r="MCL51" s="158"/>
      <c r="MCM51" s="158"/>
      <c r="MCN51" s="158"/>
      <c r="MCO51" s="158"/>
      <c r="MCP51" s="158"/>
      <c r="MCQ51" s="158"/>
      <c r="MCR51" s="158"/>
      <c r="MCS51" s="158"/>
      <c r="MCT51" s="158"/>
      <c r="MCU51" s="158"/>
      <c r="MCV51" s="158"/>
      <c r="MCW51" s="158"/>
      <c r="MCX51" s="158"/>
      <c r="MCY51" s="158"/>
      <c r="MCZ51" s="158"/>
      <c r="MDA51" s="158"/>
      <c r="MDB51" s="158"/>
      <c r="MDC51" s="158"/>
      <c r="MDD51" s="158"/>
      <c r="MDE51" s="158"/>
      <c r="MDF51" s="158"/>
      <c r="MDG51" s="158"/>
      <c r="MDH51" s="158"/>
      <c r="MDI51" s="158"/>
      <c r="MDJ51" s="158"/>
      <c r="MDK51" s="158"/>
      <c r="MDL51" s="158"/>
      <c r="MDM51" s="158"/>
      <c r="MDN51" s="158"/>
      <c r="MDO51" s="158"/>
      <c r="MDP51" s="158"/>
      <c r="MDQ51" s="158"/>
      <c r="MDR51" s="158"/>
      <c r="MDS51" s="158"/>
      <c r="MDT51" s="158"/>
      <c r="MDU51" s="158"/>
      <c r="MDV51" s="158"/>
      <c r="MDW51" s="158"/>
      <c r="MDX51" s="158"/>
      <c r="MDY51" s="158"/>
      <c r="MDZ51" s="158"/>
      <c r="MEA51" s="158"/>
      <c r="MEB51" s="158"/>
      <c r="MEC51" s="158"/>
      <c r="MED51" s="158"/>
      <c r="MEE51" s="158"/>
      <c r="MEF51" s="158"/>
      <c r="MEG51" s="158"/>
      <c r="MEH51" s="158"/>
      <c r="MEI51" s="158"/>
      <c r="MEJ51" s="158"/>
      <c r="MEK51" s="158"/>
      <c r="MEL51" s="158"/>
      <c r="MEM51" s="158"/>
      <c r="MEN51" s="158"/>
      <c r="MEO51" s="158"/>
      <c r="MEP51" s="158"/>
      <c r="MEQ51" s="158"/>
      <c r="MER51" s="158"/>
      <c r="MES51" s="158"/>
      <c r="MET51" s="158"/>
      <c r="MEU51" s="158"/>
      <c r="MEV51" s="158"/>
      <c r="MEW51" s="158"/>
      <c r="MEX51" s="158"/>
      <c r="MEY51" s="158"/>
      <c r="MEZ51" s="158"/>
      <c r="MFA51" s="158"/>
      <c r="MFB51" s="158"/>
      <c r="MFC51" s="158"/>
      <c r="MFD51" s="158"/>
      <c r="MFE51" s="158"/>
      <c r="MFF51" s="158"/>
      <c r="MFG51" s="158"/>
      <c r="MFH51" s="158"/>
      <c r="MFI51" s="158"/>
      <c r="MFJ51" s="158"/>
      <c r="MFK51" s="158"/>
      <c r="MFL51" s="158"/>
      <c r="MFM51" s="158"/>
      <c r="MFN51" s="158"/>
      <c r="MFO51" s="158"/>
      <c r="MFP51" s="158"/>
      <c r="MFQ51" s="158"/>
      <c r="MFR51" s="158"/>
      <c r="MFS51" s="158"/>
      <c r="MFT51" s="158"/>
      <c r="MFU51" s="158"/>
      <c r="MFV51" s="158"/>
      <c r="MFW51" s="158"/>
      <c r="MFX51" s="158"/>
      <c r="MFY51" s="158"/>
      <c r="MFZ51" s="158"/>
      <c r="MGA51" s="158"/>
      <c r="MGB51" s="158"/>
      <c r="MGC51" s="158"/>
      <c r="MGD51" s="158"/>
      <c r="MGE51" s="158"/>
      <c r="MGF51" s="158"/>
      <c r="MGG51" s="158"/>
      <c r="MGH51" s="158"/>
      <c r="MGI51" s="158"/>
      <c r="MGJ51" s="158"/>
      <c r="MGK51" s="158"/>
      <c r="MGL51" s="158"/>
      <c r="MGM51" s="158"/>
      <c r="MGN51" s="158"/>
      <c r="MGO51" s="158"/>
      <c r="MGP51" s="158"/>
      <c r="MGQ51" s="158"/>
      <c r="MGR51" s="158"/>
      <c r="MGS51" s="158"/>
      <c r="MGT51" s="158"/>
      <c r="MGU51" s="158"/>
      <c r="MGV51" s="158"/>
      <c r="MGW51" s="158"/>
      <c r="MGX51" s="158"/>
      <c r="MGY51" s="158"/>
      <c r="MGZ51" s="158"/>
      <c r="MHA51" s="158"/>
      <c r="MHB51" s="158"/>
      <c r="MHC51" s="158"/>
      <c r="MHD51" s="158"/>
      <c r="MHE51" s="158"/>
      <c r="MHF51" s="158"/>
      <c r="MHG51" s="158"/>
      <c r="MHH51" s="158"/>
      <c r="MHI51" s="158"/>
      <c r="MHJ51" s="158"/>
      <c r="MHK51" s="158"/>
      <c r="MHL51" s="158"/>
      <c r="MHM51" s="158"/>
      <c r="MHN51" s="158"/>
      <c r="MHO51" s="158"/>
      <c r="MHP51" s="158"/>
      <c r="MHQ51" s="158"/>
      <c r="MHR51" s="158"/>
      <c r="MHS51" s="158"/>
      <c r="MHT51" s="158"/>
      <c r="MHU51" s="158"/>
      <c r="MHV51" s="158"/>
      <c r="MHW51" s="158"/>
      <c r="MHX51" s="158"/>
      <c r="MHY51" s="158"/>
      <c r="MHZ51" s="158"/>
      <c r="MIA51" s="158"/>
      <c r="MIB51" s="158"/>
      <c r="MIC51" s="158"/>
      <c r="MID51" s="158"/>
      <c r="MIE51" s="158"/>
      <c r="MIF51" s="158"/>
      <c r="MIG51" s="158"/>
      <c r="MIH51" s="158"/>
      <c r="MII51" s="158"/>
      <c r="MIJ51" s="158"/>
      <c r="MIK51" s="158"/>
      <c r="MIL51" s="158"/>
      <c r="MIM51" s="158"/>
      <c r="MIN51" s="158"/>
      <c r="MIO51" s="158"/>
      <c r="MIP51" s="158"/>
      <c r="MIQ51" s="158"/>
      <c r="MIR51" s="158"/>
      <c r="MIS51" s="158"/>
      <c r="MIT51" s="158"/>
      <c r="MIU51" s="158"/>
      <c r="MIV51" s="158"/>
      <c r="MIW51" s="158"/>
      <c r="MIX51" s="158"/>
      <c r="MIY51" s="158"/>
      <c r="MIZ51" s="158"/>
      <c r="MJA51" s="158"/>
      <c r="MJB51" s="158"/>
      <c r="MJC51" s="158"/>
      <c r="MJD51" s="158"/>
      <c r="MJE51" s="158"/>
      <c r="MJF51" s="158"/>
      <c r="MJG51" s="158"/>
      <c r="MJH51" s="158"/>
      <c r="MJI51" s="158"/>
      <c r="MJJ51" s="158"/>
      <c r="MJK51" s="158"/>
      <c r="MJL51" s="158"/>
      <c r="MJM51" s="158"/>
      <c r="MJN51" s="158"/>
      <c r="MJO51" s="158"/>
      <c r="MJP51" s="158"/>
      <c r="MJQ51" s="158"/>
      <c r="MJR51" s="158"/>
      <c r="MJS51" s="158"/>
      <c r="MJT51" s="158"/>
      <c r="MJU51" s="158"/>
      <c r="MJV51" s="158"/>
      <c r="MJW51" s="158"/>
      <c r="MJX51" s="158"/>
      <c r="MJY51" s="158"/>
      <c r="MJZ51" s="158"/>
      <c r="MKA51" s="158"/>
      <c r="MKB51" s="158"/>
      <c r="MKC51" s="158"/>
      <c r="MKD51" s="158"/>
      <c r="MKE51" s="158"/>
      <c r="MKF51" s="158"/>
      <c r="MKG51" s="158"/>
      <c r="MKH51" s="158"/>
      <c r="MKI51" s="158"/>
      <c r="MKJ51" s="158"/>
      <c r="MKK51" s="158"/>
      <c r="MKL51" s="158"/>
      <c r="MKM51" s="158"/>
      <c r="MKN51" s="158"/>
      <c r="MKO51" s="158"/>
      <c r="MKP51" s="158"/>
      <c r="MKQ51" s="158"/>
      <c r="MKR51" s="158"/>
      <c r="MKS51" s="158"/>
      <c r="MKT51" s="158"/>
      <c r="MKU51" s="158"/>
      <c r="MKV51" s="158"/>
      <c r="MKW51" s="158"/>
      <c r="MKX51" s="158"/>
      <c r="MKY51" s="158"/>
      <c r="MKZ51" s="158"/>
      <c r="MLA51" s="158"/>
      <c r="MLB51" s="158"/>
      <c r="MLC51" s="158"/>
      <c r="MLD51" s="158"/>
      <c r="MLE51" s="158"/>
      <c r="MLF51" s="158"/>
      <c r="MLG51" s="158"/>
      <c r="MLH51" s="158"/>
      <c r="MLI51" s="158"/>
      <c r="MLJ51" s="158"/>
      <c r="MLK51" s="158"/>
      <c r="MLL51" s="158"/>
      <c r="MLM51" s="158"/>
      <c r="MLN51" s="158"/>
      <c r="MLO51" s="158"/>
      <c r="MLP51" s="158"/>
      <c r="MLQ51" s="158"/>
      <c r="MLR51" s="158"/>
      <c r="MLS51" s="158"/>
      <c r="MLT51" s="158"/>
      <c r="MLU51" s="158"/>
      <c r="MLV51" s="158"/>
      <c r="MLW51" s="158"/>
      <c r="MLX51" s="158"/>
      <c r="MLY51" s="158"/>
      <c r="MLZ51" s="158"/>
      <c r="MMA51" s="158"/>
      <c r="MMB51" s="158"/>
      <c r="MMC51" s="158"/>
      <c r="MMD51" s="158"/>
      <c r="MME51" s="158"/>
      <c r="MMF51" s="158"/>
      <c r="MMG51" s="158"/>
      <c r="MMH51" s="158"/>
      <c r="MMI51" s="158"/>
      <c r="MMJ51" s="158"/>
      <c r="MMK51" s="158"/>
      <c r="MML51" s="158"/>
      <c r="MMM51" s="158"/>
      <c r="MMN51" s="158"/>
      <c r="MMO51" s="158"/>
      <c r="MMP51" s="158"/>
      <c r="MMQ51" s="158"/>
      <c r="MMR51" s="158"/>
      <c r="MMS51" s="158"/>
      <c r="MMT51" s="158"/>
      <c r="MMU51" s="158"/>
      <c r="MMV51" s="158"/>
      <c r="MMW51" s="158"/>
      <c r="MMX51" s="158"/>
      <c r="MMY51" s="158"/>
      <c r="MMZ51" s="158"/>
      <c r="MNA51" s="158"/>
      <c r="MNB51" s="158"/>
      <c r="MNC51" s="158"/>
      <c r="MND51" s="158"/>
      <c r="MNE51" s="158"/>
      <c r="MNF51" s="158"/>
      <c r="MNG51" s="158"/>
      <c r="MNH51" s="158"/>
      <c r="MNI51" s="158"/>
      <c r="MNJ51" s="158"/>
      <c r="MNK51" s="158"/>
      <c r="MNL51" s="158"/>
      <c r="MNM51" s="158"/>
      <c r="MNN51" s="158"/>
      <c r="MNO51" s="158"/>
      <c r="MNP51" s="158"/>
      <c r="MNQ51" s="158"/>
      <c r="MNR51" s="158"/>
      <c r="MNS51" s="158"/>
      <c r="MNT51" s="158"/>
      <c r="MNU51" s="158"/>
      <c r="MNV51" s="158"/>
      <c r="MNW51" s="158"/>
      <c r="MNX51" s="158"/>
      <c r="MNY51" s="158"/>
      <c r="MNZ51" s="158"/>
      <c r="MOA51" s="158"/>
      <c r="MOB51" s="158"/>
      <c r="MOC51" s="158"/>
      <c r="MOD51" s="158"/>
      <c r="MOE51" s="158"/>
      <c r="MOF51" s="158"/>
      <c r="MOG51" s="158"/>
      <c r="MOH51" s="158"/>
      <c r="MOI51" s="158"/>
      <c r="MOJ51" s="158"/>
      <c r="MOK51" s="158"/>
      <c r="MOL51" s="158"/>
      <c r="MOM51" s="158"/>
      <c r="MON51" s="158"/>
      <c r="MOO51" s="158"/>
      <c r="MOP51" s="158"/>
      <c r="MOQ51" s="158"/>
      <c r="MOR51" s="158"/>
      <c r="MOS51" s="158"/>
      <c r="MOT51" s="158"/>
      <c r="MOU51" s="158"/>
      <c r="MOV51" s="158"/>
      <c r="MOW51" s="158"/>
      <c r="MOX51" s="158"/>
      <c r="MOY51" s="158"/>
      <c r="MOZ51" s="158"/>
      <c r="MPA51" s="158"/>
      <c r="MPB51" s="158"/>
      <c r="MPC51" s="158"/>
      <c r="MPD51" s="158"/>
      <c r="MPE51" s="158"/>
      <c r="MPF51" s="158"/>
      <c r="MPG51" s="158"/>
      <c r="MPH51" s="158"/>
      <c r="MPI51" s="158"/>
      <c r="MPJ51" s="158"/>
      <c r="MPK51" s="158"/>
      <c r="MPL51" s="158"/>
      <c r="MPM51" s="158"/>
      <c r="MPN51" s="158"/>
      <c r="MPO51" s="158"/>
      <c r="MPP51" s="158"/>
      <c r="MPQ51" s="158"/>
      <c r="MPR51" s="158"/>
      <c r="MPS51" s="158"/>
      <c r="MPT51" s="158"/>
      <c r="MPU51" s="158"/>
      <c r="MPV51" s="158"/>
      <c r="MPW51" s="158"/>
      <c r="MPX51" s="158"/>
      <c r="MPY51" s="158"/>
      <c r="MPZ51" s="158"/>
      <c r="MQA51" s="158"/>
      <c r="MQB51" s="158"/>
      <c r="MQC51" s="158"/>
      <c r="MQD51" s="158"/>
      <c r="MQE51" s="158"/>
      <c r="MQF51" s="158"/>
      <c r="MQG51" s="158"/>
      <c r="MQH51" s="158"/>
      <c r="MQI51" s="158"/>
      <c r="MQJ51" s="158"/>
      <c r="MQK51" s="158"/>
      <c r="MQL51" s="158"/>
      <c r="MQM51" s="158"/>
      <c r="MQN51" s="158"/>
      <c r="MQO51" s="158"/>
      <c r="MQP51" s="158"/>
      <c r="MQQ51" s="158"/>
      <c r="MQR51" s="158"/>
      <c r="MQS51" s="158"/>
      <c r="MQT51" s="158"/>
      <c r="MQU51" s="158"/>
      <c r="MQV51" s="158"/>
      <c r="MQW51" s="158"/>
      <c r="MQX51" s="158"/>
      <c r="MQY51" s="158"/>
      <c r="MQZ51" s="158"/>
      <c r="MRA51" s="158"/>
      <c r="MRB51" s="158"/>
      <c r="MRC51" s="158"/>
      <c r="MRD51" s="158"/>
      <c r="MRE51" s="158"/>
      <c r="MRF51" s="158"/>
      <c r="MRG51" s="158"/>
      <c r="MRH51" s="158"/>
      <c r="MRI51" s="158"/>
      <c r="MRJ51" s="158"/>
      <c r="MRK51" s="158"/>
      <c r="MRL51" s="158"/>
      <c r="MRM51" s="158"/>
      <c r="MRN51" s="158"/>
      <c r="MRO51" s="158"/>
      <c r="MRP51" s="158"/>
      <c r="MRQ51" s="158"/>
      <c r="MRR51" s="158"/>
      <c r="MRS51" s="158"/>
      <c r="MRT51" s="158"/>
      <c r="MRU51" s="158"/>
      <c r="MRV51" s="158"/>
      <c r="MRW51" s="158"/>
      <c r="MRX51" s="158"/>
      <c r="MRY51" s="158"/>
      <c r="MRZ51" s="158"/>
      <c r="MSA51" s="158"/>
      <c r="MSB51" s="158"/>
      <c r="MSC51" s="158"/>
      <c r="MSD51" s="158"/>
      <c r="MSE51" s="158"/>
      <c r="MSF51" s="158"/>
      <c r="MSG51" s="158"/>
      <c r="MSH51" s="158"/>
      <c r="MSI51" s="158"/>
      <c r="MSJ51" s="158"/>
      <c r="MSK51" s="158"/>
      <c r="MSL51" s="158"/>
      <c r="MSM51" s="158"/>
      <c r="MSN51" s="158"/>
      <c r="MSO51" s="158"/>
      <c r="MSP51" s="158"/>
      <c r="MSQ51" s="158"/>
      <c r="MSR51" s="158"/>
      <c r="MSS51" s="158"/>
      <c r="MST51" s="158"/>
      <c r="MSU51" s="158"/>
      <c r="MSV51" s="158"/>
      <c r="MSW51" s="158"/>
      <c r="MSX51" s="158"/>
      <c r="MSY51" s="158"/>
      <c r="MSZ51" s="158"/>
      <c r="MTA51" s="158"/>
      <c r="MTB51" s="158"/>
      <c r="MTC51" s="158"/>
      <c r="MTD51" s="158"/>
      <c r="MTE51" s="158"/>
      <c r="MTF51" s="158"/>
      <c r="MTG51" s="158"/>
      <c r="MTH51" s="158"/>
      <c r="MTI51" s="158"/>
      <c r="MTJ51" s="158"/>
      <c r="MTK51" s="158"/>
      <c r="MTL51" s="158"/>
      <c r="MTM51" s="158"/>
      <c r="MTN51" s="158"/>
      <c r="MTO51" s="158"/>
      <c r="MTP51" s="158"/>
      <c r="MTQ51" s="158"/>
      <c r="MTR51" s="158"/>
      <c r="MTS51" s="158"/>
      <c r="MTT51" s="158"/>
      <c r="MTU51" s="158"/>
      <c r="MTV51" s="158"/>
      <c r="MTW51" s="158"/>
      <c r="MTX51" s="158"/>
      <c r="MTY51" s="158"/>
      <c r="MTZ51" s="158"/>
      <c r="MUA51" s="158"/>
      <c r="MUB51" s="158"/>
      <c r="MUC51" s="158"/>
      <c r="MUD51" s="158"/>
      <c r="MUE51" s="158"/>
      <c r="MUF51" s="158"/>
      <c r="MUG51" s="158"/>
      <c r="MUH51" s="158"/>
      <c r="MUI51" s="158"/>
      <c r="MUJ51" s="158"/>
      <c r="MUK51" s="158"/>
      <c r="MUL51" s="158"/>
      <c r="MUM51" s="158"/>
      <c r="MUN51" s="158"/>
      <c r="MUO51" s="158"/>
      <c r="MUP51" s="158"/>
      <c r="MUQ51" s="158"/>
      <c r="MUR51" s="158"/>
      <c r="MUS51" s="158"/>
      <c r="MUT51" s="158"/>
      <c r="MUU51" s="158"/>
      <c r="MUV51" s="158"/>
      <c r="MUW51" s="158"/>
      <c r="MUX51" s="158"/>
      <c r="MUY51" s="158"/>
      <c r="MUZ51" s="158"/>
      <c r="MVA51" s="158"/>
      <c r="MVB51" s="158"/>
      <c r="MVC51" s="158"/>
      <c r="MVD51" s="158"/>
      <c r="MVE51" s="158"/>
      <c r="MVF51" s="158"/>
      <c r="MVG51" s="158"/>
      <c r="MVH51" s="158"/>
      <c r="MVI51" s="158"/>
      <c r="MVJ51" s="158"/>
      <c r="MVK51" s="158"/>
      <c r="MVL51" s="158"/>
      <c r="MVM51" s="158"/>
      <c r="MVN51" s="158"/>
      <c r="MVO51" s="158"/>
      <c r="MVP51" s="158"/>
      <c r="MVQ51" s="158"/>
      <c r="MVR51" s="158"/>
      <c r="MVS51" s="158"/>
      <c r="MVT51" s="158"/>
      <c r="MVU51" s="158"/>
      <c r="MVV51" s="158"/>
      <c r="MVW51" s="158"/>
      <c r="MVX51" s="158"/>
      <c r="MVY51" s="158"/>
      <c r="MVZ51" s="158"/>
      <c r="MWA51" s="158"/>
      <c r="MWB51" s="158"/>
      <c r="MWC51" s="158"/>
      <c r="MWD51" s="158"/>
      <c r="MWE51" s="158"/>
      <c r="MWF51" s="158"/>
      <c r="MWG51" s="158"/>
      <c r="MWH51" s="158"/>
      <c r="MWI51" s="158"/>
      <c r="MWJ51" s="158"/>
      <c r="MWK51" s="158"/>
      <c r="MWL51" s="158"/>
      <c r="MWM51" s="158"/>
      <c r="MWN51" s="158"/>
      <c r="MWO51" s="158"/>
      <c r="MWP51" s="158"/>
      <c r="MWQ51" s="158"/>
      <c r="MWR51" s="158"/>
      <c r="MWS51" s="158"/>
      <c r="MWT51" s="158"/>
      <c r="MWU51" s="158"/>
      <c r="MWV51" s="158"/>
      <c r="MWW51" s="158"/>
      <c r="MWX51" s="158"/>
      <c r="MWY51" s="158"/>
      <c r="MWZ51" s="158"/>
      <c r="MXA51" s="158"/>
      <c r="MXB51" s="158"/>
      <c r="MXC51" s="158"/>
      <c r="MXD51" s="158"/>
      <c r="MXE51" s="158"/>
      <c r="MXF51" s="158"/>
      <c r="MXG51" s="158"/>
      <c r="MXH51" s="158"/>
      <c r="MXI51" s="158"/>
      <c r="MXJ51" s="158"/>
      <c r="MXK51" s="158"/>
      <c r="MXL51" s="158"/>
      <c r="MXM51" s="158"/>
      <c r="MXN51" s="158"/>
      <c r="MXO51" s="158"/>
      <c r="MXP51" s="158"/>
      <c r="MXQ51" s="158"/>
      <c r="MXR51" s="158"/>
      <c r="MXS51" s="158"/>
      <c r="MXT51" s="158"/>
      <c r="MXU51" s="158"/>
      <c r="MXV51" s="158"/>
      <c r="MXW51" s="158"/>
      <c r="MXX51" s="158"/>
      <c r="MXY51" s="158"/>
      <c r="MXZ51" s="158"/>
      <c r="MYA51" s="158"/>
      <c r="MYB51" s="158"/>
      <c r="MYC51" s="158"/>
      <c r="MYD51" s="158"/>
      <c r="MYE51" s="158"/>
      <c r="MYF51" s="158"/>
      <c r="MYG51" s="158"/>
      <c r="MYH51" s="158"/>
      <c r="MYI51" s="158"/>
      <c r="MYJ51" s="158"/>
      <c r="MYK51" s="158"/>
      <c r="MYL51" s="158"/>
      <c r="MYM51" s="158"/>
      <c r="MYN51" s="158"/>
      <c r="MYO51" s="158"/>
      <c r="MYP51" s="158"/>
      <c r="MYQ51" s="158"/>
      <c r="MYR51" s="158"/>
      <c r="MYS51" s="158"/>
      <c r="MYT51" s="158"/>
      <c r="MYU51" s="158"/>
      <c r="MYV51" s="158"/>
      <c r="MYW51" s="158"/>
      <c r="MYX51" s="158"/>
      <c r="MYY51" s="158"/>
      <c r="MYZ51" s="158"/>
      <c r="MZA51" s="158"/>
      <c r="MZB51" s="158"/>
      <c r="MZC51" s="158"/>
      <c r="MZD51" s="158"/>
      <c r="MZE51" s="158"/>
      <c r="MZF51" s="158"/>
      <c r="MZG51" s="158"/>
      <c r="MZH51" s="158"/>
      <c r="MZI51" s="158"/>
      <c r="MZJ51" s="158"/>
      <c r="MZK51" s="158"/>
      <c r="MZL51" s="158"/>
      <c r="MZM51" s="158"/>
      <c r="MZN51" s="158"/>
      <c r="MZO51" s="158"/>
      <c r="MZP51" s="158"/>
      <c r="MZQ51" s="158"/>
      <c r="MZR51" s="158"/>
      <c r="MZS51" s="158"/>
      <c r="MZT51" s="158"/>
      <c r="MZU51" s="158"/>
      <c r="MZV51" s="158"/>
      <c r="MZW51" s="158"/>
      <c r="MZX51" s="158"/>
      <c r="MZY51" s="158"/>
      <c r="MZZ51" s="158"/>
      <c r="NAA51" s="158"/>
      <c r="NAB51" s="158"/>
      <c r="NAC51" s="158"/>
      <c r="NAD51" s="158"/>
      <c r="NAE51" s="158"/>
      <c r="NAF51" s="158"/>
      <c r="NAG51" s="158"/>
      <c r="NAH51" s="158"/>
      <c r="NAI51" s="158"/>
      <c r="NAJ51" s="158"/>
      <c r="NAK51" s="158"/>
      <c r="NAL51" s="158"/>
      <c r="NAM51" s="158"/>
      <c r="NAN51" s="158"/>
      <c r="NAO51" s="158"/>
      <c r="NAP51" s="158"/>
      <c r="NAQ51" s="158"/>
      <c r="NAR51" s="158"/>
      <c r="NAS51" s="158"/>
      <c r="NAT51" s="158"/>
      <c r="NAU51" s="158"/>
      <c r="NAV51" s="158"/>
      <c r="NAW51" s="158"/>
      <c r="NAX51" s="158"/>
      <c r="NAY51" s="158"/>
      <c r="NAZ51" s="158"/>
      <c r="NBA51" s="158"/>
      <c r="NBB51" s="158"/>
      <c r="NBC51" s="158"/>
      <c r="NBD51" s="158"/>
      <c r="NBE51" s="158"/>
      <c r="NBF51" s="158"/>
      <c r="NBG51" s="158"/>
      <c r="NBH51" s="158"/>
      <c r="NBI51" s="158"/>
      <c r="NBJ51" s="158"/>
      <c r="NBK51" s="158"/>
      <c r="NBL51" s="158"/>
      <c r="NBM51" s="158"/>
      <c r="NBN51" s="158"/>
      <c r="NBO51" s="158"/>
      <c r="NBP51" s="158"/>
      <c r="NBQ51" s="158"/>
      <c r="NBR51" s="158"/>
      <c r="NBS51" s="158"/>
      <c r="NBT51" s="158"/>
      <c r="NBU51" s="158"/>
      <c r="NBV51" s="158"/>
      <c r="NBW51" s="158"/>
      <c r="NBX51" s="158"/>
      <c r="NBY51" s="158"/>
      <c r="NBZ51" s="158"/>
      <c r="NCA51" s="158"/>
      <c r="NCB51" s="158"/>
      <c r="NCC51" s="158"/>
      <c r="NCD51" s="158"/>
      <c r="NCE51" s="158"/>
      <c r="NCF51" s="158"/>
      <c r="NCG51" s="158"/>
      <c r="NCH51" s="158"/>
      <c r="NCI51" s="158"/>
      <c r="NCJ51" s="158"/>
      <c r="NCK51" s="158"/>
      <c r="NCL51" s="158"/>
      <c r="NCM51" s="158"/>
      <c r="NCN51" s="158"/>
      <c r="NCO51" s="158"/>
      <c r="NCP51" s="158"/>
      <c r="NCQ51" s="158"/>
      <c r="NCR51" s="158"/>
      <c r="NCS51" s="158"/>
      <c r="NCT51" s="158"/>
      <c r="NCU51" s="158"/>
      <c r="NCV51" s="158"/>
      <c r="NCW51" s="158"/>
      <c r="NCX51" s="158"/>
      <c r="NCY51" s="158"/>
      <c r="NCZ51" s="158"/>
      <c r="NDA51" s="158"/>
      <c r="NDB51" s="158"/>
      <c r="NDC51" s="158"/>
      <c r="NDD51" s="158"/>
      <c r="NDE51" s="158"/>
      <c r="NDF51" s="158"/>
      <c r="NDG51" s="158"/>
      <c r="NDH51" s="158"/>
      <c r="NDI51" s="158"/>
      <c r="NDJ51" s="158"/>
      <c r="NDK51" s="158"/>
      <c r="NDL51" s="158"/>
      <c r="NDM51" s="158"/>
      <c r="NDN51" s="158"/>
      <c r="NDO51" s="158"/>
      <c r="NDP51" s="158"/>
      <c r="NDQ51" s="158"/>
      <c r="NDR51" s="158"/>
      <c r="NDS51" s="158"/>
      <c r="NDT51" s="158"/>
      <c r="NDU51" s="158"/>
      <c r="NDV51" s="158"/>
      <c r="NDW51" s="158"/>
      <c r="NDX51" s="158"/>
      <c r="NDY51" s="158"/>
      <c r="NDZ51" s="158"/>
      <c r="NEA51" s="158"/>
      <c r="NEB51" s="158"/>
      <c r="NEC51" s="158"/>
      <c r="NED51" s="158"/>
      <c r="NEE51" s="158"/>
      <c r="NEF51" s="158"/>
      <c r="NEG51" s="158"/>
      <c r="NEH51" s="158"/>
      <c r="NEI51" s="158"/>
      <c r="NEJ51" s="158"/>
      <c r="NEK51" s="158"/>
      <c r="NEL51" s="158"/>
      <c r="NEM51" s="158"/>
      <c r="NEN51" s="158"/>
      <c r="NEO51" s="158"/>
      <c r="NEP51" s="158"/>
      <c r="NEQ51" s="158"/>
      <c r="NER51" s="158"/>
      <c r="NES51" s="158"/>
      <c r="NET51" s="158"/>
      <c r="NEU51" s="158"/>
      <c r="NEV51" s="158"/>
      <c r="NEW51" s="158"/>
      <c r="NEX51" s="158"/>
      <c r="NEY51" s="158"/>
      <c r="NEZ51" s="158"/>
      <c r="NFA51" s="158"/>
      <c r="NFB51" s="158"/>
      <c r="NFC51" s="158"/>
      <c r="NFD51" s="158"/>
      <c r="NFE51" s="158"/>
      <c r="NFF51" s="158"/>
      <c r="NFG51" s="158"/>
      <c r="NFH51" s="158"/>
      <c r="NFI51" s="158"/>
      <c r="NFJ51" s="158"/>
      <c r="NFK51" s="158"/>
      <c r="NFL51" s="158"/>
      <c r="NFM51" s="158"/>
      <c r="NFN51" s="158"/>
      <c r="NFO51" s="158"/>
      <c r="NFP51" s="158"/>
      <c r="NFQ51" s="158"/>
      <c r="NFR51" s="158"/>
      <c r="NFS51" s="158"/>
      <c r="NFT51" s="158"/>
      <c r="NFU51" s="158"/>
      <c r="NFV51" s="158"/>
      <c r="NFW51" s="158"/>
      <c r="NFX51" s="158"/>
      <c r="NFY51" s="158"/>
      <c r="NFZ51" s="158"/>
      <c r="NGA51" s="158"/>
      <c r="NGB51" s="158"/>
      <c r="NGC51" s="158"/>
      <c r="NGD51" s="158"/>
      <c r="NGE51" s="158"/>
      <c r="NGF51" s="158"/>
      <c r="NGG51" s="158"/>
      <c r="NGH51" s="158"/>
      <c r="NGI51" s="158"/>
      <c r="NGJ51" s="158"/>
      <c r="NGK51" s="158"/>
      <c r="NGL51" s="158"/>
      <c r="NGM51" s="158"/>
      <c r="NGN51" s="158"/>
      <c r="NGO51" s="158"/>
      <c r="NGP51" s="158"/>
      <c r="NGQ51" s="158"/>
      <c r="NGR51" s="158"/>
      <c r="NGS51" s="158"/>
      <c r="NGT51" s="158"/>
      <c r="NGU51" s="158"/>
      <c r="NGV51" s="158"/>
      <c r="NGW51" s="158"/>
      <c r="NGX51" s="158"/>
      <c r="NGY51" s="158"/>
      <c r="NGZ51" s="158"/>
      <c r="NHA51" s="158"/>
      <c r="NHB51" s="158"/>
      <c r="NHC51" s="158"/>
      <c r="NHD51" s="158"/>
      <c r="NHE51" s="158"/>
      <c r="NHF51" s="158"/>
      <c r="NHG51" s="158"/>
      <c r="NHH51" s="158"/>
      <c r="NHI51" s="158"/>
      <c r="NHJ51" s="158"/>
      <c r="NHK51" s="158"/>
      <c r="NHL51" s="158"/>
      <c r="NHM51" s="158"/>
      <c r="NHN51" s="158"/>
      <c r="NHO51" s="158"/>
      <c r="NHP51" s="158"/>
      <c r="NHQ51" s="158"/>
      <c r="NHR51" s="158"/>
      <c r="NHS51" s="158"/>
      <c r="NHT51" s="158"/>
      <c r="NHU51" s="158"/>
      <c r="NHV51" s="158"/>
      <c r="NHW51" s="158"/>
      <c r="NHX51" s="158"/>
      <c r="NHY51" s="158"/>
      <c r="NHZ51" s="158"/>
      <c r="NIA51" s="158"/>
      <c r="NIB51" s="158"/>
      <c r="NIC51" s="158"/>
      <c r="NID51" s="158"/>
      <c r="NIE51" s="158"/>
      <c r="NIF51" s="158"/>
      <c r="NIG51" s="158"/>
      <c r="NIH51" s="158"/>
      <c r="NII51" s="158"/>
      <c r="NIJ51" s="158"/>
      <c r="NIK51" s="158"/>
      <c r="NIL51" s="158"/>
      <c r="NIM51" s="158"/>
      <c r="NIN51" s="158"/>
      <c r="NIO51" s="158"/>
      <c r="NIP51" s="158"/>
      <c r="NIQ51" s="158"/>
      <c r="NIR51" s="158"/>
      <c r="NIS51" s="158"/>
      <c r="NIT51" s="158"/>
      <c r="NIU51" s="158"/>
      <c r="NIV51" s="158"/>
      <c r="NIW51" s="158"/>
      <c r="NIX51" s="158"/>
      <c r="NIY51" s="158"/>
      <c r="NIZ51" s="158"/>
      <c r="NJA51" s="158"/>
      <c r="NJB51" s="158"/>
      <c r="NJC51" s="158"/>
      <c r="NJD51" s="158"/>
      <c r="NJE51" s="158"/>
      <c r="NJF51" s="158"/>
      <c r="NJG51" s="158"/>
      <c r="NJH51" s="158"/>
      <c r="NJI51" s="158"/>
      <c r="NJJ51" s="158"/>
      <c r="NJK51" s="158"/>
      <c r="NJL51" s="158"/>
      <c r="NJM51" s="158"/>
      <c r="NJN51" s="158"/>
      <c r="NJO51" s="158"/>
      <c r="NJP51" s="158"/>
      <c r="NJQ51" s="158"/>
      <c r="NJR51" s="158"/>
      <c r="NJS51" s="158"/>
      <c r="NJT51" s="158"/>
      <c r="NJU51" s="158"/>
      <c r="NJV51" s="158"/>
      <c r="NJW51" s="158"/>
      <c r="NJX51" s="158"/>
      <c r="NJY51" s="158"/>
      <c r="NJZ51" s="158"/>
      <c r="NKA51" s="158"/>
      <c r="NKB51" s="158"/>
      <c r="NKC51" s="158"/>
      <c r="NKD51" s="158"/>
      <c r="NKE51" s="158"/>
      <c r="NKF51" s="158"/>
      <c r="NKG51" s="158"/>
      <c r="NKH51" s="158"/>
      <c r="NKI51" s="158"/>
      <c r="NKJ51" s="158"/>
      <c r="NKK51" s="158"/>
      <c r="NKL51" s="158"/>
      <c r="NKM51" s="158"/>
      <c r="NKN51" s="158"/>
      <c r="NKO51" s="158"/>
      <c r="NKP51" s="158"/>
      <c r="NKQ51" s="158"/>
      <c r="NKR51" s="158"/>
      <c r="NKS51" s="158"/>
      <c r="NKT51" s="158"/>
      <c r="NKU51" s="158"/>
      <c r="NKV51" s="158"/>
      <c r="NKW51" s="158"/>
      <c r="NKX51" s="158"/>
      <c r="NKY51" s="158"/>
      <c r="NKZ51" s="158"/>
      <c r="NLA51" s="158"/>
      <c r="NLB51" s="158"/>
      <c r="NLC51" s="158"/>
      <c r="NLD51" s="158"/>
      <c r="NLE51" s="158"/>
      <c r="NLF51" s="158"/>
      <c r="NLG51" s="158"/>
      <c r="NLH51" s="158"/>
      <c r="NLI51" s="158"/>
      <c r="NLJ51" s="158"/>
      <c r="NLK51" s="158"/>
      <c r="NLL51" s="158"/>
      <c r="NLM51" s="158"/>
      <c r="NLN51" s="158"/>
      <c r="NLO51" s="158"/>
      <c r="NLP51" s="158"/>
      <c r="NLQ51" s="158"/>
      <c r="NLR51" s="158"/>
      <c r="NLS51" s="158"/>
      <c r="NLT51" s="158"/>
      <c r="NLU51" s="158"/>
      <c r="NLV51" s="158"/>
      <c r="NLW51" s="158"/>
      <c r="NLX51" s="158"/>
      <c r="NLY51" s="158"/>
      <c r="NLZ51" s="158"/>
      <c r="NMA51" s="158"/>
      <c r="NMB51" s="158"/>
      <c r="NMC51" s="158"/>
      <c r="NMD51" s="158"/>
      <c r="NME51" s="158"/>
      <c r="NMF51" s="158"/>
      <c r="NMG51" s="158"/>
      <c r="NMH51" s="158"/>
      <c r="NMI51" s="158"/>
      <c r="NMJ51" s="158"/>
      <c r="NMK51" s="158"/>
      <c r="NML51" s="158"/>
      <c r="NMM51" s="158"/>
      <c r="NMN51" s="158"/>
      <c r="NMO51" s="158"/>
      <c r="NMP51" s="158"/>
      <c r="NMQ51" s="158"/>
      <c r="NMR51" s="158"/>
      <c r="NMS51" s="158"/>
      <c r="NMT51" s="158"/>
      <c r="NMU51" s="158"/>
      <c r="NMV51" s="158"/>
      <c r="NMW51" s="158"/>
      <c r="NMX51" s="158"/>
      <c r="NMY51" s="158"/>
      <c r="NMZ51" s="158"/>
      <c r="NNA51" s="158"/>
      <c r="NNB51" s="158"/>
      <c r="NNC51" s="158"/>
      <c r="NND51" s="158"/>
      <c r="NNE51" s="158"/>
      <c r="NNF51" s="158"/>
      <c r="NNG51" s="158"/>
      <c r="NNH51" s="158"/>
      <c r="NNI51" s="158"/>
      <c r="NNJ51" s="158"/>
      <c r="NNK51" s="158"/>
      <c r="NNL51" s="158"/>
      <c r="NNM51" s="158"/>
      <c r="NNN51" s="158"/>
      <c r="NNO51" s="158"/>
      <c r="NNP51" s="158"/>
      <c r="NNQ51" s="158"/>
      <c r="NNR51" s="158"/>
      <c r="NNS51" s="158"/>
      <c r="NNT51" s="158"/>
      <c r="NNU51" s="158"/>
      <c r="NNV51" s="158"/>
      <c r="NNW51" s="158"/>
      <c r="NNX51" s="158"/>
      <c r="NNY51" s="158"/>
      <c r="NNZ51" s="158"/>
      <c r="NOA51" s="158"/>
      <c r="NOB51" s="158"/>
      <c r="NOC51" s="158"/>
      <c r="NOD51" s="158"/>
      <c r="NOE51" s="158"/>
      <c r="NOF51" s="158"/>
      <c r="NOG51" s="158"/>
      <c r="NOH51" s="158"/>
      <c r="NOI51" s="158"/>
      <c r="NOJ51" s="158"/>
      <c r="NOK51" s="158"/>
      <c r="NOL51" s="158"/>
      <c r="NOM51" s="158"/>
      <c r="NON51" s="158"/>
      <c r="NOO51" s="158"/>
      <c r="NOP51" s="158"/>
      <c r="NOQ51" s="158"/>
      <c r="NOR51" s="158"/>
      <c r="NOS51" s="158"/>
      <c r="NOT51" s="158"/>
      <c r="NOU51" s="158"/>
      <c r="NOV51" s="158"/>
      <c r="NOW51" s="158"/>
      <c r="NOX51" s="158"/>
      <c r="NOY51" s="158"/>
      <c r="NOZ51" s="158"/>
      <c r="NPA51" s="158"/>
      <c r="NPB51" s="158"/>
      <c r="NPC51" s="158"/>
      <c r="NPD51" s="158"/>
      <c r="NPE51" s="158"/>
      <c r="NPF51" s="158"/>
      <c r="NPG51" s="158"/>
      <c r="NPH51" s="158"/>
      <c r="NPI51" s="158"/>
      <c r="NPJ51" s="158"/>
      <c r="NPK51" s="158"/>
      <c r="NPL51" s="158"/>
      <c r="NPM51" s="158"/>
      <c r="NPN51" s="158"/>
      <c r="NPO51" s="158"/>
      <c r="NPP51" s="158"/>
      <c r="NPQ51" s="158"/>
      <c r="NPR51" s="158"/>
      <c r="NPS51" s="158"/>
      <c r="NPT51" s="158"/>
      <c r="NPU51" s="158"/>
      <c r="NPV51" s="158"/>
      <c r="NPW51" s="158"/>
      <c r="NPX51" s="158"/>
      <c r="NPY51" s="158"/>
      <c r="NPZ51" s="158"/>
      <c r="NQA51" s="158"/>
      <c r="NQB51" s="158"/>
      <c r="NQC51" s="158"/>
      <c r="NQD51" s="158"/>
      <c r="NQE51" s="158"/>
      <c r="NQF51" s="158"/>
      <c r="NQG51" s="158"/>
      <c r="NQH51" s="158"/>
      <c r="NQI51" s="158"/>
      <c r="NQJ51" s="158"/>
      <c r="NQK51" s="158"/>
      <c r="NQL51" s="158"/>
      <c r="NQM51" s="158"/>
      <c r="NQN51" s="158"/>
      <c r="NQO51" s="158"/>
      <c r="NQP51" s="158"/>
      <c r="NQQ51" s="158"/>
      <c r="NQR51" s="158"/>
      <c r="NQS51" s="158"/>
      <c r="NQT51" s="158"/>
      <c r="NQU51" s="158"/>
      <c r="NQV51" s="158"/>
      <c r="NQW51" s="158"/>
      <c r="NQX51" s="158"/>
      <c r="NQY51" s="158"/>
      <c r="NQZ51" s="158"/>
      <c r="NRA51" s="158"/>
      <c r="NRB51" s="158"/>
      <c r="NRC51" s="158"/>
      <c r="NRD51" s="158"/>
      <c r="NRE51" s="158"/>
      <c r="NRF51" s="158"/>
      <c r="NRG51" s="158"/>
      <c r="NRH51" s="158"/>
      <c r="NRI51" s="158"/>
      <c r="NRJ51" s="158"/>
      <c r="NRK51" s="158"/>
      <c r="NRL51" s="158"/>
      <c r="NRM51" s="158"/>
      <c r="NRN51" s="158"/>
      <c r="NRO51" s="158"/>
      <c r="NRP51" s="158"/>
      <c r="NRQ51" s="158"/>
      <c r="NRR51" s="158"/>
      <c r="NRS51" s="158"/>
      <c r="NRT51" s="158"/>
      <c r="NRU51" s="158"/>
      <c r="NRV51" s="158"/>
      <c r="NRW51" s="158"/>
      <c r="NRX51" s="158"/>
      <c r="NRY51" s="158"/>
      <c r="NRZ51" s="158"/>
      <c r="NSA51" s="158"/>
      <c r="NSB51" s="158"/>
      <c r="NSC51" s="158"/>
      <c r="NSD51" s="158"/>
      <c r="NSE51" s="158"/>
      <c r="NSF51" s="158"/>
      <c r="NSG51" s="158"/>
      <c r="NSH51" s="158"/>
      <c r="NSI51" s="158"/>
      <c r="NSJ51" s="158"/>
      <c r="NSK51" s="158"/>
      <c r="NSL51" s="158"/>
      <c r="NSM51" s="158"/>
      <c r="NSN51" s="158"/>
      <c r="NSO51" s="158"/>
      <c r="NSP51" s="158"/>
      <c r="NSQ51" s="158"/>
      <c r="NSR51" s="158"/>
      <c r="NSS51" s="158"/>
      <c r="NST51" s="158"/>
      <c r="NSU51" s="158"/>
      <c r="NSV51" s="158"/>
      <c r="NSW51" s="158"/>
      <c r="NSX51" s="158"/>
      <c r="NSY51" s="158"/>
      <c r="NSZ51" s="158"/>
      <c r="NTA51" s="158"/>
      <c r="NTB51" s="158"/>
      <c r="NTC51" s="158"/>
      <c r="NTD51" s="158"/>
      <c r="NTE51" s="158"/>
      <c r="NTF51" s="158"/>
      <c r="NTG51" s="158"/>
      <c r="NTH51" s="158"/>
      <c r="NTI51" s="158"/>
      <c r="NTJ51" s="158"/>
      <c r="NTK51" s="158"/>
      <c r="NTL51" s="158"/>
      <c r="NTM51" s="158"/>
      <c r="NTN51" s="158"/>
      <c r="NTO51" s="158"/>
      <c r="NTP51" s="158"/>
      <c r="NTQ51" s="158"/>
      <c r="NTR51" s="158"/>
      <c r="NTS51" s="158"/>
      <c r="NTT51" s="158"/>
      <c r="NTU51" s="158"/>
      <c r="NTV51" s="158"/>
      <c r="NTW51" s="158"/>
      <c r="NTX51" s="158"/>
      <c r="NTY51" s="158"/>
      <c r="NTZ51" s="158"/>
      <c r="NUA51" s="158"/>
      <c r="NUB51" s="158"/>
      <c r="NUC51" s="158"/>
      <c r="NUD51" s="158"/>
      <c r="NUE51" s="158"/>
      <c r="NUF51" s="158"/>
      <c r="NUG51" s="158"/>
      <c r="NUH51" s="158"/>
      <c r="NUI51" s="158"/>
      <c r="NUJ51" s="158"/>
      <c r="NUK51" s="158"/>
      <c r="NUL51" s="158"/>
      <c r="NUM51" s="158"/>
      <c r="NUN51" s="158"/>
      <c r="NUO51" s="158"/>
      <c r="NUP51" s="158"/>
      <c r="NUQ51" s="158"/>
      <c r="NUR51" s="158"/>
      <c r="NUS51" s="158"/>
      <c r="NUT51" s="158"/>
      <c r="NUU51" s="158"/>
      <c r="NUV51" s="158"/>
      <c r="NUW51" s="158"/>
      <c r="NUX51" s="158"/>
      <c r="NUY51" s="158"/>
      <c r="NUZ51" s="158"/>
      <c r="NVA51" s="158"/>
      <c r="NVB51" s="158"/>
      <c r="NVC51" s="158"/>
      <c r="NVD51" s="158"/>
      <c r="NVE51" s="158"/>
      <c r="NVF51" s="158"/>
      <c r="NVG51" s="158"/>
      <c r="NVH51" s="158"/>
      <c r="NVI51" s="158"/>
      <c r="NVJ51" s="158"/>
      <c r="NVK51" s="158"/>
      <c r="NVL51" s="158"/>
      <c r="NVM51" s="158"/>
      <c r="NVN51" s="158"/>
      <c r="NVO51" s="158"/>
      <c r="NVP51" s="158"/>
      <c r="NVQ51" s="158"/>
      <c r="NVR51" s="158"/>
      <c r="NVS51" s="158"/>
      <c r="NVT51" s="158"/>
      <c r="NVU51" s="158"/>
      <c r="NVV51" s="158"/>
      <c r="NVW51" s="158"/>
      <c r="NVX51" s="158"/>
      <c r="NVY51" s="158"/>
      <c r="NVZ51" s="158"/>
      <c r="NWA51" s="158"/>
      <c r="NWB51" s="158"/>
      <c r="NWC51" s="158"/>
      <c r="NWD51" s="158"/>
      <c r="NWE51" s="158"/>
      <c r="NWF51" s="158"/>
      <c r="NWG51" s="158"/>
      <c r="NWH51" s="158"/>
      <c r="NWI51" s="158"/>
      <c r="NWJ51" s="158"/>
      <c r="NWK51" s="158"/>
      <c r="NWL51" s="158"/>
      <c r="NWM51" s="158"/>
      <c r="NWN51" s="158"/>
      <c r="NWO51" s="158"/>
      <c r="NWP51" s="158"/>
      <c r="NWQ51" s="158"/>
      <c r="NWR51" s="158"/>
      <c r="NWS51" s="158"/>
      <c r="NWT51" s="158"/>
      <c r="NWU51" s="158"/>
      <c r="NWV51" s="158"/>
      <c r="NWW51" s="158"/>
      <c r="NWX51" s="158"/>
      <c r="NWY51" s="158"/>
      <c r="NWZ51" s="158"/>
      <c r="NXA51" s="158"/>
      <c r="NXB51" s="158"/>
      <c r="NXC51" s="158"/>
      <c r="NXD51" s="158"/>
      <c r="NXE51" s="158"/>
      <c r="NXF51" s="158"/>
      <c r="NXG51" s="158"/>
      <c r="NXH51" s="158"/>
      <c r="NXI51" s="158"/>
      <c r="NXJ51" s="158"/>
      <c r="NXK51" s="158"/>
      <c r="NXL51" s="158"/>
      <c r="NXM51" s="158"/>
      <c r="NXN51" s="158"/>
      <c r="NXO51" s="158"/>
      <c r="NXP51" s="158"/>
      <c r="NXQ51" s="158"/>
      <c r="NXR51" s="158"/>
      <c r="NXS51" s="158"/>
      <c r="NXT51" s="158"/>
      <c r="NXU51" s="158"/>
      <c r="NXV51" s="158"/>
      <c r="NXW51" s="158"/>
      <c r="NXX51" s="158"/>
      <c r="NXY51" s="158"/>
      <c r="NXZ51" s="158"/>
      <c r="NYA51" s="158"/>
      <c r="NYB51" s="158"/>
      <c r="NYC51" s="158"/>
      <c r="NYD51" s="158"/>
      <c r="NYE51" s="158"/>
      <c r="NYF51" s="158"/>
      <c r="NYG51" s="158"/>
      <c r="NYH51" s="158"/>
      <c r="NYI51" s="158"/>
      <c r="NYJ51" s="158"/>
      <c r="NYK51" s="158"/>
      <c r="NYL51" s="158"/>
      <c r="NYM51" s="158"/>
      <c r="NYN51" s="158"/>
      <c r="NYO51" s="158"/>
      <c r="NYP51" s="158"/>
      <c r="NYQ51" s="158"/>
      <c r="NYR51" s="158"/>
      <c r="NYS51" s="158"/>
      <c r="NYT51" s="158"/>
      <c r="NYU51" s="158"/>
      <c r="NYV51" s="158"/>
      <c r="NYW51" s="158"/>
      <c r="NYX51" s="158"/>
      <c r="NYY51" s="158"/>
      <c r="NYZ51" s="158"/>
      <c r="NZA51" s="158"/>
      <c r="NZB51" s="158"/>
      <c r="NZC51" s="158"/>
      <c r="NZD51" s="158"/>
      <c r="NZE51" s="158"/>
      <c r="NZF51" s="158"/>
      <c r="NZG51" s="158"/>
      <c r="NZH51" s="158"/>
      <c r="NZI51" s="158"/>
      <c r="NZJ51" s="158"/>
      <c r="NZK51" s="158"/>
      <c r="NZL51" s="158"/>
      <c r="NZM51" s="158"/>
      <c r="NZN51" s="158"/>
      <c r="NZO51" s="158"/>
      <c r="NZP51" s="158"/>
      <c r="NZQ51" s="158"/>
      <c r="NZR51" s="158"/>
      <c r="NZS51" s="158"/>
      <c r="NZT51" s="158"/>
      <c r="NZU51" s="158"/>
      <c r="NZV51" s="158"/>
      <c r="NZW51" s="158"/>
      <c r="NZX51" s="158"/>
      <c r="NZY51" s="158"/>
      <c r="NZZ51" s="158"/>
      <c r="OAA51" s="158"/>
      <c r="OAB51" s="158"/>
      <c r="OAC51" s="158"/>
      <c r="OAD51" s="158"/>
      <c r="OAE51" s="158"/>
      <c r="OAF51" s="158"/>
      <c r="OAG51" s="158"/>
      <c r="OAH51" s="158"/>
      <c r="OAI51" s="158"/>
      <c r="OAJ51" s="158"/>
      <c r="OAK51" s="158"/>
      <c r="OAL51" s="158"/>
      <c r="OAM51" s="158"/>
      <c r="OAN51" s="158"/>
      <c r="OAO51" s="158"/>
      <c r="OAP51" s="158"/>
      <c r="OAQ51" s="158"/>
      <c r="OAR51" s="158"/>
      <c r="OAS51" s="158"/>
      <c r="OAT51" s="158"/>
      <c r="OAU51" s="158"/>
      <c r="OAV51" s="158"/>
      <c r="OAW51" s="158"/>
      <c r="OAX51" s="158"/>
      <c r="OAY51" s="158"/>
      <c r="OAZ51" s="158"/>
      <c r="OBA51" s="158"/>
      <c r="OBB51" s="158"/>
      <c r="OBC51" s="158"/>
      <c r="OBD51" s="158"/>
      <c r="OBE51" s="158"/>
      <c r="OBF51" s="158"/>
      <c r="OBG51" s="158"/>
      <c r="OBH51" s="158"/>
      <c r="OBI51" s="158"/>
      <c r="OBJ51" s="158"/>
      <c r="OBK51" s="158"/>
      <c r="OBL51" s="158"/>
      <c r="OBM51" s="158"/>
      <c r="OBN51" s="158"/>
      <c r="OBO51" s="158"/>
      <c r="OBP51" s="158"/>
      <c r="OBQ51" s="158"/>
      <c r="OBR51" s="158"/>
      <c r="OBS51" s="158"/>
      <c r="OBT51" s="158"/>
      <c r="OBU51" s="158"/>
      <c r="OBV51" s="158"/>
      <c r="OBW51" s="158"/>
      <c r="OBX51" s="158"/>
      <c r="OBY51" s="158"/>
      <c r="OBZ51" s="158"/>
      <c r="OCA51" s="158"/>
      <c r="OCB51" s="158"/>
      <c r="OCC51" s="158"/>
      <c r="OCD51" s="158"/>
      <c r="OCE51" s="158"/>
      <c r="OCF51" s="158"/>
      <c r="OCG51" s="158"/>
      <c r="OCH51" s="158"/>
      <c r="OCI51" s="158"/>
      <c r="OCJ51" s="158"/>
      <c r="OCK51" s="158"/>
      <c r="OCL51" s="158"/>
      <c r="OCM51" s="158"/>
      <c r="OCN51" s="158"/>
      <c r="OCO51" s="158"/>
      <c r="OCP51" s="158"/>
      <c r="OCQ51" s="158"/>
      <c r="OCR51" s="158"/>
      <c r="OCS51" s="158"/>
      <c r="OCT51" s="158"/>
      <c r="OCU51" s="158"/>
      <c r="OCV51" s="158"/>
      <c r="OCW51" s="158"/>
      <c r="OCX51" s="158"/>
      <c r="OCY51" s="158"/>
      <c r="OCZ51" s="158"/>
      <c r="ODA51" s="158"/>
      <c r="ODB51" s="158"/>
      <c r="ODC51" s="158"/>
      <c r="ODD51" s="158"/>
      <c r="ODE51" s="158"/>
      <c r="ODF51" s="158"/>
      <c r="ODG51" s="158"/>
      <c r="ODH51" s="158"/>
      <c r="ODI51" s="158"/>
      <c r="ODJ51" s="158"/>
      <c r="ODK51" s="158"/>
      <c r="ODL51" s="158"/>
      <c r="ODM51" s="158"/>
      <c r="ODN51" s="158"/>
      <c r="ODO51" s="158"/>
      <c r="ODP51" s="158"/>
      <c r="ODQ51" s="158"/>
      <c r="ODR51" s="158"/>
      <c r="ODS51" s="158"/>
      <c r="ODT51" s="158"/>
      <c r="ODU51" s="158"/>
      <c r="ODV51" s="158"/>
      <c r="ODW51" s="158"/>
      <c r="ODX51" s="158"/>
      <c r="ODY51" s="158"/>
      <c r="ODZ51" s="158"/>
      <c r="OEA51" s="158"/>
      <c r="OEB51" s="158"/>
      <c r="OEC51" s="158"/>
      <c r="OED51" s="158"/>
      <c r="OEE51" s="158"/>
      <c r="OEF51" s="158"/>
      <c r="OEG51" s="158"/>
      <c r="OEH51" s="158"/>
      <c r="OEI51" s="158"/>
      <c r="OEJ51" s="158"/>
      <c r="OEK51" s="158"/>
      <c r="OEL51" s="158"/>
      <c r="OEM51" s="158"/>
      <c r="OEN51" s="158"/>
      <c r="OEO51" s="158"/>
      <c r="OEP51" s="158"/>
      <c r="OEQ51" s="158"/>
      <c r="OER51" s="158"/>
      <c r="OES51" s="158"/>
      <c r="OET51" s="158"/>
      <c r="OEU51" s="158"/>
      <c r="OEV51" s="158"/>
      <c r="OEW51" s="158"/>
      <c r="OEX51" s="158"/>
      <c r="OEY51" s="158"/>
      <c r="OEZ51" s="158"/>
      <c r="OFA51" s="158"/>
      <c r="OFB51" s="158"/>
      <c r="OFC51" s="158"/>
      <c r="OFD51" s="158"/>
      <c r="OFE51" s="158"/>
      <c r="OFF51" s="158"/>
      <c r="OFG51" s="158"/>
      <c r="OFH51" s="158"/>
      <c r="OFI51" s="158"/>
      <c r="OFJ51" s="158"/>
      <c r="OFK51" s="158"/>
      <c r="OFL51" s="158"/>
      <c r="OFM51" s="158"/>
      <c r="OFN51" s="158"/>
      <c r="OFO51" s="158"/>
      <c r="OFP51" s="158"/>
      <c r="OFQ51" s="158"/>
      <c r="OFR51" s="158"/>
      <c r="OFS51" s="158"/>
      <c r="OFT51" s="158"/>
      <c r="OFU51" s="158"/>
      <c r="OFV51" s="158"/>
      <c r="OFW51" s="158"/>
      <c r="OFX51" s="158"/>
      <c r="OFY51" s="158"/>
      <c r="OFZ51" s="158"/>
      <c r="OGA51" s="158"/>
      <c r="OGB51" s="158"/>
      <c r="OGC51" s="158"/>
      <c r="OGD51" s="158"/>
      <c r="OGE51" s="158"/>
      <c r="OGF51" s="158"/>
      <c r="OGG51" s="158"/>
      <c r="OGH51" s="158"/>
      <c r="OGI51" s="158"/>
      <c r="OGJ51" s="158"/>
      <c r="OGK51" s="158"/>
      <c r="OGL51" s="158"/>
      <c r="OGM51" s="158"/>
      <c r="OGN51" s="158"/>
      <c r="OGO51" s="158"/>
      <c r="OGP51" s="158"/>
      <c r="OGQ51" s="158"/>
      <c r="OGR51" s="158"/>
      <c r="OGS51" s="158"/>
      <c r="OGT51" s="158"/>
      <c r="OGU51" s="158"/>
      <c r="OGV51" s="158"/>
      <c r="OGW51" s="158"/>
      <c r="OGX51" s="158"/>
      <c r="OGY51" s="158"/>
      <c r="OGZ51" s="158"/>
      <c r="OHA51" s="158"/>
      <c r="OHB51" s="158"/>
      <c r="OHC51" s="158"/>
      <c r="OHD51" s="158"/>
      <c r="OHE51" s="158"/>
      <c r="OHF51" s="158"/>
      <c r="OHG51" s="158"/>
      <c r="OHH51" s="158"/>
      <c r="OHI51" s="158"/>
      <c r="OHJ51" s="158"/>
      <c r="OHK51" s="158"/>
      <c r="OHL51" s="158"/>
      <c r="OHM51" s="158"/>
      <c r="OHN51" s="158"/>
      <c r="OHO51" s="158"/>
      <c r="OHP51" s="158"/>
      <c r="OHQ51" s="158"/>
      <c r="OHR51" s="158"/>
      <c r="OHS51" s="158"/>
      <c r="OHT51" s="158"/>
      <c r="OHU51" s="158"/>
      <c r="OHV51" s="158"/>
      <c r="OHW51" s="158"/>
      <c r="OHX51" s="158"/>
      <c r="OHY51" s="158"/>
      <c r="OHZ51" s="158"/>
      <c r="OIA51" s="158"/>
      <c r="OIB51" s="158"/>
      <c r="OIC51" s="158"/>
      <c r="OID51" s="158"/>
      <c r="OIE51" s="158"/>
      <c r="OIF51" s="158"/>
      <c r="OIG51" s="158"/>
      <c r="OIH51" s="158"/>
      <c r="OII51" s="158"/>
      <c r="OIJ51" s="158"/>
      <c r="OIK51" s="158"/>
      <c r="OIL51" s="158"/>
      <c r="OIM51" s="158"/>
      <c r="OIN51" s="158"/>
      <c r="OIO51" s="158"/>
      <c r="OIP51" s="158"/>
      <c r="OIQ51" s="158"/>
      <c r="OIR51" s="158"/>
      <c r="OIS51" s="158"/>
      <c r="OIT51" s="158"/>
      <c r="OIU51" s="158"/>
      <c r="OIV51" s="158"/>
      <c r="OIW51" s="158"/>
      <c r="OIX51" s="158"/>
      <c r="OIY51" s="158"/>
      <c r="OIZ51" s="158"/>
      <c r="OJA51" s="158"/>
      <c r="OJB51" s="158"/>
      <c r="OJC51" s="158"/>
      <c r="OJD51" s="158"/>
      <c r="OJE51" s="158"/>
      <c r="OJF51" s="158"/>
      <c r="OJG51" s="158"/>
      <c r="OJH51" s="158"/>
      <c r="OJI51" s="158"/>
      <c r="OJJ51" s="158"/>
      <c r="OJK51" s="158"/>
      <c r="OJL51" s="158"/>
      <c r="OJM51" s="158"/>
      <c r="OJN51" s="158"/>
      <c r="OJO51" s="158"/>
      <c r="OJP51" s="158"/>
      <c r="OJQ51" s="158"/>
      <c r="OJR51" s="158"/>
      <c r="OJS51" s="158"/>
      <c r="OJT51" s="158"/>
      <c r="OJU51" s="158"/>
      <c r="OJV51" s="158"/>
      <c r="OJW51" s="158"/>
      <c r="OJX51" s="158"/>
      <c r="OJY51" s="158"/>
      <c r="OJZ51" s="158"/>
      <c r="OKA51" s="158"/>
      <c r="OKB51" s="158"/>
      <c r="OKC51" s="158"/>
      <c r="OKD51" s="158"/>
      <c r="OKE51" s="158"/>
      <c r="OKF51" s="158"/>
      <c r="OKG51" s="158"/>
      <c r="OKH51" s="158"/>
      <c r="OKI51" s="158"/>
      <c r="OKJ51" s="158"/>
      <c r="OKK51" s="158"/>
      <c r="OKL51" s="158"/>
      <c r="OKM51" s="158"/>
      <c r="OKN51" s="158"/>
      <c r="OKO51" s="158"/>
      <c r="OKP51" s="158"/>
      <c r="OKQ51" s="158"/>
      <c r="OKR51" s="158"/>
      <c r="OKS51" s="158"/>
      <c r="OKT51" s="158"/>
      <c r="OKU51" s="158"/>
      <c r="OKV51" s="158"/>
      <c r="OKW51" s="158"/>
      <c r="OKX51" s="158"/>
      <c r="OKY51" s="158"/>
      <c r="OKZ51" s="158"/>
      <c r="OLA51" s="158"/>
      <c r="OLB51" s="158"/>
      <c r="OLC51" s="158"/>
      <c r="OLD51" s="158"/>
      <c r="OLE51" s="158"/>
      <c r="OLF51" s="158"/>
      <c r="OLG51" s="158"/>
      <c r="OLH51" s="158"/>
      <c r="OLI51" s="158"/>
      <c r="OLJ51" s="158"/>
      <c r="OLK51" s="158"/>
      <c r="OLL51" s="158"/>
      <c r="OLM51" s="158"/>
      <c r="OLN51" s="158"/>
      <c r="OLO51" s="158"/>
      <c r="OLP51" s="158"/>
      <c r="OLQ51" s="158"/>
      <c r="OLR51" s="158"/>
      <c r="OLS51" s="158"/>
      <c r="OLT51" s="158"/>
      <c r="OLU51" s="158"/>
      <c r="OLV51" s="158"/>
      <c r="OLW51" s="158"/>
      <c r="OLX51" s="158"/>
      <c r="OLY51" s="158"/>
      <c r="OLZ51" s="158"/>
      <c r="OMA51" s="158"/>
      <c r="OMB51" s="158"/>
      <c r="OMC51" s="158"/>
      <c r="OMD51" s="158"/>
      <c r="OME51" s="158"/>
      <c r="OMF51" s="158"/>
      <c r="OMG51" s="158"/>
      <c r="OMH51" s="158"/>
      <c r="OMI51" s="158"/>
      <c r="OMJ51" s="158"/>
      <c r="OMK51" s="158"/>
      <c r="OML51" s="158"/>
      <c r="OMM51" s="158"/>
      <c r="OMN51" s="158"/>
      <c r="OMO51" s="158"/>
      <c r="OMP51" s="158"/>
      <c r="OMQ51" s="158"/>
      <c r="OMR51" s="158"/>
      <c r="OMS51" s="158"/>
      <c r="OMT51" s="158"/>
      <c r="OMU51" s="158"/>
      <c r="OMV51" s="158"/>
      <c r="OMW51" s="158"/>
      <c r="OMX51" s="158"/>
      <c r="OMY51" s="158"/>
      <c r="OMZ51" s="158"/>
      <c r="ONA51" s="158"/>
      <c r="ONB51" s="158"/>
      <c r="ONC51" s="158"/>
      <c r="OND51" s="158"/>
      <c r="ONE51" s="158"/>
      <c r="ONF51" s="158"/>
      <c r="ONG51" s="158"/>
      <c r="ONH51" s="158"/>
      <c r="ONI51" s="158"/>
      <c r="ONJ51" s="158"/>
      <c r="ONK51" s="158"/>
      <c r="ONL51" s="158"/>
      <c r="ONM51" s="158"/>
      <c r="ONN51" s="158"/>
      <c r="ONO51" s="158"/>
      <c r="ONP51" s="158"/>
      <c r="ONQ51" s="158"/>
      <c r="ONR51" s="158"/>
      <c r="ONS51" s="158"/>
      <c r="ONT51" s="158"/>
      <c r="ONU51" s="158"/>
      <c r="ONV51" s="158"/>
      <c r="ONW51" s="158"/>
      <c r="ONX51" s="158"/>
      <c r="ONY51" s="158"/>
      <c r="ONZ51" s="158"/>
      <c r="OOA51" s="158"/>
      <c r="OOB51" s="158"/>
      <c r="OOC51" s="158"/>
      <c r="OOD51" s="158"/>
      <c r="OOE51" s="158"/>
      <c r="OOF51" s="158"/>
      <c r="OOG51" s="158"/>
      <c r="OOH51" s="158"/>
      <c r="OOI51" s="158"/>
      <c r="OOJ51" s="158"/>
      <c r="OOK51" s="158"/>
      <c r="OOL51" s="158"/>
      <c r="OOM51" s="158"/>
      <c r="OON51" s="158"/>
      <c r="OOO51" s="158"/>
      <c r="OOP51" s="158"/>
      <c r="OOQ51" s="158"/>
      <c r="OOR51" s="158"/>
      <c r="OOS51" s="158"/>
      <c r="OOT51" s="158"/>
      <c r="OOU51" s="158"/>
      <c r="OOV51" s="158"/>
      <c r="OOW51" s="158"/>
      <c r="OOX51" s="158"/>
      <c r="OOY51" s="158"/>
      <c r="OOZ51" s="158"/>
      <c r="OPA51" s="158"/>
      <c r="OPB51" s="158"/>
      <c r="OPC51" s="158"/>
      <c r="OPD51" s="158"/>
      <c r="OPE51" s="158"/>
      <c r="OPF51" s="158"/>
      <c r="OPG51" s="158"/>
      <c r="OPH51" s="158"/>
      <c r="OPI51" s="158"/>
      <c r="OPJ51" s="158"/>
      <c r="OPK51" s="158"/>
      <c r="OPL51" s="158"/>
      <c r="OPM51" s="158"/>
      <c r="OPN51" s="158"/>
      <c r="OPO51" s="158"/>
      <c r="OPP51" s="158"/>
      <c r="OPQ51" s="158"/>
      <c r="OPR51" s="158"/>
      <c r="OPS51" s="158"/>
      <c r="OPT51" s="158"/>
      <c r="OPU51" s="158"/>
      <c r="OPV51" s="158"/>
      <c r="OPW51" s="158"/>
      <c r="OPX51" s="158"/>
      <c r="OPY51" s="158"/>
      <c r="OPZ51" s="158"/>
      <c r="OQA51" s="158"/>
      <c r="OQB51" s="158"/>
      <c r="OQC51" s="158"/>
      <c r="OQD51" s="158"/>
      <c r="OQE51" s="158"/>
      <c r="OQF51" s="158"/>
      <c r="OQG51" s="158"/>
      <c r="OQH51" s="158"/>
      <c r="OQI51" s="158"/>
      <c r="OQJ51" s="158"/>
      <c r="OQK51" s="158"/>
      <c r="OQL51" s="158"/>
      <c r="OQM51" s="158"/>
      <c r="OQN51" s="158"/>
      <c r="OQO51" s="158"/>
      <c r="OQP51" s="158"/>
      <c r="OQQ51" s="158"/>
      <c r="OQR51" s="158"/>
      <c r="OQS51" s="158"/>
      <c r="OQT51" s="158"/>
      <c r="OQU51" s="158"/>
      <c r="OQV51" s="158"/>
      <c r="OQW51" s="158"/>
      <c r="OQX51" s="158"/>
      <c r="OQY51" s="158"/>
      <c r="OQZ51" s="158"/>
      <c r="ORA51" s="158"/>
      <c r="ORB51" s="158"/>
      <c r="ORC51" s="158"/>
      <c r="ORD51" s="158"/>
      <c r="ORE51" s="158"/>
      <c r="ORF51" s="158"/>
      <c r="ORG51" s="158"/>
      <c r="ORH51" s="158"/>
      <c r="ORI51" s="158"/>
      <c r="ORJ51" s="158"/>
      <c r="ORK51" s="158"/>
      <c r="ORL51" s="158"/>
      <c r="ORM51" s="158"/>
      <c r="ORN51" s="158"/>
      <c r="ORO51" s="158"/>
      <c r="ORP51" s="158"/>
      <c r="ORQ51" s="158"/>
      <c r="ORR51" s="158"/>
      <c r="ORS51" s="158"/>
      <c r="ORT51" s="158"/>
      <c r="ORU51" s="158"/>
      <c r="ORV51" s="158"/>
      <c r="ORW51" s="158"/>
      <c r="ORX51" s="158"/>
      <c r="ORY51" s="158"/>
      <c r="ORZ51" s="158"/>
      <c r="OSA51" s="158"/>
      <c r="OSB51" s="158"/>
      <c r="OSC51" s="158"/>
      <c r="OSD51" s="158"/>
      <c r="OSE51" s="158"/>
      <c r="OSF51" s="158"/>
      <c r="OSG51" s="158"/>
      <c r="OSH51" s="158"/>
      <c r="OSI51" s="158"/>
      <c r="OSJ51" s="158"/>
      <c r="OSK51" s="158"/>
      <c r="OSL51" s="158"/>
      <c r="OSM51" s="158"/>
      <c r="OSN51" s="158"/>
      <c r="OSO51" s="158"/>
      <c r="OSP51" s="158"/>
      <c r="OSQ51" s="158"/>
      <c r="OSR51" s="158"/>
      <c r="OSS51" s="158"/>
      <c r="OST51" s="158"/>
      <c r="OSU51" s="158"/>
      <c r="OSV51" s="158"/>
      <c r="OSW51" s="158"/>
      <c r="OSX51" s="158"/>
      <c r="OSY51" s="158"/>
      <c r="OSZ51" s="158"/>
      <c r="OTA51" s="158"/>
      <c r="OTB51" s="158"/>
      <c r="OTC51" s="158"/>
      <c r="OTD51" s="158"/>
      <c r="OTE51" s="158"/>
      <c r="OTF51" s="158"/>
      <c r="OTG51" s="158"/>
      <c r="OTH51" s="158"/>
      <c r="OTI51" s="158"/>
      <c r="OTJ51" s="158"/>
      <c r="OTK51" s="158"/>
      <c r="OTL51" s="158"/>
      <c r="OTM51" s="158"/>
      <c r="OTN51" s="158"/>
      <c r="OTO51" s="158"/>
      <c r="OTP51" s="158"/>
      <c r="OTQ51" s="158"/>
      <c r="OTR51" s="158"/>
      <c r="OTS51" s="158"/>
      <c r="OTT51" s="158"/>
      <c r="OTU51" s="158"/>
      <c r="OTV51" s="158"/>
      <c r="OTW51" s="158"/>
      <c r="OTX51" s="158"/>
      <c r="OTY51" s="158"/>
      <c r="OTZ51" s="158"/>
      <c r="OUA51" s="158"/>
      <c r="OUB51" s="158"/>
      <c r="OUC51" s="158"/>
      <c r="OUD51" s="158"/>
      <c r="OUE51" s="158"/>
      <c r="OUF51" s="158"/>
      <c r="OUG51" s="158"/>
      <c r="OUH51" s="158"/>
      <c r="OUI51" s="158"/>
      <c r="OUJ51" s="158"/>
      <c r="OUK51" s="158"/>
      <c r="OUL51" s="158"/>
      <c r="OUM51" s="158"/>
      <c r="OUN51" s="158"/>
      <c r="OUO51" s="158"/>
      <c r="OUP51" s="158"/>
      <c r="OUQ51" s="158"/>
      <c r="OUR51" s="158"/>
      <c r="OUS51" s="158"/>
      <c r="OUT51" s="158"/>
      <c r="OUU51" s="158"/>
      <c r="OUV51" s="158"/>
      <c r="OUW51" s="158"/>
      <c r="OUX51" s="158"/>
      <c r="OUY51" s="158"/>
      <c r="OUZ51" s="158"/>
      <c r="OVA51" s="158"/>
      <c r="OVB51" s="158"/>
      <c r="OVC51" s="158"/>
      <c r="OVD51" s="158"/>
      <c r="OVE51" s="158"/>
      <c r="OVF51" s="158"/>
      <c r="OVG51" s="158"/>
      <c r="OVH51" s="158"/>
      <c r="OVI51" s="158"/>
      <c r="OVJ51" s="158"/>
      <c r="OVK51" s="158"/>
      <c r="OVL51" s="158"/>
      <c r="OVM51" s="158"/>
      <c r="OVN51" s="158"/>
      <c r="OVO51" s="158"/>
      <c r="OVP51" s="158"/>
      <c r="OVQ51" s="158"/>
      <c r="OVR51" s="158"/>
      <c r="OVS51" s="158"/>
      <c r="OVT51" s="158"/>
      <c r="OVU51" s="158"/>
      <c r="OVV51" s="158"/>
      <c r="OVW51" s="158"/>
      <c r="OVX51" s="158"/>
      <c r="OVY51" s="158"/>
      <c r="OVZ51" s="158"/>
      <c r="OWA51" s="158"/>
      <c r="OWB51" s="158"/>
      <c r="OWC51" s="158"/>
      <c r="OWD51" s="158"/>
      <c r="OWE51" s="158"/>
      <c r="OWF51" s="158"/>
      <c r="OWG51" s="158"/>
      <c r="OWH51" s="158"/>
      <c r="OWI51" s="158"/>
      <c r="OWJ51" s="158"/>
      <c r="OWK51" s="158"/>
      <c r="OWL51" s="158"/>
      <c r="OWM51" s="158"/>
      <c r="OWN51" s="158"/>
      <c r="OWO51" s="158"/>
      <c r="OWP51" s="158"/>
      <c r="OWQ51" s="158"/>
      <c r="OWR51" s="158"/>
      <c r="OWS51" s="158"/>
      <c r="OWT51" s="158"/>
      <c r="OWU51" s="158"/>
      <c r="OWV51" s="158"/>
      <c r="OWW51" s="158"/>
      <c r="OWX51" s="158"/>
      <c r="OWY51" s="158"/>
      <c r="OWZ51" s="158"/>
      <c r="OXA51" s="158"/>
      <c r="OXB51" s="158"/>
      <c r="OXC51" s="158"/>
      <c r="OXD51" s="158"/>
      <c r="OXE51" s="158"/>
      <c r="OXF51" s="158"/>
      <c r="OXG51" s="158"/>
      <c r="OXH51" s="158"/>
      <c r="OXI51" s="158"/>
      <c r="OXJ51" s="158"/>
      <c r="OXK51" s="158"/>
      <c r="OXL51" s="158"/>
      <c r="OXM51" s="158"/>
      <c r="OXN51" s="158"/>
      <c r="OXO51" s="158"/>
      <c r="OXP51" s="158"/>
      <c r="OXQ51" s="158"/>
      <c r="OXR51" s="158"/>
      <c r="OXS51" s="158"/>
      <c r="OXT51" s="158"/>
      <c r="OXU51" s="158"/>
      <c r="OXV51" s="158"/>
      <c r="OXW51" s="158"/>
      <c r="OXX51" s="158"/>
      <c r="OXY51" s="158"/>
      <c r="OXZ51" s="158"/>
      <c r="OYA51" s="158"/>
      <c r="OYB51" s="158"/>
      <c r="OYC51" s="158"/>
      <c r="OYD51" s="158"/>
      <c r="OYE51" s="158"/>
      <c r="OYF51" s="158"/>
      <c r="OYG51" s="158"/>
      <c r="OYH51" s="158"/>
      <c r="OYI51" s="158"/>
      <c r="OYJ51" s="158"/>
      <c r="OYK51" s="158"/>
      <c r="OYL51" s="158"/>
      <c r="OYM51" s="158"/>
      <c r="OYN51" s="158"/>
      <c r="OYO51" s="158"/>
      <c r="OYP51" s="158"/>
      <c r="OYQ51" s="158"/>
      <c r="OYR51" s="158"/>
      <c r="OYS51" s="158"/>
      <c r="OYT51" s="158"/>
      <c r="OYU51" s="158"/>
      <c r="OYV51" s="158"/>
      <c r="OYW51" s="158"/>
      <c r="OYX51" s="158"/>
      <c r="OYY51" s="158"/>
      <c r="OYZ51" s="158"/>
      <c r="OZA51" s="158"/>
      <c r="OZB51" s="158"/>
      <c r="OZC51" s="158"/>
      <c r="OZD51" s="158"/>
      <c r="OZE51" s="158"/>
      <c r="OZF51" s="158"/>
      <c r="OZG51" s="158"/>
      <c r="OZH51" s="158"/>
      <c r="OZI51" s="158"/>
      <c r="OZJ51" s="158"/>
      <c r="OZK51" s="158"/>
      <c r="OZL51" s="158"/>
      <c r="OZM51" s="158"/>
      <c r="OZN51" s="158"/>
      <c r="OZO51" s="158"/>
      <c r="OZP51" s="158"/>
      <c r="OZQ51" s="158"/>
      <c r="OZR51" s="158"/>
      <c r="OZS51" s="158"/>
      <c r="OZT51" s="158"/>
      <c r="OZU51" s="158"/>
      <c r="OZV51" s="158"/>
      <c r="OZW51" s="158"/>
      <c r="OZX51" s="158"/>
      <c r="OZY51" s="158"/>
      <c r="OZZ51" s="158"/>
      <c r="PAA51" s="158"/>
      <c r="PAB51" s="158"/>
      <c r="PAC51" s="158"/>
      <c r="PAD51" s="158"/>
      <c r="PAE51" s="158"/>
      <c r="PAF51" s="158"/>
      <c r="PAG51" s="158"/>
      <c r="PAH51" s="158"/>
      <c r="PAI51" s="158"/>
      <c r="PAJ51" s="158"/>
      <c r="PAK51" s="158"/>
      <c r="PAL51" s="158"/>
      <c r="PAM51" s="158"/>
      <c r="PAN51" s="158"/>
      <c r="PAO51" s="158"/>
      <c r="PAP51" s="158"/>
      <c r="PAQ51" s="158"/>
      <c r="PAR51" s="158"/>
      <c r="PAS51" s="158"/>
      <c r="PAT51" s="158"/>
      <c r="PAU51" s="158"/>
      <c r="PAV51" s="158"/>
      <c r="PAW51" s="158"/>
      <c r="PAX51" s="158"/>
      <c r="PAY51" s="158"/>
      <c r="PAZ51" s="158"/>
      <c r="PBA51" s="158"/>
      <c r="PBB51" s="158"/>
      <c r="PBC51" s="158"/>
      <c r="PBD51" s="158"/>
      <c r="PBE51" s="158"/>
      <c r="PBF51" s="158"/>
      <c r="PBG51" s="158"/>
      <c r="PBH51" s="158"/>
      <c r="PBI51" s="158"/>
      <c r="PBJ51" s="158"/>
      <c r="PBK51" s="158"/>
      <c r="PBL51" s="158"/>
      <c r="PBM51" s="158"/>
      <c r="PBN51" s="158"/>
      <c r="PBO51" s="158"/>
      <c r="PBP51" s="158"/>
      <c r="PBQ51" s="158"/>
      <c r="PBR51" s="158"/>
      <c r="PBS51" s="158"/>
      <c r="PBT51" s="158"/>
      <c r="PBU51" s="158"/>
      <c r="PBV51" s="158"/>
      <c r="PBW51" s="158"/>
      <c r="PBX51" s="158"/>
      <c r="PBY51" s="158"/>
      <c r="PBZ51" s="158"/>
      <c r="PCA51" s="158"/>
      <c r="PCB51" s="158"/>
      <c r="PCC51" s="158"/>
      <c r="PCD51" s="158"/>
      <c r="PCE51" s="158"/>
      <c r="PCF51" s="158"/>
      <c r="PCG51" s="158"/>
      <c r="PCH51" s="158"/>
      <c r="PCI51" s="158"/>
      <c r="PCJ51" s="158"/>
      <c r="PCK51" s="158"/>
      <c r="PCL51" s="158"/>
      <c r="PCM51" s="158"/>
      <c r="PCN51" s="158"/>
      <c r="PCO51" s="158"/>
      <c r="PCP51" s="158"/>
      <c r="PCQ51" s="158"/>
      <c r="PCR51" s="158"/>
      <c r="PCS51" s="158"/>
      <c r="PCT51" s="158"/>
      <c r="PCU51" s="158"/>
      <c r="PCV51" s="158"/>
      <c r="PCW51" s="158"/>
      <c r="PCX51" s="158"/>
      <c r="PCY51" s="158"/>
      <c r="PCZ51" s="158"/>
      <c r="PDA51" s="158"/>
      <c r="PDB51" s="158"/>
      <c r="PDC51" s="158"/>
      <c r="PDD51" s="158"/>
      <c r="PDE51" s="158"/>
      <c r="PDF51" s="158"/>
      <c r="PDG51" s="158"/>
      <c r="PDH51" s="158"/>
      <c r="PDI51" s="158"/>
      <c r="PDJ51" s="158"/>
      <c r="PDK51" s="158"/>
      <c r="PDL51" s="158"/>
      <c r="PDM51" s="158"/>
      <c r="PDN51" s="158"/>
      <c r="PDO51" s="158"/>
      <c r="PDP51" s="158"/>
      <c r="PDQ51" s="158"/>
      <c r="PDR51" s="158"/>
      <c r="PDS51" s="158"/>
      <c r="PDT51" s="158"/>
      <c r="PDU51" s="158"/>
      <c r="PDV51" s="158"/>
      <c r="PDW51" s="158"/>
      <c r="PDX51" s="158"/>
      <c r="PDY51" s="158"/>
      <c r="PDZ51" s="158"/>
      <c r="PEA51" s="158"/>
      <c r="PEB51" s="158"/>
      <c r="PEC51" s="158"/>
      <c r="PED51" s="158"/>
      <c r="PEE51" s="158"/>
      <c r="PEF51" s="158"/>
      <c r="PEG51" s="158"/>
      <c r="PEH51" s="158"/>
      <c r="PEI51" s="158"/>
      <c r="PEJ51" s="158"/>
      <c r="PEK51" s="158"/>
      <c r="PEL51" s="158"/>
      <c r="PEM51" s="158"/>
      <c r="PEN51" s="158"/>
      <c r="PEO51" s="158"/>
      <c r="PEP51" s="158"/>
      <c r="PEQ51" s="158"/>
      <c r="PER51" s="158"/>
      <c r="PES51" s="158"/>
      <c r="PET51" s="158"/>
      <c r="PEU51" s="158"/>
      <c r="PEV51" s="158"/>
      <c r="PEW51" s="158"/>
      <c r="PEX51" s="158"/>
      <c r="PEY51" s="158"/>
      <c r="PEZ51" s="158"/>
      <c r="PFA51" s="158"/>
      <c r="PFB51" s="158"/>
      <c r="PFC51" s="158"/>
      <c r="PFD51" s="158"/>
      <c r="PFE51" s="158"/>
      <c r="PFF51" s="158"/>
      <c r="PFG51" s="158"/>
      <c r="PFH51" s="158"/>
      <c r="PFI51" s="158"/>
      <c r="PFJ51" s="158"/>
      <c r="PFK51" s="158"/>
      <c r="PFL51" s="158"/>
      <c r="PFM51" s="158"/>
      <c r="PFN51" s="158"/>
      <c r="PFO51" s="158"/>
      <c r="PFP51" s="158"/>
      <c r="PFQ51" s="158"/>
      <c r="PFR51" s="158"/>
      <c r="PFS51" s="158"/>
      <c r="PFT51" s="158"/>
      <c r="PFU51" s="158"/>
      <c r="PFV51" s="158"/>
      <c r="PFW51" s="158"/>
      <c r="PFX51" s="158"/>
      <c r="PFY51" s="158"/>
      <c r="PFZ51" s="158"/>
      <c r="PGA51" s="158"/>
      <c r="PGB51" s="158"/>
      <c r="PGC51" s="158"/>
      <c r="PGD51" s="158"/>
      <c r="PGE51" s="158"/>
      <c r="PGF51" s="158"/>
      <c r="PGG51" s="158"/>
      <c r="PGH51" s="158"/>
      <c r="PGI51" s="158"/>
      <c r="PGJ51" s="158"/>
      <c r="PGK51" s="158"/>
      <c r="PGL51" s="158"/>
      <c r="PGM51" s="158"/>
      <c r="PGN51" s="158"/>
      <c r="PGO51" s="158"/>
      <c r="PGP51" s="158"/>
      <c r="PGQ51" s="158"/>
      <c r="PGR51" s="158"/>
      <c r="PGS51" s="158"/>
      <c r="PGT51" s="158"/>
      <c r="PGU51" s="158"/>
      <c r="PGV51" s="158"/>
      <c r="PGW51" s="158"/>
      <c r="PGX51" s="158"/>
      <c r="PGY51" s="158"/>
      <c r="PGZ51" s="158"/>
      <c r="PHA51" s="158"/>
      <c r="PHB51" s="158"/>
      <c r="PHC51" s="158"/>
      <c r="PHD51" s="158"/>
      <c r="PHE51" s="158"/>
      <c r="PHF51" s="158"/>
      <c r="PHG51" s="158"/>
      <c r="PHH51" s="158"/>
      <c r="PHI51" s="158"/>
      <c r="PHJ51" s="158"/>
      <c r="PHK51" s="158"/>
      <c r="PHL51" s="158"/>
      <c r="PHM51" s="158"/>
      <c r="PHN51" s="158"/>
      <c r="PHO51" s="158"/>
      <c r="PHP51" s="158"/>
      <c r="PHQ51" s="158"/>
      <c r="PHR51" s="158"/>
      <c r="PHS51" s="158"/>
      <c r="PHT51" s="158"/>
      <c r="PHU51" s="158"/>
      <c r="PHV51" s="158"/>
      <c r="PHW51" s="158"/>
      <c r="PHX51" s="158"/>
      <c r="PHY51" s="158"/>
      <c r="PHZ51" s="158"/>
      <c r="PIA51" s="158"/>
      <c r="PIB51" s="158"/>
      <c r="PIC51" s="158"/>
      <c r="PID51" s="158"/>
      <c r="PIE51" s="158"/>
      <c r="PIF51" s="158"/>
      <c r="PIG51" s="158"/>
      <c r="PIH51" s="158"/>
      <c r="PII51" s="158"/>
      <c r="PIJ51" s="158"/>
      <c r="PIK51" s="158"/>
      <c r="PIL51" s="158"/>
      <c r="PIM51" s="158"/>
      <c r="PIN51" s="158"/>
      <c r="PIO51" s="158"/>
      <c r="PIP51" s="158"/>
      <c r="PIQ51" s="158"/>
      <c r="PIR51" s="158"/>
      <c r="PIS51" s="158"/>
      <c r="PIT51" s="158"/>
      <c r="PIU51" s="158"/>
      <c r="PIV51" s="158"/>
      <c r="PIW51" s="158"/>
      <c r="PIX51" s="158"/>
      <c r="PIY51" s="158"/>
      <c r="PIZ51" s="158"/>
      <c r="PJA51" s="158"/>
      <c r="PJB51" s="158"/>
      <c r="PJC51" s="158"/>
      <c r="PJD51" s="158"/>
      <c r="PJE51" s="158"/>
      <c r="PJF51" s="158"/>
      <c r="PJG51" s="158"/>
      <c r="PJH51" s="158"/>
      <c r="PJI51" s="158"/>
      <c r="PJJ51" s="158"/>
      <c r="PJK51" s="158"/>
      <c r="PJL51" s="158"/>
      <c r="PJM51" s="158"/>
      <c r="PJN51" s="158"/>
      <c r="PJO51" s="158"/>
      <c r="PJP51" s="158"/>
      <c r="PJQ51" s="158"/>
      <c r="PJR51" s="158"/>
      <c r="PJS51" s="158"/>
      <c r="PJT51" s="158"/>
      <c r="PJU51" s="158"/>
      <c r="PJV51" s="158"/>
      <c r="PJW51" s="158"/>
      <c r="PJX51" s="158"/>
      <c r="PJY51" s="158"/>
      <c r="PJZ51" s="158"/>
      <c r="PKA51" s="158"/>
      <c r="PKB51" s="158"/>
      <c r="PKC51" s="158"/>
      <c r="PKD51" s="158"/>
      <c r="PKE51" s="158"/>
      <c r="PKF51" s="158"/>
      <c r="PKG51" s="158"/>
      <c r="PKH51" s="158"/>
      <c r="PKI51" s="158"/>
      <c r="PKJ51" s="158"/>
      <c r="PKK51" s="158"/>
      <c r="PKL51" s="158"/>
      <c r="PKM51" s="158"/>
      <c r="PKN51" s="158"/>
      <c r="PKO51" s="158"/>
      <c r="PKP51" s="158"/>
      <c r="PKQ51" s="158"/>
      <c r="PKR51" s="158"/>
      <c r="PKS51" s="158"/>
      <c r="PKT51" s="158"/>
      <c r="PKU51" s="158"/>
      <c r="PKV51" s="158"/>
      <c r="PKW51" s="158"/>
      <c r="PKX51" s="158"/>
      <c r="PKY51" s="158"/>
      <c r="PKZ51" s="158"/>
      <c r="PLA51" s="158"/>
      <c r="PLB51" s="158"/>
      <c r="PLC51" s="158"/>
      <c r="PLD51" s="158"/>
      <c r="PLE51" s="158"/>
      <c r="PLF51" s="158"/>
      <c r="PLG51" s="158"/>
      <c r="PLH51" s="158"/>
      <c r="PLI51" s="158"/>
      <c r="PLJ51" s="158"/>
      <c r="PLK51" s="158"/>
      <c r="PLL51" s="158"/>
      <c r="PLM51" s="158"/>
      <c r="PLN51" s="158"/>
      <c r="PLO51" s="158"/>
      <c r="PLP51" s="158"/>
      <c r="PLQ51" s="158"/>
      <c r="PLR51" s="158"/>
      <c r="PLS51" s="158"/>
      <c r="PLT51" s="158"/>
      <c r="PLU51" s="158"/>
      <c r="PLV51" s="158"/>
      <c r="PLW51" s="158"/>
      <c r="PLX51" s="158"/>
      <c r="PLY51" s="158"/>
      <c r="PLZ51" s="158"/>
      <c r="PMA51" s="158"/>
      <c r="PMB51" s="158"/>
      <c r="PMC51" s="158"/>
      <c r="PMD51" s="158"/>
      <c r="PME51" s="158"/>
      <c r="PMF51" s="158"/>
      <c r="PMG51" s="158"/>
      <c r="PMH51" s="158"/>
      <c r="PMI51" s="158"/>
      <c r="PMJ51" s="158"/>
      <c r="PMK51" s="158"/>
      <c r="PML51" s="158"/>
      <c r="PMM51" s="158"/>
      <c r="PMN51" s="158"/>
      <c r="PMO51" s="158"/>
      <c r="PMP51" s="158"/>
      <c r="PMQ51" s="158"/>
      <c r="PMR51" s="158"/>
      <c r="PMS51" s="158"/>
      <c r="PMT51" s="158"/>
      <c r="PMU51" s="158"/>
      <c r="PMV51" s="158"/>
      <c r="PMW51" s="158"/>
      <c r="PMX51" s="158"/>
      <c r="PMY51" s="158"/>
      <c r="PMZ51" s="158"/>
      <c r="PNA51" s="158"/>
      <c r="PNB51" s="158"/>
      <c r="PNC51" s="158"/>
      <c r="PND51" s="158"/>
      <c r="PNE51" s="158"/>
      <c r="PNF51" s="158"/>
      <c r="PNG51" s="158"/>
      <c r="PNH51" s="158"/>
      <c r="PNI51" s="158"/>
      <c r="PNJ51" s="158"/>
      <c r="PNK51" s="158"/>
      <c r="PNL51" s="158"/>
      <c r="PNM51" s="158"/>
      <c r="PNN51" s="158"/>
      <c r="PNO51" s="158"/>
      <c r="PNP51" s="158"/>
      <c r="PNQ51" s="158"/>
      <c r="PNR51" s="158"/>
      <c r="PNS51" s="158"/>
      <c r="PNT51" s="158"/>
      <c r="PNU51" s="158"/>
      <c r="PNV51" s="158"/>
      <c r="PNW51" s="158"/>
      <c r="PNX51" s="158"/>
      <c r="PNY51" s="158"/>
      <c r="PNZ51" s="158"/>
      <c r="POA51" s="158"/>
      <c r="POB51" s="158"/>
      <c r="POC51" s="158"/>
      <c r="POD51" s="158"/>
      <c r="POE51" s="158"/>
      <c r="POF51" s="158"/>
      <c r="POG51" s="158"/>
      <c r="POH51" s="158"/>
      <c r="POI51" s="158"/>
      <c r="POJ51" s="158"/>
      <c r="POK51" s="158"/>
      <c r="POL51" s="158"/>
      <c r="POM51" s="158"/>
      <c r="PON51" s="158"/>
      <c r="POO51" s="158"/>
      <c r="POP51" s="158"/>
      <c r="POQ51" s="158"/>
      <c r="POR51" s="158"/>
      <c r="POS51" s="158"/>
      <c r="POT51" s="158"/>
      <c r="POU51" s="158"/>
      <c r="POV51" s="158"/>
      <c r="POW51" s="158"/>
      <c r="POX51" s="158"/>
      <c r="POY51" s="158"/>
      <c r="POZ51" s="158"/>
      <c r="PPA51" s="158"/>
      <c r="PPB51" s="158"/>
      <c r="PPC51" s="158"/>
      <c r="PPD51" s="158"/>
      <c r="PPE51" s="158"/>
      <c r="PPF51" s="158"/>
      <c r="PPG51" s="158"/>
      <c r="PPH51" s="158"/>
      <c r="PPI51" s="158"/>
      <c r="PPJ51" s="158"/>
      <c r="PPK51" s="158"/>
      <c r="PPL51" s="158"/>
      <c r="PPM51" s="158"/>
      <c r="PPN51" s="158"/>
      <c r="PPO51" s="158"/>
      <c r="PPP51" s="158"/>
      <c r="PPQ51" s="158"/>
      <c r="PPR51" s="158"/>
      <c r="PPS51" s="158"/>
      <c r="PPT51" s="158"/>
      <c r="PPU51" s="158"/>
      <c r="PPV51" s="158"/>
      <c r="PPW51" s="158"/>
      <c r="PPX51" s="158"/>
      <c r="PPY51" s="158"/>
      <c r="PPZ51" s="158"/>
      <c r="PQA51" s="158"/>
      <c r="PQB51" s="158"/>
      <c r="PQC51" s="158"/>
      <c r="PQD51" s="158"/>
      <c r="PQE51" s="158"/>
      <c r="PQF51" s="158"/>
      <c r="PQG51" s="158"/>
      <c r="PQH51" s="158"/>
      <c r="PQI51" s="158"/>
      <c r="PQJ51" s="158"/>
      <c r="PQK51" s="158"/>
      <c r="PQL51" s="158"/>
      <c r="PQM51" s="158"/>
      <c r="PQN51" s="158"/>
      <c r="PQO51" s="158"/>
      <c r="PQP51" s="158"/>
      <c r="PQQ51" s="158"/>
      <c r="PQR51" s="158"/>
      <c r="PQS51" s="158"/>
      <c r="PQT51" s="158"/>
      <c r="PQU51" s="158"/>
      <c r="PQV51" s="158"/>
      <c r="PQW51" s="158"/>
      <c r="PQX51" s="158"/>
      <c r="PQY51" s="158"/>
      <c r="PQZ51" s="158"/>
      <c r="PRA51" s="158"/>
      <c r="PRB51" s="158"/>
      <c r="PRC51" s="158"/>
      <c r="PRD51" s="158"/>
      <c r="PRE51" s="158"/>
      <c r="PRF51" s="158"/>
      <c r="PRG51" s="158"/>
      <c r="PRH51" s="158"/>
      <c r="PRI51" s="158"/>
      <c r="PRJ51" s="158"/>
      <c r="PRK51" s="158"/>
      <c r="PRL51" s="158"/>
      <c r="PRM51" s="158"/>
      <c r="PRN51" s="158"/>
      <c r="PRO51" s="158"/>
      <c r="PRP51" s="158"/>
      <c r="PRQ51" s="158"/>
      <c r="PRR51" s="158"/>
      <c r="PRS51" s="158"/>
      <c r="PRT51" s="158"/>
      <c r="PRU51" s="158"/>
      <c r="PRV51" s="158"/>
      <c r="PRW51" s="158"/>
      <c r="PRX51" s="158"/>
      <c r="PRY51" s="158"/>
      <c r="PRZ51" s="158"/>
      <c r="PSA51" s="158"/>
      <c r="PSB51" s="158"/>
      <c r="PSC51" s="158"/>
      <c r="PSD51" s="158"/>
      <c r="PSE51" s="158"/>
      <c r="PSF51" s="158"/>
      <c r="PSG51" s="158"/>
      <c r="PSH51" s="158"/>
      <c r="PSI51" s="158"/>
      <c r="PSJ51" s="158"/>
      <c r="PSK51" s="158"/>
      <c r="PSL51" s="158"/>
      <c r="PSM51" s="158"/>
      <c r="PSN51" s="158"/>
      <c r="PSO51" s="158"/>
      <c r="PSP51" s="158"/>
      <c r="PSQ51" s="158"/>
      <c r="PSR51" s="158"/>
      <c r="PSS51" s="158"/>
      <c r="PST51" s="158"/>
      <c r="PSU51" s="158"/>
      <c r="PSV51" s="158"/>
      <c r="PSW51" s="158"/>
      <c r="PSX51" s="158"/>
      <c r="PSY51" s="158"/>
      <c r="PSZ51" s="158"/>
      <c r="PTA51" s="158"/>
      <c r="PTB51" s="158"/>
      <c r="PTC51" s="158"/>
      <c r="PTD51" s="158"/>
      <c r="PTE51" s="158"/>
      <c r="PTF51" s="158"/>
      <c r="PTG51" s="158"/>
      <c r="PTH51" s="158"/>
      <c r="PTI51" s="158"/>
      <c r="PTJ51" s="158"/>
      <c r="PTK51" s="158"/>
      <c r="PTL51" s="158"/>
      <c r="PTM51" s="158"/>
      <c r="PTN51" s="158"/>
      <c r="PTO51" s="158"/>
      <c r="PTP51" s="158"/>
      <c r="PTQ51" s="158"/>
      <c r="PTR51" s="158"/>
      <c r="PTS51" s="158"/>
      <c r="PTT51" s="158"/>
      <c r="PTU51" s="158"/>
      <c r="PTV51" s="158"/>
      <c r="PTW51" s="158"/>
      <c r="PTX51" s="158"/>
      <c r="PTY51" s="158"/>
      <c r="PTZ51" s="158"/>
      <c r="PUA51" s="158"/>
      <c r="PUB51" s="158"/>
      <c r="PUC51" s="158"/>
      <c r="PUD51" s="158"/>
      <c r="PUE51" s="158"/>
      <c r="PUF51" s="158"/>
      <c r="PUG51" s="158"/>
      <c r="PUH51" s="158"/>
      <c r="PUI51" s="158"/>
      <c r="PUJ51" s="158"/>
      <c r="PUK51" s="158"/>
      <c r="PUL51" s="158"/>
      <c r="PUM51" s="158"/>
      <c r="PUN51" s="158"/>
      <c r="PUO51" s="158"/>
      <c r="PUP51" s="158"/>
      <c r="PUQ51" s="158"/>
      <c r="PUR51" s="158"/>
      <c r="PUS51" s="158"/>
      <c r="PUT51" s="158"/>
      <c r="PUU51" s="158"/>
      <c r="PUV51" s="158"/>
      <c r="PUW51" s="158"/>
      <c r="PUX51" s="158"/>
      <c r="PUY51" s="158"/>
      <c r="PUZ51" s="158"/>
      <c r="PVA51" s="158"/>
      <c r="PVB51" s="158"/>
      <c r="PVC51" s="158"/>
      <c r="PVD51" s="158"/>
      <c r="PVE51" s="158"/>
      <c r="PVF51" s="158"/>
      <c r="PVG51" s="158"/>
      <c r="PVH51" s="158"/>
      <c r="PVI51" s="158"/>
      <c r="PVJ51" s="158"/>
      <c r="PVK51" s="158"/>
      <c r="PVL51" s="158"/>
      <c r="PVM51" s="158"/>
      <c r="PVN51" s="158"/>
      <c r="PVO51" s="158"/>
      <c r="PVP51" s="158"/>
      <c r="PVQ51" s="158"/>
      <c r="PVR51" s="158"/>
      <c r="PVS51" s="158"/>
      <c r="PVT51" s="158"/>
      <c r="PVU51" s="158"/>
      <c r="PVV51" s="158"/>
      <c r="PVW51" s="158"/>
      <c r="PVX51" s="158"/>
      <c r="PVY51" s="158"/>
      <c r="PVZ51" s="158"/>
      <c r="PWA51" s="158"/>
      <c r="PWB51" s="158"/>
      <c r="PWC51" s="158"/>
      <c r="PWD51" s="158"/>
      <c r="PWE51" s="158"/>
      <c r="PWF51" s="158"/>
      <c r="PWG51" s="158"/>
      <c r="PWH51" s="158"/>
      <c r="PWI51" s="158"/>
      <c r="PWJ51" s="158"/>
      <c r="PWK51" s="158"/>
      <c r="PWL51" s="158"/>
      <c r="PWM51" s="158"/>
      <c r="PWN51" s="158"/>
      <c r="PWO51" s="158"/>
      <c r="PWP51" s="158"/>
      <c r="PWQ51" s="158"/>
      <c r="PWR51" s="158"/>
      <c r="PWS51" s="158"/>
      <c r="PWT51" s="158"/>
      <c r="PWU51" s="158"/>
      <c r="PWV51" s="158"/>
      <c r="PWW51" s="158"/>
      <c r="PWX51" s="158"/>
      <c r="PWY51" s="158"/>
      <c r="PWZ51" s="158"/>
      <c r="PXA51" s="158"/>
      <c r="PXB51" s="158"/>
      <c r="PXC51" s="158"/>
      <c r="PXD51" s="158"/>
      <c r="PXE51" s="158"/>
      <c r="PXF51" s="158"/>
      <c r="PXG51" s="158"/>
      <c r="PXH51" s="158"/>
      <c r="PXI51" s="158"/>
      <c r="PXJ51" s="158"/>
      <c r="PXK51" s="158"/>
      <c r="PXL51" s="158"/>
      <c r="PXM51" s="158"/>
      <c r="PXN51" s="158"/>
      <c r="PXO51" s="158"/>
      <c r="PXP51" s="158"/>
      <c r="PXQ51" s="158"/>
      <c r="PXR51" s="158"/>
      <c r="PXS51" s="158"/>
      <c r="PXT51" s="158"/>
      <c r="PXU51" s="158"/>
      <c r="PXV51" s="158"/>
      <c r="PXW51" s="158"/>
      <c r="PXX51" s="158"/>
      <c r="PXY51" s="158"/>
      <c r="PXZ51" s="158"/>
      <c r="PYA51" s="158"/>
      <c r="PYB51" s="158"/>
      <c r="PYC51" s="158"/>
      <c r="PYD51" s="158"/>
      <c r="PYE51" s="158"/>
      <c r="PYF51" s="158"/>
      <c r="PYG51" s="158"/>
      <c r="PYH51" s="158"/>
      <c r="PYI51" s="158"/>
      <c r="PYJ51" s="158"/>
      <c r="PYK51" s="158"/>
      <c r="PYL51" s="158"/>
      <c r="PYM51" s="158"/>
      <c r="PYN51" s="158"/>
      <c r="PYO51" s="158"/>
      <c r="PYP51" s="158"/>
      <c r="PYQ51" s="158"/>
      <c r="PYR51" s="158"/>
      <c r="PYS51" s="158"/>
      <c r="PYT51" s="158"/>
      <c r="PYU51" s="158"/>
      <c r="PYV51" s="158"/>
      <c r="PYW51" s="158"/>
      <c r="PYX51" s="158"/>
      <c r="PYY51" s="158"/>
      <c r="PYZ51" s="158"/>
      <c r="PZA51" s="158"/>
      <c r="PZB51" s="158"/>
      <c r="PZC51" s="158"/>
      <c r="PZD51" s="158"/>
      <c r="PZE51" s="158"/>
      <c r="PZF51" s="158"/>
      <c r="PZG51" s="158"/>
      <c r="PZH51" s="158"/>
      <c r="PZI51" s="158"/>
      <c r="PZJ51" s="158"/>
      <c r="PZK51" s="158"/>
      <c r="PZL51" s="158"/>
      <c r="PZM51" s="158"/>
      <c r="PZN51" s="158"/>
      <c r="PZO51" s="158"/>
      <c r="PZP51" s="158"/>
      <c r="PZQ51" s="158"/>
      <c r="PZR51" s="158"/>
      <c r="PZS51" s="158"/>
      <c r="PZT51" s="158"/>
      <c r="PZU51" s="158"/>
      <c r="PZV51" s="158"/>
      <c r="PZW51" s="158"/>
      <c r="PZX51" s="158"/>
      <c r="PZY51" s="158"/>
      <c r="PZZ51" s="158"/>
      <c r="QAA51" s="158"/>
      <c r="QAB51" s="158"/>
      <c r="QAC51" s="158"/>
      <c r="QAD51" s="158"/>
      <c r="QAE51" s="158"/>
      <c r="QAF51" s="158"/>
      <c r="QAG51" s="158"/>
      <c r="QAH51" s="158"/>
      <c r="QAI51" s="158"/>
      <c r="QAJ51" s="158"/>
      <c r="QAK51" s="158"/>
      <c r="QAL51" s="158"/>
      <c r="QAM51" s="158"/>
      <c r="QAN51" s="158"/>
      <c r="QAO51" s="158"/>
      <c r="QAP51" s="158"/>
      <c r="QAQ51" s="158"/>
      <c r="QAR51" s="158"/>
      <c r="QAS51" s="158"/>
      <c r="QAT51" s="158"/>
      <c r="QAU51" s="158"/>
      <c r="QAV51" s="158"/>
      <c r="QAW51" s="158"/>
      <c r="QAX51" s="158"/>
      <c r="QAY51" s="158"/>
      <c r="QAZ51" s="158"/>
      <c r="QBA51" s="158"/>
      <c r="QBB51" s="158"/>
      <c r="QBC51" s="158"/>
      <c r="QBD51" s="158"/>
      <c r="QBE51" s="158"/>
      <c r="QBF51" s="158"/>
      <c r="QBG51" s="158"/>
      <c r="QBH51" s="158"/>
      <c r="QBI51" s="158"/>
      <c r="QBJ51" s="158"/>
      <c r="QBK51" s="158"/>
      <c r="QBL51" s="158"/>
      <c r="QBM51" s="158"/>
      <c r="QBN51" s="158"/>
      <c r="QBO51" s="158"/>
      <c r="QBP51" s="158"/>
      <c r="QBQ51" s="158"/>
      <c r="QBR51" s="158"/>
      <c r="QBS51" s="158"/>
      <c r="QBT51" s="158"/>
      <c r="QBU51" s="158"/>
      <c r="QBV51" s="158"/>
      <c r="QBW51" s="158"/>
      <c r="QBX51" s="158"/>
      <c r="QBY51" s="158"/>
      <c r="QBZ51" s="158"/>
      <c r="QCA51" s="158"/>
      <c r="QCB51" s="158"/>
      <c r="QCC51" s="158"/>
      <c r="QCD51" s="158"/>
      <c r="QCE51" s="158"/>
      <c r="QCF51" s="158"/>
      <c r="QCG51" s="158"/>
      <c r="QCH51" s="158"/>
      <c r="QCI51" s="158"/>
      <c r="QCJ51" s="158"/>
      <c r="QCK51" s="158"/>
      <c r="QCL51" s="158"/>
      <c r="QCM51" s="158"/>
      <c r="QCN51" s="158"/>
      <c r="QCO51" s="158"/>
      <c r="QCP51" s="158"/>
      <c r="QCQ51" s="158"/>
      <c r="QCR51" s="158"/>
      <c r="QCS51" s="158"/>
      <c r="QCT51" s="158"/>
      <c r="QCU51" s="158"/>
      <c r="QCV51" s="158"/>
      <c r="QCW51" s="158"/>
      <c r="QCX51" s="158"/>
      <c r="QCY51" s="158"/>
      <c r="QCZ51" s="158"/>
      <c r="QDA51" s="158"/>
      <c r="QDB51" s="158"/>
      <c r="QDC51" s="158"/>
      <c r="QDD51" s="158"/>
      <c r="QDE51" s="158"/>
      <c r="QDF51" s="158"/>
      <c r="QDG51" s="158"/>
      <c r="QDH51" s="158"/>
      <c r="QDI51" s="158"/>
      <c r="QDJ51" s="158"/>
      <c r="QDK51" s="158"/>
      <c r="QDL51" s="158"/>
      <c r="QDM51" s="158"/>
      <c r="QDN51" s="158"/>
      <c r="QDO51" s="158"/>
      <c r="QDP51" s="158"/>
      <c r="QDQ51" s="158"/>
      <c r="QDR51" s="158"/>
      <c r="QDS51" s="158"/>
      <c r="QDT51" s="158"/>
      <c r="QDU51" s="158"/>
      <c r="QDV51" s="158"/>
      <c r="QDW51" s="158"/>
      <c r="QDX51" s="158"/>
      <c r="QDY51" s="158"/>
      <c r="QDZ51" s="158"/>
      <c r="QEA51" s="158"/>
      <c r="QEB51" s="158"/>
      <c r="QEC51" s="158"/>
      <c r="QED51" s="158"/>
      <c r="QEE51" s="158"/>
      <c r="QEF51" s="158"/>
      <c r="QEG51" s="158"/>
      <c r="QEH51" s="158"/>
      <c r="QEI51" s="158"/>
      <c r="QEJ51" s="158"/>
      <c r="QEK51" s="158"/>
      <c r="QEL51" s="158"/>
      <c r="QEM51" s="158"/>
      <c r="QEN51" s="158"/>
      <c r="QEO51" s="158"/>
      <c r="QEP51" s="158"/>
      <c r="QEQ51" s="158"/>
      <c r="QER51" s="158"/>
      <c r="QES51" s="158"/>
      <c r="QET51" s="158"/>
      <c r="QEU51" s="158"/>
      <c r="QEV51" s="158"/>
      <c r="QEW51" s="158"/>
      <c r="QEX51" s="158"/>
      <c r="QEY51" s="158"/>
      <c r="QEZ51" s="158"/>
      <c r="QFA51" s="158"/>
      <c r="QFB51" s="158"/>
      <c r="QFC51" s="158"/>
      <c r="QFD51" s="158"/>
      <c r="QFE51" s="158"/>
      <c r="QFF51" s="158"/>
      <c r="QFG51" s="158"/>
      <c r="QFH51" s="158"/>
      <c r="QFI51" s="158"/>
      <c r="QFJ51" s="158"/>
      <c r="QFK51" s="158"/>
      <c r="QFL51" s="158"/>
      <c r="QFM51" s="158"/>
      <c r="QFN51" s="158"/>
      <c r="QFO51" s="158"/>
      <c r="QFP51" s="158"/>
      <c r="QFQ51" s="158"/>
      <c r="QFR51" s="158"/>
      <c r="QFS51" s="158"/>
      <c r="QFT51" s="158"/>
      <c r="QFU51" s="158"/>
      <c r="QFV51" s="158"/>
      <c r="QFW51" s="158"/>
      <c r="QFX51" s="158"/>
      <c r="QFY51" s="158"/>
      <c r="QFZ51" s="158"/>
      <c r="QGA51" s="158"/>
      <c r="QGB51" s="158"/>
      <c r="QGC51" s="158"/>
      <c r="QGD51" s="158"/>
      <c r="QGE51" s="158"/>
      <c r="QGF51" s="158"/>
      <c r="QGG51" s="158"/>
      <c r="QGH51" s="158"/>
      <c r="QGI51" s="158"/>
      <c r="QGJ51" s="158"/>
      <c r="QGK51" s="158"/>
      <c r="QGL51" s="158"/>
      <c r="QGM51" s="158"/>
      <c r="QGN51" s="158"/>
      <c r="QGO51" s="158"/>
      <c r="QGP51" s="158"/>
      <c r="QGQ51" s="158"/>
      <c r="QGR51" s="158"/>
      <c r="QGS51" s="158"/>
      <c r="QGT51" s="158"/>
      <c r="QGU51" s="158"/>
      <c r="QGV51" s="158"/>
      <c r="QGW51" s="158"/>
      <c r="QGX51" s="158"/>
      <c r="QGY51" s="158"/>
      <c r="QGZ51" s="158"/>
      <c r="QHA51" s="158"/>
      <c r="QHB51" s="158"/>
      <c r="QHC51" s="158"/>
      <c r="QHD51" s="158"/>
      <c r="QHE51" s="158"/>
      <c r="QHF51" s="158"/>
      <c r="QHG51" s="158"/>
      <c r="QHH51" s="158"/>
      <c r="QHI51" s="158"/>
      <c r="QHJ51" s="158"/>
      <c r="QHK51" s="158"/>
      <c r="QHL51" s="158"/>
      <c r="QHM51" s="158"/>
      <c r="QHN51" s="158"/>
      <c r="QHO51" s="158"/>
      <c r="QHP51" s="158"/>
      <c r="QHQ51" s="158"/>
      <c r="QHR51" s="158"/>
      <c r="QHS51" s="158"/>
      <c r="QHT51" s="158"/>
      <c r="QHU51" s="158"/>
      <c r="QHV51" s="158"/>
      <c r="QHW51" s="158"/>
      <c r="QHX51" s="158"/>
      <c r="QHY51" s="158"/>
      <c r="QHZ51" s="158"/>
      <c r="QIA51" s="158"/>
      <c r="QIB51" s="158"/>
      <c r="QIC51" s="158"/>
      <c r="QID51" s="158"/>
      <c r="QIE51" s="158"/>
      <c r="QIF51" s="158"/>
      <c r="QIG51" s="158"/>
      <c r="QIH51" s="158"/>
      <c r="QII51" s="158"/>
      <c r="QIJ51" s="158"/>
      <c r="QIK51" s="158"/>
      <c r="QIL51" s="158"/>
      <c r="QIM51" s="158"/>
      <c r="QIN51" s="158"/>
      <c r="QIO51" s="158"/>
      <c r="QIP51" s="158"/>
      <c r="QIQ51" s="158"/>
      <c r="QIR51" s="158"/>
      <c r="QIS51" s="158"/>
      <c r="QIT51" s="158"/>
      <c r="QIU51" s="158"/>
      <c r="QIV51" s="158"/>
      <c r="QIW51" s="158"/>
      <c r="QIX51" s="158"/>
      <c r="QIY51" s="158"/>
      <c r="QIZ51" s="158"/>
      <c r="QJA51" s="158"/>
      <c r="QJB51" s="158"/>
      <c r="QJC51" s="158"/>
      <c r="QJD51" s="158"/>
      <c r="QJE51" s="158"/>
      <c r="QJF51" s="158"/>
      <c r="QJG51" s="158"/>
      <c r="QJH51" s="158"/>
      <c r="QJI51" s="158"/>
      <c r="QJJ51" s="158"/>
      <c r="QJK51" s="158"/>
      <c r="QJL51" s="158"/>
      <c r="QJM51" s="158"/>
      <c r="QJN51" s="158"/>
      <c r="QJO51" s="158"/>
      <c r="QJP51" s="158"/>
      <c r="QJQ51" s="158"/>
      <c r="QJR51" s="158"/>
      <c r="QJS51" s="158"/>
      <c r="QJT51" s="158"/>
      <c r="QJU51" s="158"/>
      <c r="QJV51" s="158"/>
      <c r="QJW51" s="158"/>
      <c r="QJX51" s="158"/>
      <c r="QJY51" s="158"/>
      <c r="QJZ51" s="158"/>
      <c r="QKA51" s="158"/>
      <c r="QKB51" s="158"/>
      <c r="QKC51" s="158"/>
      <c r="QKD51" s="158"/>
      <c r="QKE51" s="158"/>
      <c r="QKF51" s="158"/>
      <c r="QKG51" s="158"/>
      <c r="QKH51" s="158"/>
      <c r="QKI51" s="158"/>
      <c r="QKJ51" s="158"/>
      <c r="QKK51" s="158"/>
      <c r="QKL51" s="158"/>
      <c r="QKM51" s="158"/>
      <c r="QKN51" s="158"/>
      <c r="QKO51" s="158"/>
      <c r="QKP51" s="158"/>
      <c r="QKQ51" s="158"/>
      <c r="QKR51" s="158"/>
      <c r="QKS51" s="158"/>
      <c r="QKT51" s="158"/>
      <c r="QKU51" s="158"/>
      <c r="QKV51" s="158"/>
      <c r="QKW51" s="158"/>
      <c r="QKX51" s="158"/>
      <c r="QKY51" s="158"/>
      <c r="QKZ51" s="158"/>
      <c r="QLA51" s="158"/>
      <c r="QLB51" s="158"/>
      <c r="QLC51" s="158"/>
      <c r="QLD51" s="158"/>
      <c r="QLE51" s="158"/>
      <c r="QLF51" s="158"/>
      <c r="QLG51" s="158"/>
      <c r="QLH51" s="158"/>
      <c r="QLI51" s="158"/>
      <c r="QLJ51" s="158"/>
      <c r="QLK51" s="158"/>
      <c r="QLL51" s="158"/>
      <c r="QLM51" s="158"/>
      <c r="QLN51" s="158"/>
      <c r="QLO51" s="158"/>
      <c r="QLP51" s="158"/>
      <c r="QLQ51" s="158"/>
      <c r="QLR51" s="158"/>
      <c r="QLS51" s="158"/>
      <c r="QLT51" s="158"/>
      <c r="QLU51" s="158"/>
      <c r="QLV51" s="158"/>
      <c r="QLW51" s="158"/>
      <c r="QLX51" s="158"/>
      <c r="QLY51" s="158"/>
      <c r="QLZ51" s="158"/>
      <c r="QMA51" s="158"/>
      <c r="QMB51" s="158"/>
      <c r="QMC51" s="158"/>
      <c r="QMD51" s="158"/>
      <c r="QME51" s="158"/>
      <c r="QMF51" s="158"/>
      <c r="QMG51" s="158"/>
      <c r="QMH51" s="158"/>
      <c r="QMI51" s="158"/>
      <c r="QMJ51" s="158"/>
      <c r="QMK51" s="158"/>
      <c r="QML51" s="158"/>
      <c r="QMM51" s="158"/>
      <c r="QMN51" s="158"/>
      <c r="QMO51" s="158"/>
      <c r="QMP51" s="158"/>
      <c r="QMQ51" s="158"/>
      <c r="QMR51" s="158"/>
      <c r="QMS51" s="158"/>
      <c r="QMT51" s="158"/>
      <c r="QMU51" s="158"/>
      <c r="QMV51" s="158"/>
      <c r="QMW51" s="158"/>
      <c r="QMX51" s="158"/>
      <c r="QMY51" s="158"/>
      <c r="QMZ51" s="158"/>
      <c r="QNA51" s="158"/>
      <c r="QNB51" s="158"/>
      <c r="QNC51" s="158"/>
      <c r="QND51" s="158"/>
      <c r="QNE51" s="158"/>
      <c r="QNF51" s="158"/>
      <c r="QNG51" s="158"/>
      <c r="QNH51" s="158"/>
      <c r="QNI51" s="158"/>
      <c r="QNJ51" s="158"/>
      <c r="QNK51" s="158"/>
      <c r="QNL51" s="158"/>
      <c r="QNM51" s="158"/>
      <c r="QNN51" s="158"/>
      <c r="QNO51" s="158"/>
      <c r="QNP51" s="158"/>
      <c r="QNQ51" s="158"/>
      <c r="QNR51" s="158"/>
      <c r="QNS51" s="158"/>
      <c r="QNT51" s="158"/>
      <c r="QNU51" s="158"/>
      <c r="QNV51" s="158"/>
      <c r="QNW51" s="158"/>
      <c r="QNX51" s="158"/>
      <c r="QNY51" s="158"/>
      <c r="QNZ51" s="158"/>
      <c r="QOA51" s="158"/>
      <c r="QOB51" s="158"/>
      <c r="QOC51" s="158"/>
      <c r="QOD51" s="158"/>
      <c r="QOE51" s="158"/>
      <c r="QOF51" s="158"/>
      <c r="QOG51" s="158"/>
      <c r="QOH51" s="158"/>
      <c r="QOI51" s="158"/>
      <c r="QOJ51" s="158"/>
      <c r="QOK51" s="158"/>
      <c r="QOL51" s="158"/>
      <c r="QOM51" s="158"/>
      <c r="QON51" s="158"/>
      <c r="QOO51" s="158"/>
      <c r="QOP51" s="158"/>
      <c r="QOQ51" s="158"/>
      <c r="QOR51" s="158"/>
      <c r="QOS51" s="158"/>
      <c r="QOT51" s="158"/>
      <c r="QOU51" s="158"/>
      <c r="QOV51" s="158"/>
      <c r="QOW51" s="158"/>
      <c r="QOX51" s="158"/>
      <c r="QOY51" s="158"/>
      <c r="QOZ51" s="158"/>
      <c r="QPA51" s="158"/>
      <c r="QPB51" s="158"/>
      <c r="QPC51" s="158"/>
      <c r="QPD51" s="158"/>
      <c r="QPE51" s="158"/>
      <c r="QPF51" s="158"/>
      <c r="QPG51" s="158"/>
      <c r="QPH51" s="158"/>
      <c r="QPI51" s="158"/>
      <c r="QPJ51" s="158"/>
      <c r="QPK51" s="158"/>
      <c r="QPL51" s="158"/>
      <c r="QPM51" s="158"/>
      <c r="QPN51" s="158"/>
      <c r="QPO51" s="158"/>
      <c r="QPP51" s="158"/>
      <c r="QPQ51" s="158"/>
      <c r="QPR51" s="158"/>
      <c r="QPS51" s="158"/>
      <c r="QPT51" s="158"/>
      <c r="QPU51" s="158"/>
      <c r="QPV51" s="158"/>
      <c r="QPW51" s="158"/>
      <c r="QPX51" s="158"/>
      <c r="QPY51" s="158"/>
      <c r="QPZ51" s="158"/>
      <c r="QQA51" s="158"/>
      <c r="QQB51" s="158"/>
      <c r="QQC51" s="158"/>
      <c r="QQD51" s="158"/>
      <c r="QQE51" s="158"/>
      <c r="QQF51" s="158"/>
      <c r="QQG51" s="158"/>
      <c r="QQH51" s="158"/>
      <c r="QQI51" s="158"/>
      <c r="QQJ51" s="158"/>
      <c r="QQK51" s="158"/>
      <c r="QQL51" s="158"/>
      <c r="QQM51" s="158"/>
      <c r="QQN51" s="158"/>
      <c r="QQO51" s="158"/>
      <c r="QQP51" s="158"/>
      <c r="QQQ51" s="158"/>
      <c r="QQR51" s="158"/>
      <c r="QQS51" s="158"/>
      <c r="QQT51" s="158"/>
      <c r="QQU51" s="158"/>
      <c r="QQV51" s="158"/>
      <c r="QQW51" s="158"/>
      <c r="QQX51" s="158"/>
      <c r="QQY51" s="158"/>
      <c r="QQZ51" s="158"/>
      <c r="QRA51" s="158"/>
      <c r="QRB51" s="158"/>
      <c r="QRC51" s="158"/>
      <c r="QRD51" s="158"/>
      <c r="QRE51" s="158"/>
      <c r="QRF51" s="158"/>
      <c r="QRG51" s="158"/>
      <c r="QRH51" s="158"/>
      <c r="QRI51" s="158"/>
      <c r="QRJ51" s="158"/>
      <c r="QRK51" s="158"/>
      <c r="QRL51" s="158"/>
      <c r="QRM51" s="158"/>
      <c r="QRN51" s="158"/>
      <c r="QRO51" s="158"/>
      <c r="QRP51" s="158"/>
      <c r="QRQ51" s="158"/>
      <c r="QRR51" s="158"/>
      <c r="QRS51" s="158"/>
      <c r="QRT51" s="158"/>
      <c r="QRU51" s="158"/>
      <c r="QRV51" s="158"/>
      <c r="QRW51" s="158"/>
      <c r="QRX51" s="158"/>
      <c r="QRY51" s="158"/>
      <c r="QRZ51" s="158"/>
      <c r="QSA51" s="158"/>
      <c r="QSB51" s="158"/>
      <c r="QSC51" s="158"/>
      <c r="QSD51" s="158"/>
      <c r="QSE51" s="158"/>
      <c r="QSF51" s="158"/>
      <c r="QSG51" s="158"/>
      <c r="QSH51" s="158"/>
      <c r="QSI51" s="158"/>
      <c r="QSJ51" s="158"/>
      <c r="QSK51" s="158"/>
      <c r="QSL51" s="158"/>
      <c r="QSM51" s="158"/>
      <c r="QSN51" s="158"/>
      <c r="QSO51" s="158"/>
      <c r="QSP51" s="158"/>
      <c r="QSQ51" s="158"/>
      <c r="QSR51" s="158"/>
      <c r="QSS51" s="158"/>
      <c r="QST51" s="158"/>
      <c r="QSU51" s="158"/>
      <c r="QSV51" s="158"/>
      <c r="QSW51" s="158"/>
      <c r="QSX51" s="158"/>
      <c r="QSY51" s="158"/>
      <c r="QSZ51" s="158"/>
      <c r="QTA51" s="158"/>
      <c r="QTB51" s="158"/>
      <c r="QTC51" s="158"/>
      <c r="QTD51" s="158"/>
      <c r="QTE51" s="158"/>
      <c r="QTF51" s="158"/>
      <c r="QTG51" s="158"/>
      <c r="QTH51" s="158"/>
      <c r="QTI51" s="158"/>
      <c r="QTJ51" s="158"/>
      <c r="QTK51" s="158"/>
      <c r="QTL51" s="158"/>
      <c r="QTM51" s="158"/>
      <c r="QTN51" s="158"/>
      <c r="QTO51" s="158"/>
      <c r="QTP51" s="158"/>
      <c r="QTQ51" s="158"/>
      <c r="QTR51" s="158"/>
      <c r="QTS51" s="158"/>
      <c r="QTT51" s="158"/>
      <c r="QTU51" s="158"/>
      <c r="QTV51" s="158"/>
      <c r="QTW51" s="158"/>
      <c r="QTX51" s="158"/>
      <c r="QTY51" s="158"/>
      <c r="QTZ51" s="158"/>
      <c r="QUA51" s="158"/>
      <c r="QUB51" s="158"/>
      <c r="QUC51" s="158"/>
      <c r="QUD51" s="158"/>
      <c r="QUE51" s="158"/>
      <c r="QUF51" s="158"/>
      <c r="QUG51" s="158"/>
      <c r="QUH51" s="158"/>
      <c r="QUI51" s="158"/>
      <c r="QUJ51" s="158"/>
      <c r="QUK51" s="158"/>
      <c r="QUL51" s="158"/>
      <c r="QUM51" s="158"/>
      <c r="QUN51" s="158"/>
      <c r="QUO51" s="158"/>
      <c r="QUP51" s="158"/>
      <c r="QUQ51" s="158"/>
      <c r="QUR51" s="158"/>
      <c r="QUS51" s="158"/>
      <c r="QUT51" s="158"/>
      <c r="QUU51" s="158"/>
      <c r="QUV51" s="158"/>
      <c r="QUW51" s="158"/>
      <c r="QUX51" s="158"/>
      <c r="QUY51" s="158"/>
      <c r="QUZ51" s="158"/>
      <c r="QVA51" s="158"/>
      <c r="QVB51" s="158"/>
      <c r="QVC51" s="158"/>
      <c r="QVD51" s="158"/>
      <c r="QVE51" s="158"/>
      <c r="QVF51" s="158"/>
      <c r="QVG51" s="158"/>
      <c r="QVH51" s="158"/>
      <c r="QVI51" s="158"/>
      <c r="QVJ51" s="158"/>
      <c r="QVK51" s="158"/>
      <c r="QVL51" s="158"/>
      <c r="QVM51" s="158"/>
      <c r="QVN51" s="158"/>
      <c r="QVO51" s="158"/>
      <c r="QVP51" s="158"/>
      <c r="QVQ51" s="158"/>
      <c r="QVR51" s="158"/>
      <c r="QVS51" s="158"/>
      <c r="QVT51" s="158"/>
      <c r="QVU51" s="158"/>
      <c r="QVV51" s="158"/>
      <c r="QVW51" s="158"/>
      <c r="QVX51" s="158"/>
      <c r="QVY51" s="158"/>
      <c r="QVZ51" s="158"/>
      <c r="QWA51" s="158"/>
      <c r="QWB51" s="158"/>
      <c r="QWC51" s="158"/>
      <c r="QWD51" s="158"/>
      <c r="QWE51" s="158"/>
      <c r="QWF51" s="158"/>
      <c r="QWG51" s="158"/>
      <c r="QWH51" s="158"/>
      <c r="QWI51" s="158"/>
      <c r="QWJ51" s="158"/>
      <c r="QWK51" s="158"/>
      <c r="QWL51" s="158"/>
      <c r="QWM51" s="158"/>
      <c r="QWN51" s="158"/>
      <c r="QWO51" s="158"/>
      <c r="QWP51" s="158"/>
      <c r="QWQ51" s="158"/>
      <c r="QWR51" s="158"/>
      <c r="QWS51" s="158"/>
      <c r="QWT51" s="158"/>
      <c r="QWU51" s="158"/>
      <c r="QWV51" s="158"/>
      <c r="QWW51" s="158"/>
      <c r="QWX51" s="158"/>
      <c r="QWY51" s="158"/>
      <c r="QWZ51" s="158"/>
      <c r="QXA51" s="158"/>
      <c r="QXB51" s="158"/>
      <c r="QXC51" s="158"/>
      <c r="QXD51" s="158"/>
      <c r="QXE51" s="158"/>
      <c r="QXF51" s="158"/>
      <c r="QXG51" s="158"/>
      <c r="QXH51" s="158"/>
      <c r="QXI51" s="158"/>
      <c r="QXJ51" s="158"/>
      <c r="QXK51" s="158"/>
      <c r="QXL51" s="158"/>
      <c r="QXM51" s="158"/>
      <c r="QXN51" s="158"/>
      <c r="QXO51" s="158"/>
      <c r="QXP51" s="158"/>
      <c r="QXQ51" s="158"/>
      <c r="QXR51" s="158"/>
      <c r="QXS51" s="158"/>
      <c r="QXT51" s="158"/>
      <c r="QXU51" s="158"/>
      <c r="QXV51" s="158"/>
      <c r="QXW51" s="158"/>
      <c r="QXX51" s="158"/>
      <c r="QXY51" s="158"/>
      <c r="QXZ51" s="158"/>
      <c r="QYA51" s="158"/>
      <c r="QYB51" s="158"/>
      <c r="QYC51" s="158"/>
      <c r="QYD51" s="158"/>
      <c r="QYE51" s="158"/>
      <c r="QYF51" s="158"/>
      <c r="QYG51" s="158"/>
      <c r="QYH51" s="158"/>
      <c r="QYI51" s="158"/>
      <c r="QYJ51" s="158"/>
      <c r="QYK51" s="158"/>
      <c r="QYL51" s="158"/>
      <c r="QYM51" s="158"/>
      <c r="QYN51" s="158"/>
      <c r="QYO51" s="158"/>
      <c r="QYP51" s="158"/>
      <c r="QYQ51" s="158"/>
      <c r="QYR51" s="158"/>
      <c r="QYS51" s="158"/>
      <c r="QYT51" s="158"/>
      <c r="QYU51" s="158"/>
      <c r="QYV51" s="158"/>
      <c r="QYW51" s="158"/>
      <c r="QYX51" s="158"/>
      <c r="QYY51" s="158"/>
      <c r="QYZ51" s="158"/>
      <c r="QZA51" s="158"/>
      <c r="QZB51" s="158"/>
      <c r="QZC51" s="158"/>
      <c r="QZD51" s="158"/>
      <c r="QZE51" s="158"/>
      <c r="QZF51" s="158"/>
      <c r="QZG51" s="158"/>
      <c r="QZH51" s="158"/>
      <c r="QZI51" s="158"/>
      <c r="QZJ51" s="158"/>
      <c r="QZK51" s="158"/>
      <c r="QZL51" s="158"/>
      <c r="QZM51" s="158"/>
      <c r="QZN51" s="158"/>
      <c r="QZO51" s="158"/>
      <c r="QZP51" s="158"/>
      <c r="QZQ51" s="158"/>
      <c r="QZR51" s="158"/>
      <c r="QZS51" s="158"/>
      <c r="QZT51" s="158"/>
      <c r="QZU51" s="158"/>
      <c r="QZV51" s="158"/>
      <c r="QZW51" s="158"/>
      <c r="QZX51" s="158"/>
      <c r="QZY51" s="158"/>
      <c r="QZZ51" s="158"/>
      <c r="RAA51" s="158"/>
      <c r="RAB51" s="158"/>
      <c r="RAC51" s="158"/>
      <c r="RAD51" s="158"/>
      <c r="RAE51" s="158"/>
      <c r="RAF51" s="158"/>
      <c r="RAG51" s="158"/>
      <c r="RAH51" s="158"/>
      <c r="RAI51" s="158"/>
      <c r="RAJ51" s="158"/>
      <c r="RAK51" s="158"/>
      <c r="RAL51" s="158"/>
      <c r="RAM51" s="158"/>
      <c r="RAN51" s="158"/>
      <c r="RAO51" s="158"/>
      <c r="RAP51" s="158"/>
      <c r="RAQ51" s="158"/>
      <c r="RAR51" s="158"/>
      <c r="RAS51" s="158"/>
      <c r="RAT51" s="158"/>
      <c r="RAU51" s="158"/>
      <c r="RAV51" s="158"/>
      <c r="RAW51" s="158"/>
      <c r="RAX51" s="158"/>
      <c r="RAY51" s="158"/>
      <c r="RAZ51" s="158"/>
      <c r="RBA51" s="158"/>
      <c r="RBB51" s="158"/>
      <c r="RBC51" s="158"/>
      <c r="RBD51" s="158"/>
      <c r="RBE51" s="158"/>
      <c r="RBF51" s="158"/>
      <c r="RBG51" s="158"/>
      <c r="RBH51" s="158"/>
      <c r="RBI51" s="158"/>
      <c r="RBJ51" s="158"/>
      <c r="RBK51" s="158"/>
      <c r="RBL51" s="158"/>
      <c r="RBM51" s="158"/>
      <c r="RBN51" s="158"/>
      <c r="RBO51" s="158"/>
      <c r="RBP51" s="158"/>
      <c r="RBQ51" s="158"/>
      <c r="RBR51" s="158"/>
      <c r="RBS51" s="158"/>
      <c r="RBT51" s="158"/>
      <c r="RBU51" s="158"/>
      <c r="RBV51" s="158"/>
      <c r="RBW51" s="158"/>
      <c r="RBX51" s="158"/>
      <c r="RBY51" s="158"/>
      <c r="RBZ51" s="158"/>
      <c r="RCA51" s="158"/>
      <c r="RCB51" s="158"/>
      <c r="RCC51" s="158"/>
      <c r="RCD51" s="158"/>
      <c r="RCE51" s="158"/>
      <c r="RCF51" s="158"/>
      <c r="RCG51" s="158"/>
      <c r="RCH51" s="158"/>
      <c r="RCI51" s="158"/>
      <c r="RCJ51" s="158"/>
      <c r="RCK51" s="158"/>
      <c r="RCL51" s="158"/>
      <c r="RCM51" s="158"/>
      <c r="RCN51" s="158"/>
      <c r="RCO51" s="158"/>
      <c r="RCP51" s="158"/>
      <c r="RCQ51" s="158"/>
      <c r="RCR51" s="158"/>
      <c r="RCS51" s="158"/>
      <c r="RCT51" s="158"/>
      <c r="RCU51" s="158"/>
      <c r="RCV51" s="158"/>
      <c r="RCW51" s="158"/>
      <c r="RCX51" s="158"/>
      <c r="RCY51" s="158"/>
      <c r="RCZ51" s="158"/>
      <c r="RDA51" s="158"/>
      <c r="RDB51" s="158"/>
      <c r="RDC51" s="158"/>
      <c r="RDD51" s="158"/>
      <c r="RDE51" s="158"/>
      <c r="RDF51" s="158"/>
      <c r="RDG51" s="158"/>
      <c r="RDH51" s="158"/>
      <c r="RDI51" s="158"/>
      <c r="RDJ51" s="158"/>
      <c r="RDK51" s="158"/>
      <c r="RDL51" s="158"/>
      <c r="RDM51" s="158"/>
      <c r="RDN51" s="158"/>
      <c r="RDO51" s="158"/>
      <c r="RDP51" s="158"/>
      <c r="RDQ51" s="158"/>
      <c r="RDR51" s="158"/>
      <c r="RDS51" s="158"/>
      <c r="RDT51" s="158"/>
      <c r="RDU51" s="158"/>
      <c r="RDV51" s="158"/>
      <c r="RDW51" s="158"/>
      <c r="RDX51" s="158"/>
      <c r="RDY51" s="158"/>
      <c r="RDZ51" s="158"/>
      <c r="REA51" s="158"/>
      <c r="REB51" s="158"/>
      <c r="REC51" s="158"/>
      <c r="RED51" s="158"/>
      <c r="REE51" s="158"/>
      <c r="REF51" s="158"/>
      <c r="REG51" s="158"/>
      <c r="REH51" s="158"/>
      <c r="REI51" s="158"/>
      <c r="REJ51" s="158"/>
      <c r="REK51" s="158"/>
      <c r="REL51" s="158"/>
      <c r="REM51" s="158"/>
      <c r="REN51" s="158"/>
      <c r="REO51" s="158"/>
      <c r="REP51" s="158"/>
      <c r="REQ51" s="158"/>
      <c r="RER51" s="158"/>
      <c r="RES51" s="158"/>
      <c r="RET51" s="158"/>
      <c r="REU51" s="158"/>
      <c r="REV51" s="158"/>
      <c r="REW51" s="158"/>
      <c r="REX51" s="158"/>
      <c r="REY51" s="158"/>
      <c r="REZ51" s="158"/>
      <c r="RFA51" s="158"/>
      <c r="RFB51" s="158"/>
      <c r="RFC51" s="158"/>
      <c r="RFD51" s="158"/>
      <c r="RFE51" s="158"/>
      <c r="RFF51" s="158"/>
      <c r="RFG51" s="158"/>
      <c r="RFH51" s="158"/>
      <c r="RFI51" s="158"/>
      <c r="RFJ51" s="158"/>
      <c r="RFK51" s="158"/>
      <c r="RFL51" s="158"/>
      <c r="RFM51" s="158"/>
      <c r="RFN51" s="158"/>
      <c r="RFO51" s="158"/>
      <c r="RFP51" s="158"/>
      <c r="RFQ51" s="158"/>
      <c r="RFR51" s="158"/>
      <c r="RFS51" s="158"/>
      <c r="RFT51" s="158"/>
      <c r="RFU51" s="158"/>
      <c r="RFV51" s="158"/>
      <c r="RFW51" s="158"/>
      <c r="RFX51" s="158"/>
      <c r="RFY51" s="158"/>
      <c r="RFZ51" s="158"/>
      <c r="RGA51" s="158"/>
      <c r="RGB51" s="158"/>
      <c r="RGC51" s="158"/>
      <c r="RGD51" s="158"/>
      <c r="RGE51" s="158"/>
      <c r="RGF51" s="158"/>
      <c r="RGG51" s="158"/>
      <c r="RGH51" s="158"/>
      <c r="RGI51" s="158"/>
      <c r="RGJ51" s="158"/>
      <c r="RGK51" s="158"/>
      <c r="RGL51" s="158"/>
      <c r="RGM51" s="158"/>
      <c r="RGN51" s="158"/>
      <c r="RGO51" s="158"/>
      <c r="RGP51" s="158"/>
      <c r="RGQ51" s="158"/>
      <c r="RGR51" s="158"/>
      <c r="RGS51" s="158"/>
      <c r="RGT51" s="158"/>
      <c r="RGU51" s="158"/>
      <c r="RGV51" s="158"/>
      <c r="RGW51" s="158"/>
      <c r="RGX51" s="158"/>
      <c r="RGY51" s="158"/>
      <c r="RGZ51" s="158"/>
      <c r="RHA51" s="158"/>
      <c r="RHB51" s="158"/>
      <c r="RHC51" s="158"/>
      <c r="RHD51" s="158"/>
      <c r="RHE51" s="158"/>
      <c r="RHF51" s="158"/>
      <c r="RHG51" s="158"/>
      <c r="RHH51" s="158"/>
      <c r="RHI51" s="158"/>
      <c r="RHJ51" s="158"/>
      <c r="RHK51" s="158"/>
      <c r="RHL51" s="158"/>
      <c r="RHM51" s="158"/>
      <c r="RHN51" s="158"/>
      <c r="RHO51" s="158"/>
      <c r="RHP51" s="158"/>
      <c r="RHQ51" s="158"/>
      <c r="RHR51" s="158"/>
      <c r="RHS51" s="158"/>
      <c r="RHT51" s="158"/>
      <c r="RHU51" s="158"/>
      <c r="RHV51" s="158"/>
      <c r="RHW51" s="158"/>
      <c r="RHX51" s="158"/>
      <c r="RHY51" s="158"/>
      <c r="RHZ51" s="158"/>
      <c r="RIA51" s="158"/>
      <c r="RIB51" s="158"/>
      <c r="RIC51" s="158"/>
      <c r="RID51" s="158"/>
      <c r="RIE51" s="158"/>
      <c r="RIF51" s="158"/>
      <c r="RIG51" s="158"/>
      <c r="RIH51" s="158"/>
      <c r="RII51" s="158"/>
      <c r="RIJ51" s="158"/>
      <c r="RIK51" s="158"/>
      <c r="RIL51" s="158"/>
      <c r="RIM51" s="158"/>
      <c r="RIN51" s="158"/>
      <c r="RIO51" s="158"/>
      <c r="RIP51" s="158"/>
      <c r="RIQ51" s="158"/>
      <c r="RIR51" s="158"/>
      <c r="RIS51" s="158"/>
      <c r="RIT51" s="158"/>
      <c r="RIU51" s="158"/>
      <c r="RIV51" s="158"/>
      <c r="RIW51" s="158"/>
      <c r="RIX51" s="158"/>
      <c r="RIY51" s="158"/>
      <c r="RIZ51" s="158"/>
      <c r="RJA51" s="158"/>
      <c r="RJB51" s="158"/>
      <c r="RJC51" s="158"/>
      <c r="RJD51" s="158"/>
      <c r="RJE51" s="158"/>
      <c r="RJF51" s="158"/>
      <c r="RJG51" s="158"/>
      <c r="RJH51" s="158"/>
      <c r="RJI51" s="158"/>
      <c r="RJJ51" s="158"/>
      <c r="RJK51" s="158"/>
      <c r="RJL51" s="158"/>
      <c r="RJM51" s="158"/>
      <c r="RJN51" s="158"/>
      <c r="RJO51" s="158"/>
      <c r="RJP51" s="158"/>
      <c r="RJQ51" s="158"/>
      <c r="RJR51" s="158"/>
      <c r="RJS51" s="158"/>
      <c r="RJT51" s="158"/>
      <c r="RJU51" s="158"/>
      <c r="RJV51" s="158"/>
      <c r="RJW51" s="158"/>
      <c r="RJX51" s="158"/>
      <c r="RJY51" s="158"/>
      <c r="RJZ51" s="158"/>
      <c r="RKA51" s="158"/>
      <c r="RKB51" s="158"/>
      <c r="RKC51" s="158"/>
      <c r="RKD51" s="158"/>
      <c r="RKE51" s="158"/>
      <c r="RKF51" s="158"/>
      <c r="RKG51" s="158"/>
      <c r="RKH51" s="158"/>
      <c r="RKI51" s="158"/>
      <c r="RKJ51" s="158"/>
      <c r="RKK51" s="158"/>
      <c r="RKL51" s="158"/>
      <c r="RKM51" s="158"/>
      <c r="RKN51" s="158"/>
      <c r="RKO51" s="158"/>
      <c r="RKP51" s="158"/>
      <c r="RKQ51" s="158"/>
      <c r="RKR51" s="158"/>
      <c r="RKS51" s="158"/>
      <c r="RKT51" s="158"/>
      <c r="RKU51" s="158"/>
      <c r="RKV51" s="158"/>
      <c r="RKW51" s="158"/>
      <c r="RKX51" s="158"/>
      <c r="RKY51" s="158"/>
      <c r="RKZ51" s="158"/>
      <c r="RLA51" s="158"/>
      <c r="RLB51" s="158"/>
      <c r="RLC51" s="158"/>
      <c r="RLD51" s="158"/>
      <c r="RLE51" s="158"/>
      <c r="RLF51" s="158"/>
      <c r="RLG51" s="158"/>
      <c r="RLH51" s="158"/>
      <c r="RLI51" s="158"/>
      <c r="RLJ51" s="158"/>
      <c r="RLK51" s="158"/>
      <c r="RLL51" s="158"/>
      <c r="RLM51" s="158"/>
      <c r="RLN51" s="158"/>
      <c r="RLO51" s="158"/>
      <c r="RLP51" s="158"/>
      <c r="RLQ51" s="158"/>
      <c r="RLR51" s="158"/>
      <c r="RLS51" s="158"/>
      <c r="RLT51" s="158"/>
      <c r="RLU51" s="158"/>
      <c r="RLV51" s="158"/>
      <c r="RLW51" s="158"/>
      <c r="RLX51" s="158"/>
      <c r="RLY51" s="158"/>
      <c r="RLZ51" s="158"/>
      <c r="RMA51" s="158"/>
      <c r="RMB51" s="158"/>
      <c r="RMC51" s="158"/>
      <c r="RMD51" s="158"/>
      <c r="RME51" s="158"/>
      <c r="RMF51" s="158"/>
      <c r="RMG51" s="158"/>
      <c r="RMH51" s="158"/>
      <c r="RMI51" s="158"/>
      <c r="RMJ51" s="158"/>
      <c r="RMK51" s="158"/>
      <c r="RML51" s="158"/>
      <c r="RMM51" s="158"/>
      <c r="RMN51" s="158"/>
      <c r="RMO51" s="158"/>
      <c r="RMP51" s="158"/>
      <c r="RMQ51" s="158"/>
      <c r="RMR51" s="158"/>
      <c r="RMS51" s="158"/>
      <c r="RMT51" s="158"/>
      <c r="RMU51" s="158"/>
      <c r="RMV51" s="158"/>
      <c r="RMW51" s="158"/>
      <c r="RMX51" s="158"/>
      <c r="RMY51" s="158"/>
      <c r="RMZ51" s="158"/>
      <c r="RNA51" s="158"/>
      <c r="RNB51" s="158"/>
      <c r="RNC51" s="158"/>
      <c r="RND51" s="158"/>
      <c r="RNE51" s="158"/>
      <c r="RNF51" s="158"/>
      <c r="RNG51" s="158"/>
      <c r="RNH51" s="158"/>
      <c r="RNI51" s="158"/>
      <c r="RNJ51" s="158"/>
      <c r="RNK51" s="158"/>
      <c r="RNL51" s="158"/>
      <c r="RNM51" s="158"/>
      <c r="RNN51" s="158"/>
      <c r="RNO51" s="158"/>
      <c r="RNP51" s="158"/>
      <c r="RNQ51" s="158"/>
      <c r="RNR51" s="158"/>
      <c r="RNS51" s="158"/>
      <c r="RNT51" s="158"/>
      <c r="RNU51" s="158"/>
      <c r="RNV51" s="158"/>
      <c r="RNW51" s="158"/>
      <c r="RNX51" s="158"/>
      <c r="RNY51" s="158"/>
      <c r="RNZ51" s="158"/>
      <c r="ROA51" s="158"/>
      <c r="ROB51" s="158"/>
      <c r="ROC51" s="158"/>
      <c r="ROD51" s="158"/>
      <c r="ROE51" s="158"/>
      <c r="ROF51" s="158"/>
      <c r="ROG51" s="158"/>
      <c r="ROH51" s="158"/>
      <c r="ROI51" s="158"/>
      <c r="ROJ51" s="158"/>
      <c r="ROK51" s="158"/>
      <c r="ROL51" s="158"/>
      <c r="ROM51" s="158"/>
      <c r="RON51" s="158"/>
      <c r="ROO51" s="158"/>
      <c r="ROP51" s="158"/>
      <c r="ROQ51" s="158"/>
      <c r="ROR51" s="158"/>
      <c r="ROS51" s="158"/>
      <c r="ROT51" s="158"/>
      <c r="ROU51" s="158"/>
      <c r="ROV51" s="158"/>
      <c r="ROW51" s="158"/>
      <c r="ROX51" s="158"/>
      <c r="ROY51" s="158"/>
      <c r="ROZ51" s="158"/>
      <c r="RPA51" s="158"/>
      <c r="RPB51" s="158"/>
      <c r="RPC51" s="158"/>
      <c r="RPD51" s="158"/>
      <c r="RPE51" s="158"/>
      <c r="RPF51" s="158"/>
      <c r="RPG51" s="158"/>
      <c r="RPH51" s="158"/>
      <c r="RPI51" s="158"/>
      <c r="RPJ51" s="158"/>
      <c r="RPK51" s="158"/>
      <c r="RPL51" s="158"/>
      <c r="RPM51" s="158"/>
      <c r="RPN51" s="158"/>
      <c r="RPO51" s="158"/>
      <c r="RPP51" s="158"/>
      <c r="RPQ51" s="158"/>
      <c r="RPR51" s="158"/>
      <c r="RPS51" s="158"/>
      <c r="RPT51" s="158"/>
      <c r="RPU51" s="158"/>
      <c r="RPV51" s="158"/>
      <c r="RPW51" s="158"/>
      <c r="RPX51" s="158"/>
      <c r="RPY51" s="158"/>
      <c r="RPZ51" s="158"/>
      <c r="RQA51" s="158"/>
      <c r="RQB51" s="158"/>
      <c r="RQC51" s="158"/>
      <c r="RQD51" s="158"/>
      <c r="RQE51" s="158"/>
      <c r="RQF51" s="158"/>
      <c r="RQG51" s="158"/>
      <c r="RQH51" s="158"/>
      <c r="RQI51" s="158"/>
      <c r="RQJ51" s="158"/>
      <c r="RQK51" s="158"/>
      <c r="RQL51" s="158"/>
      <c r="RQM51" s="158"/>
      <c r="RQN51" s="158"/>
      <c r="RQO51" s="158"/>
      <c r="RQP51" s="158"/>
      <c r="RQQ51" s="158"/>
      <c r="RQR51" s="158"/>
      <c r="RQS51" s="158"/>
      <c r="RQT51" s="158"/>
      <c r="RQU51" s="158"/>
      <c r="RQV51" s="158"/>
      <c r="RQW51" s="158"/>
      <c r="RQX51" s="158"/>
      <c r="RQY51" s="158"/>
      <c r="RQZ51" s="158"/>
      <c r="RRA51" s="158"/>
      <c r="RRB51" s="158"/>
      <c r="RRC51" s="158"/>
      <c r="RRD51" s="158"/>
      <c r="RRE51" s="158"/>
      <c r="RRF51" s="158"/>
      <c r="RRG51" s="158"/>
      <c r="RRH51" s="158"/>
      <c r="RRI51" s="158"/>
      <c r="RRJ51" s="158"/>
      <c r="RRK51" s="158"/>
      <c r="RRL51" s="158"/>
      <c r="RRM51" s="158"/>
      <c r="RRN51" s="158"/>
      <c r="RRO51" s="158"/>
      <c r="RRP51" s="158"/>
      <c r="RRQ51" s="158"/>
      <c r="RRR51" s="158"/>
      <c r="RRS51" s="158"/>
      <c r="RRT51" s="158"/>
      <c r="RRU51" s="158"/>
      <c r="RRV51" s="158"/>
      <c r="RRW51" s="158"/>
      <c r="RRX51" s="158"/>
      <c r="RRY51" s="158"/>
      <c r="RRZ51" s="158"/>
      <c r="RSA51" s="158"/>
      <c r="RSB51" s="158"/>
      <c r="RSC51" s="158"/>
      <c r="RSD51" s="158"/>
      <c r="RSE51" s="158"/>
      <c r="RSF51" s="158"/>
      <c r="RSG51" s="158"/>
      <c r="RSH51" s="158"/>
      <c r="RSI51" s="158"/>
      <c r="RSJ51" s="158"/>
      <c r="RSK51" s="158"/>
      <c r="RSL51" s="158"/>
      <c r="RSM51" s="158"/>
      <c r="RSN51" s="158"/>
      <c r="RSO51" s="158"/>
      <c r="RSP51" s="158"/>
      <c r="RSQ51" s="158"/>
      <c r="RSR51" s="158"/>
      <c r="RSS51" s="158"/>
      <c r="RST51" s="158"/>
      <c r="RSU51" s="158"/>
      <c r="RSV51" s="158"/>
      <c r="RSW51" s="158"/>
      <c r="RSX51" s="158"/>
      <c r="RSY51" s="158"/>
      <c r="RSZ51" s="158"/>
      <c r="RTA51" s="158"/>
      <c r="RTB51" s="158"/>
      <c r="RTC51" s="158"/>
      <c r="RTD51" s="158"/>
      <c r="RTE51" s="158"/>
      <c r="RTF51" s="158"/>
      <c r="RTG51" s="158"/>
      <c r="RTH51" s="158"/>
      <c r="RTI51" s="158"/>
      <c r="RTJ51" s="158"/>
      <c r="RTK51" s="158"/>
      <c r="RTL51" s="158"/>
      <c r="RTM51" s="158"/>
      <c r="RTN51" s="158"/>
      <c r="RTO51" s="158"/>
      <c r="RTP51" s="158"/>
      <c r="RTQ51" s="158"/>
      <c r="RTR51" s="158"/>
      <c r="RTS51" s="158"/>
      <c r="RTT51" s="158"/>
      <c r="RTU51" s="158"/>
      <c r="RTV51" s="158"/>
      <c r="RTW51" s="158"/>
      <c r="RTX51" s="158"/>
      <c r="RTY51" s="158"/>
      <c r="RTZ51" s="158"/>
      <c r="RUA51" s="158"/>
      <c r="RUB51" s="158"/>
      <c r="RUC51" s="158"/>
      <c r="RUD51" s="158"/>
      <c r="RUE51" s="158"/>
      <c r="RUF51" s="158"/>
      <c r="RUG51" s="158"/>
      <c r="RUH51" s="158"/>
      <c r="RUI51" s="158"/>
      <c r="RUJ51" s="158"/>
      <c r="RUK51" s="158"/>
      <c r="RUL51" s="158"/>
      <c r="RUM51" s="158"/>
      <c r="RUN51" s="158"/>
      <c r="RUO51" s="158"/>
      <c r="RUP51" s="158"/>
      <c r="RUQ51" s="158"/>
      <c r="RUR51" s="158"/>
      <c r="RUS51" s="158"/>
      <c r="RUT51" s="158"/>
      <c r="RUU51" s="158"/>
      <c r="RUV51" s="158"/>
      <c r="RUW51" s="158"/>
      <c r="RUX51" s="158"/>
      <c r="RUY51" s="158"/>
      <c r="RUZ51" s="158"/>
      <c r="RVA51" s="158"/>
      <c r="RVB51" s="158"/>
      <c r="RVC51" s="158"/>
      <c r="RVD51" s="158"/>
      <c r="RVE51" s="158"/>
      <c r="RVF51" s="158"/>
      <c r="RVG51" s="158"/>
      <c r="RVH51" s="158"/>
      <c r="RVI51" s="158"/>
      <c r="RVJ51" s="158"/>
      <c r="RVK51" s="158"/>
      <c r="RVL51" s="158"/>
      <c r="RVM51" s="158"/>
      <c r="RVN51" s="158"/>
      <c r="RVO51" s="158"/>
      <c r="RVP51" s="158"/>
      <c r="RVQ51" s="158"/>
      <c r="RVR51" s="158"/>
      <c r="RVS51" s="158"/>
      <c r="RVT51" s="158"/>
      <c r="RVU51" s="158"/>
      <c r="RVV51" s="158"/>
      <c r="RVW51" s="158"/>
      <c r="RVX51" s="158"/>
      <c r="RVY51" s="158"/>
      <c r="RVZ51" s="158"/>
      <c r="RWA51" s="158"/>
      <c r="RWB51" s="158"/>
      <c r="RWC51" s="158"/>
      <c r="RWD51" s="158"/>
      <c r="RWE51" s="158"/>
      <c r="RWF51" s="158"/>
      <c r="RWG51" s="158"/>
      <c r="RWH51" s="158"/>
      <c r="RWI51" s="158"/>
      <c r="RWJ51" s="158"/>
      <c r="RWK51" s="158"/>
      <c r="RWL51" s="158"/>
      <c r="RWM51" s="158"/>
      <c r="RWN51" s="158"/>
      <c r="RWO51" s="158"/>
      <c r="RWP51" s="158"/>
      <c r="RWQ51" s="158"/>
      <c r="RWR51" s="158"/>
      <c r="RWS51" s="158"/>
      <c r="RWT51" s="158"/>
      <c r="RWU51" s="158"/>
      <c r="RWV51" s="158"/>
      <c r="RWW51" s="158"/>
      <c r="RWX51" s="158"/>
      <c r="RWY51" s="158"/>
      <c r="RWZ51" s="158"/>
      <c r="RXA51" s="158"/>
      <c r="RXB51" s="158"/>
      <c r="RXC51" s="158"/>
      <c r="RXD51" s="158"/>
      <c r="RXE51" s="158"/>
      <c r="RXF51" s="158"/>
      <c r="RXG51" s="158"/>
      <c r="RXH51" s="158"/>
      <c r="RXI51" s="158"/>
      <c r="RXJ51" s="158"/>
      <c r="RXK51" s="158"/>
      <c r="RXL51" s="158"/>
      <c r="RXM51" s="158"/>
      <c r="RXN51" s="158"/>
      <c r="RXO51" s="158"/>
      <c r="RXP51" s="158"/>
      <c r="RXQ51" s="158"/>
      <c r="RXR51" s="158"/>
      <c r="RXS51" s="158"/>
      <c r="RXT51" s="158"/>
      <c r="RXU51" s="158"/>
      <c r="RXV51" s="158"/>
      <c r="RXW51" s="158"/>
      <c r="RXX51" s="158"/>
      <c r="RXY51" s="158"/>
      <c r="RXZ51" s="158"/>
      <c r="RYA51" s="158"/>
      <c r="RYB51" s="158"/>
      <c r="RYC51" s="158"/>
      <c r="RYD51" s="158"/>
      <c r="RYE51" s="158"/>
      <c r="RYF51" s="158"/>
      <c r="RYG51" s="158"/>
      <c r="RYH51" s="158"/>
      <c r="RYI51" s="158"/>
      <c r="RYJ51" s="158"/>
      <c r="RYK51" s="158"/>
      <c r="RYL51" s="158"/>
      <c r="RYM51" s="158"/>
      <c r="RYN51" s="158"/>
      <c r="RYO51" s="158"/>
      <c r="RYP51" s="158"/>
      <c r="RYQ51" s="158"/>
      <c r="RYR51" s="158"/>
      <c r="RYS51" s="158"/>
      <c r="RYT51" s="158"/>
      <c r="RYU51" s="158"/>
      <c r="RYV51" s="158"/>
      <c r="RYW51" s="158"/>
      <c r="RYX51" s="158"/>
      <c r="RYY51" s="158"/>
      <c r="RYZ51" s="158"/>
      <c r="RZA51" s="158"/>
      <c r="RZB51" s="158"/>
      <c r="RZC51" s="158"/>
      <c r="RZD51" s="158"/>
      <c r="RZE51" s="158"/>
      <c r="RZF51" s="158"/>
      <c r="RZG51" s="158"/>
      <c r="RZH51" s="158"/>
      <c r="RZI51" s="158"/>
      <c r="RZJ51" s="158"/>
      <c r="RZK51" s="158"/>
      <c r="RZL51" s="158"/>
      <c r="RZM51" s="158"/>
      <c r="RZN51" s="158"/>
      <c r="RZO51" s="158"/>
      <c r="RZP51" s="158"/>
      <c r="RZQ51" s="158"/>
      <c r="RZR51" s="158"/>
      <c r="RZS51" s="158"/>
      <c r="RZT51" s="158"/>
      <c r="RZU51" s="158"/>
      <c r="RZV51" s="158"/>
      <c r="RZW51" s="158"/>
      <c r="RZX51" s="158"/>
      <c r="RZY51" s="158"/>
      <c r="RZZ51" s="158"/>
      <c r="SAA51" s="158"/>
      <c r="SAB51" s="158"/>
      <c r="SAC51" s="158"/>
      <c r="SAD51" s="158"/>
      <c r="SAE51" s="158"/>
      <c r="SAF51" s="158"/>
      <c r="SAG51" s="158"/>
      <c r="SAH51" s="158"/>
      <c r="SAI51" s="158"/>
      <c r="SAJ51" s="158"/>
      <c r="SAK51" s="158"/>
      <c r="SAL51" s="158"/>
      <c r="SAM51" s="158"/>
      <c r="SAN51" s="158"/>
      <c r="SAO51" s="158"/>
      <c r="SAP51" s="158"/>
      <c r="SAQ51" s="158"/>
      <c r="SAR51" s="158"/>
      <c r="SAS51" s="158"/>
      <c r="SAT51" s="158"/>
      <c r="SAU51" s="158"/>
      <c r="SAV51" s="158"/>
      <c r="SAW51" s="158"/>
      <c r="SAX51" s="158"/>
      <c r="SAY51" s="158"/>
      <c r="SAZ51" s="158"/>
      <c r="SBA51" s="158"/>
      <c r="SBB51" s="158"/>
      <c r="SBC51" s="158"/>
      <c r="SBD51" s="158"/>
      <c r="SBE51" s="158"/>
      <c r="SBF51" s="158"/>
      <c r="SBG51" s="158"/>
      <c r="SBH51" s="158"/>
      <c r="SBI51" s="158"/>
      <c r="SBJ51" s="158"/>
      <c r="SBK51" s="158"/>
      <c r="SBL51" s="158"/>
      <c r="SBM51" s="158"/>
      <c r="SBN51" s="158"/>
      <c r="SBO51" s="158"/>
      <c r="SBP51" s="158"/>
      <c r="SBQ51" s="158"/>
      <c r="SBR51" s="158"/>
      <c r="SBS51" s="158"/>
      <c r="SBT51" s="158"/>
      <c r="SBU51" s="158"/>
      <c r="SBV51" s="158"/>
      <c r="SBW51" s="158"/>
      <c r="SBX51" s="158"/>
      <c r="SBY51" s="158"/>
      <c r="SBZ51" s="158"/>
      <c r="SCA51" s="158"/>
      <c r="SCB51" s="158"/>
      <c r="SCC51" s="158"/>
      <c r="SCD51" s="158"/>
      <c r="SCE51" s="158"/>
      <c r="SCF51" s="158"/>
      <c r="SCG51" s="158"/>
      <c r="SCH51" s="158"/>
      <c r="SCI51" s="158"/>
      <c r="SCJ51" s="158"/>
      <c r="SCK51" s="158"/>
      <c r="SCL51" s="158"/>
      <c r="SCM51" s="158"/>
      <c r="SCN51" s="158"/>
      <c r="SCO51" s="158"/>
      <c r="SCP51" s="158"/>
      <c r="SCQ51" s="158"/>
      <c r="SCR51" s="158"/>
      <c r="SCS51" s="158"/>
      <c r="SCT51" s="158"/>
      <c r="SCU51" s="158"/>
      <c r="SCV51" s="158"/>
      <c r="SCW51" s="158"/>
      <c r="SCX51" s="158"/>
      <c r="SCY51" s="158"/>
      <c r="SCZ51" s="158"/>
      <c r="SDA51" s="158"/>
      <c r="SDB51" s="158"/>
      <c r="SDC51" s="158"/>
      <c r="SDD51" s="158"/>
      <c r="SDE51" s="158"/>
      <c r="SDF51" s="158"/>
      <c r="SDG51" s="158"/>
      <c r="SDH51" s="158"/>
      <c r="SDI51" s="158"/>
      <c r="SDJ51" s="158"/>
      <c r="SDK51" s="158"/>
      <c r="SDL51" s="158"/>
      <c r="SDM51" s="158"/>
      <c r="SDN51" s="158"/>
      <c r="SDO51" s="158"/>
      <c r="SDP51" s="158"/>
      <c r="SDQ51" s="158"/>
      <c r="SDR51" s="158"/>
      <c r="SDS51" s="158"/>
      <c r="SDT51" s="158"/>
      <c r="SDU51" s="158"/>
      <c r="SDV51" s="158"/>
      <c r="SDW51" s="158"/>
      <c r="SDX51" s="158"/>
      <c r="SDY51" s="158"/>
      <c r="SDZ51" s="158"/>
      <c r="SEA51" s="158"/>
      <c r="SEB51" s="158"/>
      <c r="SEC51" s="158"/>
      <c r="SED51" s="158"/>
      <c r="SEE51" s="158"/>
      <c r="SEF51" s="158"/>
      <c r="SEG51" s="158"/>
      <c r="SEH51" s="158"/>
      <c r="SEI51" s="158"/>
      <c r="SEJ51" s="158"/>
      <c r="SEK51" s="158"/>
      <c r="SEL51" s="158"/>
      <c r="SEM51" s="158"/>
      <c r="SEN51" s="158"/>
      <c r="SEO51" s="158"/>
      <c r="SEP51" s="158"/>
      <c r="SEQ51" s="158"/>
      <c r="SER51" s="158"/>
      <c r="SES51" s="158"/>
      <c r="SET51" s="158"/>
      <c r="SEU51" s="158"/>
      <c r="SEV51" s="158"/>
      <c r="SEW51" s="158"/>
      <c r="SEX51" s="158"/>
      <c r="SEY51" s="158"/>
      <c r="SEZ51" s="158"/>
      <c r="SFA51" s="158"/>
      <c r="SFB51" s="158"/>
      <c r="SFC51" s="158"/>
      <c r="SFD51" s="158"/>
      <c r="SFE51" s="158"/>
      <c r="SFF51" s="158"/>
      <c r="SFG51" s="158"/>
      <c r="SFH51" s="158"/>
      <c r="SFI51" s="158"/>
      <c r="SFJ51" s="158"/>
      <c r="SFK51" s="158"/>
      <c r="SFL51" s="158"/>
      <c r="SFM51" s="158"/>
      <c r="SFN51" s="158"/>
      <c r="SFO51" s="158"/>
      <c r="SFP51" s="158"/>
      <c r="SFQ51" s="158"/>
      <c r="SFR51" s="158"/>
      <c r="SFS51" s="158"/>
      <c r="SFT51" s="158"/>
      <c r="SFU51" s="158"/>
      <c r="SFV51" s="158"/>
      <c r="SFW51" s="158"/>
      <c r="SFX51" s="158"/>
      <c r="SFY51" s="158"/>
      <c r="SFZ51" s="158"/>
      <c r="SGA51" s="158"/>
      <c r="SGB51" s="158"/>
      <c r="SGC51" s="158"/>
      <c r="SGD51" s="158"/>
      <c r="SGE51" s="158"/>
      <c r="SGF51" s="158"/>
      <c r="SGG51" s="158"/>
      <c r="SGH51" s="158"/>
      <c r="SGI51" s="158"/>
      <c r="SGJ51" s="158"/>
      <c r="SGK51" s="158"/>
      <c r="SGL51" s="158"/>
      <c r="SGM51" s="158"/>
      <c r="SGN51" s="158"/>
      <c r="SGO51" s="158"/>
      <c r="SGP51" s="158"/>
      <c r="SGQ51" s="158"/>
      <c r="SGR51" s="158"/>
      <c r="SGS51" s="158"/>
      <c r="SGT51" s="158"/>
      <c r="SGU51" s="158"/>
      <c r="SGV51" s="158"/>
      <c r="SGW51" s="158"/>
      <c r="SGX51" s="158"/>
      <c r="SGY51" s="158"/>
      <c r="SGZ51" s="158"/>
      <c r="SHA51" s="158"/>
      <c r="SHB51" s="158"/>
      <c r="SHC51" s="158"/>
      <c r="SHD51" s="158"/>
      <c r="SHE51" s="158"/>
      <c r="SHF51" s="158"/>
      <c r="SHG51" s="158"/>
      <c r="SHH51" s="158"/>
      <c r="SHI51" s="158"/>
      <c r="SHJ51" s="158"/>
      <c r="SHK51" s="158"/>
      <c r="SHL51" s="158"/>
      <c r="SHM51" s="158"/>
      <c r="SHN51" s="158"/>
      <c r="SHO51" s="158"/>
      <c r="SHP51" s="158"/>
      <c r="SHQ51" s="158"/>
      <c r="SHR51" s="158"/>
      <c r="SHS51" s="158"/>
      <c r="SHT51" s="158"/>
      <c r="SHU51" s="158"/>
      <c r="SHV51" s="158"/>
      <c r="SHW51" s="158"/>
      <c r="SHX51" s="158"/>
      <c r="SHY51" s="158"/>
      <c r="SHZ51" s="158"/>
      <c r="SIA51" s="158"/>
      <c r="SIB51" s="158"/>
      <c r="SIC51" s="158"/>
      <c r="SID51" s="158"/>
      <c r="SIE51" s="158"/>
      <c r="SIF51" s="158"/>
      <c r="SIG51" s="158"/>
      <c r="SIH51" s="158"/>
      <c r="SII51" s="158"/>
      <c r="SIJ51" s="158"/>
      <c r="SIK51" s="158"/>
      <c r="SIL51" s="158"/>
      <c r="SIM51" s="158"/>
      <c r="SIN51" s="158"/>
      <c r="SIO51" s="158"/>
      <c r="SIP51" s="158"/>
      <c r="SIQ51" s="158"/>
      <c r="SIR51" s="158"/>
      <c r="SIS51" s="158"/>
      <c r="SIT51" s="158"/>
      <c r="SIU51" s="158"/>
      <c r="SIV51" s="158"/>
      <c r="SIW51" s="158"/>
      <c r="SIX51" s="158"/>
      <c r="SIY51" s="158"/>
      <c r="SIZ51" s="158"/>
      <c r="SJA51" s="158"/>
      <c r="SJB51" s="158"/>
      <c r="SJC51" s="158"/>
      <c r="SJD51" s="158"/>
      <c r="SJE51" s="158"/>
      <c r="SJF51" s="158"/>
      <c r="SJG51" s="158"/>
      <c r="SJH51" s="158"/>
      <c r="SJI51" s="158"/>
      <c r="SJJ51" s="158"/>
      <c r="SJK51" s="158"/>
      <c r="SJL51" s="158"/>
      <c r="SJM51" s="158"/>
      <c r="SJN51" s="158"/>
      <c r="SJO51" s="158"/>
      <c r="SJP51" s="158"/>
      <c r="SJQ51" s="158"/>
      <c r="SJR51" s="158"/>
      <c r="SJS51" s="158"/>
      <c r="SJT51" s="158"/>
      <c r="SJU51" s="158"/>
      <c r="SJV51" s="158"/>
      <c r="SJW51" s="158"/>
      <c r="SJX51" s="158"/>
      <c r="SJY51" s="158"/>
      <c r="SJZ51" s="158"/>
      <c r="SKA51" s="158"/>
      <c r="SKB51" s="158"/>
      <c r="SKC51" s="158"/>
      <c r="SKD51" s="158"/>
      <c r="SKE51" s="158"/>
      <c r="SKF51" s="158"/>
      <c r="SKG51" s="158"/>
      <c r="SKH51" s="158"/>
      <c r="SKI51" s="158"/>
      <c r="SKJ51" s="158"/>
      <c r="SKK51" s="158"/>
      <c r="SKL51" s="158"/>
      <c r="SKM51" s="158"/>
      <c r="SKN51" s="158"/>
      <c r="SKO51" s="158"/>
      <c r="SKP51" s="158"/>
      <c r="SKQ51" s="158"/>
      <c r="SKR51" s="158"/>
      <c r="SKS51" s="158"/>
      <c r="SKT51" s="158"/>
      <c r="SKU51" s="158"/>
      <c r="SKV51" s="158"/>
      <c r="SKW51" s="158"/>
      <c r="SKX51" s="158"/>
      <c r="SKY51" s="158"/>
      <c r="SKZ51" s="158"/>
      <c r="SLA51" s="158"/>
      <c r="SLB51" s="158"/>
      <c r="SLC51" s="158"/>
      <c r="SLD51" s="158"/>
      <c r="SLE51" s="158"/>
      <c r="SLF51" s="158"/>
      <c r="SLG51" s="158"/>
      <c r="SLH51" s="158"/>
      <c r="SLI51" s="158"/>
      <c r="SLJ51" s="158"/>
      <c r="SLK51" s="158"/>
      <c r="SLL51" s="158"/>
      <c r="SLM51" s="158"/>
      <c r="SLN51" s="158"/>
      <c r="SLO51" s="158"/>
      <c r="SLP51" s="158"/>
      <c r="SLQ51" s="158"/>
      <c r="SLR51" s="158"/>
      <c r="SLS51" s="158"/>
      <c r="SLT51" s="158"/>
      <c r="SLU51" s="158"/>
      <c r="SLV51" s="158"/>
      <c r="SLW51" s="158"/>
      <c r="SLX51" s="158"/>
      <c r="SLY51" s="158"/>
      <c r="SLZ51" s="158"/>
      <c r="SMA51" s="158"/>
      <c r="SMB51" s="158"/>
      <c r="SMC51" s="158"/>
      <c r="SMD51" s="158"/>
      <c r="SME51" s="158"/>
      <c r="SMF51" s="158"/>
      <c r="SMG51" s="158"/>
      <c r="SMH51" s="158"/>
      <c r="SMI51" s="158"/>
      <c r="SMJ51" s="158"/>
      <c r="SMK51" s="158"/>
      <c r="SML51" s="158"/>
      <c r="SMM51" s="158"/>
      <c r="SMN51" s="158"/>
      <c r="SMO51" s="158"/>
      <c r="SMP51" s="158"/>
      <c r="SMQ51" s="158"/>
      <c r="SMR51" s="158"/>
      <c r="SMS51" s="158"/>
      <c r="SMT51" s="158"/>
      <c r="SMU51" s="158"/>
      <c r="SMV51" s="158"/>
      <c r="SMW51" s="158"/>
      <c r="SMX51" s="158"/>
      <c r="SMY51" s="158"/>
      <c r="SMZ51" s="158"/>
      <c r="SNA51" s="158"/>
      <c r="SNB51" s="158"/>
      <c r="SNC51" s="158"/>
      <c r="SND51" s="158"/>
      <c r="SNE51" s="158"/>
      <c r="SNF51" s="158"/>
      <c r="SNG51" s="158"/>
      <c r="SNH51" s="158"/>
      <c r="SNI51" s="158"/>
      <c r="SNJ51" s="158"/>
      <c r="SNK51" s="158"/>
      <c r="SNL51" s="158"/>
      <c r="SNM51" s="158"/>
      <c r="SNN51" s="158"/>
      <c r="SNO51" s="158"/>
      <c r="SNP51" s="158"/>
      <c r="SNQ51" s="158"/>
      <c r="SNR51" s="158"/>
      <c r="SNS51" s="158"/>
      <c r="SNT51" s="158"/>
      <c r="SNU51" s="158"/>
      <c r="SNV51" s="158"/>
      <c r="SNW51" s="158"/>
      <c r="SNX51" s="158"/>
      <c r="SNY51" s="158"/>
      <c r="SNZ51" s="158"/>
      <c r="SOA51" s="158"/>
      <c r="SOB51" s="158"/>
      <c r="SOC51" s="158"/>
      <c r="SOD51" s="158"/>
      <c r="SOE51" s="158"/>
      <c r="SOF51" s="158"/>
      <c r="SOG51" s="158"/>
      <c r="SOH51" s="158"/>
      <c r="SOI51" s="158"/>
      <c r="SOJ51" s="158"/>
      <c r="SOK51" s="158"/>
      <c r="SOL51" s="158"/>
      <c r="SOM51" s="158"/>
      <c r="SON51" s="158"/>
      <c r="SOO51" s="158"/>
      <c r="SOP51" s="158"/>
      <c r="SOQ51" s="158"/>
      <c r="SOR51" s="158"/>
      <c r="SOS51" s="158"/>
      <c r="SOT51" s="158"/>
      <c r="SOU51" s="158"/>
      <c r="SOV51" s="158"/>
      <c r="SOW51" s="158"/>
      <c r="SOX51" s="158"/>
      <c r="SOY51" s="158"/>
      <c r="SOZ51" s="158"/>
      <c r="SPA51" s="158"/>
      <c r="SPB51" s="158"/>
      <c r="SPC51" s="158"/>
      <c r="SPD51" s="158"/>
      <c r="SPE51" s="158"/>
      <c r="SPF51" s="158"/>
      <c r="SPG51" s="158"/>
      <c r="SPH51" s="158"/>
      <c r="SPI51" s="158"/>
      <c r="SPJ51" s="158"/>
      <c r="SPK51" s="158"/>
      <c r="SPL51" s="158"/>
      <c r="SPM51" s="158"/>
      <c r="SPN51" s="158"/>
      <c r="SPO51" s="158"/>
      <c r="SPP51" s="158"/>
      <c r="SPQ51" s="158"/>
      <c r="SPR51" s="158"/>
      <c r="SPS51" s="158"/>
      <c r="SPT51" s="158"/>
      <c r="SPU51" s="158"/>
      <c r="SPV51" s="158"/>
      <c r="SPW51" s="158"/>
      <c r="SPX51" s="158"/>
      <c r="SPY51" s="158"/>
      <c r="SPZ51" s="158"/>
      <c r="SQA51" s="158"/>
      <c r="SQB51" s="158"/>
      <c r="SQC51" s="158"/>
      <c r="SQD51" s="158"/>
      <c r="SQE51" s="158"/>
      <c r="SQF51" s="158"/>
      <c r="SQG51" s="158"/>
      <c r="SQH51" s="158"/>
      <c r="SQI51" s="158"/>
      <c r="SQJ51" s="158"/>
      <c r="SQK51" s="158"/>
      <c r="SQL51" s="158"/>
      <c r="SQM51" s="158"/>
      <c r="SQN51" s="158"/>
      <c r="SQO51" s="158"/>
      <c r="SQP51" s="158"/>
      <c r="SQQ51" s="158"/>
      <c r="SQR51" s="158"/>
      <c r="SQS51" s="158"/>
      <c r="SQT51" s="158"/>
      <c r="SQU51" s="158"/>
      <c r="SQV51" s="158"/>
      <c r="SQW51" s="158"/>
      <c r="SQX51" s="158"/>
      <c r="SQY51" s="158"/>
      <c r="SQZ51" s="158"/>
      <c r="SRA51" s="158"/>
      <c r="SRB51" s="158"/>
      <c r="SRC51" s="158"/>
      <c r="SRD51" s="158"/>
      <c r="SRE51" s="158"/>
      <c r="SRF51" s="158"/>
      <c r="SRG51" s="158"/>
      <c r="SRH51" s="158"/>
      <c r="SRI51" s="158"/>
      <c r="SRJ51" s="158"/>
      <c r="SRK51" s="158"/>
      <c r="SRL51" s="158"/>
      <c r="SRM51" s="158"/>
      <c r="SRN51" s="158"/>
      <c r="SRO51" s="158"/>
      <c r="SRP51" s="158"/>
      <c r="SRQ51" s="158"/>
      <c r="SRR51" s="158"/>
      <c r="SRS51" s="158"/>
      <c r="SRT51" s="158"/>
      <c r="SRU51" s="158"/>
      <c r="SRV51" s="158"/>
      <c r="SRW51" s="158"/>
      <c r="SRX51" s="158"/>
      <c r="SRY51" s="158"/>
      <c r="SRZ51" s="158"/>
      <c r="SSA51" s="158"/>
      <c r="SSB51" s="158"/>
      <c r="SSC51" s="158"/>
      <c r="SSD51" s="158"/>
      <c r="SSE51" s="158"/>
      <c r="SSF51" s="158"/>
      <c r="SSG51" s="158"/>
      <c r="SSH51" s="158"/>
      <c r="SSI51" s="158"/>
      <c r="SSJ51" s="158"/>
      <c r="SSK51" s="158"/>
      <c r="SSL51" s="158"/>
      <c r="SSM51" s="158"/>
      <c r="SSN51" s="158"/>
      <c r="SSO51" s="158"/>
      <c r="SSP51" s="158"/>
      <c r="SSQ51" s="158"/>
      <c r="SSR51" s="158"/>
      <c r="SSS51" s="158"/>
      <c r="SST51" s="158"/>
      <c r="SSU51" s="158"/>
      <c r="SSV51" s="158"/>
      <c r="SSW51" s="158"/>
      <c r="SSX51" s="158"/>
      <c r="SSY51" s="158"/>
      <c r="SSZ51" s="158"/>
      <c r="STA51" s="158"/>
      <c r="STB51" s="158"/>
      <c r="STC51" s="158"/>
      <c r="STD51" s="158"/>
      <c r="STE51" s="158"/>
      <c r="STF51" s="158"/>
      <c r="STG51" s="158"/>
      <c r="STH51" s="158"/>
      <c r="STI51" s="158"/>
      <c r="STJ51" s="158"/>
      <c r="STK51" s="158"/>
      <c r="STL51" s="158"/>
      <c r="STM51" s="158"/>
      <c r="STN51" s="158"/>
      <c r="STO51" s="158"/>
      <c r="STP51" s="158"/>
      <c r="STQ51" s="158"/>
      <c r="STR51" s="158"/>
      <c r="STS51" s="158"/>
      <c r="STT51" s="158"/>
      <c r="STU51" s="158"/>
      <c r="STV51" s="158"/>
      <c r="STW51" s="158"/>
      <c r="STX51" s="158"/>
      <c r="STY51" s="158"/>
      <c r="STZ51" s="158"/>
      <c r="SUA51" s="158"/>
      <c r="SUB51" s="158"/>
      <c r="SUC51" s="158"/>
      <c r="SUD51" s="158"/>
      <c r="SUE51" s="158"/>
      <c r="SUF51" s="158"/>
      <c r="SUG51" s="158"/>
      <c r="SUH51" s="158"/>
      <c r="SUI51" s="158"/>
      <c r="SUJ51" s="158"/>
      <c r="SUK51" s="158"/>
      <c r="SUL51" s="158"/>
      <c r="SUM51" s="158"/>
      <c r="SUN51" s="158"/>
      <c r="SUO51" s="158"/>
      <c r="SUP51" s="158"/>
      <c r="SUQ51" s="158"/>
      <c r="SUR51" s="158"/>
      <c r="SUS51" s="158"/>
      <c r="SUT51" s="158"/>
      <c r="SUU51" s="158"/>
      <c r="SUV51" s="158"/>
      <c r="SUW51" s="158"/>
      <c r="SUX51" s="158"/>
      <c r="SUY51" s="158"/>
      <c r="SUZ51" s="158"/>
      <c r="SVA51" s="158"/>
      <c r="SVB51" s="158"/>
      <c r="SVC51" s="158"/>
      <c r="SVD51" s="158"/>
      <c r="SVE51" s="158"/>
      <c r="SVF51" s="158"/>
      <c r="SVG51" s="158"/>
      <c r="SVH51" s="158"/>
      <c r="SVI51" s="158"/>
      <c r="SVJ51" s="158"/>
      <c r="SVK51" s="158"/>
      <c r="SVL51" s="158"/>
      <c r="SVM51" s="158"/>
      <c r="SVN51" s="158"/>
      <c r="SVO51" s="158"/>
      <c r="SVP51" s="158"/>
      <c r="SVQ51" s="158"/>
      <c r="SVR51" s="158"/>
      <c r="SVS51" s="158"/>
      <c r="SVT51" s="158"/>
      <c r="SVU51" s="158"/>
      <c r="SVV51" s="158"/>
      <c r="SVW51" s="158"/>
      <c r="SVX51" s="158"/>
      <c r="SVY51" s="158"/>
      <c r="SVZ51" s="158"/>
      <c r="SWA51" s="158"/>
      <c r="SWB51" s="158"/>
      <c r="SWC51" s="158"/>
      <c r="SWD51" s="158"/>
      <c r="SWE51" s="158"/>
      <c r="SWF51" s="158"/>
      <c r="SWG51" s="158"/>
      <c r="SWH51" s="158"/>
      <c r="SWI51" s="158"/>
      <c r="SWJ51" s="158"/>
      <c r="SWK51" s="158"/>
      <c r="SWL51" s="158"/>
      <c r="SWM51" s="158"/>
      <c r="SWN51" s="158"/>
      <c r="SWO51" s="158"/>
      <c r="SWP51" s="158"/>
      <c r="SWQ51" s="158"/>
      <c r="SWR51" s="158"/>
      <c r="SWS51" s="158"/>
      <c r="SWT51" s="158"/>
      <c r="SWU51" s="158"/>
      <c r="SWV51" s="158"/>
      <c r="SWW51" s="158"/>
      <c r="SWX51" s="158"/>
      <c r="SWY51" s="158"/>
      <c r="SWZ51" s="158"/>
      <c r="SXA51" s="158"/>
      <c r="SXB51" s="158"/>
      <c r="SXC51" s="158"/>
      <c r="SXD51" s="158"/>
      <c r="SXE51" s="158"/>
      <c r="SXF51" s="158"/>
      <c r="SXG51" s="158"/>
      <c r="SXH51" s="158"/>
      <c r="SXI51" s="158"/>
      <c r="SXJ51" s="158"/>
      <c r="SXK51" s="158"/>
      <c r="SXL51" s="158"/>
      <c r="SXM51" s="158"/>
      <c r="SXN51" s="158"/>
      <c r="SXO51" s="158"/>
      <c r="SXP51" s="158"/>
      <c r="SXQ51" s="158"/>
      <c r="SXR51" s="158"/>
      <c r="SXS51" s="158"/>
      <c r="SXT51" s="158"/>
      <c r="SXU51" s="158"/>
      <c r="SXV51" s="158"/>
      <c r="SXW51" s="158"/>
      <c r="SXX51" s="158"/>
      <c r="SXY51" s="158"/>
      <c r="SXZ51" s="158"/>
      <c r="SYA51" s="158"/>
      <c r="SYB51" s="158"/>
      <c r="SYC51" s="158"/>
      <c r="SYD51" s="158"/>
      <c r="SYE51" s="158"/>
      <c r="SYF51" s="158"/>
      <c r="SYG51" s="158"/>
      <c r="SYH51" s="158"/>
      <c r="SYI51" s="158"/>
      <c r="SYJ51" s="158"/>
      <c r="SYK51" s="158"/>
      <c r="SYL51" s="158"/>
      <c r="SYM51" s="158"/>
      <c r="SYN51" s="158"/>
      <c r="SYO51" s="158"/>
      <c r="SYP51" s="158"/>
      <c r="SYQ51" s="158"/>
      <c r="SYR51" s="158"/>
      <c r="SYS51" s="158"/>
      <c r="SYT51" s="158"/>
      <c r="SYU51" s="158"/>
      <c r="SYV51" s="158"/>
      <c r="SYW51" s="158"/>
      <c r="SYX51" s="158"/>
      <c r="SYY51" s="158"/>
      <c r="SYZ51" s="158"/>
      <c r="SZA51" s="158"/>
      <c r="SZB51" s="158"/>
      <c r="SZC51" s="158"/>
      <c r="SZD51" s="158"/>
      <c r="SZE51" s="158"/>
      <c r="SZF51" s="158"/>
      <c r="SZG51" s="158"/>
      <c r="SZH51" s="158"/>
      <c r="SZI51" s="158"/>
      <c r="SZJ51" s="158"/>
      <c r="SZK51" s="158"/>
      <c r="SZL51" s="158"/>
      <c r="SZM51" s="158"/>
      <c r="SZN51" s="158"/>
      <c r="SZO51" s="158"/>
      <c r="SZP51" s="158"/>
      <c r="SZQ51" s="158"/>
      <c r="SZR51" s="158"/>
      <c r="SZS51" s="158"/>
      <c r="SZT51" s="158"/>
      <c r="SZU51" s="158"/>
      <c r="SZV51" s="158"/>
      <c r="SZW51" s="158"/>
      <c r="SZX51" s="158"/>
      <c r="SZY51" s="158"/>
      <c r="SZZ51" s="158"/>
      <c r="TAA51" s="158"/>
      <c r="TAB51" s="158"/>
      <c r="TAC51" s="158"/>
      <c r="TAD51" s="158"/>
      <c r="TAE51" s="158"/>
      <c r="TAF51" s="158"/>
      <c r="TAG51" s="158"/>
      <c r="TAH51" s="158"/>
      <c r="TAI51" s="158"/>
      <c r="TAJ51" s="158"/>
      <c r="TAK51" s="158"/>
      <c r="TAL51" s="158"/>
      <c r="TAM51" s="158"/>
      <c r="TAN51" s="158"/>
      <c r="TAO51" s="158"/>
      <c r="TAP51" s="158"/>
      <c r="TAQ51" s="158"/>
      <c r="TAR51" s="158"/>
      <c r="TAS51" s="158"/>
      <c r="TAT51" s="158"/>
      <c r="TAU51" s="158"/>
      <c r="TAV51" s="158"/>
      <c r="TAW51" s="158"/>
      <c r="TAX51" s="158"/>
      <c r="TAY51" s="158"/>
      <c r="TAZ51" s="158"/>
      <c r="TBA51" s="158"/>
      <c r="TBB51" s="158"/>
      <c r="TBC51" s="158"/>
      <c r="TBD51" s="158"/>
      <c r="TBE51" s="158"/>
      <c r="TBF51" s="158"/>
      <c r="TBG51" s="158"/>
      <c r="TBH51" s="158"/>
      <c r="TBI51" s="158"/>
      <c r="TBJ51" s="158"/>
      <c r="TBK51" s="158"/>
      <c r="TBL51" s="158"/>
      <c r="TBM51" s="158"/>
      <c r="TBN51" s="158"/>
      <c r="TBO51" s="158"/>
      <c r="TBP51" s="158"/>
      <c r="TBQ51" s="158"/>
      <c r="TBR51" s="158"/>
      <c r="TBS51" s="158"/>
      <c r="TBT51" s="158"/>
      <c r="TBU51" s="158"/>
      <c r="TBV51" s="158"/>
      <c r="TBW51" s="158"/>
      <c r="TBX51" s="158"/>
      <c r="TBY51" s="158"/>
      <c r="TBZ51" s="158"/>
      <c r="TCA51" s="158"/>
      <c r="TCB51" s="158"/>
      <c r="TCC51" s="158"/>
      <c r="TCD51" s="158"/>
      <c r="TCE51" s="158"/>
      <c r="TCF51" s="158"/>
      <c r="TCG51" s="158"/>
      <c r="TCH51" s="158"/>
      <c r="TCI51" s="158"/>
      <c r="TCJ51" s="158"/>
      <c r="TCK51" s="158"/>
      <c r="TCL51" s="158"/>
      <c r="TCM51" s="158"/>
      <c r="TCN51" s="158"/>
      <c r="TCO51" s="158"/>
      <c r="TCP51" s="158"/>
      <c r="TCQ51" s="158"/>
      <c r="TCR51" s="158"/>
      <c r="TCS51" s="158"/>
      <c r="TCT51" s="158"/>
      <c r="TCU51" s="158"/>
      <c r="TCV51" s="158"/>
      <c r="TCW51" s="158"/>
      <c r="TCX51" s="158"/>
      <c r="TCY51" s="158"/>
      <c r="TCZ51" s="158"/>
      <c r="TDA51" s="158"/>
      <c r="TDB51" s="158"/>
      <c r="TDC51" s="158"/>
      <c r="TDD51" s="158"/>
      <c r="TDE51" s="158"/>
      <c r="TDF51" s="158"/>
      <c r="TDG51" s="158"/>
      <c r="TDH51" s="158"/>
      <c r="TDI51" s="158"/>
      <c r="TDJ51" s="158"/>
      <c r="TDK51" s="158"/>
      <c r="TDL51" s="158"/>
      <c r="TDM51" s="158"/>
      <c r="TDN51" s="158"/>
      <c r="TDO51" s="158"/>
      <c r="TDP51" s="158"/>
      <c r="TDQ51" s="158"/>
      <c r="TDR51" s="158"/>
      <c r="TDS51" s="158"/>
      <c r="TDT51" s="158"/>
      <c r="TDU51" s="158"/>
      <c r="TDV51" s="158"/>
      <c r="TDW51" s="158"/>
      <c r="TDX51" s="158"/>
      <c r="TDY51" s="158"/>
      <c r="TDZ51" s="158"/>
      <c r="TEA51" s="158"/>
      <c r="TEB51" s="158"/>
      <c r="TEC51" s="158"/>
      <c r="TED51" s="158"/>
      <c r="TEE51" s="158"/>
      <c r="TEF51" s="158"/>
      <c r="TEG51" s="158"/>
      <c r="TEH51" s="158"/>
      <c r="TEI51" s="158"/>
      <c r="TEJ51" s="158"/>
      <c r="TEK51" s="158"/>
      <c r="TEL51" s="158"/>
      <c r="TEM51" s="158"/>
      <c r="TEN51" s="158"/>
      <c r="TEO51" s="158"/>
      <c r="TEP51" s="158"/>
      <c r="TEQ51" s="158"/>
      <c r="TER51" s="158"/>
      <c r="TES51" s="158"/>
      <c r="TET51" s="158"/>
      <c r="TEU51" s="158"/>
      <c r="TEV51" s="158"/>
      <c r="TEW51" s="158"/>
      <c r="TEX51" s="158"/>
      <c r="TEY51" s="158"/>
      <c r="TEZ51" s="158"/>
      <c r="TFA51" s="158"/>
      <c r="TFB51" s="158"/>
      <c r="TFC51" s="158"/>
      <c r="TFD51" s="158"/>
      <c r="TFE51" s="158"/>
      <c r="TFF51" s="158"/>
      <c r="TFG51" s="158"/>
      <c r="TFH51" s="158"/>
      <c r="TFI51" s="158"/>
      <c r="TFJ51" s="158"/>
      <c r="TFK51" s="158"/>
      <c r="TFL51" s="158"/>
      <c r="TFM51" s="158"/>
      <c r="TFN51" s="158"/>
      <c r="TFO51" s="158"/>
      <c r="TFP51" s="158"/>
      <c r="TFQ51" s="158"/>
      <c r="TFR51" s="158"/>
      <c r="TFS51" s="158"/>
      <c r="TFT51" s="158"/>
      <c r="TFU51" s="158"/>
      <c r="TFV51" s="158"/>
      <c r="TFW51" s="158"/>
      <c r="TFX51" s="158"/>
      <c r="TFY51" s="158"/>
      <c r="TFZ51" s="158"/>
      <c r="TGA51" s="158"/>
      <c r="TGB51" s="158"/>
      <c r="TGC51" s="158"/>
      <c r="TGD51" s="158"/>
      <c r="TGE51" s="158"/>
      <c r="TGF51" s="158"/>
      <c r="TGG51" s="158"/>
      <c r="TGH51" s="158"/>
      <c r="TGI51" s="158"/>
      <c r="TGJ51" s="158"/>
      <c r="TGK51" s="158"/>
      <c r="TGL51" s="158"/>
      <c r="TGM51" s="158"/>
      <c r="TGN51" s="158"/>
      <c r="TGO51" s="158"/>
      <c r="TGP51" s="158"/>
      <c r="TGQ51" s="158"/>
      <c r="TGR51" s="158"/>
      <c r="TGS51" s="158"/>
      <c r="TGT51" s="158"/>
      <c r="TGU51" s="158"/>
      <c r="TGV51" s="158"/>
      <c r="TGW51" s="158"/>
      <c r="TGX51" s="158"/>
      <c r="TGY51" s="158"/>
      <c r="TGZ51" s="158"/>
      <c r="THA51" s="158"/>
      <c r="THB51" s="158"/>
      <c r="THC51" s="158"/>
      <c r="THD51" s="158"/>
      <c r="THE51" s="158"/>
      <c r="THF51" s="158"/>
      <c r="THG51" s="158"/>
      <c r="THH51" s="158"/>
      <c r="THI51" s="158"/>
      <c r="THJ51" s="158"/>
      <c r="THK51" s="158"/>
      <c r="THL51" s="158"/>
      <c r="THM51" s="158"/>
      <c r="THN51" s="158"/>
      <c r="THO51" s="158"/>
      <c r="THP51" s="158"/>
      <c r="THQ51" s="158"/>
      <c r="THR51" s="158"/>
      <c r="THS51" s="158"/>
      <c r="THT51" s="158"/>
      <c r="THU51" s="158"/>
      <c r="THV51" s="158"/>
      <c r="THW51" s="158"/>
      <c r="THX51" s="158"/>
      <c r="THY51" s="158"/>
      <c r="THZ51" s="158"/>
      <c r="TIA51" s="158"/>
      <c r="TIB51" s="158"/>
      <c r="TIC51" s="158"/>
      <c r="TID51" s="158"/>
      <c r="TIE51" s="158"/>
      <c r="TIF51" s="158"/>
      <c r="TIG51" s="158"/>
      <c r="TIH51" s="158"/>
      <c r="TII51" s="158"/>
      <c r="TIJ51" s="158"/>
      <c r="TIK51" s="158"/>
      <c r="TIL51" s="158"/>
      <c r="TIM51" s="158"/>
      <c r="TIN51" s="158"/>
      <c r="TIO51" s="158"/>
      <c r="TIP51" s="158"/>
      <c r="TIQ51" s="158"/>
      <c r="TIR51" s="158"/>
      <c r="TIS51" s="158"/>
      <c r="TIT51" s="158"/>
      <c r="TIU51" s="158"/>
      <c r="TIV51" s="158"/>
      <c r="TIW51" s="158"/>
      <c r="TIX51" s="158"/>
      <c r="TIY51" s="158"/>
      <c r="TIZ51" s="158"/>
      <c r="TJA51" s="158"/>
      <c r="TJB51" s="158"/>
      <c r="TJC51" s="158"/>
      <c r="TJD51" s="158"/>
      <c r="TJE51" s="158"/>
      <c r="TJF51" s="158"/>
      <c r="TJG51" s="158"/>
      <c r="TJH51" s="158"/>
      <c r="TJI51" s="158"/>
      <c r="TJJ51" s="158"/>
      <c r="TJK51" s="158"/>
      <c r="TJL51" s="158"/>
      <c r="TJM51" s="158"/>
      <c r="TJN51" s="158"/>
      <c r="TJO51" s="158"/>
      <c r="TJP51" s="158"/>
      <c r="TJQ51" s="158"/>
      <c r="TJR51" s="158"/>
      <c r="TJS51" s="158"/>
      <c r="TJT51" s="158"/>
      <c r="TJU51" s="158"/>
      <c r="TJV51" s="158"/>
      <c r="TJW51" s="158"/>
      <c r="TJX51" s="158"/>
      <c r="TJY51" s="158"/>
      <c r="TJZ51" s="158"/>
      <c r="TKA51" s="158"/>
      <c r="TKB51" s="158"/>
      <c r="TKC51" s="158"/>
      <c r="TKD51" s="158"/>
      <c r="TKE51" s="158"/>
      <c r="TKF51" s="158"/>
      <c r="TKG51" s="158"/>
      <c r="TKH51" s="158"/>
      <c r="TKI51" s="158"/>
      <c r="TKJ51" s="158"/>
      <c r="TKK51" s="158"/>
      <c r="TKL51" s="158"/>
      <c r="TKM51" s="158"/>
      <c r="TKN51" s="158"/>
      <c r="TKO51" s="158"/>
      <c r="TKP51" s="158"/>
      <c r="TKQ51" s="158"/>
      <c r="TKR51" s="158"/>
      <c r="TKS51" s="158"/>
      <c r="TKT51" s="158"/>
      <c r="TKU51" s="158"/>
      <c r="TKV51" s="158"/>
      <c r="TKW51" s="158"/>
      <c r="TKX51" s="158"/>
      <c r="TKY51" s="158"/>
      <c r="TKZ51" s="158"/>
      <c r="TLA51" s="158"/>
      <c r="TLB51" s="158"/>
      <c r="TLC51" s="158"/>
      <c r="TLD51" s="158"/>
      <c r="TLE51" s="158"/>
      <c r="TLF51" s="158"/>
      <c r="TLG51" s="158"/>
      <c r="TLH51" s="158"/>
      <c r="TLI51" s="158"/>
      <c r="TLJ51" s="158"/>
      <c r="TLK51" s="158"/>
      <c r="TLL51" s="158"/>
      <c r="TLM51" s="158"/>
      <c r="TLN51" s="158"/>
      <c r="TLO51" s="158"/>
      <c r="TLP51" s="158"/>
      <c r="TLQ51" s="158"/>
      <c r="TLR51" s="158"/>
      <c r="TLS51" s="158"/>
      <c r="TLT51" s="158"/>
      <c r="TLU51" s="158"/>
      <c r="TLV51" s="158"/>
      <c r="TLW51" s="158"/>
      <c r="TLX51" s="158"/>
      <c r="TLY51" s="158"/>
      <c r="TLZ51" s="158"/>
      <c r="TMA51" s="158"/>
      <c r="TMB51" s="158"/>
      <c r="TMC51" s="158"/>
      <c r="TMD51" s="158"/>
      <c r="TME51" s="158"/>
      <c r="TMF51" s="158"/>
      <c r="TMG51" s="158"/>
      <c r="TMH51" s="158"/>
      <c r="TMI51" s="158"/>
      <c r="TMJ51" s="158"/>
      <c r="TMK51" s="158"/>
      <c r="TML51" s="158"/>
      <c r="TMM51" s="158"/>
      <c r="TMN51" s="158"/>
      <c r="TMO51" s="158"/>
      <c r="TMP51" s="158"/>
      <c r="TMQ51" s="158"/>
      <c r="TMR51" s="158"/>
      <c r="TMS51" s="158"/>
      <c r="TMT51" s="158"/>
      <c r="TMU51" s="158"/>
      <c r="TMV51" s="158"/>
      <c r="TMW51" s="158"/>
      <c r="TMX51" s="158"/>
      <c r="TMY51" s="158"/>
      <c r="TMZ51" s="158"/>
      <c r="TNA51" s="158"/>
      <c r="TNB51" s="158"/>
      <c r="TNC51" s="158"/>
      <c r="TND51" s="158"/>
      <c r="TNE51" s="158"/>
      <c r="TNF51" s="158"/>
      <c r="TNG51" s="158"/>
      <c r="TNH51" s="158"/>
      <c r="TNI51" s="158"/>
      <c r="TNJ51" s="158"/>
      <c r="TNK51" s="158"/>
      <c r="TNL51" s="158"/>
      <c r="TNM51" s="158"/>
      <c r="TNN51" s="158"/>
      <c r="TNO51" s="158"/>
      <c r="TNP51" s="158"/>
      <c r="TNQ51" s="158"/>
      <c r="TNR51" s="158"/>
      <c r="TNS51" s="158"/>
      <c r="TNT51" s="158"/>
      <c r="TNU51" s="158"/>
      <c r="TNV51" s="158"/>
      <c r="TNW51" s="158"/>
      <c r="TNX51" s="158"/>
      <c r="TNY51" s="158"/>
      <c r="TNZ51" s="158"/>
      <c r="TOA51" s="158"/>
      <c r="TOB51" s="158"/>
      <c r="TOC51" s="158"/>
      <c r="TOD51" s="158"/>
      <c r="TOE51" s="158"/>
      <c r="TOF51" s="158"/>
      <c r="TOG51" s="158"/>
      <c r="TOH51" s="158"/>
      <c r="TOI51" s="158"/>
      <c r="TOJ51" s="158"/>
      <c r="TOK51" s="158"/>
      <c r="TOL51" s="158"/>
      <c r="TOM51" s="158"/>
      <c r="TON51" s="158"/>
      <c r="TOO51" s="158"/>
      <c r="TOP51" s="158"/>
      <c r="TOQ51" s="158"/>
      <c r="TOR51" s="158"/>
      <c r="TOS51" s="158"/>
      <c r="TOT51" s="158"/>
      <c r="TOU51" s="158"/>
      <c r="TOV51" s="158"/>
      <c r="TOW51" s="158"/>
      <c r="TOX51" s="158"/>
      <c r="TOY51" s="158"/>
      <c r="TOZ51" s="158"/>
      <c r="TPA51" s="158"/>
      <c r="TPB51" s="158"/>
      <c r="TPC51" s="158"/>
      <c r="TPD51" s="158"/>
      <c r="TPE51" s="158"/>
      <c r="TPF51" s="158"/>
      <c r="TPG51" s="158"/>
      <c r="TPH51" s="158"/>
      <c r="TPI51" s="158"/>
      <c r="TPJ51" s="158"/>
      <c r="TPK51" s="158"/>
      <c r="TPL51" s="158"/>
      <c r="TPM51" s="158"/>
      <c r="TPN51" s="158"/>
      <c r="TPO51" s="158"/>
      <c r="TPP51" s="158"/>
      <c r="TPQ51" s="158"/>
      <c r="TPR51" s="158"/>
      <c r="TPS51" s="158"/>
      <c r="TPT51" s="158"/>
      <c r="TPU51" s="158"/>
      <c r="TPV51" s="158"/>
      <c r="TPW51" s="158"/>
      <c r="TPX51" s="158"/>
      <c r="TPY51" s="158"/>
      <c r="TPZ51" s="158"/>
      <c r="TQA51" s="158"/>
      <c r="TQB51" s="158"/>
      <c r="TQC51" s="158"/>
      <c r="TQD51" s="158"/>
      <c r="TQE51" s="158"/>
      <c r="TQF51" s="158"/>
      <c r="TQG51" s="158"/>
      <c r="TQH51" s="158"/>
      <c r="TQI51" s="158"/>
      <c r="TQJ51" s="158"/>
      <c r="TQK51" s="158"/>
      <c r="TQL51" s="158"/>
      <c r="TQM51" s="158"/>
      <c r="TQN51" s="158"/>
      <c r="TQO51" s="158"/>
      <c r="TQP51" s="158"/>
      <c r="TQQ51" s="158"/>
      <c r="TQR51" s="158"/>
      <c r="TQS51" s="158"/>
      <c r="TQT51" s="158"/>
      <c r="TQU51" s="158"/>
      <c r="TQV51" s="158"/>
      <c r="TQW51" s="158"/>
      <c r="TQX51" s="158"/>
      <c r="TQY51" s="158"/>
      <c r="TQZ51" s="158"/>
      <c r="TRA51" s="158"/>
      <c r="TRB51" s="158"/>
      <c r="TRC51" s="158"/>
      <c r="TRD51" s="158"/>
      <c r="TRE51" s="158"/>
      <c r="TRF51" s="158"/>
      <c r="TRG51" s="158"/>
      <c r="TRH51" s="158"/>
      <c r="TRI51" s="158"/>
      <c r="TRJ51" s="158"/>
      <c r="TRK51" s="158"/>
      <c r="TRL51" s="158"/>
      <c r="TRM51" s="158"/>
      <c r="TRN51" s="158"/>
      <c r="TRO51" s="158"/>
      <c r="TRP51" s="158"/>
      <c r="TRQ51" s="158"/>
      <c r="TRR51" s="158"/>
      <c r="TRS51" s="158"/>
      <c r="TRT51" s="158"/>
      <c r="TRU51" s="158"/>
      <c r="TRV51" s="158"/>
      <c r="TRW51" s="158"/>
      <c r="TRX51" s="158"/>
      <c r="TRY51" s="158"/>
      <c r="TRZ51" s="158"/>
      <c r="TSA51" s="158"/>
      <c r="TSB51" s="158"/>
      <c r="TSC51" s="158"/>
      <c r="TSD51" s="158"/>
      <c r="TSE51" s="158"/>
      <c r="TSF51" s="158"/>
      <c r="TSG51" s="158"/>
      <c r="TSH51" s="158"/>
      <c r="TSI51" s="158"/>
      <c r="TSJ51" s="158"/>
      <c r="TSK51" s="158"/>
      <c r="TSL51" s="158"/>
      <c r="TSM51" s="158"/>
      <c r="TSN51" s="158"/>
      <c r="TSO51" s="158"/>
      <c r="TSP51" s="158"/>
      <c r="TSQ51" s="158"/>
      <c r="TSR51" s="158"/>
      <c r="TSS51" s="158"/>
      <c r="TST51" s="158"/>
      <c r="TSU51" s="158"/>
      <c r="TSV51" s="158"/>
      <c r="TSW51" s="158"/>
      <c r="TSX51" s="158"/>
      <c r="TSY51" s="158"/>
      <c r="TSZ51" s="158"/>
      <c r="TTA51" s="158"/>
      <c r="TTB51" s="158"/>
      <c r="TTC51" s="158"/>
      <c r="TTD51" s="158"/>
      <c r="TTE51" s="158"/>
      <c r="TTF51" s="158"/>
      <c r="TTG51" s="158"/>
      <c r="TTH51" s="158"/>
      <c r="TTI51" s="158"/>
      <c r="TTJ51" s="158"/>
      <c r="TTK51" s="158"/>
      <c r="TTL51" s="158"/>
      <c r="TTM51" s="158"/>
      <c r="TTN51" s="158"/>
      <c r="TTO51" s="158"/>
      <c r="TTP51" s="158"/>
      <c r="TTQ51" s="158"/>
      <c r="TTR51" s="158"/>
      <c r="TTS51" s="158"/>
      <c r="TTT51" s="158"/>
      <c r="TTU51" s="158"/>
      <c r="TTV51" s="158"/>
      <c r="TTW51" s="158"/>
      <c r="TTX51" s="158"/>
      <c r="TTY51" s="158"/>
      <c r="TTZ51" s="158"/>
      <c r="TUA51" s="158"/>
      <c r="TUB51" s="158"/>
      <c r="TUC51" s="158"/>
      <c r="TUD51" s="158"/>
      <c r="TUE51" s="158"/>
      <c r="TUF51" s="158"/>
      <c r="TUG51" s="158"/>
      <c r="TUH51" s="158"/>
      <c r="TUI51" s="158"/>
      <c r="TUJ51" s="158"/>
      <c r="TUK51" s="158"/>
      <c r="TUL51" s="158"/>
      <c r="TUM51" s="158"/>
      <c r="TUN51" s="158"/>
      <c r="TUO51" s="158"/>
      <c r="TUP51" s="158"/>
      <c r="TUQ51" s="158"/>
      <c r="TUR51" s="158"/>
      <c r="TUS51" s="158"/>
      <c r="TUT51" s="158"/>
      <c r="TUU51" s="158"/>
      <c r="TUV51" s="158"/>
      <c r="TUW51" s="158"/>
      <c r="TUX51" s="158"/>
      <c r="TUY51" s="158"/>
      <c r="TUZ51" s="158"/>
      <c r="TVA51" s="158"/>
      <c r="TVB51" s="158"/>
      <c r="TVC51" s="158"/>
      <c r="TVD51" s="158"/>
      <c r="TVE51" s="158"/>
      <c r="TVF51" s="158"/>
      <c r="TVG51" s="158"/>
      <c r="TVH51" s="158"/>
      <c r="TVI51" s="158"/>
      <c r="TVJ51" s="158"/>
      <c r="TVK51" s="158"/>
      <c r="TVL51" s="158"/>
      <c r="TVM51" s="158"/>
      <c r="TVN51" s="158"/>
      <c r="TVO51" s="158"/>
      <c r="TVP51" s="158"/>
      <c r="TVQ51" s="158"/>
      <c r="TVR51" s="158"/>
      <c r="TVS51" s="158"/>
      <c r="TVT51" s="158"/>
      <c r="TVU51" s="158"/>
      <c r="TVV51" s="158"/>
      <c r="TVW51" s="158"/>
      <c r="TVX51" s="158"/>
      <c r="TVY51" s="158"/>
      <c r="TVZ51" s="158"/>
      <c r="TWA51" s="158"/>
      <c r="TWB51" s="158"/>
      <c r="TWC51" s="158"/>
      <c r="TWD51" s="158"/>
      <c r="TWE51" s="158"/>
      <c r="TWF51" s="158"/>
      <c r="TWG51" s="158"/>
      <c r="TWH51" s="158"/>
      <c r="TWI51" s="158"/>
      <c r="TWJ51" s="158"/>
      <c r="TWK51" s="158"/>
      <c r="TWL51" s="158"/>
      <c r="TWM51" s="158"/>
      <c r="TWN51" s="158"/>
      <c r="TWO51" s="158"/>
      <c r="TWP51" s="158"/>
      <c r="TWQ51" s="158"/>
      <c r="TWR51" s="158"/>
      <c r="TWS51" s="158"/>
      <c r="TWT51" s="158"/>
      <c r="TWU51" s="158"/>
      <c r="TWV51" s="158"/>
      <c r="TWW51" s="158"/>
      <c r="TWX51" s="158"/>
      <c r="TWY51" s="158"/>
      <c r="TWZ51" s="158"/>
      <c r="TXA51" s="158"/>
      <c r="TXB51" s="158"/>
      <c r="TXC51" s="158"/>
      <c r="TXD51" s="158"/>
      <c r="TXE51" s="158"/>
      <c r="TXF51" s="158"/>
      <c r="TXG51" s="158"/>
      <c r="TXH51" s="158"/>
      <c r="TXI51" s="158"/>
      <c r="TXJ51" s="158"/>
      <c r="TXK51" s="158"/>
      <c r="TXL51" s="158"/>
      <c r="TXM51" s="158"/>
      <c r="TXN51" s="158"/>
      <c r="TXO51" s="158"/>
      <c r="TXP51" s="158"/>
      <c r="TXQ51" s="158"/>
      <c r="TXR51" s="158"/>
      <c r="TXS51" s="158"/>
      <c r="TXT51" s="158"/>
      <c r="TXU51" s="158"/>
      <c r="TXV51" s="158"/>
      <c r="TXW51" s="158"/>
      <c r="TXX51" s="158"/>
      <c r="TXY51" s="158"/>
      <c r="TXZ51" s="158"/>
      <c r="TYA51" s="158"/>
      <c r="TYB51" s="158"/>
      <c r="TYC51" s="158"/>
      <c r="TYD51" s="158"/>
      <c r="TYE51" s="158"/>
      <c r="TYF51" s="158"/>
      <c r="TYG51" s="158"/>
      <c r="TYH51" s="158"/>
      <c r="TYI51" s="158"/>
      <c r="TYJ51" s="158"/>
      <c r="TYK51" s="158"/>
      <c r="TYL51" s="158"/>
      <c r="TYM51" s="158"/>
      <c r="TYN51" s="158"/>
      <c r="TYO51" s="158"/>
      <c r="TYP51" s="158"/>
      <c r="TYQ51" s="158"/>
      <c r="TYR51" s="158"/>
      <c r="TYS51" s="158"/>
      <c r="TYT51" s="158"/>
      <c r="TYU51" s="158"/>
      <c r="TYV51" s="158"/>
      <c r="TYW51" s="158"/>
      <c r="TYX51" s="158"/>
      <c r="TYY51" s="158"/>
      <c r="TYZ51" s="158"/>
      <c r="TZA51" s="158"/>
      <c r="TZB51" s="158"/>
      <c r="TZC51" s="158"/>
      <c r="TZD51" s="158"/>
      <c r="TZE51" s="158"/>
      <c r="TZF51" s="158"/>
      <c r="TZG51" s="158"/>
      <c r="TZH51" s="158"/>
      <c r="TZI51" s="158"/>
      <c r="TZJ51" s="158"/>
      <c r="TZK51" s="158"/>
      <c r="TZL51" s="158"/>
      <c r="TZM51" s="158"/>
      <c r="TZN51" s="158"/>
      <c r="TZO51" s="158"/>
      <c r="TZP51" s="158"/>
      <c r="TZQ51" s="158"/>
      <c r="TZR51" s="158"/>
      <c r="TZS51" s="158"/>
      <c r="TZT51" s="158"/>
      <c r="TZU51" s="158"/>
      <c r="TZV51" s="158"/>
      <c r="TZW51" s="158"/>
      <c r="TZX51" s="158"/>
      <c r="TZY51" s="158"/>
      <c r="TZZ51" s="158"/>
      <c r="UAA51" s="158"/>
      <c r="UAB51" s="158"/>
      <c r="UAC51" s="158"/>
      <c r="UAD51" s="158"/>
      <c r="UAE51" s="158"/>
      <c r="UAF51" s="158"/>
      <c r="UAG51" s="158"/>
      <c r="UAH51" s="158"/>
      <c r="UAI51" s="158"/>
      <c r="UAJ51" s="158"/>
      <c r="UAK51" s="158"/>
      <c r="UAL51" s="158"/>
      <c r="UAM51" s="158"/>
      <c r="UAN51" s="158"/>
      <c r="UAO51" s="158"/>
      <c r="UAP51" s="158"/>
      <c r="UAQ51" s="158"/>
      <c r="UAR51" s="158"/>
      <c r="UAS51" s="158"/>
      <c r="UAT51" s="158"/>
      <c r="UAU51" s="158"/>
      <c r="UAV51" s="158"/>
      <c r="UAW51" s="158"/>
      <c r="UAX51" s="158"/>
      <c r="UAY51" s="158"/>
      <c r="UAZ51" s="158"/>
      <c r="UBA51" s="158"/>
      <c r="UBB51" s="158"/>
      <c r="UBC51" s="158"/>
      <c r="UBD51" s="158"/>
      <c r="UBE51" s="158"/>
      <c r="UBF51" s="158"/>
      <c r="UBG51" s="158"/>
      <c r="UBH51" s="158"/>
      <c r="UBI51" s="158"/>
      <c r="UBJ51" s="158"/>
      <c r="UBK51" s="158"/>
      <c r="UBL51" s="158"/>
      <c r="UBM51" s="158"/>
      <c r="UBN51" s="158"/>
      <c r="UBO51" s="158"/>
      <c r="UBP51" s="158"/>
      <c r="UBQ51" s="158"/>
      <c r="UBR51" s="158"/>
      <c r="UBS51" s="158"/>
      <c r="UBT51" s="158"/>
      <c r="UBU51" s="158"/>
      <c r="UBV51" s="158"/>
      <c r="UBW51" s="158"/>
      <c r="UBX51" s="158"/>
      <c r="UBY51" s="158"/>
      <c r="UBZ51" s="158"/>
      <c r="UCA51" s="158"/>
      <c r="UCB51" s="158"/>
      <c r="UCC51" s="158"/>
      <c r="UCD51" s="158"/>
      <c r="UCE51" s="158"/>
      <c r="UCF51" s="158"/>
      <c r="UCG51" s="158"/>
      <c r="UCH51" s="158"/>
      <c r="UCI51" s="158"/>
      <c r="UCJ51" s="158"/>
      <c r="UCK51" s="158"/>
      <c r="UCL51" s="158"/>
      <c r="UCM51" s="158"/>
      <c r="UCN51" s="158"/>
      <c r="UCO51" s="158"/>
      <c r="UCP51" s="158"/>
      <c r="UCQ51" s="158"/>
      <c r="UCR51" s="158"/>
      <c r="UCS51" s="158"/>
      <c r="UCT51" s="158"/>
      <c r="UCU51" s="158"/>
      <c r="UCV51" s="158"/>
      <c r="UCW51" s="158"/>
      <c r="UCX51" s="158"/>
      <c r="UCY51" s="158"/>
      <c r="UCZ51" s="158"/>
      <c r="UDA51" s="158"/>
      <c r="UDB51" s="158"/>
      <c r="UDC51" s="158"/>
      <c r="UDD51" s="158"/>
      <c r="UDE51" s="158"/>
      <c r="UDF51" s="158"/>
      <c r="UDG51" s="158"/>
      <c r="UDH51" s="158"/>
      <c r="UDI51" s="158"/>
      <c r="UDJ51" s="158"/>
      <c r="UDK51" s="158"/>
      <c r="UDL51" s="158"/>
      <c r="UDM51" s="158"/>
      <c r="UDN51" s="158"/>
      <c r="UDO51" s="158"/>
      <c r="UDP51" s="158"/>
      <c r="UDQ51" s="158"/>
      <c r="UDR51" s="158"/>
      <c r="UDS51" s="158"/>
      <c r="UDT51" s="158"/>
      <c r="UDU51" s="158"/>
      <c r="UDV51" s="158"/>
      <c r="UDW51" s="158"/>
      <c r="UDX51" s="158"/>
      <c r="UDY51" s="158"/>
      <c r="UDZ51" s="158"/>
      <c r="UEA51" s="158"/>
      <c r="UEB51" s="158"/>
      <c r="UEC51" s="158"/>
      <c r="UED51" s="158"/>
      <c r="UEE51" s="158"/>
      <c r="UEF51" s="158"/>
      <c r="UEG51" s="158"/>
      <c r="UEH51" s="158"/>
      <c r="UEI51" s="158"/>
      <c r="UEJ51" s="158"/>
      <c r="UEK51" s="158"/>
      <c r="UEL51" s="158"/>
      <c r="UEM51" s="158"/>
      <c r="UEN51" s="158"/>
      <c r="UEO51" s="158"/>
      <c r="UEP51" s="158"/>
      <c r="UEQ51" s="158"/>
      <c r="UER51" s="158"/>
      <c r="UES51" s="158"/>
      <c r="UET51" s="158"/>
      <c r="UEU51" s="158"/>
      <c r="UEV51" s="158"/>
      <c r="UEW51" s="158"/>
      <c r="UEX51" s="158"/>
      <c r="UEY51" s="158"/>
      <c r="UEZ51" s="158"/>
      <c r="UFA51" s="158"/>
      <c r="UFB51" s="158"/>
      <c r="UFC51" s="158"/>
      <c r="UFD51" s="158"/>
      <c r="UFE51" s="158"/>
      <c r="UFF51" s="158"/>
      <c r="UFG51" s="158"/>
      <c r="UFH51" s="158"/>
      <c r="UFI51" s="158"/>
      <c r="UFJ51" s="158"/>
      <c r="UFK51" s="158"/>
      <c r="UFL51" s="158"/>
      <c r="UFM51" s="158"/>
      <c r="UFN51" s="158"/>
      <c r="UFO51" s="158"/>
      <c r="UFP51" s="158"/>
      <c r="UFQ51" s="158"/>
      <c r="UFR51" s="158"/>
      <c r="UFS51" s="158"/>
      <c r="UFT51" s="158"/>
      <c r="UFU51" s="158"/>
      <c r="UFV51" s="158"/>
      <c r="UFW51" s="158"/>
      <c r="UFX51" s="158"/>
      <c r="UFY51" s="158"/>
      <c r="UFZ51" s="158"/>
      <c r="UGA51" s="158"/>
      <c r="UGB51" s="158"/>
      <c r="UGC51" s="158"/>
      <c r="UGD51" s="158"/>
      <c r="UGE51" s="158"/>
      <c r="UGF51" s="158"/>
      <c r="UGG51" s="158"/>
      <c r="UGH51" s="158"/>
      <c r="UGI51" s="158"/>
      <c r="UGJ51" s="158"/>
      <c r="UGK51" s="158"/>
      <c r="UGL51" s="158"/>
      <c r="UGM51" s="158"/>
      <c r="UGN51" s="158"/>
      <c r="UGO51" s="158"/>
      <c r="UGP51" s="158"/>
      <c r="UGQ51" s="158"/>
      <c r="UGR51" s="158"/>
      <c r="UGS51" s="158"/>
      <c r="UGT51" s="158"/>
      <c r="UGU51" s="158"/>
      <c r="UGV51" s="158"/>
      <c r="UGW51" s="158"/>
      <c r="UGX51" s="158"/>
      <c r="UGY51" s="158"/>
      <c r="UGZ51" s="158"/>
      <c r="UHA51" s="158"/>
      <c r="UHB51" s="158"/>
      <c r="UHC51" s="158"/>
      <c r="UHD51" s="158"/>
      <c r="UHE51" s="158"/>
      <c r="UHF51" s="158"/>
      <c r="UHG51" s="158"/>
      <c r="UHH51" s="158"/>
      <c r="UHI51" s="158"/>
      <c r="UHJ51" s="158"/>
      <c r="UHK51" s="158"/>
      <c r="UHL51" s="158"/>
      <c r="UHM51" s="158"/>
      <c r="UHN51" s="158"/>
      <c r="UHO51" s="158"/>
      <c r="UHP51" s="158"/>
      <c r="UHQ51" s="158"/>
      <c r="UHR51" s="158"/>
      <c r="UHS51" s="158"/>
      <c r="UHT51" s="158"/>
      <c r="UHU51" s="158"/>
      <c r="UHV51" s="158"/>
      <c r="UHW51" s="158"/>
      <c r="UHX51" s="158"/>
      <c r="UHY51" s="158"/>
      <c r="UHZ51" s="158"/>
      <c r="UIA51" s="158"/>
      <c r="UIB51" s="158"/>
      <c r="UIC51" s="158"/>
      <c r="UID51" s="158"/>
      <c r="UIE51" s="158"/>
      <c r="UIF51" s="158"/>
      <c r="UIG51" s="158"/>
      <c r="UIH51" s="158"/>
      <c r="UII51" s="158"/>
      <c r="UIJ51" s="158"/>
      <c r="UIK51" s="158"/>
      <c r="UIL51" s="158"/>
      <c r="UIM51" s="158"/>
      <c r="UIN51" s="158"/>
      <c r="UIO51" s="158"/>
      <c r="UIP51" s="158"/>
      <c r="UIQ51" s="158"/>
      <c r="UIR51" s="158"/>
      <c r="UIS51" s="158"/>
      <c r="UIT51" s="158"/>
      <c r="UIU51" s="158"/>
      <c r="UIV51" s="158"/>
      <c r="UIW51" s="158"/>
      <c r="UIX51" s="158"/>
      <c r="UIY51" s="158"/>
      <c r="UIZ51" s="158"/>
      <c r="UJA51" s="158"/>
      <c r="UJB51" s="158"/>
      <c r="UJC51" s="158"/>
      <c r="UJD51" s="158"/>
      <c r="UJE51" s="158"/>
      <c r="UJF51" s="158"/>
      <c r="UJG51" s="158"/>
      <c r="UJH51" s="158"/>
      <c r="UJI51" s="158"/>
      <c r="UJJ51" s="158"/>
      <c r="UJK51" s="158"/>
      <c r="UJL51" s="158"/>
      <c r="UJM51" s="158"/>
      <c r="UJN51" s="158"/>
      <c r="UJO51" s="158"/>
      <c r="UJP51" s="158"/>
      <c r="UJQ51" s="158"/>
      <c r="UJR51" s="158"/>
      <c r="UJS51" s="158"/>
      <c r="UJT51" s="158"/>
      <c r="UJU51" s="158"/>
      <c r="UJV51" s="158"/>
      <c r="UJW51" s="158"/>
      <c r="UJX51" s="158"/>
      <c r="UJY51" s="158"/>
      <c r="UJZ51" s="158"/>
      <c r="UKA51" s="158"/>
      <c r="UKB51" s="158"/>
      <c r="UKC51" s="158"/>
      <c r="UKD51" s="158"/>
      <c r="UKE51" s="158"/>
      <c r="UKF51" s="158"/>
      <c r="UKG51" s="158"/>
      <c r="UKH51" s="158"/>
      <c r="UKI51" s="158"/>
      <c r="UKJ51" s="158"/>
      <c r="UKK51" s="158"/>
      <c r="UKL51" s="158"/>
      <c r="UKM51" s="158"/>
      <c r="UKN51" s="158"/>
      <c r="UKO51" s="158"/>
      <c r="UKP51" s="158"/>
      <c r="UKQ51" s="158"/>
      <c r="UKR51" s="158"/>
      <c r="UKS51" s="158"/>
      <c r="UKT51" s="158"/>
      <c r="UKU51" s="158"/>
      <c r="UKV51" s="158"/>
      <c r="UKW51" s="158"/>
      <c r="UKX51" s="158"/>
      <c r="UKY51" s="158"/>
      <c r="UKZ51" s="158"/>
      <c r="ULA51" s="158"/>
      <c r="ULB51" s="158"/>
      <c r="ULC51" s="158"/>
      <c r="ULD51" s="158"/>
      <c r="ULE51" s="158"/>
      <c r="ULF51" s="158"/>
      <c r="ULG51" s="158"/>
      <c r="ULH51" s="158"/>
      <c r="ULI51" s="158"/>
      <c r="ULJ51" s="158"/>
      <c r="ULK51" s="158"/>
      <c r="ULL51" s="158"/>
      <c r="ULM51" s="158"/>
      <c r="ULN51" s="158"/>
      <c r="ULO51" s="158"/>
      <c r="ULP51" s="158"/>
      <c r="ULQ51" s="158"/>
      <c r="ULR51" s="158"/>
      <c r="ULS51" s="158"/>
      <c r="ULT51" s="158"/>
      <c r="ULU51" s="158"/>
      <c r="ULV51" s="158"/>
      <c r="ULW51" s="158"/>
      <c r="ULX51" s="158"/>
      <c r="ULY51" s="158"/>
      <c r="ULZ51" s="158"/>
      <c r="UMA51" s="158"/>
      <c r="UMB51" s="158"/>
      <c r="UMC51" s="158"/>
      <c r="UMD51" s="158"/>
      <c r="UME51" s="158"/>
      <c r="UMF51" s="158"/>
      <c r="UMG51" s="158"/>
      <c r="UMH51" s="158"/>
      <c r="UMI51" s="158"/>
      <c r="UMJ51" s="158"/>
      <c r="UMK51" s="158"/>
      <c r="UML51" s="158"/>
      <c r="UMM51" s="158"/>
      <c r="UMN51" s="158"/>
      <c r="UMO51" s="158"/>
      <c r="UMP51" s="158"/>
      <c r="UMQ51" s="158"/>
      <c r="UMR51" s="158"/>
      <c r="UMS51" s="158"/>
      <c r="UMT51" s="158"/>
      <c r="UMU51" s="158"/>
      <c r="UMV51" s="158"/>
      <c r="UMW51" s="158"/>
      <c r="UMX51" s="158"/>
      <c r="UMY51" s="158"/>
      <c r="UMZ51" s="158"/>
      <c r="UNA51" s="158"/>
      <c r="UNB51" s="158"/>
      <c r="UNC51" s="158"/>
      <c r="UND51" s="158"/>
      <c r="UNE51" s="158"/>
      <c r="UNF51" s="158"/>
      <c r="UNG51" s="158"/>
      <c r="UNH51" s="158"/>
      <c r="UNI51" s="158"/>
      <c r="UNJ51" s="158"/>
      <c r="UNK51" s="158"/>
      <c r="UNL51" s="158"/>
      <c r="UNM51" s="158"/>
      <c r="UNN51" s="158"/>
      <c r="UNO51" s="158"/>
      <c r="UNP51" s="158"/>
      <c r="UNQ51" s="158"/>
      <c r="UNR51" s="158"/>
      <c r="UNS51" s="158"/>
      <c r="UNT51" s="158"/>
      <c r="UNU51" s="158"/>
      <c r="UNV51" s="158"/>
      <c r="UNW51" s="158"/>
      <c r="UNX51" s="158"/>
      <c r="UNY51" s="158"/>
      <c r="UNZ51" s="158"/>
      <c r="UOA51" s="158"/>
      <c r="UOB51" s="158"/>
      <c r="UOC51" s="158"/>
      <c r="UOD51" s="158"/>
      <c r="UOE51" s="158"/>
      <c r="UOF51" s="158"/>
      <c r="UOG51" s="158"/>
      <c r="UOH51" s="158"/>
      <c r="UOI51" s="158"/>
      <c r="UOJ51" s="158"/>
      <c r="UOK51" s="158"/>
      <c r="UOL51" s="158"/>
      <c r="UOM51" s="158"/>
      <c r="UON51" s="158"/>
      <c r="UOO51" s="158"/>
      <c r="UOP51" s="158"/>
      <c r="UOQ51" s="158"/>
      <c r="UOR51" s="158"/>
      <c r="UOS51" s="158"/>
      <c r="UOT51" s="158"/>
      <c r="UOU51" s="158"/>
      <c r="UOV51" s="158"/>
      <c r="UOW51" s="158"/>
      <c r="UOX51" s="158"/>
      <c r="UOY51" s="158"/>
      <c r="UOZ51" s="158"/>
      <c r="UPA51" s="158"/>
      <c r="UPB51" s="158"/>
      <c r="UPC51" s="158"/>
      <c r="UPD51" s="158"/>
      <c r="UPE51" s="158"/>
      <c r="UPF51" s="158"/>
      <c r="UPG51" s="158"/>
      <c r="UPH51" s="158"/>
      <c r="UPI51" s="158"/>
      <c r="UPJ51" s="158"/>
      <c r="UPK51" s="158"/>
      <c r="UPL51" s="158"/>
      <c r="UPM51" s="158"/>
      <c r="UPN51" s="158"/>
      <c r="UPO51" s="158"/>
      <c r="UPP51" s="158"/>
      <c r="UPQ51" s="158"/>
      <c r="UPR51" s="158"/>
      <c r="UPS51" s="158"/>
      <c r="UPT51" s="158"/>
      <c r="UPU51" s="158"/>
      <c r="UPV51" s="158"/>
      <c r="UPW51" s="158"/>
      <c r="UPX51" s="158"/>
      <c r="UPY51" s="158"/>
      <c r="UPZ51" s="158"/>
      <c r="UQA51" s="158"/>
      <c r="UQB51" s="158"/>
      <c r="UQC51" s="158"/>
      <c r="UQD51" s="158"/>
      <c r="UQE51" s="158"/>
      <c r="UQF51" s="158"/>
      <c r="UQG51" s="158"/>
      <c r="UQH51" s="158"/>
      <c r="UQI51" s="158"/>
      <c r="UQJ51" s="158"/>
      <c r="UQK51" s="158"/>
      <c r="UQL51" s="158"/>
      <c r="UQM51" s="158"/>
      <c r="UQN51" s="158"/>
      <c r="UQO51" s="158"/>
      <c r="UQP51" s="158"/>
      <c r="UQQ51" s="158"/>
      <c r="UQR51" s="158"/>
      <c r="UQS51" s="158"/>
      <c r="UQT51" s="158"/>
      <c r="UQU51" s="158"/>
      <c r="UQV51" s="158"/>
      <c r="UQW51" s="158"/>
      <c r="UQX51" s="158"/>
      <c r="UQY51" s="158"/>
      <c r="UQZ51" s="158"/>
      <c r="URA51" s="158"/>
      <c r="URB51" s="158"/>
      <c r="URC51" s="158"/>
      <c r="URD51" s="158"/>
      <c r="URE51" s="158"/>
      <c r="URF51" s="158"/>
      <c r="URG51" s="158"/>
      <c r="URH51" s="158"/>
      <c r="URI51" s="158"/>
      <c r="URJ51" s="158"/>
      <c r="URK51" s="158"/>
      <c r="URL51" s="158"/>
      <c r="URM51" s="158"/>
      <c r="URN51" s="158"/>
      <c r="URO51" s="158"/>
      <c r="URP51" s="158"/>
      <c r="URQ51" s="158"/>
      <c r="URR51" s="158"/>
      <c r="URS51" s="158"/>
      <c r="URT51" s="158"/>
      <c r="URU51" s="158"/>
      <c r="URV51" s="158"/>
      <c r="URW51" s="158"/>
      <c r="URX51" s="158"/>
      <c r="URY51" s="158"/>
      <c r="URZ51" s="158"/>
      <c r="USA51" s="158"/>
      <c r="USB51" s="158"/>
      <c r="USC51" s="158"/>
      <c r="USD51" s="158"/>
      <c r="USE51" s="158"/>
      <c r="USF51" s="158"/>
      <c r="USG51" s="158"/>
      <c r="USH51" s="158"/>
      <c r="USI51" s="158"/>
      <c r="USJ51" s="158"/>
      <c r="USK51" s="158"/>
      <c r="USL51" s="158"/>
      <c r="USM51" s="158"/>
      <c r="USN51" s="158"/>
      <c r="USO51" s="158"/>
      <c r="USP51" s="158"/>
      <c r="USQ51" s="158"/>
      <c r="USR51" s="158"/>
      <c r="USS51" s="158"/>
      <c r="UST51" s="158"/>
      <c r="USU51" s="158"/>
      <c r="USV51" s="158"/>
      <c r="USW51" s="158"/>
      <c r="USX51" s="158"/>
      <c r="USY51" s="158"/>
      <c r="USZ51" s="158"/>
      <c r="UTA51" s="158"/>
      <c r="UTB51" s="158"/>
      <c r="UTC51" s="158"/>
      <c r="UTD51" s="158"/>
      <c r="UTE51" s="158"/>
      <c r="UTF51" s="158"/>
      <c r="UTG51" s="158"/>
      <c r="UTH51" s="158"/>
      <c r="UTI51" s="158"/>
      <c r="UTJ51" s="158"/>
      <c r="UTK51" s="158"/>
      <c r="UTL51" s="158"/>
      <c r="UTM51" s="158"/>
      <c r="UTN51" s="158"/>
      <c r="UTO51" s="158"/>
      <c r="UTP51" s="158"/>
      <c r="UTQ51" s="158"/>
      <c r="UTR51" s="158"/>
      <c r="UTS51" s="158"/>
      <c r="UTT51" s="158"/>
      <c r="UTU51" s="158"/>
      <c r="UTV51" s="158"/>
      <c r="UTW51" s="158"/>
      <c r="UTX51" s="158"/>
      <c r="UTY51" s="158"/>
      <c r="UTZ51" s="158"/>
      <c r="UUA51" s="158"/>
      <c r="UUB51" s="158"/>
      <c r="UUC51" s="158"/>
      <c r="UUD51" s="158"/>
      <c r="UUE51" s="158"/>
      <c r="UUF51" s="158"/>
      <c r="UUG51" s="158"/>
      <c r="UUH51" s="158"/>
      <c r="UUI51" s="158"/>
      <c r="UUJ51" s="158"/>
      <c r="UUK51" s="158"/>
      <c r="UUL51" s="158"/>
      <c r="UUM51" s="158"/>
      <c r="UUN51" s="158"/>
      <c r="UUO51" s="158"/>
      <c r="UUP51" s="158"/>
      <c r="UUQ51" s="158"/>
      <c r="UUR51" s="158"/>
      <c r="UUS51" s="158"/>
      <c r="UUT51" s="158"/>
      <c r="UUU51" s="158"/>
      <c r="UUV51" s="158"/>
      <c r="UUW51" s="158"/>
      <c r="UUX51" s="158"/>
      <c r="UUY51" s="158"/>
      <c r="UUZ51" s="158"/>
      <c r="UVA51" s="158"/>
      <c r="UVB51" s="158"/>
      <c r="UVC51" s="158"/>
      <c r="UVD51" s="158"/>
      <c r="UVE51" s="158"/>
      <c r="UVF51" s="158"/>
      <c r="UVG51" s="158"/>
      <c r="UVH51" s="158"/>
      <c r="UVI51" s="158"/>
      <c r="UVJ51" s="158"/>
      <c r="UVK51" s="158"/>
      <c r="UVL51" s="158"/>
      <c r="UVM51" s="158"/>
      <c r="UVN51" s="158"/>
      <c r="UVO51" s="158"/>
      <c r="UVP51" s="158"/>
      <c r="UVQ51" s="158"/>
      <c r="UVR51" s="158"/>
      <c r="UVS51" s="158"/>
      <c r="UVT51" s="158"/>
      <c r="UVU51" s="158"/>
      <c r="UVV51" s="158"/>
      <c r="UVW51" s="158"/>
      <c r="UVX51" s="158"/>
      <c r="UVY51" s="158"/>
      <c r="UVZ51" s="158"/>
      <c r="UWA51" s="158"/>
      <c r="UWB51" s="158"/>
      <c r="UWC51" s="158"/>
      <c r="UWD51" s="158"/>
      <c r="UWE51" s="158"/>
      <c r="UWF51" s="158"/>
      <c r="UWG51" s="158"/>
      <c r="UWH51" s="158"/>
      <c r="UWI51" s="158"/>
      <c r="UWJ51" s="158"/>
      <c r="UWK51" s="158"/>
      <c r="UWL51" s="158"/>
      <c r="UWM51" s="158"/>
      <c r="UWN51" s="158"/>
      <c r="UWO51" s="158"/>
      <c r="UWP51" s="158"/>
      <c r="UWQ51" s="158"/>
      <c r="UWR51" s="158"/>
      <c r="UWS51" s="158"/>
      <c r="UWT51" s="158"/>
      <c r="UWU51" s="158"/>
      <c r="UWV51" s="158"/>
      <c r="UWW51" s="158"/>
      <c r="UWX51" s="158"/>
      <c r="UWY51" s="158"/>
      <c r="UWZ51" s="158"/>
      <c r="UXA51" s="158"/>
      <c r="UXB51" s="158"/>
      <c r="UXC51" s="158"/>
      <c r="UXD51" s="158"/>
      <c r="UXE51" s="158"/>
      <c r="UXF51" s="158"/>
      <c r="UXG51" s="158"/>
      <c r="UXH51" s="158"/>
      <c r="UXI51" s="158"/>
      <c r="UXJ51" s="158"/>
      <c r="UXK51" s="158"/>
      <c r="UXL51" s="158"/>
      <c r="UXM51" s="158"/>
      <c r="UXN51" s="158"/>
      <c r="UXO51" s="158"/>
      <c r="UXP51" s="158"/>
      <c r="UXQ51" s="158"/>
      <c r="UXR51" s="158"/>
      <c r="UXS51" s="158"/>
      <c r="UXT51" s="158"/>
      <c r="UXU51" s="158"/>
      <c r="UXV51" s="158"/>
      <c r="UXW51" s="158"/>
      <c r="UXX51" s="158"/>
      <c r="UXY51" s="158"/>
      <c r="UXZ51" s="158"/>
      <c r="UYA51" s="158"/>
      <c r="UYB51" s="158"/>
      <c r="UYC51" s="158"/>
      <c r="UYD51" s="158"/>
      <c r="UYE51" s="158"/>
      <c r="UYF51" s="158"/>
      <c r="UYG51" s="158"/>
      <c r="UYH51" s="158"/>
      <c r="UYI51" s="158"/>
      <c r="UYJ51" s="158"/>
      <c r="UYK51" s="158"/>
      <c r="UYL51" s="158"/>
      <c r="UYM51" s="158"/>
      <c r="UYN51" s="158"/>
      <c r="UYO51" s="158"/>
      <c r="UYP51" s="158"/>
      <c r="UYQ51" s="158"/>
      <c r="UYR51" s="158"/>
      <c r="UYS51" s="158"/>
      <c r="UYT51" s="158"/>
      <c r="UYU51" s="158"/>
      <c r="UYV51" s="158"/>
      <c r="UYW51" s="158"/>
      <c r="UYX51" s="158"/>
      <c r="UYY51" s="158"/>
      <c r="UYZ51" s="158"/>
      <c r="UZA51" s="158"/>
      <c r="UZB51" s="158"/>
      <c r="UZC51" s="158"/>
      <c r="UZD51" s="158"/>
      <c r="UZE51" s="158"/>
      <c r="UZF51" s="158"/>
      <c r="UZG51" s="158"/>
      <c r="UZH51" s="158"/>
      <c r="UZI51" s="158"/>
      <c r="UZJ51" s="158"/>
      <c r="UZK51" s="158"/>
      <c r="UZL51" s="158"/>
      <c r="UZM51" s="158"/>
      <c r="UZN51" s="158"/>
      <c r="UZO51" s="158"/>
      <c r="UZP51" s="158"/>
      <c r="UZQ51" s="158"/>
      <c r="UZR51" s="158"/>
      <c r="UZS51" s="158"/>
      <c r="UZT51" s="158"/>
      <c r="UZU51" s="158"/>
      <c r="UZV51" s="158"/>
      <c r="UZW51" s="158"/>
      <c r="UZX51" s="158"/>
      <c r="UZY51" s="158"/>
      <c r="UZZ51" s="158"/>
      <c r="VAA51" s="158"/>
      <c r="VAB51" s="158"/>
      <c r="VAC51" s="158"/>
      <c r="VAD51" s="158"/>
      <c r="VAE51" s="158"/>
      <c r="VAF51" s="158"/>
      <c r="VAG51" s="158"/>
      <c r="VAH51" s="158"/>
      <c r="VAI51" s="158"/>
      <c r="VAJ51" s="158"/>
      <c r="VAK51" s="158"/>
      <c r="VAL51" s="158"/>
      <c r="VAM51" s="158"/>
      <c r="VAN51" s="158"/>
      <c r="VAO51" s="158"/>
      <c r="VAP51" s="158"/>
      <c r="VAQ51" s="158"/>
      <c r="VAR51" s="158"/>
      <c r="VAS51" s="158"/>
      <c r="VAT51" s="158"/>
      <c r="VAU51" s="158"/>
      <c r="VAV51" s="158"/>
      <c r="VAW51" s="158"/>
      <c r="VAX51" s="158"/>
      <c r="VAY51" s="158"/>
      <c r="VAZ51" s="158"/>
      <c r="VBA51" s="158"/>
      <c r="VBB51" s="158"/>
      <c r="VBC51" s="158"/>
      <c r="VBD51" s="158"/>
      <c r="VBE51" s="158"/>
      <c r="VBF51" s="158"/>
      <c r="VBG51" s="158"/>
      <c r="VBH51" s="158"/>
      <c r="VBI51" s="158"/>
      <c r="VBJ51" s="158"/>
      <c r="VBK51" s="158"/>
      <c r="VBL51" s="158"/>
      <c r="VBM51" s="158"/>
      <c r="VBN51" s="158"/>
      <c r="VBO51" s="158"/>
      <c r="VBP51" s="158"/>
      <c r="VBQ51" s="158"/>
      <c r="VBR51" s="158"/>
      <c r="VBS51" s="158"/>
      <c r="VBT51" s="158"/>
      <c r="VBU51" s="158"/>
      <c r="VBV51" s="158"/>
      <c r="VBW51" s="158"/>
      <c r="VBX51" s="158"/>
      <c r="VBY51" s="158"/>
      <c r="VBZ51" s="158"/>
      <c r="VCA51" s="158"/>
      <c r="VCB51" s="158"/>
      <c r="VCC51" s="158"/>
      <c r="VCD51" s="158"/>
      <c r="VCE51" s="158"/>
      <c r="VCF51" s="158"/>
      <c r="VCG51" s="158"/>
      <c r="VCH51" s="158"/>
      <c r="VCI51" s="158"/>
      <c r="VCJ51" s="158"/>
      <c r="VCK51" s="158"/>
      <c r="VCL51" s="158"/>
      <c r="VCM51" s="158"/>
      <c r="VCN51" s="158"/>
      <c r="VCO51" s="158"/>
      <c r="VCP51" s="158"/>
      <c r="VCQ51" s="158"/>
      <c r="VCR51" s="158"/>
      <c r="VCS51" s="158"/>
      <c r="VCT51" s="158"/>
      <c r="VCU51" s="158"/>
      <c r="VCV51" s="158"/>
      <c r="VCW51" s="158"/>
      <c r="VCX51" s="158"/>
      <c r="VCY51" s="158"/>
      <c r="VCZ51" s="158"/>
      <c r="VDA51" s="158"/>
      <c r="VDB51" s="158"/>
      <c r="VDC51" s="158"/>
      <c r="VDD51" s="158"/>
      <c r="VDE51" s="158"/>
      <c r="VDF51" s="158"/>
      <c r="VDG51" s="158"/>
      <c r="VDH51" s="158"/>
      <c r="VDI51" s="158"/>
      <c r="VDJ51" s="158"/>
      <c r="VDK51" s="158"/>
      <c r="VDL51" s="158"/>
      <c r="VDM51" s="158"/>
      <c r="VDN51" s="158"/>
      <c r="VDO51" s="158"/>
      <c r="VDP51" s="158"/>
      <c r="VDQ51" s="158"/>
      <c r="VDR51" s="158"/>
      <c r="VDS51" s="158"/>
      <c r="VDT51" s="158"/>
      <c r="VDU51" s="158"/>
      <c r="VDV51" s="158"/>
      <c r="VDW51" s="158"/>
      <c r="VDX51" s="158"/>
      <c r="VDY51" s="158"/>
      <c r="VDZ51" s="158"/>
      <c r="VEA51" s="158"/>
      <c r="VEB51" s="158"/>
      <c r="VEC51" s="158"/>
      <c r="VED51" s="158"/>
      <c r="VEE51" s="158"/>
      <c r="VEF51" s="158"/>
      <c r="VEG51" s="158"/>
      <c r="VEH51" s="158"/>
      <c r="VEI51" s="158"/>
      <c r="VEJ51" s="158"/>
      <c r="VEK51" s="158"/>
      <c r="VEL51" s="158"/>
      <c r="VEM51" s="158"/>
      <c r="VEN51" s="158"/>
      <c r="VEO51" s="158"/>
      <c r="VEP51" s="158"/>
      <c r="VEQ51" s="158"/>
      <c r="VER51" s="158"/>
      <c r="VES51" s="158"/>
      <c r="VET51" s="158"/>
      <c r="VEU51" s="158"/>
      <c r="VEV51" s="158"/>
      <c r="VEW51" s="158"/>
      <c r="VEX51" s="158"/>
      <c r="VEY51" s="158"/>
      <c r="VEZ51" s="158"/>
      <c r="VFA51" s="158"/>
      <c r="VFB51" s="158"/>
      <c r="VFC51" s="158"/>
      <c r="VFD51" s="158"/>
      <c r="VFE51" s="158"/>
      <c r="VFF51" s="158"/>
      <c r="VFG51" s="158"/>
      <c r="VFH51" s="158"/>
      <c r="VFI51" s="158"/>
      <c r="VFJ51" s="158"/>
      <c r="VFK51" s="158"/>
      <c r="VFL51" s="158"/>
      <c r="VFM51" s="158"/>
      <c r="VFN51" s="158"/>
      <c r="VFO51" s="158"/>
      <c r="VFP51" s="158"/>
      <c r="VFQ51" s="158"/>
      <c r="VFR51" s="158"/>
      <c r="VFS51" s="158"/>
      <c r="VFT51" s="158"/>
      <c r="VFU51" s="158"/>
      <c r="VFV51" s="158"/>
      <c r="VFW51" s="158"/>
      <c r="VFX51" s="158"/>
      <c r="VFY51" s="158"/>
      <c r="VFZ51" s="158"/>
      <c r="VGA51" s="158"/>
      <c r="VGB51" s="158"/>
      <c r="VGC51" s="158"/>
      <c r="VGD51" s="158"/>
      <c r="VGE51" s="158"/>
      <c r="VGF51" s="158"/>
      <c r="VGG51" s="158"/>
      <c r="VGH51" s="158"/>
      <c r="VGI51" s="158"/>
      <c r="VGJ51" s="158"/>
      <c r="VGK51" s="158"/>
      <c r="VGL51" s="158"/>
      <c r="VGM51" s="158"/>
      <c r="VGN51" s="158"/>
      <c r="VGO51" s="158"/>
      <c r="VGP51" s="158"/>
      <c r="VGQ51" s="158"/>
      <c r="VGR51" s="158"/>
      <c r="VGS51" s="158"/>
      <c r="VGT51" s="158"/>
      <c r="VGU51" s="158"/>
      <c r="VGV51" s="158"/>
      <c r="VGW51" s="158"/>
      <c r="VGX51" s="158"/>
      <c r="VGY51" s="158"/>
      <c r="VGZ51" s="158"/>
      <c r="VHA51" s="158"/>
      <c r="VHB51" s="158"/>
      <c r="VHC51" s="158"/>
      <c r="VHD51" s="158"/>
      <c r="VHE51" s="158"/>
      <c r="VHF51" s="158"/>
      <c r="VHG51" s="158"/>
      <c r="VHH51" s="158"/>
      <c r="VHI51" s="158"/>
      <c r="VHJ51" s="158"/>
      <c r="VHK51" s="158"/>
      <c r="VHL51" s="158"/>
      <c r="VHM51" s="158"/>
      <c r="VHN51" s="158"/>
      <c r="VHO51" s="158"/>
      <c r="VHP51" s="158"/>
      <c r="VHQ51" s="158"/>
      <c r="VHR51" s="158"/>
      <c r="VHS51" s="158"/>
      <c r="VHT51" s="158"/>
      <c r="VHU51" s="158"/>
      <c r="VHV51" s="158"/>
      <c r="VHW51" s="158"/>
      <c r="VHX51" s="158"/>
      <c r="VHY51" s="158"/>
      <c r="VHZ51" s="158"/>
      <c r="VIA51" s="158"/>
      <c r="VIB51" s="158"/>
      <c r="VIC51" s="158"/>
      <c r="VID51" s="158"/>
      <c r="VIE51" s="158"/>
      <c r="VIF51" s="158"/>
      <c r="VIG51" s="158"/>
      <c r="VIH51" s="158"/>
      <c r="VII51" s="158"/>
      <c r="VIJ51" s="158"/>
      <c r="VIK51" s="158"/>
      <c r="VIL51" s="158"/>
      <c r="VIM51" s="158"/>
      <c r="VIN51" s="158"/>
      <c r="VIO51" s="158"/>
      <c r="VIP51" s="158"/>
      <c r="VIQ51" s="158"/>
      <c r="VIR51" s="158"/>
      <c r="VIS51" s="158"/>
      <c r="VIT51" s="158"/>
      <c r="VIU51" s="158"/>
      <c r="VIV51" s="158"/>
      <c r="VIW51" s="158"/>
      <c r="VIX51" s="158"/>
      <c r="VIY51" s="158"/>
      <c r="VIZ51" s="158"/>
      <c r="VJA51" s="158"/>
      <c r="VJB51" s="158"/>
      <c r="VJC51" s="158"/>
      <c r="VJD51" s="158"/>
      <c r="VJE51" s="158"/>
      <c r="VJF51" s="158"/>
      <c r="VJG51" s="158"/>
      <c r="VJH51" s="158"/>
      <c r="VJI51" s="158"/>
      <c r="VJJ51" s="158"/>
      <c r="VJK51" s="158"/>
      <c r="VJL51" s="158"/>
      <c r="VJM51" s="158"/>
      <c r="VJN51" s="158"/>
      <c r="VJO51" s="158"/>
      <c r="VJP51" s="158"/>
      <c r="VJQ51" s="158"/>
      <c r="VJR51" s="158"/>
      <c r="VJS51" s="158"/>
      <c r="VJT51" s="158"/>
      <c r="VJU51" s="158"/>
      <c r="VJV51" s="158"/>
      <c r="VJW51" s="158"/>
      <c r="VJX51" s="158"/>
      <c r="VJY51" s="158"/>
      <c r="VJZ51" s="158"/>
      <c r="VKA51" s="158"/>
      <c r="VKB51" s="158"/>
      <c r="VKC51" s="158"/>
      <c r="VKD51" s="158"/>
      <c r="VKE51" s="158"/>
      <c r="VKF51" s="158"/>
      <c r="VKG51" s="158"/>
      <c r="VKH51" s="158"/>
      <c r="VKI51" s="158"/>
      <c r="VKJ51" s="158"/>
      <c r="VKK51" s="158"/>
      <c r="VKL51" s="158"/>
      <c r="VKM51" s="158"/>
      <c r="VKN51" s="158"/>
      <c r="VKO51" s="158"/>
      <c r="VKP51" s="158"/>
      <c r="VKQ51" s="158"/>
      <c r="VKR51" s="158"/>
      <c r="VKS51" s="158"/>
      <c r="VKT51" s="158"/>
      <c r="VKU51" s="158"/>
      <c r="VKV51" s="158"/>
      <c r="VKW51" s="158"/>
      <c r="VKX51" s="158"/>
      <c r="VKY51" s="158"/>
      <c r="VKZ51" s="158"/>
      <c r="VLA51" s="158"/>
      <c r="VLB51" s="158"/>
      <c r="VLC51" s="158"/>
      <c r="VLD51" s="158"/>
      <c r="VLE51" s="158"/>
      <c r="VLF51" s="158"/>
      <c r="VLG51" s="158"/>
      <c r="VLH51" s="158"/>
      <c r="VLI51" s="158"/>
      <c r="VLJ51" s="158"/>
      <c r="VLK51" s="158"/>
      <c r="VLL51" s="158"/>
      <c r="VLM51" s="158"/>
      <c r="VLN51" s="158"/>
      <c r="VLO51" s="158"/>
      <c r="VLP51" s="158"/>
      <c r="VLQ51" s="158"/>
      <c r="VLR51" s="158"/>
      <c r="VLS51" s="158"/>
      <c r="VLT51" s="158"/>
      <c r="VLU51" s="158"/>
      <c r="VLV51" s="158"/>
      <c r="VLW51" s="158"/>
      <c r="VLX51" s="158"/>
      <c r="VLY51" s="158"/>
      <c r="VLZ51" s="158"/>
      <c r="VMA51" s="158"/>
      <c r="VMB51" s="158"/>
      <c r="VMC51" s="158"/>
      <c r="VMD51" s="158"/>
      <c r="VME51" s="158"/>
      <c r="VMF51" s="158"/>
      <c r="VMG51" s="158"/>
      <c r="VMH51" s="158"/>
      <c r="VMI51" s="158"/>
      <c r="VMJ51" s="158"/>
      <c r="VMK51" s="158"/>
      <c r="VML51" s="158"/>
      <c r="VMM51" s="158"/>
      <c r="VMN51" s="158"/>
      <c r="VMO51" s="158"/>
      <c r="VMP51" s="158"/>
      <c r="VMQ51" s="158"/>
      <c r="VMR51" s="158"/>
      <c r="VMS51" s="158"/>
      <c r="VMT51" s="158"/>
      <c r="VMU51" s="158"/>
      <c r="VMV51" s="158"/>
      <c r="VMW51" s="158"/>
      <c r="VMX51" s="158"/>
      <c r="VMY51" s="158"/>
      <c r="VMZ51" s="158"/>
      <c r="VNA51" s="158"/>
      <c r="VNB51" s="158"/>
      <c r="VNC51" s="158"/>
      <c r="VND51" s="158"/>
      <c r="VNE51" s="158"/>
      <c r="VNF51" s="158"/>
      <c r="VNG51" s="158"/>
      <c r="VNH51" s="158"/>
      <c r="VNI51" s="158"/>
      <c r="VNJ51" s="158"/>
      <c r="VNK51" s="158"/>
      <c r="VNL51" s="158"/>
      <c r="VNM51" s="158"/>
      <c r="VNN51" s="158"/>
      <c r="VNO51" s="158"/>
      <c r="VNP51" s="158"/>
      <c r="VNQ51" s="158"/>
      <c r="VNR51" s="158"/>
      <c r="VNS51" s="158"/>
      <c r="VNT51" s="158"/>
      <c r="VNU51" s="158"/>
      <c r="VNV51" s="158"/>
      <c r="VNW51" s="158"/>
      <c r="VNX51" s="158"/>
      <c r="VNY51" s="158"/>
      <c r="VNZ51" s="158"/>
      <c r="VOA51" s="158"/>
      <c r="VOB51" s="158"/>
      <c r="VOC51" s="158"/>
      <c r="VOD51" s="158"/>
      <c r="VOE51" s="158"/>
      <c r="VOF51" s="158"/>
      <c r="VOG51" s="158"/>
      <c r="VOH51" s="158"/>
      <c r="VOI51" s="158"/>
      <c r="VOJ51" s="158"/>
      <c r="VOK51" s="158"/>
      <c r="VOL51" s="158"/>
      <c r="VOM51" s="158"/>
      <c r="VON51" s="158"/>
      <c r="VOO51" s="158"/>
      <c r="VOP51" s="158"/>
      <c r="VOQ51" s="158"/>
      <c r="VOR51" s="158"/>
      <c r="VOS51" s="158"/>
      <c r="VOT51" s="158"/>
      <c r="VOU51" s="158"/>
      <c r="VOV51" s="158"/>
      <c r="VOW51" s="158"/>
      <c r="VOX51" s="158"/>
      <c r="VOY51" s="158"/>
      <c r="VOZ51" s="158"/>
      <c r="VPA51" s="158"/>
      <c r="VPB51" s="158"/>
      <c r="VPC51" s="158"/>
      <c r="VPD51" s="158"/>
      <c r="VPE51" s="158"/>
      <c r="VPF51" s="158"/>
      <c r="VPG51" s="158"/>
      <c r="VPH51" s="158"/>
      <c r="VPI51" s="158"/>
      <c r="VPJ51" s="158"/>
      <c r="VPK51" s="158"/>
      <c r="VPL51" s="158"/>
      <c r="VPM51" s="158"/>
      <c r="VPN51" s="158"/>
      <c r="VPO51" s="158"/>
      <c r="VPP51" s="158"/>
      <c r="VPQ51" s="158"/>
      <c r="VPR51" s="158"/>
      <c r="VPS51" s="158"/>
      <c r="VPT51" s="158"/>
      <c r="VPU51" s="158"/>
      <c r="VPV51" s="158"/>
      <c r="VPW51" s="158"/>
      <c r="VPX51" s="158"/>
      <c r="VPY51" s="158"/>
      <c r="VPZ51" s="158"/>
      <c r="VQA51" s="158"/>
      <c r="VQB51" s="158"/>
      <c r="VQC51" s="158"/>
      <c r="VQD51" s="158"/>
      <c r="VQE51" s="158"/>
      <c r="VQF51" s="158"/>
      <c r="VQG51" s="158"/>
      <c r="VQH51" s="158"/>
      <c r="VQI51" s="158"/>
      <c r="VQJ51" s="158"/>
      <c r="VQK51" s="158"/>
      <c r="VQL51" s="158"/>
      <c r="VQM51" s="158"/>
      <c r="VQN51" s="158"/>
      <c r="VQO51" s="158"/>
      <c r="VQP51" s="158"/>
      <c r="VQQ51" s="158"/>
      <c r="VQR51" s="158"/>
      <c r="VQS51" s="158"/>
      <c r="VQT51" s="158"/>
      <c r="VQU51" s="158"/>
      <c r="VQV51" s="158"/>
      <c r="VQW51" s="158"/>
      <c r="VQX51" s="158"/>
      <c r="VQY51" s="158"/>
      <c r="VQZ51" s="158"/>
      <c r="VRA51" s="158"/>
      <c r="VRB51" s="158"/>
      <c r="VRC51" s="158"/>
      <c r="VRD51" s="158"/>
      <c r="VRE51" s="158"/>
      <c r="VRF51" s="158"/>
      <c r="VRG51" s="158"/>
      <c r="VRH51" s="158"/>
      <c r="VRI51" s="158"/>
      <c r="VRJ51" s="158"/>
      <c r="VRK51" s="158"/>
      <c r="VRL51" s="158"/>
      <c r="VRM51" s="158"/>
      <c r="VRN51" s="158"/>
      <c r="VRO51" s="158"/>
      <c r="VRP51" s="158"/>
      <c r="VRQ51" s="158"/>
      <c r="VRR51" s="158"/>
      <c r="VRS51" s="158"/>
      <c r="VRT51" s="158"/>
      <c r="VRU51" s="158"/>
      <c r="VRV51" s="158"/>
      <c r="VRW51" s="158"/>
      <c r="VRX51" s="158"/>
      <c r="VRY51" s="158"/>
      <c r="VRZ51" s="158"/>
      <c r="VSA51" s="158"/>
      <c r="VSB51" s="158"/>
      <c r="VSC51" s="158"/>
      <c r="VSD51" s="158"/>
      <c r="VSE51" s="158"/>
      <c r="VSF51" s="158"/>
      <c r="VSG51" s="158"/>
      <c r="VSH51" s="158"/>
      <c r="VSI51" s="158"/>
      <c r="VSJ51" s="158"/>
      <c r="VSK51" s="158"/>
      <c r="VSL51" s="158"/>
      <c r="VSM51" s="158"/>
      <c r="VSN51" s="158"/>
      <c r="VSO51" s="158"/>
      <c r="VSP51" s="158"/>
      <c r="VSQ51" s="158"/>
      <c r="VSR51" s="158"/>
      <c r="VSS51" s="158"/>
      <c r="VST51" s="158"/>
      <c r="VSU51" s="158"/>
      <c r="VSV51" s="158"/>
      <c r="VSW51" s="158"/>
      <c r="VSX51" s="158"/>
      <c r="VSY51" s="158"/>
      <c r="VSZ51" s="158"/>
      <c r="VTA51" s="158"/>
      <c r="VTB51" s="158"/>
      <c r="VTC51" s="158"/>
      <c r="VTD51" s="158"/>
      <c r="VTE51" s="158"/>
      <c r="VTF51" s="158"/>
      <c r="VTG51" s="158"/>
      <c r="VTH51" s="158"/>
      <c r="VTI51" s="158"/>
      <c r="VTJ51" s="158"/>
      <c r="VTK51" s="158"/>
      <c r="VTL51" s="158"/>
      <c r="VTM51" s="158"/>
      <c r="VTN51" s="158"/>
      <c r="VTO51" s="158"/>
      <c r="VTP51" s="158"/>
      <c r="VTQ51" s="158"/>
      <c r="VTR51" s="158"/>
      <c r="VTS51" s="158"/>
      <c r="VTT51" s="158"/>
      <c r="VTU51" s="158"/>
      <c r="VTV51" s="158"/>
      <c r="VTW51" s="158"/>
      <c r="VTX51" s="158"/>
      <c r="VTY51" s="158"/>
      <c r="VTZ51" s="158"/>
      <c r="VUA51" s="158"/>
      <c r="VUB51" s="158"/>
      <c r="VUC51" s="158"/>
      <c r="VUD51" s="158"/>
      <c r="VUE51" s="158"/>
      <c r="VUF51" s="158"/>
      <c r="VUG51" s="158"/>
      <c r="VUH51" s="158"/>
      <c r="VUI51" s="158"/>
      <c r="VUJ51" s="158"/>
      <c r="VUK51" s="158"/>
      <c r="VUL51" s="158"/>
      <c r="VUM51" s="158"/>
      <c r="VUN51" s="158"/>
      <c r="VUO51" s="158"/>
      <c r="VUP51" s="158"/>
      <c r="VUQ51" s="158"/>
      <c r="VUR51" s="158"/>
      <c r="VUS51" s="158"/>
      <c r="VUT51" s="158"/>
      <c r="VUU51" s="158"/>
      <c r="VUV51" s="158"/>
      <c r="VUW51" s="158"/>
      <c r="VUX51" s="158"/>
      <c r="VUY51" s="158"/>
      <c r="VUZ51" s="158"/>
      <c r="VVA51" s="158"/>
      <c r="VVB51" s="158"/>
      <c r="VVC51" s="158"/>
      <c r="VVD51" s="158"/>
      <c r="VVE51" s="158"/>
      <c r="VVF51" s="158"/>
      <c r="VVG51" s="158"/>
      <c r="VVH51" s="158"/>
      <c r="VVI51" s="158"/>
      <c r="VVJ51" s="158"/>
      <c r="VVK51" s="158"/>
      <c r="VVL51" s="158"/>
      <c r="VVM51" s="158"/>
      <c r="VVN51" s="158"/>
      <c r="VVO51" s="158"/>
      <c r="VVP51" s="158"/>
      <c r="VVQ51" s="158"/>
      <c r="VVR51" s="158"/>
      <c r="VVS51" s="158"/>
      <c r="VVT51" s="158"/>
      <c r="VVU51" s="158"/>
      <c r="VVV51" s="158"/>
      <c r="VVW51" s="158"/>
      <c r="VVX51" s="158"/>
      <c r="VVY51" s="158"/>
      <c r="VVZ51" s="158"/>
      <c r="VWA51" s="158"/>
      <c r="VWB51" s="158"/>
      <c r="VWC51" s="158"/>
      <c r="VWD51" s="158"/>
      <c r="VWE51" s="158"/>
      <c r="VWF51" s="158"/>
      <c r="VWG51" s="158"/>
      <c r="VWH51" s="158"/>
      <c r="VWI51" s="158"/>
      <c r="VWJ51" s="158"/>
      <c r="VWK51" s="158"/>
      <c r="VWL51" s="158"/>
      <c r="VWM51" s="158"/>
      <c r="VWN51" s="158"/>
      <c r="VWO51" s="158"/>
      <c r="VWP51" s="158"/>
      <c r="VWQ51" s="158"/>
      <c r="VWR51" s="158"/>
      <c r="VWS51" s="158"/>
      <c r="VWT51" s="158"/>
      <c r="VWU51" s="158"/>
      <c r="VWV51" s="158"/>
      <c r="VWW51" s="158"/>
      <c r="VWX51" s="158"/>
      <c r="VWY51" s="158"/>
      <c r="VWZ51" s="158"/>
      <c r="VXA51" s="158"/>
      <c r="VXB51" s="158"/>
      <c r="VXC51" s="158"/>
      <c r="VXD51" s="158"/>
      <c r="VXE51" s="158"/>
      <c r="VXF51" s="158"/>
      <c r="VXG51" s="158"/>
      <c r="VXH51" s="158"/>
      <c r="VXI51" s="158"/>
      <c r="VXJ51" s="158"/>
      <c r="VXK51" s="158"/>
      <c r="VXL51" s="158"/>
      <c r="VXM51" s="158"/>
      <c r="VXN51" s="158"/>
      <c r="VXO51" s="158"/>
      <c r="VXP51" s="158"/>
      <c r="VXQ51" s="158"/>
      <c r="VXR51" s="158"/>
      <c r="VXS51" s="158"/>
      <c r="VXT51" s="158"/>
      <c r="VXU51" s="158"/>
      <c r="VXV51" s="158"/>
      <c r="VXW51" s="158"/>
      <c r="VXX51" s="158"/>
      <c r="VXY51" s="158"/>
      <c r="VXZ51" s="158"/>
      <c r="VYA51" s="158"/>
      <c r="VYB51" s="158"/>
      <c r="VYC51" s="158"/>
      <c r="VYD51" s="158"/>
      <c r="VYE51" s="158"/>
      <c r="VYF51" s="158"/>
      <c r="VYG51" s="158"/>
      <c r="VYH51" s="158"/>
      <c r="VYI51" s="158"/>
      <c r="VYJ51" s="158"/>
      <c r="VYK51" s="158"/>
      <c r="VYL51" s="158"/>
      <c r="VYM51" s="158"/>
      <c r="VYN51" s="158"/>
      <c r="VYO51" s="158"/>
      <c r="VYP51" s="158"/>
      <c r="VYQ51" s="158"/>
      <c r="VYR51" s="158"/>
      <c r="VYS51" s="158"/>
      <c r="VYT51" s="158"/>
      <c r="VYU51" s="158"/>
      <c r="VYV51" s="158"/>
      <c r="VYW51" s="158"/>
      <c r="VYX51" s="158"/>
      <c r="VYY51" s="158"/>
      <c r="VYZ51" s="158"/>
      <c r="VZA51" s="158"/>
      <c r="VZB51" s="158"/>
      <c r="VZC51" s="158"/>
      <c r="VZD51" s="158"/>
      <c r="VZE51" s="158"/>
      <c r="VZF51" s="158"/>
      <c r="VZG51" s="158"/>
      <c r="VZH51" s="158"/>
      <c r="VZI51" s="158"/>
      <c r="VZJ51" s="158"/>
      <c r="VZK51" s="158"/>
      <c r="VZL51" s="158"/>
      <c r="VZM51" s="158"/>
      <c r="VZN51" s="158"/>
      <c r="VZO51" s="158"/>
      <c r="VZP51" s="158"/>
      <c r="VZQ51" s="158"/>
      <c r="VZR51" s="158"/>
      <c r="VZS51" s="158"/>
      <c r="VZT51" s="158"/>
      <c r="VZU51" s="158"/>
      <c r="VZV51" s="158"/>
      <c r="VZW51" s="158"/>
      <c r="VZX51" s="158"/>
      <c r="VZY51" s="158"/>
      <c r="VZZ51" s="158"/>
      <c r="WAA51" s="158"/>
      <c r="WAB51" s="158"/>
      <c r="WAC51" s="158"/>
      <c r="WAD51" s="158"/>
      <c r="WAE51" s="158"/>
      <c r="WAF51" s="158"/>
      <c r="WAG51" s="158"/>
      <c r="WAH51" s="158"/>
      <c r="WAI51" s="158"/>
      <c r="WAJ51" s="158"/>
      <c r="WAK51" s="158"/>
      <c r="WAL51" s="158"/>
      <c r="WAM51" s="158"/>
      <c r="WAN51" s="158"/>
      <c r="WAO51" s="158"/>
      <c r="WAP51" s="158"/>
      <c r="WAQ51" s="158"/>
      <c r="WAR51" s="158"/>
      <c r="WAS51" s="158"/>
      <c r="WAT51" s="158"/>
      <c r="WAU51" s="158"/>
      <c r="WAV51" s="158"/>
      <c r="WAW51" s="158"/>
      <c r="WAX51" s="158"/>
      <c r="WAY51" s="158"/>
      <c r="WAZ51" s="158"/>
      <c r="WBA51" s="158"/>
      <c r="WBB51" s="158"/>
      <c r="WBC51" s="158"/>
      <c r="WBD51" s="158"/>
      <c r="WBE51" s="158"/>
      <c r="WBF51" s="158"/>
      <c r="WBG51" s="158"/>
      <c r="WBH51" s="158"/>
      <c r="WBI51" s="158"/>
      <c r="WBJ51" s="158"/>
      <c r="WBK51" s="158"/>
      <c r="WBL51" s="158"/>
      <c r="WBM51" s="158"/>
      <c r="WBN51" s="158"/>
      <c r="WBO51" s="158"/>
      <c r="WBP51" s="158"/>
      <c r="WBQ51" s="158"/>
      <c r="WBR51" s="158"/>
      <c r="WBS51" s="158"/>
      <c r="WBT51" s="158"/>
      <c r="WBU51" s="158"/>
      <c r="WBV51" s="158"/>
      <c r="WBW51" s="158"/>
      <c r="WBX51" s="158"/>
      <c r="WBY51" s="158"/>
      <c r="WBZ51" s="158"/>
      <c r="WCA51" s="158"/>
      <c r="WCB51" s="158"/>
      <c r="WCC51" s="158"/>
      <c r="WCD51" s="158"/>
      <c r="WCE51" s="158"/>
      <c r="WCF51" s="158"/>
      <c r="WCG51" s="158"/>
      <c r="WCH51" s="158"/>
      <c r="WCI51" s="158"/>
      <c r="WCJ51" s="158"/>
      <c r="WCK51" s="158"/>
      <c r="WCL51" s="158"/>
      <c r="WCM51" s="158"/>
      <c r="WCN51" s="158"/>
      <c r="WCO51" s="158"/>
      <c r="WCP51" s="158"/>
      <c r="WCQ51" s="158"/>
      <c r="WCR51" s="158"/>
      <c r="WCS51" s="158"/>
      <c r="WCT51" s="158"/>
      <c r="WCU51" s="158"/>
      <c r="WCV51" s="158"/>
      <c r="WCW51" s="158"/>
      <c r="WCX51" s="158"/>
      <c r="WCY51" s="158"/>
      <c r="WCZ51" s="158"/>
      <c r="WDA51" s="158"/>
      <c r="WDB51" s="158"/>
      <c r="WDC51" s="158"/>
      <c r="WDD51" s="158"/>
      <c r="WDE51" s="158"/>
      <c r="WDF51" s="158"/>
      <c r="WDG51" s="158"/>
      <c r="WDH51" s="158"/>
      <c r="WDI51" s="158"/>
      <c r="WDJ51" s="158"/>
      <c r="WDK51" s="158"/>
      <c r="WDL51" s="158"/>
      <c r="WDM51" s="158"/>
      <c r="WDN51" s="158"/>
      <c r="WDO51" s="158"/>
      <c r="WDP51" s="158"/>
      <c r="WDQ51" s="158"/>
      <c r="WDR51" s="158"/>
      <c r="WDS51" s="158"/>
      <c r="WDT51" s="158"/>
      <c r="WDU51" s="158"/>
      <c r="WDV51" s="158"/>
      <c r="WDW51" s="158"/>
      <c r="WDX51" s="158"/>
      <c r="WDY51" s="158"/>
      <c r="WDZ51" s="158"/>
      <c r="WEA51" s="158"/>
      <c r="WEB51" s="158"/>
      <c r="WEC51" s="158"/>
      <c r="WED51" s="158"/>
      <c r="WEE51" s="158"/>
      <c r="WEF51" s="158"/>
      <c r="WEG51" s="158"/>
      <c r="WEH51" s="158"/>
      <c r="WEI51" s="158"/>
      <c r="WEJ51" s="158"/>
      <c r="WEK51" s="158"/>
      <c r="WEL51" s="158"/>
      <c r="WEM51" s="158"/>
      <c r="WEN51" s="158"/>
      <c r="WEO51" s="158"/>
      <c r="WEP51" s="158"/>
      <c r="WEQ51" s="158"/>
      <c r="WER51" s="158"/>
      <c r="WES51" s="158"/>
      <c r="WET51" s="158"/>
      <c r="WEU51" s="158"/>
      <c r="WEV51" s="158"/>
      <c r="WEW51" s="158"/>
      <c r="WEX51" s="158"/>
      <c r="WEY51" s="158"/>
      <c r="WEZ51" s="158"/>
      <c r="WFA51" s="158"/>
      <c r="WFB51" s="158"/>
      <c r="WFC51" s="158"/>
      <c r="WFD51" s="158"/>
      <c r="WFE51" s="158"/>
      <c r="WFF51" s="158"/>
      <c r="WFG51" s="158"/>
      <c r="WFH51" s="158"/>
      <c r="WFI51" s="158"/>
      <c r="WFJ51" s="158"/>
      <c r="WFK51" s="158"/>
      <c r="WFL51" s="158"/>
      <c r="WFM51" s="158"/>
      <c r="WFN51" s="158"/>
      <c r="WFO51" s="158"/>
      <c r="WFP51" s="158"/>
      <c r="WFQ51" s="158"/>
      <c r="WFR51" s="158"/>
      <c r="WFS51" s="158"/>
      <c r="WFT51" s="158"/>
      <c r="WFU51" s="158"/>
      <c r="WFV51" s="158"/>
      <c r="WFW51" s="158"/>
      <c r="WFX51" s="158"/>
      <c r="WFY51" s="158"/>
      <c r="WFZ51" s="158"/>
      <c r="WGA51" s="158"/>
      <c r="WGB51" s="158"/>
      <c r="WGC51" s="158"/>
      <c r="WGD51" s="158"/>
      <c r="WGE51" s="158"/>
      <c r="WGF51" s="158"/>
      <c r="WGG51" s="158"/>
      <c r="WGH51" s="158"/>
      <c r="WGI51" s="158"/>
      <c r="WGJ51" s="158"/>
      <c r="WGK51" s="158"/>
      <c r="WGL51" s="158"/>
      <c r="WGM51" s="158"/>
      <c r="WGN51" s="158"/>
      <c r="WGO51" s="158"/>
      <c r="WGP51" s="158"/>
      <c r="WGQ51" s="158"/>
      <c r="WGR51" s="158"/>
      <c r="WGS51" s="158"/>
      <c r="WGT51" s="158"/>
      <c r="WGU51" s="158"/>
      <c r="WGV51" s="158"/>
      <c r="WGW51" s="158"/>
      <c r="WGX51" s="158"/>
      <c r="WGY51" s="158"/>
      <c r="WGZ51" s="158"/>
      <c r="WHA51" s="158"/>
      <c r="WHB51" s="158"/>
      <c r="WHC51" s="158"/>
      <c r="WHD51" s="158"/>
      <c r="WHE51" s="158"/>
      <c r="WHF51" s="158"/>
      <c r="WHG51" s="158"/>
      <c r="WHH51" s="158"/>
      <c r="WHI51" s="158"/>
      <c r="WHJ51" s="158"/>
      <c r="WHK51" s="158"/>
      <c r="WHL51" s="158"/>
      <c r="WHM51" s="158"/>
      <c r="WHN51" s="158"/>
      <c r="WHO51" s="158"/>
      <c r="WHP51" s="158"/>
      <c r="WHQ51" s="158"/>
      <c r="WHR51" s="158"/>
      <c r="WHS51" s="158"/>
      <c r="WHT51" s="158"/>
      <c r="WHU51" s="158"/>
      <c r="WHV51" s="158"/>
      <c r="WHW51" s="158"/>
      <c r="WHX51" s="158"/>
      <c r="WHY51" s="158"/>
      <c r="WHZ51" s="158"/>
      <c r="WIA51" s="158"/>
      <c r="WIB51" s="158"/>
      <c r="WIC51" s="158"/>
      <c r="WID51" s="158"/>
      <c r="WIE51" s="158"/>
      <c r="WIF51" s="158"/>
      <c r="WIG51" s="158"/>
      <c r="WIH51" s="158"/>
      <c r="WII51" s="158"/>
      <c r="WIJ51" s="158"/>
      <c r="WIK51" s="158"/>
      <c r="WIL51" s="158"/>
      <c r="WIM51" s="158"/>
      <c r="WIN51" s="158"/>
      <c r="WIO51" s="158"/>
      <c r="WIP51" s="158"/>
      <c r="WIQ51" s="158"/>
      <c r="WIR51" s="158"/>
      <c r="WIS51" s="158"/>
      <c r="WIT51" s="158"/>
      <c r="WIU51" s="158"/>
      <c r="WIV51" s="158"/>
      <c r="WIW51" s="158"/>
      <c r="WIX51" s="158"/>
      <c r="WIY51" s="158"/>
      <c r="WIZ51" s="158"/>
      <c r="WJA51" s="158"/>
      <c r="WJB51" s="158"/>
      <c r="WJC51" s="158"/>
      <c r="WJD51" s="158"/>
      <c r="WJE51" s="158"/>
      <c r="WJF51" s="158"/>
      <c r="WJG51" s="158"/>
      <c r="WJH51" s="158"/>
      <c r="WJI51" s="158"/>
      <c r="WJJ51" s="158"/>
      <c r="WJK51" s="158"/>
      <c r="WJL51" s="158"/>
      <c r="WJM51" s="158"/>
      <c r="WJN51" s="158"/>
      <c r="WJO51" s="158"/>
      <c r="WJP51" s="158"/>
      <c r="WJQ51" s="158"/>
      <c r="WJR51" s="158"/>
      <c r="WJS51" s="158"/>
      <c r="WJT51" s="158"/>
      <c r="WJU51" s="158"/>
      <c r="WJV51" s="158"/>
      <c r="WJW51" s="158"/>
      <c r="WJX51" s="158"/>
      <c r="WJY51" s="158"/>
      <c r="WJZ51" s="158"/>
      <c r="WKA51" s="158"/>
      <c r="WKB51" s="158"/>
      <c r="WKC51" s="158"/>
      <c r="WKD51" s="158"/>
      <c r="WKE51" s="158"/>
      <c r="WKF51" s="158"/>
      <c r="WKG51" s="158"/>
      <c r="WKH51" s="158"/>
      <c r="WKI51" s="158"/>
      <c r="WKJ51" s="158"/>
      <c r="WKK51" s="158"/>
      <c r="WKL51" s="158"/>
      <c r="WKM51" s="158"/>
      <c r="WKN51" s="158"/>
      <c r="WKO51" s="158"/>
      <c r="WKP51" s="158"/>
      <c r="WKQ51" s="158"/>
      <c r="WKR51" s="158"/>
      <c r="WKS51" s="158"/>
      <c r="WKT51" s="158"/>
      <c r="WKU51" s="158"/>
      <c r="WKV51" s="158"/>
      <c r="WKW51" s="158"/>
      <c r="WKX51" s="158"/>
      <c r="WKY51" s="158"/>
      <c r="WKZ51" s="158"/>
      <c r="WLA51" s="158"/>
      <c r="WLB51" s="158"/>
      <c r="WLC51" s="158"/>
      <c r="WLD51" s="158"/>
      <c r="WLE51" s="158"/>
      <c r="WLF51" s="158"/>
      <c r="WLG51" s="158"/>
      <c r="WLH51" s="158"/>
      <c r="WLI51" s="158"/>
      <c r="WLJ51" s="158"/>
      <c r="WLK51" s="158"/>
      <c r="WLL51" s="158"/>
      <c r="WLM51" s="158"/>
      <c r="WLN51" s="158"/>
      <c r="WLO51" s="158"/>
      <c r="WLP51" s="158"/>
      <c r="WLQ51" s="158"/>
      <c r="WLR51" s="158"/>
      <c r="WLS51" s="158"/>
      <c r="WLT51" s="158"/>
      <c r="WLU51" s="158"/>
      <c r="WLV51" s="158"/>
      <c r="WLW51" s="158"/>
      <c r="WLX51" s="158"/>
      <c r="WLY51" s="158"/>
      <c r="WLZ51" s="158"/>
      <c r="WMA51" s="158"/>
      <c r="WMB51" s="158"/>
      <c r="WMC51" s="158"/>
      <c r="WMD51" s="158"/>
      <c r="WME51" s="158"/>
      <c r="WMF51" s="158"/>
      <c r="WMG51" s="158"/>
      <c r="WMH51" s="158"/>
      <c r="WMI51" s="158"/>
      <c r="WMJ51" s="158"/>
      <c r="WMK51" s="158"/>
      <c r="WML51" s="158"/>
      <c r="WMM51" s="158"/>
      <c r="WMN51" s="158"/>
      <c r="WMO51" s="158"/>
      <c r="WMP51" s="158"/>
      <c r="WMQ51" s="158"/>
      <c r="WMR51" s="158"/>
      <c r="WMS51" s="158"/>
      <c r="WMT51" s="158"/>
      <c r="WMU51" s="158"/>
      <c r="WMV51" s="158"/>
      <c r="WMW51" s="158"/>
      <c r="WMX51" s="158"/>
      <c r="WMY51" s="158"/>
      <c r="WMZ51" s="158"/>
      <c r="WNA51" s="158"/>
      <c r="WNB51" s="158"/>
      <c r="WNC51" s="158"/>
      <c r="WND51" s="158"/>
      <c r="WNE51" s="158"/>
      <c r="WNF51" s="158"/>
      <c r="WNG51" s="158"/>
      <c r="WNH51" s="158"/>
      <c r="WNI51" s="158"/>
      <c r="WNJ51" s="158"/>
      <c r="WNK51" s="158"/>
      <c r="WNL51" s="158"/>
      <c r="WNM51" s="158"/>
      <c r="WNN51" s="158"/>
      <c r="WNO51" s="158"/>
      <c r="WNP51" s="158"/>
      <c r="WNQ51" s="158"/>
      <c r="WNR51" s="158"/>
      <c r="WNS51" s="158"/>
      <c r="WNT51" s="158"/>
      <c r="WNU51" s="158"/>
      <c r="WNV51" s="158"/>
      <c r="WNW51" s="158"/>
      <c r="WNX51" s="158"/>
      <c r="WNY51" s="158"/>
      <c r="WNZ51" s="158"/>
      <c r="WOA51" s="158"/>
      <c r="WOB51" s="158"/>
      <c r="WOC51" s="158"/>
      <c r="WOD51" s="158"/>
      <c r="WOE51" s="158"/>
      <c r="WOF51" s="158"/>
      <c r="WOG51" s="158"/>
      <c r="WOH51" s="158"/>
      <c r="WOI51" s="158"/>
      <c r="WOJ51" s="158"/>
      <c r="WOK51" s="158"/>
      <c r="WOL51" s="158"/>
      <c r="WOM51" s="158"/>
      <c r="WON51" s="158"/>
      <c r="WOO51" s="158"/>
      <c r="WOP51" s="158"/>
      <c r="WOQ51" s="158"/>
      <c r="WOR51" s="158"/>
      <c r="WOS51" s="158"/>
      <c r="WOT51" s="158"/>
      <c r="WOU51" s="158"/>
      <c r="WOV51" s="158"/>
      <c r="WOW51" s="158"/>
      <c r="WOX51" s="158"/>
      <c r="WOY51" s="158"/>
      <c r="WOZ51" s="158"/>
      <c r="WPA51" s="158"/>
      <c r="WPB51" s="158"/>
      <c r="WPC51" s="158"/>
      <c r="WPD51" s="158"/>
      <c r="WPE51" s="158"/>
      <c r="WPF51" s="158"/>
      <c r="WPG51" s="158"/>
      <c r="WPH51" s="158"/>
      <c r="WPI51" s="158"/>
      <c r="WPJ51" s="158"/>
      <c r="WPK51" s="158"/>
      <c r="WPL51" s="158"/>
      <c r="WPM51" s="158"/>
      <c r="WPN51" s="158"/>
      <c r="WPO51" s="158"/>
      <c r="WPP51" s="158"/>
      <c r="WPQ51" s="158"/>
      <c r="WPR51" s="158"/>
      <c r="WPS51" s="158"/>
      <c r="WPT51" s="158"/>
      <c r="WPU51" s="158"/>
      <c r="WPV51" s="158"/>
      <c r="WPW51" s="158"/>
      <c r="WPX51" s="158"/>
      <c r="WPY51" s="158"/>
      <c r="WPZ51" s="158"/>
      <c r="WQA51" s="158"/>
      <c r="WQB51" s="158"/>
      <c r="WQC51" s="158"/>
      <c r="WQD51" s="158"/>
      <c r="WQE51" s="158"/>
      <c r="WQF51" s="158"/>
      <c r="WQG51" s="158"/>
      <c r="WQH51" s="158"/>
      <c r="WQI51" s="158"/>
      <c r="WQJ51" s="158"/>
      <c r="WQK51" s="158"/>
      <c r="WQL51" s="158"/>
      <c r="WQM51" s="158"/>
      <c r="WQN51" s="158"/>
      <c r="WQO51" s="158"/>
      <c r="WQP51" s="158"/>
      <c r="WQQ51" s="158"/>
      <c r="WQR51" s="158"/>
      <c r="WQS51" s="158"/>
      <c r="WQT51" s="158"/>
      <c r="WQU51" s="158"/>
      <c r="WQV51" s="158"/>
      <c r="WQW51" s="158"/>
      <c r="WQX51" s="158"/>
      <c r="WQY51" s="158"/>
      <c r="WQZ51" s="158"/>
      <c r="WRA51" s="158"/>
      <c r="WRB51" s="158"/>
      <c r="WRC51" s="158"/>
      <c r="WRD51" s="158"/>
      <c r="WRE51" s="158"/>
      <c r="WRF51" s="158"/>
      <c r="WRG51" s="158"/>
      <c r="WRH51" s="158"/>
      <c r="WRI51" s="158"/>
      <c r="WRJ51" s="158"/>
      <c r="WRK51" s="158"/>
      <c r="WRL51" s="158"/>
      <c r="WRM51" s="158"/>
      <c r="WRN51" s="158"/>
      <c r="WRO51" s="158"/>
      <c r="WRP51" s="158"/>
      <c r="WRQ51" s="158"/>
      <c r="WRR51" s="158"/>
      <c r="WRS51" s="158"/>
      <c r="WRT51" s="158"/>
      <c r="WRU51" s="158"/>
      <c r="WRV51" s="158"/>
      <c r="WRW51" s="158"/>
      <c r="WRX51" s="158"/>
      <c r="WRY51" s="158"/>
      <c r="WRZ51" s="158"/>
      <c r="WSA51" s="158"/>
      <c r="WSB51" s="158"/>
      <c r="WSC51" s="158"/>
      <c r="WSD51" s="158"/>
      <c r="WSE51" s="158"/>
      <c r="WSF51" s="158"/>
      <c r="WSG51" s="158"/>
      <c r="WSH51" s="158"/>
      <c r="WSI51" s="158"/>
      <c r="WSJ51" s="158"/>
      <c r="WSK51" s="158"/>
      <c r="WSL51" s="158"/>
      <c r="WSM51" s="158"/>
      <c r="WSN51" s="158"/>
      <c r="WSO51" s="158"/>
      <c r="WSP51" s="158"/>
      <c r="WSQ51" s="158"/>
      <c r="WSR51" s="158"/>
      <c r="WSS51" s="158"/>
      <c r="WST51" s="158"/>
      <c r="WSU51" s="158"/>
      <c r="WSV51" s="158"/>
      <c r="WSW51" s="158"/>
      <c r="WSX51" s="158"/>
      <c r="WSY51" s="158"/>
      <c r="WSZ51" s="158"/>
      <c r="WTA51" s="158"/>
      <c r="WTB51" s="158"/>
      <c r="WTC51" s="158"/>
      <c r="WTD51" s="158"/>
      <c r="WTE51" s="158"/>
      <c r="WTF51" s="158"/>
      <c r="WTG51" s="158"/>
      <c r="WTH51" s="158"/>
      <c r="WTI51" s="158"/>
      <c r="WTJ51" s="158"/>
      <c r="WTK51" s="158"/>
      <c r="WTL51" s="158"/>
      <c r="WTM51" s="158"/>
      <c r="WTN51" s="158"/>
      <c r="WTO51" s="158"/>
      <c r="WTP51" s="158"/>
      <c r="WTQ51" s="158"/>
      <c r="WTR51" s="158"/>
      <c r="WTS51" s="158"/>
      <c r="WTT51" s="158"/>
      <c r="WTU51" s="158"/>
      <c r="WTV51" s="158"/>
      <c r="WTW51" s="158"/>
      <c r="WTX51" s="158"/>
      <c r="WTY51" s="158"/>
      <c r="WTZ51" s="158"/>
      <c r="WUA51" s="158"/>
      <c r="WUB51" s="158"/>
      <c r="WUC51" s="158"/>
      <c r="WUD51" s="158"/>
      <c r="WUE51" s="158"/>
      <c r="WUF51" s="158"/>
      <c r="WUG51" s="158"/>
      <c r="WUH51" s="158"/>
      <c r="WUI51" s="158"/>
      <c r="WUJ51" s="158"/>
      <c r="WUK51" s="158"/>
      <c r="WUL51" s="158"/>
      <c r="WUM51" s="158"/>
      <c r="WUN51" s="158"/>
      <c r="WUO51" s="158"/>
      <c r="WUP51" s="158"/>
      <c r="WUQ51" s="158"/>
      <c r="WUR51" s="158"/>
      <c r="WUS51" s="158"/>
      <c r="WUT51" s="158"/>
      <c r="WUU51" s="158"/>
      <c r="WUV51" s="158"/>
      <c r="WUW51" s="158"/>
      <c r="WUX51" s="158"/>
      <c r="WUY51" s="158"/>
      <c r="WUZ51" s="158"/>
      <c r="WVA51" s="158"/>
      <c r="WVB51" s="158"/>
      <c r="WVC51" s="158"/>
      <c r="WVD51" s="158"/>
      <c r="WVE51" s="158"/>
      <c r="WVF51" s="158"/>
      <c r="WVG51" s="158"/>
      <c r="WVH51" s="158"/>
      <c r="WVI51" s="158"/>
      <c r="WVJ51" s="158"/>
      <c r="WVK51" s="158"/>
      <c r="WVL51" s="158"/>
      <c r="WVM51" s="158"/>
      <c r="WVN51" s="158"/>
      <c r="WVO51" s="158"/>
      <c r="WVP51" s="158"/>
      <c r="WVQ51" s="158"/>
      <c r="WVR51" s="158"/>
      <c r="WVS51" s="158"/>
      <c r="WVT51" s="158"/>
      <c r="WVU51" s="158"/>
      <c r="WVV51" s="158"/>
      <c r="WVW51" s="158"/>
      <c r="WVX51" s="158"/>
      <c r="WVY51" s="158"/>
      <c r="WVZ51" s="158"/>
      <c r="WWA51" s="158"/>
      <c r="WWB51" s="158"/>
      <c r="WWC51" s="158"/>
      <c r="WWD51" s="158"/>
      <c r="WWE51" s="158"/>
      <c r="WWF51" s="158"/>
      <c r="WWG51" s="158"/>
      <c r="WWH51" s="158"/>
      <c r="WWI51" s="158"/>
      <c r="WWJ51" s="158"/>
      <c r="WWK51" s="158"/>
      <c r="WWL51" s="158"/>
      <c r="WWM51" s="158"/>
      <c r="WWN51" s="158"/>
      <c r="WWO51" s="158"/>
      <c r="WWP51" s="158"/>
      <c r="WWQ51" s="158"/>
      <c r="WWR51" s="158"/>
      <c r="WWS51" s="158"/>
      <c r="WWT51" s="158"/>
      <c r="WWU51" s="158"/>
      <c r="WWV51" s="158"/>
      <c r="WWW51" s="158"/>
      <c r="WWX51" s="158"/>
      <c r="WWY51" s="158"/>
      <c r="WWZ51" s="158"/>
      <c r="WXA51" s="158"/>
      <c r="WXB51" s="158"/>
      <c r="WXC51" s="158"/>
      <c r="WXD51" s="158"/>
      <c r="WXE51" s="158"/>
      <c r="WXF51" s="158"/>
      <c r="WXG51" s="158"/>
      <c r="WXH51" s="158"/>
      <c r="WXI51" s="158"/>
      <c r="WXJ51" s="158"/>
      <c r="WXK51" s="158"/>
      <c r="WXL51" s="158"/>
      <c r="WXM51" s="158"/>
      <c r="WXN51" s="158"/>
      <c r="WXO51" s="158"/>
      <c r="WXP51" s="158"/>
      <c r="WXQ51" s="158"/>
      <c r="WXR51" s="158"/>
      <c r="WXS51" s="158"/>
      <c r="WXT51" s="158"/>
      <c r="WXU51" s="158"/>
      <c r="WXV51" s="158"/>
      <c r="WXW51" s="158"/>
      <c r="WXX51" s="158"/>
      <c r="WXY51" s="158"/>
      <c r="WXZ51" s="158"/>
      <c r="WYA51" s="158"/>
      <c r="WYB51" s="158"/>
      <c r="WYC51" s="158"/>
      <c r="WYD51" s="158"/>
      <c r="WYE51" s="158"/>
      <c r="WYF51" s="158"/>
      <c r="WYG51" s="158"/>
      <c r="WYH51" s="158"/>
      <c r="WYI51" s="158"/>
      <c r="WYJ51" s="158"/>
      <c r="WYK51" s="158"/>
      <c r="WYL51" s="158"/>
      <c r="WYM51" s="158"/>
      <c r="WYN51" s="158"/>
      <c r="WYO51" s="158"/>
      <c r="WYP51" s="158"/>
      <c r="WYQ51" s="158"/>
      <c r="WYR51" s="158"/>
      <c r="WYS51" s="158"/>
      <c r="WYT51" s="158"/>
      <c r="WYU51" s="158"/>
      <c r="WYV51" s="158"/>
      <c r="WYW51" s="158"/>
      <c r="WYX51" s="158"/>
      <c r="WYY51" s="158"/>
      <c r="WYZ51" s="158"/>
      <c r="WZA51" s="158"/>
      <c r="WZB51" s="158"/>
      <c r="WZC51" s="158"/>
      <c r="WZD51" s="158"/>
      <c r="WZE51" s="158"/>
      <c r="WZF51" s="158"/>
      <c r="WZG51" s="158"/>
      <c r="WZH51" s="158"/>
      <c r="WZI51" s="158"/>
      <c r="WZJ51" s="158"/>
      <c r="WZK51" s="158"/>
      <c r="WZL51" s="158"/>
      <c r="WZM51" s="158"/>
      <c r="WZN51" s="158"/>
      <c r="WZO51" s="158"/>
      <c r="WZP51" s="158"/>
      <c r="WZQ51" s="158"/>
      <c r="WZR51" s="158"/>
      <c r="WZS51" s="158"/>
      <c r="WZT51" s="158"/>
      <c r="WZU51" s="158"/>
      <c r="WZV51" s="158"/>
      <c r="WZW51" s="158"/>
      <c r="WZX51" s="158"/>
      <c r="WZY51" s="158"/>
      <c r="WZZ51" s="158"/>
      <c r="XAA51" s="158"/>
      <c r="XAB51" s="158"/>
      <c r="XAC51" s="158"/>
      <c r="XAD51" s="158"/>
      <c r="XAE51" s="158"/>
      <c r="XAF51" s="158"/>
      <c r="XAG51" s="158"/>
      <c r="XAH51" s="158"/>
      <c r="XAI51" s="158"/>
      <c r="XAJ51" s="158"/>
      <c r="XAK51" s="158"/>
      <c r="XAL51" s="158"/>
      <c r="XAM51" s="158"/>
      <c r="XAN51" s="158"/>
      <c r="XAO51" s="158"/>
      <c r="XAP51" s="158"/>
      <c r="XAQ51" s="158"/>
      <c r="XAR51" s="158"/>
      <c r="XAS51" s="158"/>
      <c r="XAT51" s="158"/>
      <c r="XAU51" s="158"/>
      <c r="XAV51" s="158"/>
      <c r="XAW51" s="158"/>
      <c r="XAX51" s="158"/>
      <c r="XAY51" s="158"/>
      <c r="XAZ51" s="158"/>
      <c r="XBA51" s="158"/>
      <c r="XBB51" s="158"/>
      <c r="XBC51" s="158"/>
      <c r="XBD51" s="158"/>
      <c r="XBE51" s="158"/>
      <c r="XBF51" s="158"/>
      <c r="XBG51" s="158"/>
      <c r="XBH51" s="158"/>
      <c r="XBI51" s="158"/>
      <c r="XBJ51" s="158"/>
      <c r="XBK51" s="158"/>
      <c r="XBL51" s="158"/>
      <c r="XBM51" s="158"/>
      <c r="XBN51" s="158"/>
      <c r="XBO51" s="158"/>
      <c r="XBP51" s="158"/>
      <c r="XBQ51" s="158"/>
      <c r="XBR51" s="158"/>
      <c r="XBS51" s="158"/>
      <c r="XBT51" s="158"/>
      <c r="XBU51" s="158"/>
      <c r="XBV51" s="158"/>
      <c r="XBW51" s="158"/>
      <c r="XBX51" s="158"/>
      <c r="XBY51" s="158"/>
      <c r="XBZ51" s="158"/>
      <c r="XCA51" s="158"/>
      <c r="XCB51" s="158"/>
      <c r="XCC51" s="158"/>
      <c r="XCD51" s="158"/>
      <c r="XCE51" s="158"/>
      <c r="XCF51" s="158"/>
      <c r="XCG51" s="158"/>
      <c r="XCH51" s="158"/>
      <c r="XCI51" s="158"/>
      <c r="XCJ51" s="158"/>
      <c r="XCK51" s="158"/>
      <c r="XCL51" s="158"/>
      <c r="XCM51" s="158"/>
      <c r="XCN51" s="158"/>
      <c r="XCO51" s="158"/>
      <c r="XCP51" s="158"/>
      <c r="XCQ51" s="158"/>
      <c r="XCR51" s="158"/>
      <c r="XCS51" s="158"/>
      <c r="XCT51" s="158"/>
      <c r="XCU51" s="158"/>
      <c r="XCV51" s="158"/>
      <c r="XCW51" s="158"/>
      <c r="XCX51" s="158"/>
      <c r="XCY51" s="158"/>
      <c r="XCZ51" s="158"/>
      <c r="XDA51" s="158"/>
      <c r="XDB51" s="158"/>
      <c r="XDC51" s="158"/>
      <c r="XDD51" s="158"/>
      <c r="XDE51" s="158"/>
      <c r="XDF51" s="158"/>
      <c r="XDG51" s="158"/>
      <c r="XDH51" s="158"/>
      <c r="XDI51" s="158"/>
      <c r="XDJ51" s="158"/>
      <c r="XDK51" s="158"/>
      <c r="XDL51" s="158"/>
      <c r="XDM51" s="158"/>
      <c r="XDN51" s="158"/>
      <c r="XDO51" s="158"/>
      <c r="XDP51" s="158"/>
      <c r="XDQ51" s="158"/>
      <c r="XDR51" s="158"/>
      <c r="XDS51" s="158"/>
      <c r="XDT51" s="158"/>
      <c r="XDU51" s="158"/>
      <c r="XDV51" s="158"/>
      <c r="XDW51" s="158"/>
      <c r="XDX51" s="158"/>
      <c r="XDY51" s="158"/>
      <c r="XDZ51" s="158"/>
      <c r="XEA51" s="158"/>
      <c r="XEB51" s="158"/>
      <c r="XEC51" s="158"/>
      <c r="XED51" s="158"/>
      <c r="XEE51" s="158"/>
      <c r="XEF51" s="158"/>
      <c r="XEG51" s="158"/>
      <c r="XEH51" s="158"/>
      <c r="XEI51" s="158"/>
      <c r="XEJ51" s="158"/>
      <c r="XEK51" s="158"/>
      <c r="XEL51" s="158"/>
      <c r="XEM51" s="158"/>
      <c r="XEN51" s="158"/>
      <c r="XEO51" s="158"/>
      <c r="XEP51" s="158"/>
      <c r="XEQ51" s="158"/>
      <c r="XER51" s="158"/>
      <c r="XES51" s="158"/>
      <c r="XET51" s="158"/>
      <c r="XEU51" s="158"/>
      <c r="XEV51" s="158"/>
      <c r="XEW51" s="158"/>
      <c r="XEX51" s="158"/>
    </row>
    <row r="52" spans="1:16378" ht="15.75" thickBot="1" x14ac:dyDescent="0.3">
      <c r="A52" s="168" t="s">
        <v>476</v>
      </c>
      <c r="B52" s="165"/>
      <c r="C52" s="165"/>
      <c r="D52" s="165"/>
      <c r="E52" s="165"/>
      <c r="F52" s="165"/>
      <c r="G52" s="165"/>
      <c r="H52" s="165"/>
      <c r="I52" s="165"/>
      <c r="J52" s="165"/>
      <c r="K52" s="165"/>
      <c r="L52" s="182"/>
      <c r="M52" s="182"/>
      <c r="N52" s="165"/>
    </row>
    <row r="53" spans="1:16378" ht="15.75" thickTop="1" x14ac:dyDescent="0.25"/>
    <row r="55" spans="1:16378" ht="18.75" x14ac:dyDescent="0.3">
      <c r="B55" s="252" t="s">
        <v>141</v>
      </c>
      <c r="C55" s="253"/>
      <c r="D55" s="253"/>
      <c r="E55" s="253"/>
      <c r="F55" s="253"/>
      <c r="G55" s="253"/>
      <c r="H55" s="253"/>
      <c r="I55" s="253"/>
      <c r="J55" s="253"/>
      <c r="K55" s="253"/>
      <c r="L55" s="253"/>
      <c r="M55" s="253"/>
      <c r="N55" s="253"/>
      <c r="O55" s="253"/>
      <c r="P55" s="253"/>
      <c r="Q55" s="253"/>
    </row>
    <row r="56" spans="1:16378" x14ac:dyDescent="0.25">
      <c r="C56" s="463"/>
      <c r="D56" s="463"/>
      <c r="E56" s="463"/>
      <c r="F56" s="463"/>
      <c r="G56" s="463"/>
      <c r="H56" s="463"/>
      <c r="I56" s="463"/>
      <c r="J56" s="463"/>
      <c r="K56" s="463"/>
      <c r="L56" s="463"/>
      <c r="M56" s="463"/>
      <c r="N56" s="463"/>
      <c r="O56" s="463"/>
      <c r="P56" s="463"/>
      <c r="Q56" s="463"/>
    </row>
    <row r="57" spans="1:16378" x14ac:dyDescent="0.25">
      <c r="C57" s="463"/>
      <c r="D57" s="463"/>
      <c r="E57" s="463"/>
      <c r="F57" s="463"/>
      <c r="G57" s="463"/>
      <c r="H57" s="463"/>
      <c r="I57" s="463"/>
      <c r="J57" s="463"/>
      <c r="K57" s="463"/>
      <c r="L57" s="463"/>
      <c r="M57" s="463"/>
      <c r="N57" s="463"/>
      <c r="O57" s="463"/>
      <c r="P57" s="463"/>
      <c r="Q57" s="463"/>
    </row>
    <row r="58" spans="1:16378" x14ac:dyDescent="0.25">
      <c r="C58" s="463"/>
      <c r="D58" s="463"/>
      <c r="E58" s="463"/>
      <c r="F58" s="463"/>
      <c r="G58" s="463"/>
      <c r="H58" s="463"/>
      <c r="I58" s="463"/>
      <c r="J58" s="463"/>
      <c r="K58" s="463"/>
      <c r="L58" s="463"/>
      <c r="M58" s="463"/>
      <c r="N58" s="463"/>
      <c r="O58" s="463"/>
      <c r="P58" s="463"/>
      <c r="Q58" s="463"/>
    </row>
    <row r="59" spans="1:16378" ht="18.75" x14ac:dyDescent="0.3">
      <c r="B59" s="252" t="s">
        <v>66</v>
      </c>
      <c r="C59" s="255"/>
      <c r="D59" s="255"/>
      <c r="E59" s="255"/>
      <c r="F59" s="255"/>
      <c r="G59" s="255"/>
      <c r="H59" s="255"/>
      <c r="I59" s="255"/>
      <c r="J59" s="255"/>
      <c r="K59" s="255"/>
      <c r="L59" s="255"/>
      <c r="M59" s="255"/>
      <c r="N59" s="255"/>
      <c r="O59" s="255"/>
      <c r="P59" s="255"/>
      <c r="Q59" s="255"/>
    </row>
    <row r="60" spans="1:16378" x14ac:dyDescent="0.25">
      <c r="C60" s="463"/>
      <c r="D60" s="463"/>
      <c r="E60" s="463"/>
      <c r="F60" s="463"/>
      <c r="G60" s="463"/>
      <c r="H60" s="463"/>
      <c r="I60" s="463"/>
      <c r="J60" s="463"/>
      <c r="K60" s="463"/>
      <c r="L60" s="463"/>
      <c r="M60" s="463"/>
      <c r="N60" s="463"/>
      <c r="O60" s="463"/>
      <c r="P60" s="463"/>
      <c r="Q60" s="463"/>
    </row>
    <row r="61" spans="1:16378" x14ac:dyDescent="0.25">
      <c r="C61" s="463"/>
      <c r="D61" s="463"/>
      <c r="E61" s="463"/>
      <c r="F61" s="463"/>
      <c r="G61" s="463"/>
      <c r="H61" s="463"/>
      <c r="I61" s="463"/>
      <c r="J61" s="463"/>
      <c r="K61" s="463"/>
      <c r="L61" s="463"/>
      <c r="M61" s="463"/>
      <c r="N61" s="463"/>
      <c r="O61" s="463"/>
      <c r="P61" s="463"/>
      <c r="Q61" s="463"/>
    </row>
    <row r="62" spans="1:16378" x14ac:dyDescent="0.25">
      <c r="C62" s="463"/>
      <c r="D62" s="463"/>
      <c r="E62" s="463"/>
      <c r="F62" s="463"/>
      <c r="G62" s="463"/>
      <c r="H62" s="463"/>
      <c r="I62" s="463"/>
      <c r="J62" s="463"/>
      <c r="K62" s="463"/>
      <c r="L62" s="463"/>
      <c r="M62" s="463"/>
      <c r="N62" s="463"/>
      <c r="O62" s="463"/>
      <c r="P62" s="463"/>
      <c r="Q62" s="463"/>
    </row>
    <row r="63" spans="1:16378" x14ac:dyDescent="0.25">
      <c r="C63" s="463"/>
      <c r="D63" s="463"/>
      <c r="E63" s="463"/>
      <c r="F63" s="463"/>
      <c r="G63" s="463"/>
      <c r="H63" s="463"/>
      <c r="I63" s="463"/>
      <c r="J63" s="463"/>
      <c r="K63" s="463"/>
      <c r="L63" s="463"/>
      <c r="M63" s="463"/>
      <c r="N63" s="463"/>
      <c r="O63" s="463"/>
      <c r="P63" s="463"/>
      <c r="Q63" s="463"/>
    </row>
    <row r="64" spans="1:16378" ht="18.75" x14ac:dyDescent="0.3">
      <c r="B64" s="252" t="s">
        <v>143</v>
      </c>
      <c r="C64" s="253"/>
      <c r="D64" s="253"/>
      <c r="E64" s="253"/>
      <c r="F64" s="253"/>
      <c r="G64" s="253"/>
      <c r="H64" s="253"/>
      <c r="I64" s="253"/>
      <c r="J64" s="253"/>
      <c r="K64" s="253"/>
      <c r="L64" s="253"/>
      <c r="M64" s="253"/>
      <c r="N64" s="253"/>
      <c r="O64" s="253"/>
      <c r="P64" s="253"/>
      <c r="Q64" s="253"/>
    </row>
  </sheetData>
  <mergeCells count="4">
    <mergeCell ref="M8:M9"/>
    <mergeCell ref="L8:L9"/>
    <mergeCell ref="K8:K9"/>
    <mergeCell ref="S7:T7"/>
  </mergeCells>
  <pageMargins left="0.7" right="0.7" top="0.75" bottom="0.75" header="0.3" footer="0.3"/>
  <pageSetup paperSize="9" orientation="portrait" r:id="rId1"/>
  <headerFooter>
    <oddHeader>&amp;L&amp;"Calibri"&amp;12&amp;K008000Classification: Public&amp;1#</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1BC97B4D148DD498148AC1AB6073841" ma:contentTypeVersion="10" ma:contentTypeDescription="Create a new document." ma:contentTypeScope="" ma:versionID="4eda0878a4d74fd346368f9d8819c252">
  <xsd:schema xmlns:xsd="http://www.w3.org/2001/XMLSchema" xmlns:xs="http://www.w3.org/2001/XMLSchema" xmlns:p="http://schemas.microsoft.com/office/2006/metadata/properties" xmlns:ns2="85042908-7dfe-47ce-ac4a-9bfc4742d0d2" xmlns:ns3="4db25f6b-db91-455a-80f9-f66d3baa52d0" targetNamespace="http://schemas.microsoft.com/office/2006/metadata/properties" ma:root="true" ma:fieldsID="348670cfdcfc9ad9c1d541cdd7b0a9fe" ns2:_="" ns3:_="">
    <xsd:import namespace="85042908-7dfe-47ce-ac4a-9bfc4742d0d2"/>
    <xsd:import namespace="4db25f6b-db91-455a-80f9-f66d3baa52d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042908-7dfe-47ce-ac4a-9bfc4742d0d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db25f6b-db91-455a-80f9-f66d3baa52d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3C52EEB-73F9-46BB-8CC1-4A9D76507767}">
  <ds:schemaRefs>
    <ds:schemaRef ds:uri="http://schemas.microsoft.com/sharepoint/v3/contenttype/forms"/>
  </ds:schemaRefs>
</ds:datastoreItem>
</file>

<file path=customXml/itemProps2.xml><?xml version="1.0" encoding="utf-8"?>
<ds:datastoreItem xmlns:ds="http://schemas.openxmlformats.org/officeDocument/2006/customXml" ds:itemID="{DE1949AF-A5B0-42CB-AB0E-0585C59EAE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042908-7dfe-47ce-ac4a-9bfc4742d0d2"/>
    <ds:schemaRef ds:uri="4db25f6b-db91-455a-80f9-f66d3baa52d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C7B375A-4D20-4A0F-A056-B77593A674AE}">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13</vt:i4>
      </vt:variant>
    </vt:vector>
  </HeadingPairs>
  <TitlesOfParts>
    <vt:vector size="31" baseType="lpstr">
      <vt:lpstr>Description</vt:lpstr>
      <vt:lpstr>Assumptions and limitations</vt:lpstr>
      <vt:lpstr>Principle parameters</vt:lpstr>
      <vt:lpstr>Estimating Admissions by Age</vt:lpstr>
      <vt:lpstr>Scenarios</vt:lpstr>
      <vt:lpstr>Sensitivity Analysis</vt:lpstr>
      <vt:lpstr>New patients in hospital</vt:lpstr>
      <vt:lpstr>Hospital beds occupied non-ICU</vt:lpstr>
      <vt:lpstr>ICU beds occupied</vt:lpstr>
      <vt:lpstr>Splitting Admissions CCU Ward</vt:lpstr>
      <vt:lpstr>Ward Demand</vt:lpstr>
      <vt:lpstr>CCU Demand</vt:lpstr>
      <vt:lpstr>Excess Mortality Model</vt:lpstr>
      <vt:lpstr>Ward Mortality - Treated</vt:lpstr>
      <vt:lpstr>CCU Mortality - Treated</vt:lpstr>
      <vt:lpstr>Mortality Rates</vt:lpstr>
      <vt:lpstr>Deaths - In capacity</vt:lpstr>
      <vt:lpstr>Deaths - outside capacity</vt:lpstr>
      <vt:lpstr>adm_AgeDist</vt:lpstr>
      <vt:lpstr>adm_AgeDist2</vt:lpstr>
      <vt:lpstr>adm_AgeDist3</vt:lpstr>
      <vt:lpstr>CC_Beds_Daily</vt:lpstr>
      <vt:lpstr>deathsInsideCapacity</vt:lpstr>
      <vt:lpstr>deathsOutsideCapacity</vt:lpstr>
      <vt:lpstr>Scenario</vt:lpstr>
      <vt:lpstr>Sens_CC_Cap</vt:lpstr>
      <vt:lpstr>Sens_CCU_HR_CCU</vt:lpstr>
      <vt:lpstr>Sens_CCU_HR_Ward</vt:lpstr>
      <vt:lpstr>Sens_Ward_Cap</vt:lpstr>
      <vt:lpstr>Sens_Ward_HR</vt:lpstr>
      <vt:lpstr>Ward_Beds_Daily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McDonald, Stuart (Demographic A&amp;M)</dc:creator>
  <cp:keywords/>
  <dc:description/>
  <cp:lastModifiedBy>Chris Martin</cp:lastModifiedBy>
  <cp:revision/>
  <dcterms:created xsi:type="dcterms:W3CDTF">2020-10-31T15:41:12Z</dcterms:created>
  <dcterms:modified xsi:type="dcterms:W3CDTF">2021-02-23T09:15:11Z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7151eb3-00ab-470c-b25c-644c7691e891_Enabled">
    <vt:lpwstr>True</vt:lpwstr>
  </property>
  <property fmtid="{D5CDD505-2E9C-101B-9397-08002B2CF9AE}" pid="3" name="MSIP_Label_17151eb3-00ab-470c-b25c-644c7691e891_SiteId">
    <vt:lpwstr>3ded2960-214a-46ff-8cf4-611f125e2398</vt:lpwstr>
  </property>
  <property fmtid="{D5CDD505-2E9C-101B-9397-08002B2CF9AE}" pid="4" name="MSIP_Label_17151eb3-00ab-470c-b25c-644c7691e891_Owner">
    <vt:lpwstr>Stuart.SR.McDonald@lloydsbanking.com</vt:lpwstr>
  </property>
  <property fmtid="{D5CDD505-2E9C-101B-9397-08002B2CF9AE}" pid="5" name="MSIP_Label_17151eb3-00ab-470c-b25c-644c7691e891_SetDate">
    <vt:lpwstr>2020-10-31T16:01:02.4477641Z</vt:lpwstr>
  </property>
  <property fmtid="{D5CDD505-2E9C-101B-9397-08002B2CF9AE}" pid="6" name="MSIP_Label_17151eb3-00ab-470c-b25c-644c7691e891_Name">
    <vt:lpwstr>Public</vt:lpwstr>
  </property>
  <property fmtid="{D5CDD505-2E9C-101B-9397-08002B2CF9AE}" pid="7" name="MSIP_Label_17151eb3-00ab-470c-b25c-644c7691e891_Application">
    <vt:lpwstr>Microsoft Azure Information Protection</vt:lpwstr>
  </property>
  <property fmtid="{D5CDD505-2E9C-101B-9397-08002B2CF9AE}" pid="8" name="MSIP_Label_17151eb3-00ab-470c-b25c-644c7691e891_ActionId">
    <vt:lpwstr>57382466-728b-49b5-95b6-8c99332eb44a</vt:lpwstr>
  </property>
  <property fmtid="{D5CDD505-2E9C-101B-9397-08002B2CF9AE}" pid="9" name="MSIP_Label_17151eb3-00ab-470c-b25c-644c7691e891_Extended_MSFT_Method">
    <vt:lpwstr>Manual</vt:lpwstr>
  </property>
  <property fmtid="{D5CDD505-2E9C-101B-9397-08002B2CF9AE}" pid="10" name="Sensitivity">
    <vt:lpwstr>Public</vt:lpwstr>
  </property>
  <property fmtid="{D5CDD505-2E9C-101B-9397-08002B2CF9AE}" pid="11" name="ContentTypeId">
    <vt:lpwstr>0x010100C1BC97B4D148DD498148AC1AB6073841</vt:lpwstr>
  </property>
</Properties>
</file>