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nu-my.sharepoint.com/personal/mymin117_seoul_ac_kr/Documents/Field isolates 연구/Manuscript/Suppl/"/>
    </mc:Choice>
  </mc:AlternateContent>
  <xr:revisionPtr revIDLastSave="1527" documentId="13_ncr:1_{90152A07-9A58-4D1F-A127-BF70F893F80F}" xr6:coauthVersionLast="47" xr6:coauthVersionMax="47" xr10:uidLastSave="{C92DD669-F5AF-4443-BF47-9A76B403A8F3}"/>
  <bookViews>
    <workbookView xWindow="-108" yWindow="-108" windowWidth="23256" windowHeight="12576" activeTab="2" xr2:uid="{D32D9BC3-FBA5-4CAF-9066-6EFD947C5704}"/>
  </bookViews>
  <sheets>
    <sheet name="Infectivity ratio" sheetId="10" r:id="rId1"/>
    <sheet name="Stress ratio" sheetId="7" r:id="rId2"/>
    <sheet name="Relative abundance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2" l="1"/>
  <c r="K10" i="12"/>
  <c r="B11" i="12"/>
  <c r="C11" i="12"/>
  <c r="J11" i="12" s="1"/>
  <c r="D11" i="12"/>
  <c r="E11" i="12"/>
  <c r="F11" i="12"/>
  <c r="G11" i="12"/>
  <c r="H11" i="12"/>
  <c r="I11" i="12"/>
  <c r="B12" i="12"/>
  <c r="K12" i="12" s="1"/>
  <c r="C12" i="12"/>
  <c r="D12" i="12"/>
  <c r="E12" i="12"/>
  <c r="F12" i="12"/>
  <c r="G12" i="12"/>
  <c r="H12" i="12"/>
  <c r="I12" i="12"/>
  <c r="B13" i="12"/>
  <c r="K13" i="12" s="1"/>
  <c r="C13" i="12"/>
  <c r="D13" i="12"/>
  <c r="E13" i="12"/>
  <c r="F13" i="12"/>
  <c r="G13" i="12"/>
  <c r="J13" i="12" s="1"/>
  <c r="H13" i="12"/>
  <c r="I13" i="12"/>
  <c r="B14" i="12"/>
  <c r="K14" i="12" s="1"/>
  <c r="C14" i="12"/>
  <c r="D14" i="12"/>
  <c r="J14" i="12" s="1"/>
  <c r="E14" i="12"/>
  <c r="F14" i="12"/>
  <c r="G14" i="12"/>
  <c r="H14" i="12"/>
  <c r="I14" i="12"/>
  <c r="B15" i="12"/>
  <c r="C15" i="12"/>
  <c r="J15" i="12" s="1"/>
  <c r="D15" i="12"/>
  <c r="E15" i="12"/>
  <c r="F15" i="12"/>
  <c r="G15" i="12"/>
  <c r="H15" i="12"/>
  <c r="I15" i="12"/>
  <c r="B16" i="12"/>
  <c r="K16" i="12" s="1"/>
  <c r="C16" i="12"/>
  <c r="D16" i="12"/>
  <c r="E16" i="12"/>
  <c r="F16" i="12"/>
  <c r="G16" i="12"/>
  <c r="H16" i="12"/>
  <c r="I16" i="12"/>
  <c r="B17" i="12"/>
  <c r="K17" i="12" s="1"/>
  <c r="C17" i="12"/>
  <c r="D17" i="12"/>
  <c r="E17" i="12"/>
  <c r="F17" i="12"/>
  <c r="G17" i="12"/>
  <c r="J17" i="12" s="1"/>
  <c r="H17" i="12"/>
  <c r="I17" i="12"/>
  <c r="B18" i="12"/>
  <c r="C18" i="12"/>
  <c r="D18" i="12"/>
  <c r="E18" i="12"/>
  <c r="J18" i="12" s="1"/>
  <c r="F18" i="12"/>
  <c r="G18" i="12"/>
  <c r="H18" i="12"/>
  <c r="I18" i="12"/>
  <c r="B19" i="12"/>
  <c r="C19" i="12"/>
  <c r="J19" i="12" s="1"/>
  <c r="D19" i="12"/>
  <c r="E19" i="12"/>
  <c r="F19" i="12"/>
  <c r="G19" i="12"/>
  <c r="H19" i="12"/>
  <c r="I19" i="12"/>
  <c r="B20" i="12"/>
  <c r="K20" i="12" s="1"/>
  <c r="C20" i="12"/>
  <c r="D20" i="12"/>
  <c r="E20" i="12"/>
  <c r="F20" i="12"/>
  <c r="G20" i="12"/>
  <c r="H20" i="12"/>
  <c r="I20" i="12"/>
  <c r="B21" i="12"/>
  <c r="K21" i="12" s="1"/>
  <c r="C21" i="12"/>
  <c r="D21" i="12"/>
  <c r="E21" i="12"/>
  <c r="F21" i="12"/>
  <c r="G21" i="12"/>
  <c r="J21" i="12" s="1"/>
  <c r="H21" i="12"/>
  <c r="I21" i="12"/>
  <c r="B22" i="12"/>
  <c r="C22" i="12"/>
  <c r="D22" i="12"/>
  <c r="E22" i="12"/>
  <c r="J22" i="12" s="1"/>
  <c r="F22" i="12"/>
  <c r="G22" i="12"/>
  <c r="H22" i="12"/>
  <c r="I22" i="12"/>
  <c r="B2" i="12"/>
  <c r="C2" i="12"/>
  <c r="D2" i="12"/>
  <c r="E2" i="12"/>
  <c r="F2" i="12"/>
  <c r="G2" i="12"/>
  <c r="H2" i="12"/>
  <c r="I2" i="12"/>
  <c r="B3" i="12"/>
  <c r="C3" i="12"/>
  <c r="D3" i="12"/>
  <c r="E3" i="12"/>
  <c r="F3" i="12"/>
  <c r="G3" i="12"/>
  <c r="H3" i="12"/>
  <c r="I3" i="12"/>
  <c r="B4" i="12"/>
  <c r="C4" i="12"/>
  <c r="D4" i="12"/>
  <c r="E4" i="12"/>
  <c r="F4" i="12"/>
  <c r="G4" i="12"/>
  <c r="H4" i="12"/>
  <c r="I4" i="12"/>
  <c r="D44" i="7"/>
  <c r="J12" i="12" l="1"/>
  <c r="J20" i="12"/>
  <c r="J16" i="12"/>
  <c r="K19" i="12"/>
  <c r="K15" i="12"/>
  <c r="K11" i="12"/>
  <c r="K22" i="12"/>
  <c r="K18" i="12"/>
  <c r="H21" i="10"/>
  <c r="G21" i="10"/>
  <c r="F21" i="10"/>
  <c r="E21" i="10"/>
  <c r="D21" i="10"/>
  <c r="C21" i="10"/>
  <c r="B21" i="10"/>
  <c r="I20" i="10"/>
  <c r="H20" i="10"/>
  <c r="G20" i="10"/>
  <c r="F20" i="10"/>
  <c r="E20" i="10"/>
  <c r="D20" i="10"/>
  <c r="C20" i="10"/>
  <c r="B20" i="10"/>
  <c r="H19" i="10"/>
  <c r="G19" i="10"/>
  <c r="F19" i="10"/>
  <c r="E19" i="10"/>
  <c r="D19" i="10"/>
  <c r="C19" i="10"/>
  <c r="B19" i="10"/>
  <c r="H18" i="10"/>
  <c r="G18" i="10"/>
  <c r="F18" i="10"/>
  <c r="E18" i="10"/>
  <c r="D18" i="10"/>
  <c r="C18" i="10"/>
  <c r="B18" i="10"/>
  <c r="I17" i="10"/>
  <c r="H17" i="10"/>
  <c r="G17" i="10"/>
  <c r="F17" i="10"/>
  <c r="E17" i="10"/>
  <c r="D17" i="10"/>
  <c r="C17" i="10"/>
  <c r="B17" i="10"/>
  <c r="I16" i="10"/>
  <c r="H16" i="10"/>
  <c r="G16" i="10"/>
  <c r="F16" i="10"/>
  <c r="E16" i="10"/>
  <c r="D16" i="10"/>
  <c r="C16" i="10"/>
  <c r="B16" i="10"/>
  <c r="I15" i="10"/>
  <c r="H15" i="10"/>
  <c r="G15" i="10"/>
  <c r="F15" i="10"/>
  <c r="E15" i="10"/>
  <c r="D15" i="10"/>
  <c r="C15" i="10"/>
  <c r="H14" i="10"/>
  <c r="G14" i="10"/>
  <c r="F14" i="10"/>
  <c r="E14" i="10"/>
  <c r="D14" i="10"/>
  <c r="C14" i="10"/>
  <c r="B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F13" i="10"/>
  <c r="E13" i="10"/>
  <c r="D13" i="10"/>
  <c r="C13" i="10"/>
  <c r="B13" i="10"/>
  <c r="F12" i="10"/>
  <c r="E12" i="10"/>
  <c r="D12" i="10"/>
  <c r="C12" i="10"/>
  <c r="B12" i="10"/>
  <c r="F11" i="10"/>
  <c r="E11" i="10"/>
  <c r="D11" i="10"/>
  <c r="C11" i="10"/>
  <c r="B11" i="10"/>
  <c r="F10" i="10"/>
  <c r="E10" i="10"/>
  <c r="D10" i="10"/>
  <c r="C10" i="10"/>
  <c r="B10" i="10"/>
  <c r="F9" i="10"/>
  <c r="E9" i="10"/>
  <c r="D9" i="10"/>
  <c r="C9" i="10"/>
  <c r="B9" i="10"/>
  <c r="F8" i="10"/>
  <c r="E8" i="10"/>
  <c r="D8" i="10"/>
  <c r="C8" i="10"/>
  <c r="B8" i="10"/>
  <c r="F7" i="10"/>
  <c r="E7" i="10"/>
  <c r="D7" i="10"/>
  <c r="C7" i="10"/>
  <c r="B7" i="10"/>
  <c r="I24" i="7" l="1"/>
  <c r="H6" i="7"/>
  <c r="G6" i="7"/>
  <c r="H5" i="7"/>
  <c r="G5" i="7"/>
  <c r="H4" i="7"/>
  <c r="G4" i="7"/>
  <c r="H3" i="7"/>
  <c r="G3" i="7"/>
  <c r="F6" i="7"/>
  <c r="E6" i="7"/>
  <c r="D6" i="7"/>
  <c r="C6" i="7"/>
  <c r="B6" i="7"/>
  <c r="F5" i="7"/>
  <c r="E5" i="7"/>
  <c r="D5" i="7"/>
  <c r="C5" i="7"/>
  <c r="B5" i="7"/>
  <c r="F4" i="7"/>
  <c r="E4" i="7"/>
  <c r="D4" i="7"/>
  <c r="C4" i="7"/>
  <c r="B4" i="7"/>
  <c r="F3" i="7"/>
  <c r="E3" i="7"/>
  <c r="D3" i="7"/>
  <c r="C3" i="7"/>
  <c r="B3" i="7"/>
  <c r="I4" i="10"/>
  <c r="H6" i="10"/>
  <c r="G6" i="10"/>
  <c r="H5" i="10"/>
  <c r="G5" i="10"/>
  <c r="H4" i="10"/>
  <c r="G4" i="10"/>
  <c r="I3" i="10"/>
  <c r="I2" i="10" s="1"/>
  <c r="H3" i="10"/>
  <c r="G3" i="10"/>
  <c r="F6" i="10"/>
  <c r="E6" i="10"/>
  <c r="D6" i="10"/>
  <c r="C6" i="10"/>
  <c r="B6" i="10"/>
  <c r="F5" i="10"/>
  <c r="E5" i="10"/>
  <c r="D5" i="10"/>
  <c r="C5" i="10"/>
  <c r="B5" i="10"/>
  <c r="F4" i="10"/>
  <c r="E4" i="10"/>
  <c r="D4" i="10"/>
  <c r="C4" i="10"/>
  <c r="B4" i="10"/>
  <c r="F3" i="10"/>
  <c r="E3" i="10"/>
  <c r="D3" i="10"/>
  <c r="C3" i="10"/>
  <c r="B3" i="10"/>
  <c r="B2" i="10" s="1"/>
  <c r="C2" i="10" l="1"/>
  <c r="D2" i="10"/>
  <c r="E2" i="10"/>
  <c r="F2" i="10"/>
  <c r="G2" i="10"/>
  <c r="H2" i="10"/>
  <c r="I48" i="7"/>
  <c r="H50" i="7"/>
  <c r="G50" i="7"/>
  <c r="H49" i="7"/>
  <c r="G49" i="7"/>
  <c r="H48" i="7"/>
  <c r="G48" i="7"/>
  <c r="I47" i="7"/>
  <c r="H47" i="7"/>
  <c r="G47" i="7"/>
  <c r="F50" i="7"/>
  <c r="E50" i="7"/>
  <c r="D50" i="7"/>
  <c r="C50" i="7"/>
  <c r="B50" i="7"/>
  <c r="F49" i="7"/>
  <c r="E49" i="7"/>
  <c r="D49" i="7"/>
  <c r="C49" i="7"/>
  <c r="B49" i="7"/>
  <c r="F48" i="7"/>
  <c r="E48" i="7"/>
  <c r="D48" i="7"/>
  <c r="C48" i="7"/>
  <c r="B48" i="7"/>
  <c r="F47" i="7"/>
  <c r="E47" i="7"/>
  <c r="D47" i="7"/>
  <c r="C47" i="7"/>
  <c r="B47" i="7"/>
  <c r="I44" i="7"/>
  <c r="H46" i="7"/>
  <c r="G46" i="7"/>
  <c r="H45" i="7"/>
  <c r="G45" i="7"/>
  <c r="H44" i="7"/>
  <c r="G44" i="7"/>
  <c r="I43" i="7"/>
  <c r="H43" i="7"/>
  <c r="G43" i="7"/>
  <c r="F46" i="7"/>
  <c r="E46" i="7"/>
  <c r="D46" i="7"/>
  <c r="C46" i="7"/>
  <c r="B46" i="7"/>
  <c r="F45" i="7"/>
  <c r="E45" i="7"/>
  <c r="D45" i="7"/>
  <c r="C45" i="7"/>
  <c r="B45" i="7"/>
  <c r="F44" i="7"/>
  <c r="E44" i="7"/>
  <c r="C44" i="7"/>
  <c r="B44" i="7"/>
  <c r="F43" i="7"/>
  <c r="E43" i="7"/>
  <c r="D43" i="7"/>
  <c r="C43" i="7"/>
  <c r="B43" i="7"/>
  <c r="I40" i="7"/>
  <c r="H42" i="7"/>
  <c r="G42" i="7"/>
  <c r="H41" i="7"/>
  <c r="G41" i="7"/>
  <c r="H40" i="7"/>
  <c r="G40" i="7"/>
  <c r="I39" i="7"/>
  <c r="H39" i="7"/>
  <c r="G39" i="7"/>
  <c r="F42" i="7"/>
  <c r="E42" i="7"/>
  <c r="D42" i="7"/>
  <c r="C42" i="7"/>
  <c r="B42" i="7"/>
  <c r="F41" i="7"/>
  <c r="E41" i="7"/>
  <c r="D41" i="7"/>
  <c r="C41" i="7"/>
  <c r="B41" i="7"/>
  <c r="F40" i="7"/>
  <c r="E40" i="7"/>
  <c r="D40" i="7"/>
  <c r="C40" i="7"/>
  <c r="B40" i="7"/>
  <c r="F39" i="7"/>
  <c r="E39" i="7"/>
  <c r="D39" i="7"/>
  <c r="C39" i="7"/>
  <c r="B39" i="7"/>
  <c r="I36" i="7"/>
  <c r="H38" i="7"/>
  <c r="G38" i="7"/>
  <c r="H37" i="7"/>
  <c r="G37" i="7"/>
  <c r="H36" i="7"/>
  <c r="G36" i="7"/>
  <c r="I35" i="7"/>
  <c r="H35" i="7"/>
  <c r="G35" i="7"/>
  <c r="F38" i="7"/>
  <c r="E38" i="7"/>
  <c r="D38" i="7"/>
  <c r="C38" i="7"/>
  <c r="B38" i="7"/>
  <c r="F37" i="7"/>
  <c r="E37" i="7"/>
  <c r="D37" i="7"/>
  <c r="C37" i="7"/>
  <c r="B37" i="7"/>
  <c r="F36" i="7"/>
  <c r="E36" i="7"/>
  <c r="D36" i="7"/>
  <c r="C36" i="7"/>
  <c r="B36" i="7"/>
  <c r="F35" i="7"/>
  <c r="E35" i="7"/>
  <c r="D35" i="7"/>
  <c r="C35" i="7"/>
  <c r="B35" i="7"/>
  <c r="I32" i="7"/>
  <c r="H34" i="7"/>
  <c r="G34" i="7"/>
  <c r="H33" i="7"/>
  <c r="G33" i="7"/>
  <c r="H32" i="7"/>
  <c r="G32" i="7"/>
  <c r="I31" i="7"/>
  <c r="H31" i="7"/>
  <c r="G31" i="7"/>
  <c r="F34" i="7"/>
  <c r="E34" i="7"/>
  <c r="D34" i="7"/>
  <c r="C34" i="7"/>
  <c r="B34" i="7"/>
  <c r="F33" i="7"/>
  <c r="E33" i="7"/>
  <c r="D33" i="7"/>
  <c r="C33" i="7"/>
  <c r="B33" i="7"/>
  <c r="F32" i="7"/>
  <c r="E32" i="7"/>
  <c r="D32" i="7"/>
  <c r="C32" i="7"/>
  <c r="B32" i="7"/>
  <c r="F31" i="7"/>
  <c r="E31" i="7"/>
  <c r="D31" i="7"/>
  <c r="C31" i="7"/>
  <c r="B31" i="7"/>
  <c r="I28" i="7"/>
  <c r="H30" i="7"/>
  <c r="G30" i="7"/>
  <c r="H29" i="7"/>
  <c r="G29" i="7"/>
  <c r="H28" i="7"/>
  <c r="G28" i="7"/>
  <c r="I27" i="7"/>
  <c r="H27" i="7"/>
  <c r="G27" i="7"/>
  <c r="F30" i="7"/>
  <c r="E30" i="7"/>
  <c r="D30" i="7"/>
  <c r="C30" i="7"/>
  <c r="B30" i="7"/>
  <c r="F29" i="7"/>
  <c r="E29" i="7"/>
  <c r="D29" i="7"/>
  <c r="C29" i="7"/>
  <c r="B29" i="7"/>
  <c r="F28" i="7"/>
  <c r="E28" i="7"/>
  <c r="D28" i="7"/>
  <c r="C28" i="7"/>
  <c r="B28" i="7"/>
  <c r="F27" i="7"/>
  <c r="E27" i="7"/>
  <c r="D27" i="7"/>
  <c r="C27" i="7"/>
  <c r="B27" i="7"/>
  <c r="H26" i="7"/>
  <c r="G26" i="7"/>
  <c r="H25" i="7"/>
  <c r="G25" i="7"/>
  <c r="H24" i="7"/>
  <c r="G24" i="7"/>
  <c r="I23" i="7"/>
  <c r="H23" i="7"/>
  <c r="G23" i="7"/>
  <c r="F26" i="7"/>
  <c r="E26" i="7"/>
  <c r="D26" i="7"/>
  <c r="C26" i="7"/>
  <c r="B26" i="7"/>
  <c r="F25" i="7"/>
  <c r="E25" i="7"/>
  <c r="D25" i="7"/>
  <c r="C25" i="7"/>
  <c r="B25" i="7"/>
  <c r="F24" i="7"/>
  <c r="E24" i="7"/>
  <c r="D24" i="7"/>
  <c r="C24" i="7"/>
  <c r="B24" i="7"/>
  <c r="F23" i="7"/>
  <c r="E23" i="7"/>
  <c r="D23" i="7"/>
  <c r="C23" i="7"/>
  <c r="B23" i="7"/>
  <c r="I20" i="7"/>
  <c r="H22" i="7"/>
  <c r="G22" i="7"/>
  <c r="H21" i="7"/>
  <c r="G21" i="7"/>
  <c r="H20" i="7"/>
  <c r="G20" i="7"/>
  <c r="I19" i="7"/>
  <c r="H19" i="7"/>
  <c r="G19" i="7"/>
  <c r="F22" i="7"/>
  <c r="E22" i="7"/>
  <c r="D22" i="7"/>
  <c r="C22" i="7"/>
  <c r="B22" i="7"/>
  <c r="F21" i="7"/>
  <c r="E21" i="7"/>
  <c r="D21" i="7"/>
  <c r="C21" i="7"/>
  <c r="B21" i="7"/>
  <c r="F20" i="7"/>
  <c r="E20" i="7"/>
  <c r="D20" i="7"/>
  <c r="C20" i="7"/>
  <c r="B20" i="7"/>
  <c r="F19" i="7"/>
  <c r="E19" i="7"/>
  <c r="D19" i="7"/>
  <c r="C19" i="7"/>
  <c r="B19" i="7"/>
  <c r="J4" i="12" l="1"/>
  <c r="K4" i="12"/>
  <c r="J2" i="12"/>
  <c r="K3" i="12"/>
  <c r="J3" i="12"/>
  <c r="I16" i="7"/>
  <c r="H18" i="7"/>
  <c r="G18" i="7"/>
  <c r="H17" i="7"/>
  <c r="G17" i="7"/>
  <c r="H16" i="7"/>
  <c r="G16" i="7"/>
  <c r="I15" i="7"/>
  <c r="H15" i="7"/>
  <c r="G15" i="7"/>
  <c r="F18" i="7"/>
  <c r="E18" i="7"/>
  <c r="D18" i="7"/>
  <c r="C18" i="7"/>
  <c r="B18" i="7"/>
  <c r="F17" i="7"/>
  <c r="E17" i="7"/>
  <c r="D17" i="7"/>
  <c r="C17" i="7"/>
  <c r="B17" i="7"/>
  <c r="F16" i="7"/>
  <c r="E16" i="7"/>
  <c r="D16" i="7"/>
  <c r="C16" i="7"/>
  <c r="B16" i="7"/>
  <c r="F15" i="7"/>
  <c r="E15" i="7"/>
  <c r="D15" i="7"/>
  <c r="C15" i="7"/>
  <c r="B15" i="7"/>
  <c r="K2" i="12" l="1"/>
</calcChain>
</file>

<file path=xl/sharedStrings.xml><?xml version="1.0" encoding="utf-8"?>
<sst xmlns="http://schemas.openxmlformats.org/spreadsheetml/2006/main" count="125" uniqueCount="49">
  <si>
    <t>Ratio</t>
  </si>
  <si>
    <t>SY32_C14T</t>
  </si>
  <si>
    <t>SY22_C18T</t>
  </si>
  <si>
    <t>SY16_G26A</t>
  </si>
  <si>
    <t>SY147_A71G</t>
  </si>
  <si>
    <t>SY144_C172T</t>
  </si>
  <si>
    <t>SY175_A203C</t>
  </si>
  <si>
    <t>SY6_G283A</t>
  </si>
  <si>
    <t>SY98_C545A</t>
  </si>
  <si>
    <t>Inoculum-average</t>
  </si>
  <si>
    <t>Inoculum</t>
  </si>
  <si>
    <t>Day 7</t>
  </si>
  <si>
    <t>Day 14</t>
  </si>
  <si>
    <t>SY32</t>
  </si>
  <si>
    <t>SY22</t>
  </si>
  <si>
    <t>SY16</t>
  </si>
  <si>
    <t>SY147</t>
  </si>
  <si>
    <t>SY144</t>
  </si>
  <si>
    <t>SY175</t>
  </si>
  <si>
    <t>SY6</t>
  </si>
  <si>
    <t>SY98</t>
  </si>
  <si>
    <t>Shannon</t>
  </si>
  <si>
    <t>Inverse Simpson</t>
  </si>
  <si>
    <t>1_CM</t>
  </si>
  <si>
    <t>2_H2O2</t>
  </si>
  <si>
    <t>3_Sorbitol</t>
  </si>
  <si>
    <t>4_NaCl</t>
  </si>
  <si>
    <t>5_SDS</t>
  </si>
  <si>
    <t>6_Fludioxonil</t>
  </si>
  <si>
    <t>7_Iprodione</t>
  </si>
  <si>
    <t>8_Tebuconazole</t>
  </si>
  <si>
    <t>9_Tunicamycin</t>
  </si>
  <si>
    <t>10_DTT</t>
  </si>
  <si>
    <t>11_pH2</t>
  </si>
  <si>
    <t>12_pH12</t>
  </si>
  <si>
    <t>CM</t>
  </si>
  <si>
    <t>Sorbitol</t>
  </si>
  <si>
    <t>NaCl</t>
  </si>
  <si>
    <t>SDS</t>
  </si>
  <si>
    <t>Fludioxonil</t>
  </si>
  <si>
    <t>Iprodione</t>
  </si>
  <si>
    <t>Tebuconazole</t>
  </si>
  <si>
    <t>Tunicamycin</t>
  </si>
  <si>
    <t>DTT</t>
  </si>
  <si>
    <t>pH 2</t>
  </si>
  <si>
    <t>pH 12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</si>
  <si>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29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2</t>
    </r>
  </si>
  <si>
    <t>Stress condition</t>
  </si>
  <si>
    <t>Wheat infection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</si>
</sst>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theme="1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29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BDD4"/>
      <color rgb="FF83C5ED"/>
      <color rgb="FFF4E8B2"/>
      <color rgb="FFB9E2D4"/>
      <color rgb="FFB6BFDD"/>
      <color rgb="FFFD8C82"/>
      <color rgb="FFE1E1E1"/>
      <color rgb="FF936333"/>
      <color rgb="FFE3E1E1"/>
      <color rgb="FFD2D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E1C4-C236-41DD-9854-BEC821220BB5}">
  <dimension ref="A1:I21"/>
  <sheetViews>
    <sheetView workbookViewId="0">
      <selection activeCell="D29" sqref="D29"/>
    </sheetView>
  </sheetViews>
  <sheetFormatPr defaultRowHeight="14.4"/>
  <cols>
    <col min="1" max="1" width="16.109375" bestFit="1" customWidth="1"/>
    <col min="2" max="3" width="12.77734375" customWidth="1"/>
    <col min="4" max="4" width="14.44140625" customWidth="1"/>
    <col min="5" max="9" width="12.77734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5" t="s">
        <v>9</v>
      </c>
      <c r="B2" s="4">
        <f>AVERAGE(B3:B6)</f>
        <v>1.4038186315820775E-2</v>
      </c>
      <c r="C2" s="4">
        <f t="shared" ref="C2:I2" si="0">AVERAGE(C3:C6)</f>
        <v>0.33559130967994322</v>
      </c>
      <c r="D2" s="4">
        <f t="shared" si="0"/>
        <v>2.718647818476071E-3</v>
      </c>
      <c r="E2" s="4">
        <f t="shared" si="0"/>
        <v>0.41057227750906383</v>
      </c>
      <c r="F2" s="4">
        <f t="shared" si="0"/>
        <v>1.8561689174472915E-2</v>
      </c>
      <c r="G2" s="4">
        <f t="shared" si="0"/>
        <v>0.19006396721222382</v>
      </c>
      <c r="H2" s="4">
        <f t="shared" si="0"/>
        <v>0.20916137434396437</v>
      </c>
      <c r="I2" s="4">
        <f t="shared" si="0"/>
        <v>5.9710791888988955E-3</v>
      </c>
    </row>
    <row r="3" spans="1:9">
      <c r="A3" s="2" t="s">
        <v>10</v>
      </c>
      <c r="B3" s="3">
        <f>4/(4+779)</f>
        <v>5.108556832694764E-3</v>
      </c>
      <c r="C3" s="3">
        <f>286/(286+544)</f>
        <v>0.34457831325301203</v>
      </c>
      <c r="D3" s="3">
        <f>0/(0+1072)</f>
        <v>0</v>
      </c>
      <c r="E3" s="3">
        <f>462/(492+635)</f>
        <v>0.40993788819875776</v>
      </c>
      <c r="F3" s="3">
        <f>22/(22+1076)</f>
        <v>2.0036429872495445E-2</v>
      </c>
      <c r="G3" s="3">
        <f>210/(210+950)</f>
        <v>0.18103448275862069</v>
      </c>
      <c r="H3" s="3">
        <f>214/(214+807)</f>
        <v>0.20959843290891284</v>
      </c>
      <c r="I3" s="3">
        <f>6/(6+1196)</f>
        <v>4.9916805324459234E-3</v>
      </c>
    </row>
    <row r="4" spans="1:9">
      <c r="A4" s="2" t="s">
        <v>10</v>
      </c>
      <c r="B4" s="3">
        <f>3/(3+756)</f>
        <v>3.952569169960474E-3</v>
      </c>
      <c r="C4" s="3">
        <f>288/(288+531)</f>
        <v>0.35164835164835168</v>
      </c>
      <c r="D4" s="3">
        <f>10/(10+1095)</f>
        <v>9.0497737556561094E-3</v>
      </c>
      <c r="E4" s="3">
        <f>462/(462+613)</f>
        <v>0.42976744186046512</v>
      </c>
      <c r="F4" s="3">
        <f>25/(25+1021)</f>
        <v>2.390057361376673E-2</v>
      </c>
      <c r="G4" s="3">
        <f>254/(254+1109)</f>
        <v>0.18635363169479091</v>
      </c>
      <c r="H4" s="3">
        <f>203/(203+767)</f>
        <v>0.20927835051546392</v>
      </c>
      <c r="I4" s="3">
        <f>8/(8+1143)</f>
        <v>6.9504778453518675E-3</v>
      </c>
    </row>
    <row r="5" spans="1:9">
      <c r="A5" s="2" t="s">
        <v>10</v>
      </c>
      <c r="B5" s="3">
        <f>11/(11+774)</f>
        <v>1.4012738853503185E-2</v>
      </c>
      <c r="C5" s="3">
        <f>261/(261+557)</f>
        <v>0.31907090464547677</v>
      </c>
      <c r="D5" s="3">
        <f>0/(0+1098)</f>
        <v>0</v>
      </c>
      <c r="E5" s="3">
        <f>469/(469+682)</f>
        <v>0.40747176368375326</v>
      </c>
      <c r="F5" s="3">
        <f>19/(19+1460)</f>
        <v>1.2846517917511832E-2</v>
      </c>
      <c r="G5" s="3">
        <f>209/(209+889)</f>
        <v>0.19034608378870674</v>
      </c>
      <c r="H5" s="3">
        <f>208/(208+820)</f>
        <v>0.20233463035019456</v>
      </c>
      <c r="I5" s="3"/>
    </row>
    <row r="6" spans="1:9">
      <c r="A6" s="3" t="s">
        <v>10</v>
      </c>
      <c r="B6" s="3">
        <f>26/(26+760)</f>
        <v>3.3078880407124679E-2</v>
      </c>
      <c r="C6" s="3">
        <f>261/(261+537)</f>
        <v>0.32706766917293234</v>
      </c>
      <c r="D6" s="3">
        <f>2/(2+1094)</f>
        <v>1.8248175182481751E-3</v>
      </c>
      <c r="E6" s="3">
        <f>388/(388+594)</f>
        <v>0.39511201629327902</v>
      </c>
      <c r="F6" s="3">
        <f>19/(19+1069)</f>
        <v>1.7463235294117647E-2</v>
      </c>
      <c r="G6" s="3">
        <f>257/(257+1012)</f>
        <v>0.20252167060677698</v>
      </c>
      <c r="H6" s="3">
        <f>201/(201+732)</f>
        <v>0.21543408360128619</v>
      </c>
      <c r="I6" s="3"/>
    </row>
    <row r="7" spans="1:9">
      <c r="A7" s="3" t="s">
        <v>11</v>
      </c>
      <c r="B7" s="3">
        <f>0/(0+882)</f>
        <v>0</v>
      </c>
      <c r="C7" s="3">
        <f>746/(746+440)</f>
        <v>0.62900505902192239</v>
      </c>
      <c r="D7" s="3">
        <f>2/(2+942)</f>
        <v>2.1186440677966102E-3</v>
      </c>
      <c r="E7" s="3">
        <f>615/(615+703)</f>
        <v>0.46661608497723822</v>
      </c>
      <c r="F7" s="3">
        <f>10/(10+962)</f>
        <v>1.0288065843621399E-2</v>
      </c>
      <c r="G7" s="3">
        <f>26/(26+875)</f>
        <v>2.8856825749167592E-2</v>
      </c>
      <c r="H7" s="3">
        <f>72/(72+1728)</f>
        <v>0.04</v>
      </c>
      <c r="I7" s="3"/>
    </row>
    <row r="8" spans="1:9">
      <c r="A8" s="3" t="s">
        <v>11</v>
      </c>
      <c r="B8" s="3">
        <f>15/(15+1109)</f>
        <v>1.3345195729537367E-2</v>
      </c>
      <c r="C8" s="3">
        <f>560/(560+405)</f>
        <v>0.5803108808290155</v>
      </c>
      <c r="D8" s="3">
        <f>34/(34+1153)</f>
        <v>2.8643639427127211E-2</v>
      </c>
      <c r="E8" s="3">
        <f>633/(633+706)</f>
        <v>0.47274085138162808</v>
      </c>
      <c r="F8" s="3">
        <f>61/(61+978)</f>
        <v>5.8710298363811357E-2</v>
      </c>
      <c r="G8" s="3">
        <f>20/(20+880)</f>
        <v>2.2222222222222223E-2</v>
      </c>
      <c r="H8" s="3">
        <f>142/(142+1449)</f>
        <v>8.925204274041483E-2</v>
      </c>
      <c r="I8" s="3">
        <v>9.2715231788079479E-3</v>
      </c>
    </row>
    <row r="9" spans="1:9">
      <c r="A9" s="3" t="s">
        <v>11</v>
      </c>
      <c r="B9" s="3">
        <f>1/(1+830)</f>
        <v>1.2033694344163659E-3</v>
      </c>
      <c r="C9" s="3">
        <f>4/(4+867)</f>
        <v>4.5924225028702642E-3</v>
      </c>
      <c r="D9" s="3">
        <f>15/(15+921)</f>
        <v>1.6025641025641024E-2</v>
      </c>
      <c r="E9" s="3">
        <f>1255/(1255+142)</f>
        <v>0.89835361488904797</v>
      </c>
      <c r="F9" s="3">
        <f>53/(53+931)</f>
        <v>5.386178861788618E-2</v>
      </c>
      <c r="G9" s="3">
        <f>22/(22+927)</f>
        <v>2.3182297154899896E-2</v>
      </c>
      <c r="H9" s="3">
        <f>156/(156+1448)</f>
        <v>9.7256857855361589E-2</v>
      </c>
      <c r="I9" s="3">
        <v>1.1750881316098707E-3</v>
      </c>
    </row>
    <row r="10" spans="1:9">
      <c r="A10" s="3" t="s">
        <v>11</v>
      </c>
      <c r="B10" s="3">
        <f>0/(0+784)</f>
        <v>0</v>
      </c>
      <c r="C10" s="3">
        <f>25/(25+789)</f>
        <v>3.0712530712530713E-2</v>
      </c>
      <c r="D10" s="3">
        <f>21/(21+939)</f>
        <v>2.1874999999999999E-2</v>
      </c>
      <c r="E10" s="3">
        <f>1310/(1310+160)</f>
        <v>0.891156462585034</v>
      </c>
      <c r="F10" s="3">
        <f>15/(15+990)</f>
        <v>1.4925373134328358E-2</v>
      </c>
      <c r="G10" s="3">
        <f>21/(21+1058)</f>
        <v>1.9462465245597776E-2</v>
      </c>
      <c r="H10" s="3">
        <f>119/(119+820)</f>
        <v>0.12673056443024494</v>
      </c>
      <c r="I10" s="3">
        <v>1.4891179839633447E-2</v>
      </c>
    </row>
    <row r="11" spans="1:9">
      <c r="A11" s="3" t="s">
        <v>11</v>
      </c>
      <c r="B11" s="3">
        <f>15/(15+1109)</f>
        <v>1.3345195729537367E-2</v>
      </c>
      <c r="C11" s="3">
        <f>776/(776+445)</f>
        <v>0.63554463554463558</v>
      </c>
      <c r="D11" s="3">
        <f>69/(69+895)</f>
        <v>7.1576763485477174E-2</v>
      </c>
      <c r="E11" s="3">
        <f>380/(380+634)</f>
        <v>0.37475345167652863</v>
      </c>
      <c r="F11" s="3">
        <f>5/(5+1753)</f>
        <v>2.844141069397042E-3</v>
      </c>
      <c r="G11" s="3">
        <f>28/(28+937)</f>
        <v>2.9015544041450778E-2</v>
      </c>
      <c r="H11" s="3">
        <f>72/(72+795)</f>
        <v>8.3044982698961933E-2</v>
      </c>
      <c r="I11" s="3">
        <v>4.4296788482834993E-3</v>
      </c>
    </row>
    <row r="12" spans="1:9">
      <c r="A12" s="3" t="s">
        <v>11</v>
      </c>
      <c r="B12" s="3">
        <f>10/(10+1009)</f>
        <v>9.8135426889106973E-3</v>
      </c>
      <c r="C12" s="3">
        <f>22/(22+866)</f>
        <v>2.4774774774774775E-2</v>
      </c>
      <c r="D12" s="3">
        <f>61/(61+851)</f>
        <v>6.6885964912280702E-2</v>
      </c>
      <c r="E12" s="3">
        <f>732/(732+197)</f>
        <v>0.7879440258342304</v>
      </c>
      <c r="F12" s="3">
        <f>18/(18+1605)</f>
        <v>1.1090573012939002E-2</v>
      </c>
      <c r="G12" s="3">
        <f>13/(13+1092)</f>
        <v>1.1764705882352941E-2</v>
      </c>
      <c r="H12" s="3">
        <f>178/(178+802)</f>
        <v>0.1816326530612245</v>
      </c>
      <c r="I12" s="3">
        <v>1.0593220338983051E-3</v>
      </c>
    </row>
    <row r="13" spans="1:9">
      <c r="A13" s="3" t="s">
        <v>11</v>
      </c>
      <c r="B13" s="3">
        <f>16/(16+1053)</f>
        <v>1.4967259120673527E-2</v>
      </c>
      <c r="C13" s="3">
        <f>17/(17+1140)</f>
        <v>1.4693171996542784E-2</v>
      </c>
      <c r="D13" s="3">
        <f>0/(0+734)</f>
        <v>0</v>
      </c>
      <c r="E13" s="3">
        <f>752/(752+122)</f>
        <v>0.86041189931350115</v>
      </c>
      <c r="F13" s="3">
        <f>2/(2+1864)</f>
        <v>1.0718113612004287E-3</v>
      </c>
      <c r="G13" s="3">
        <f>38/(38+1091)</f>
        <v>3.3658104517271921E-2</v>
      </c>
      <c r="H13" s="3">
        <f>132/(132+721)</f>
        <v>0.15474794841735054</v>
      </c>
      <c r="I13" s="3"/>
    </row>
    <row r="14" spans="1:9">
      <c r="A14" s="3" t="s">
        <v>12</v>
      </c>
      <c r="B14" s="3">
        <f>38/(38+774)</f>
        <v>4.6798029556650245E-2</v>
      </c>
      <c r="C14" s="3">
        <f>337/(337+550)</f>
        <v>0.37993235625704624</v>
      </c>
      <c r="D14" s="3">
        <f>11/(11+902)</f>
        <v>1.2048192771084338E-2</v>
      </c>
      <c r="E14" s="3">
        <f>138/(138+906)</f>
        <v>0.13218390804597702</v>
      </c>
      <c r="F14" s="3">
        <f>6/(6+962)</f>
        <v>6.1983471074380167E-3</v>
      </c>
      <c r="G14" s="3">
        <f>33/(33+844)</f>
        <v>3.7628278221208664E-2</v>
      </c>
      <c r="H14" s="3">
        <f>551/(551+992)</f>
        <v>0.35709656513285809</v>
      </c>
      <c r="I14" s="3"/>
    </row>
    <row r="15" spans="1:9">
      <c r="A15" s="3" t="s">
        <v>12</v>
      </c>
      <c r="B15" s="3"/>
      <c r="C15" s="3">
        <f>294/(294+504)</f>
        <v>0.36842105263157893</v>
      </c>
      <c r="D15" s="3">
        <f>7/(7+819)</f>
        <v>8.4745762711864406E-3</v>
      </c>
      <c r="E15" s="3">
        <f>124/(124+884)</f>
        <v>0.12301587301587301</v>
      </c>
      <c r="F15" s="3">
        <f>49/(49+939)</f>
        <v>4.9595141700404861E-2</v>
      </c>
      <c r="G15" s="3">
        <f>58/(58+897)</f>
        <v>6.0732984293193716E-2</v>
      </c>
      <c r="H15" s="3">
        <f>527/(527+881)</f>
        <v>0.37428977272727271</v>
      </c>
      <c r="I15" s="3">
        <f>3/(3+802)</f>
        <v>3.7267080745341614E-3</v>
      </c>
    </row>
    <row r="16" spans="1:9">
      <c r="A16" s="3" t="s">
        <v>12</v>
      </c>
      <c r="B16" s="3">
        <f>47/(47+812)</f>
        <v>5.471478463329453E-2</v>
      </c>
      <c r="C16" s="3">
        <f>160/(160+682)</f>
        <v>0.19002375296912113</v>
      </c>
      <c r="D16" s="3">
        <f>0/(0+868)</f>
        <v>0</v>
      </c>
      <c r="E16" s="3">
        <f>1154/(1154+226)</f>
        <v>0.836231884057971</v>
      </c>
      <c r="F16" s="3">
        <f>25/(25+939)</f>
        <v>2.5933609958506226E-2</v>
      </c>
      <c r="G16" s="3">
        <f>25/(25+861)</f>
        <v>2.8216704288939052E-2</v>
      </c>
      <c r="H16" s="3">
        <f>1672/(1672+15)</f>
        <v>0.99110847658565504</v>
      </c>
      <c r="I16" s="3">
        <f>0/(0+844)</f>
        <v>0</v>
      </c>
    </row>
    <row r="17" spans="1:9">
      <c r="A17" s="3" t="s">
        <v>12</v>
      </c>
      <c r="B17" s="3">
        <f>12/(12+762)</f>
        <v>1.5503875968992248E-2</v>
      </c>
      <c r="C17" s="3">
        <f>176/(176+658)</f>
        <v>0.21103117505995203</v>
      </c>
      <c r="D17" s="3">
        <f>30/(30+857)</f>
        <v>3.3821871476888386E-2</v>
      </c>
      <c r="E17" s="3">
        <f>1184/(1184+200)</f>
        <v>0.8554913294797688</v>
      </c>
      <c r="F17" s="3">
        <f>20/(20+967)</f>
        <v>2.0263424518743668E-2</v>
      </c>
      <c r="G17" s="3">
        <f>58/(58+873)</f>
        <v>6.2298603651987111E-2</v>
      </c>
      <c r="H17" s="3">
        <f>1696/(1696+8)</f>
        <v>0.99530516431924887</v>
      </c>
      <c r="I17" s="3">
        <f>7/(7+870)</f>
        <v>7.98175598631699E-3</v>
      </c>
    </row>
    <row r="18" spans="1:9">
      <c r="A18" s="3" t="s">
        <v>12</v>
      </c>
      <c r="B18" s="3">
        <f>48/(48+970)</f>
        <v>4.7151277013752456E-2</v>
      </c>
      <c r="C18" s="3">
        <f>508/(508+643)</f>
        <v>0.4413553431798436</v>
      </c>
      <c r="D18" s="3">
        <f>52/(52+833)</f>
        <v>5.8757062146892657E-2</v>
      </c>
      <c r="E18" s="3">
        <f>51/(51+843)</f>
        <v>5.7046979865771813E-2</v>
      </c>
      <c r="F18" s="3">
        <f>0/(0+1739)</f>
        <v>0</v>
      </c>
      <c r="G18" s="3">
        <f>12/(12+1081)</f>
        <v>1.0978956999085087E-2</v>
      </c>
      <c r="H18" s="3">
        <f>559/(559+428)</f>
        <v>0.56636271529888549</v>
      </c>
      <c r="I18" s="3"/>
    </row>
    <row r="19" spans="1:9">
      <c r="A19" s="3" t="s">
        <v>12</v>
      </c>
      <c r="B19" s="3">
        <f>30/(30+1145)</f>
        <v>2.553191489361702E-2</v>
      </c>
      <c r="C19" s="3">
        <f>243/(243+848)</f>
        <v>0.22273143904674611</v>
      </c>
      <c r="D19" s="3">
        <f>19/(19+778)</f>
        <v>2.3839397741530741E-2</v>
      </c>
      <c r="E19" s="3">
        <f>725/(725+212)</f>
        <v>0.77374599786552833</v>
      </c>
      <c r="F19" s="3">
        <f>0/(0+1853)</f>
        <v>0</v>
      </c>
      <c r="G19" s="3">
        <f>36/(36+1033)</f>
        <v>3.3676333021515438E-2</v>
      </c>
      <c r="H19" s="3">
        <f>485/(485+463)</f>
        <v>0.51160337552742619</v>
      </c>
      <c r="I19" s="3"/>
    </row>
    <row r="20" spans="1:9">
      <c r="A20" s="3" t="s">
        <v>12</v>
      </c>
      <c r="B20" s="3">
        <f>23/(23+1171)</f>
        <v>1.9262981574539362E-2</v>
      </c>
      <c r="C20" s="3">
        <f>284/(284+869)</f>
        <v>0.24631396357328708</v>
      </c>
      <c r="D20" s="3">
        <f>44/(44+797)</f>
        <v>5.2318668252080855E-2</v>
      </c>
      <c r="E20" s="3">
        <f>726/(726+221)</f>
        <v>0.7666314677930306</v>
      </c>
      <c r="F20" s="3">
        <f>31/(31+1796)</f>
        <v>1.6967706622879036E-2</v>
      </c>
      <c r="G20" s="3">
        <f>46/(46+1090)</f>
        <v>4.0492957746478875E-2</v>
      </c>
      <c r="H20" s="3">
        <f>25/(25+889)</f>
        <v>2.7352297592997812E-2</v>
      </c>
      <c r="I20" s="3">
        <f>4/(4+1104)</f>
        <v>3.6101083032490976E-3</v>
      </c>
    </row>
    <row r="21" spans="1:9">
      <c r="A21" s="3" t="s">
        <v>12</v>
      </c>
      <c r="B21" s="3">
        <f>68/(68+1101)</f>
        <v>5.8169375534644997E-2</v>
      </c>
      <c r="C21" s="3">
        <f>560/(560+653)</f>
        <v>0.46166529266281947</v>
      </c>
      <c r="D21" s="3">
        <f>32/(32+826)</f>
        <v>3.7296037296037296E-2</v>
      </c>
      <c r="E21" s="3">
        <f>69/(69+882)</f>
        <v>7.2555205047318619E-2</v>
      </c>
      <c r="F21" s="3">
        <f>11/(11+1809)</f>
        <v>6.0439560439560442E-3</v>
      </c>
      <c r="G21" s="3">
        <f>45/(45+1067)</f>
        <v>4.0467625899280574E-2</v>
      </c>
      <c r="H21" s="3">
        <f>4/(4+854)</f>
        <v>4.662004662004662E-3</v>
      </c>
      <c r="I21" s="3"/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B4958-AEC2-41D1-A2F9-DEE1C3B63AAD}">
  <dimension ref="A1:I374"/>
  <sheetViews>
    <sheetView workbookViewId="0">
      <selection activeCell="B28" sqref="B28"/>
    </sheetView>
  </sheetViews>
  <sheetFormatPr defaultRowHeight="14.4"/>
  <cols>
    <col min="1" max="1" width="14.44140625" bestFit="1" customWidth="1"/>
    <col min="2" max="3" width="12.77734375" customWidth="1"/>
    <col min="4" max="4" width="14.44140625" customWidth="1"/>
    <col min="5" max="9" width="12.77734375" customWidth="1"/>
  </cols>
  <sheetData>
    <row r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10</v>
      </c>
      <c r="B2" s="3">
        <v>1.4038186315820775E-2</v>
      </c>
      <c r="C2" s="3">
        <v>0.33559130967994322</v>
      </c>
      <c r="D2" s="3">
        <v>2.718647818476071E-3</v>
      </c>
      <c r="E2" s="3">
        <v>0.41722711335644624</v>
      </c>
      <c r="F2" s="3">
        <v>1.8561689174472915E-2</v>
      </c>
      <c r="G2" s="3">
        <v>0.19006396721222382</v>
      </c>
      <c r="H2" s="3">
        <v>0.20916137434396437</v>
      </c>
      <c r="I2" s="3">
        <v>5.9710791888988955E-3</v>
      </c>
    </row>
    <row r="3" spans="1:9">
      <c r="A3" s="2" t="s">
        <v>23</v>
      </c>
      <c r="B3" s="3">
        <f>10/(10+794)</f>
        <v>1.2437810945273632E-2</v>
      </c>
      <c r="C3" s="3">
        <f>76/(76+750)</f>
        <v>9.2009685230024216E-2</v>
      </c>
      <c r="D3" s="3">
        <f>9/(9+1012)</f>
        <v>8.8148873653281102E-3</v>
      </c>
      <c r="E3" s="3">
        <f>461/(461+613)</f>
        <v>0.42923649906890132</v>
      </c>
      <c r="F3" s="3">
        <f>15/(15+1468)</f>
        <v>1.0114632501685773E-2</v>
      </c>
      <c r="G3" s="3">
        <f>298/(298+885)</f>
        <v>0.25190194420963652</v>
      </c>
      <c r="H3" s="3">
        <f>254/(254+802)</f>
        <v>0.24053030303030304</v>
      </c>
      <c r="I3" s="3">
        <v>6.9808027923211171E-3</v>
      </c>
    </row>
    <row r="4" spans="1:9">
      <c r="A4" s="2" t="s">
        <v>23</v>
      </c>
      <c r="B4" s="3">
        <f>1/(1+706)</f>
        <v>1.4144271570014145E-3</v>
      </c>
      <c r="C4" s="3">
        <f>90/(90+664)</f>
        <v>0.11936339522546419</v>
      </c>
      <c r="D4" s="3">
        <f>20/(20+1065)</f>
        <v>1.8433179723502304E-2</v>
      </c>
      <c r="E4" s="3">
        <f>517/(517+531)</f>
        <v>0.49332061068702288</v>
      </c>
      <c r="F4" s="3">
        <f>22/(22+1371)</f>
        <v>1.5793251974156496E-2</v>
      </c>
      <c r="G4" s="3">
        <f>366/(366+928)</f>
        <v>0.28284389489953632</v>
      </c>
      <c r="H4" s="3">
        <f>265/(265+810)</f>
        <v>0.24651162790697675</v>
      </c>
      <c r="I4" s="3">
        <v>9.6491228070175444E-3</v>
      </c>
    </row>
    <row r="5" spans="1:9">
      <c r="A5" s="2" t="s">
        <v>23</v>
      </c>
      <c r="B5" s="3">
        <f>6/(6+769)</f>
        <v>7.7419354838709677E-3</v>
      </c>
      <c r="C5" s="3">
        <f>91/(91+736)</f>
        <v>0.11003627569528417</v>
      </c>
      <c r="D5" s="3">
        <f>7/(7+1010)</f>
        <v>6.8829891838741398E-3</v>
      </c>
      <c r="E5" s="3">
        <f>564/(564+593)</f>
        <v>0.48746758859118411</v>
      </c>
      <c r="F5" s="3">
        <f>35/(35+1369)</f>
        <v>2.4928774928774929E-2</v>
      </c>
      <c r="G5" s="3">
        <f>313/(313+970)</f>
        <v>0.24395946999220577</v>
      </c>
      <c r="H5" s="3">
        <f>303/(303+773)</f>
        <v>0.28159851301115241</v>
      </c>
      <c r="I5" s="3"/>
    </row>
    <row r="6" spans="1:9">
      <c r="A6" s="2" t="s">
        <v>23</v>
      </c>
      <c r="B6" s="3">
        <f>6/(6+790)</f>
        <v>7.537688442211055E-3</v>
      </c>
      <c r="C6" s="3">
        <f>84/(84+699)</f>
        <v>0.10727969348659004</v>
      </c>
      <c r="D6" s="3">
        <f>14/(14+1097)</f>
        <v>1.2601260126012601E-2</v>
      </c>
      <c r="E6" s="3">
        <f>636/(636+579)</f>
        <v>0.52345679012345681</v>
      </c>
      <c r="F6" s="3">
        <f>21/(21+1392)</f>
        <v>1.4861995753715499E-2</v>
      </c>
      <c r="G6" s="3">
        <f>352/(352+956)</f>
        <v>0.26911314984709478</v>
      </c>
      <c r="H6" s="3">
        <f>273/(273+707)</f>
        <v>0.27857142857142858</v>
      </c>
      <c r="I6" s="3"/>
    </row>
    <row r="7" spans="1:9">
      <c r="A7" s="2" t="s">
        <v>24</v>
      </c>
      <c r="B7" s="3">
        <v>9.9132589838909543E-3</v>
      </c>
      <c r="C7" s="3">
        <v>0.20316301703163017</v>
      </c>
      <c r="D7" s="3">
        <v>9.5785440613026815E-4</v>
      </c>
      <c r="E7" s="3">
        <v>0.75141643059490082</v>
      </c>
      <c r="F7" s="3">
        <v>1.4792899408284023E-2</v>
      </c>
      <c r="G7" s="3">
        <v>2.4128686327077747E-2</v>
      </c>
      <c r="H7" s="3">
        <v>8.4337349397590355E-2</v>
      </c>
      <c r="I7" s="3">
        <v>4.1972717733473244E-3</v>
      </c>
    </row>
    <row r="8" spans="1:9">
      <c r="A8" s="2" t="s">
        <v>24</v>
      </c>
      <c r="B8" s="3">
        <v>1.7114914425427872E-2</v>
      </c>
      <c r="C8" s="3">
        <v>0.21910828025477708</v>
      </c>
      <c r="D8" s="3">
        <v>1.0436432637571158E-2</v>
      </c>
      <c r="E8" s="3">
        <v>0.79642579642579647</v>
      </c>
      <c r="F8" s="3">
        <v>2.8455284552845527E-2</v>
      </c>
      <c r="G8" s="3">
        <v>1.0073260073260074E-2</v>
      </c>
      <c r="H8" s="3">
        <v>8.6353944562899784E-2</v>
      </c>
      <c r="I8" s="3">
        <v>1.4139827179890024E-2</v>
      </c>
    </row>
    <row r="9" spans="1:9">
      <c r="A9" s="2" t="s">
        <v>24</v>
      </c>
      <c r="B9" s="3">
        <v>1.5189873417721518E-2</v>
      </c>
      <c r="C9" s="3">
        <v>0.3446601941747573</v>
      </c>
      <c r="D9" s="3">
        <v>7.575757575757576E-3</v>
      </c>
      <c r="E9" s="3">
        <v>0.68782673637042568</v>
      </c>
      <c r="F9" s="3">
        <v>1.7526777020447908E-2</v>
      </c>
      <c r="G9" s="3">
        <v>1.7657992565055763E-2</v>
      </c>
      <c r="H9" s="3">
        <v>9.4279661016949151E-2</v>
      </c>
      <c r="I9" s="3">
        <v>1.4145810663764961E-2</v>
      </c>
    </row>
    <row r="10" spans="1:9">
      <c r="A10" s="2" t="s">
        <v>24</v>
      </c>
      <c r="B10" s="3">
        <v>1.277139208173691E-2</v>
      </c>
      <c r="C10" s="3">
        <v>0.3572327044025157</v>
      </c>
      <c r="D10" s="3">
        <v>6.3578564940962763E-3</v>
      </c>
      <c r="E10" s="3">
        <v>0.69480519480519476</v>
      </c>
      <c r="F10" s="3">
        <v>1.7526777020447908E-2</v>
      </c>
      <c r="G10" s="3">
        <v>2.2038567493112948E-2</v>
      </c>
      <c r="H10" s="3">
        <v>9.4361334867663987E-2</v>
      </c>
      <c r="I10" s="3">
        <v>9.630818619582664E-3</v>
      </c>
    </row>
    <row r="11" spans="1:9">
      <c r="A11" s="2" t="s">
        <v>25</v>
      </c>
      <c r="B11" s="3">
        <v>1.7173051519154558E-2</v>
      </c>
      <c r="C11" s="3">
        <v>7.636363636363637E-2</v>
      </c>
      <c r="D11" s="3">
        <v>0</v>
      </c>
      <c r="E11" s="3">
        <v>0.17127659574468085</v>
      </c>
      <c r="F11" s="3">
        <v>4.3555555555555556E-2</v>
      </c>
      <c r="G11" s="3">
        <v>5.9907834101382486E-2</v>
      </c>
      <c r="H11" s="3">
        <v>0.79841897233201586</v>
      </c>
      <c r="I11" s="3">
        <v>9.8146128680479828E-3</v>
      </c>
    </row>
    <row r="12" spans="1:9">
      <c r="A12" s="2" t="s">
        <v>25</v>
      </c>
      <c r="B12" s="3">
        <v>2.0618556701030927E-2</v>
      </c>
      <c r="C12" s="3">
        <v>5.3981106612685563E-2</v>
      </c>
      <c r="D12" s="3">
        <v>1.3745704467353952E-2</v>
      </c>
      <c r="E12" s="3">
        <v>0.14537444933920704</v>
      </c>
      <c r="F12" s="3">
        <v>4.8617731172545281E-2</v>
      </c>
      <c r="G12" s="3">
        <v>9.0987124463519309E-2</v>
      </c>
      <c r="H12" s="3">
        <v>0.8122317596566524</v>
      </c>
      <c r="I12" s="3">
        <v>1.0458567980691875E-2</v>
      </c>
    </row>
    <row r="13" spans="1:9">
      <c r="A13" s="2" t="s">
        <v>25</v>
      </c>
      <c r="B13" s="3">
        <v>2.3370233702337023E-2</v>
      </c>
      <c r="C13" s="3">
        <v>5.8679706601466992E-2</v>
      </c>
      <c r="D13" s="3">
        <v>1.6895459345300949E-2</v>
      </c>
      <c r="E13" s="3">
        <v>0.17720207253886011</v>
      </c>
      <c r="F13" s="3">
        <v>2.1153846153846155E-2</v>
      </c>
      <c r="G13" s="3">
        <v>7.6923076923076927E-2</v>
      </c>
      <c r="H13" s="3">
        <v>0.74757281553398058</v>
      </c>
      <c r="I13" s="3">
        <v>2.0156774916013438E-2</v>
      </c>
    </row>
    <row r="14" spans="1:9">
      <c r="A14" s="2" t="s">
        <v>25</v>
      </c>
      <c r="B14" s="3">
        <v>1.2376237623762377E-2</v>
      </c>
      <c r="C14" s="3">
        <v>5.4430379746835442E-2</v>
      </c>
      <c r="D14" s="3">
        <v>1.6036655211912942E-2</v>
      </c>
      <c r="E14" s="3">
        <v>0.19301648884578079</v>
      </c>
      <c r="F14" s="3">
        <v>1.4677103718199608E-2</v>
      </c>
      <c r="G14" s="3">
        <v>8.6460032626427402E-2</v>
      </c>
      <c r="H14" s="3">
        <v>0.7527593818984547</v>
      </c>
      <c r="I14" s="3">
        <v>5.7471264367816091E-3</v>
      </c>
    </row>
    <row r="15" spans="1:9">
      <c r="A15" s="2" t="s">
        <v>26</v>
      </c>
      <c r="B15" s="3">
        <f>3/(3+769)</f>
        <v>3.8860103626943004E-3</v>
      </c>
      <c r="C15" s="3">
        <f>174/(174+666)</f>
        <v>0.20714285714285716</v>
      </c>
      <c r="D15" s="3">
        <f>0/(0+1062)</f>
        <v>0</v>
      </c>
      <c r="E15" s="3">
        <f>609/(609+560)</f>
        <v>0.52095808383233533</v>
      </c>
      <c r="F15" s="3">
        <f>23/(23+1097)</f>
        <v>2.0535714285714286E-2</v>
      </c>
      <c r="G15" s="3">
        <f>91/(91+1020)</f>
        <v>8.1908190819081905E-2</v>
      </c>
      <c r="H15" s="3">
        <f>355/(355+688)</f>
        <v>0.34036433365292423</v>
      </c>
      <c r="I15" s="3">
        <f>8/(8+1218)</f>
        <v>6.5252854812398045E-3</v>
      </c>
    </row>
    <row r="16" spans="1:9">
      <c r="A16" s="2" t="s">
        <v>26</v>
      </c>
      <c r="B16" s="3">
        <f>21/(21+752)</f>
        <v>2.7166882276843468E-2</v>
      </c>
      <c r="C16" s="3">
        <f>155/(155+587)</f>
        <v>0.20889487870619947</v>
      </c>
      <c r="D16" s="3">
        <f>15/(15+1119)</f>
        <v>1.3227513227513227E-2</v>
      </c>
      <c r="E16" s="3">
        <f>734/(734+531)</f>
        <v>0.58023715415019761</v>
      </c>
      <c r="F16" s="3">
        <f>16/(16+1073)</f>
        <v>1.4692378328741965E-2</v>
      </c>
      <c r="G16" s="3">
        <f>103/(103+1028)</f>
        <v>9.1069849690539342E-2</v>
      </c>
      <c r="H16" s="3">
        <f>254/(254+601)</f>
        <v>0.29707602339181288</v>
      </c>
      <c r="I16" s="3">
        <f>7/(7+1224)</f>
        <v>5.686433793663688E-3</v>
      </c>
    </row>
    <row r="17" spans="1:9">
      <c r="A17" s="2" t="s">
        <v>26</v>
      </c>
      <c r="B17" s="3">
        <f>11/(11+806)</f>
        <v>1.346389228886169E-2</v>
      </c>
      <c r="C17" s="3">
        <f>219/(219+606)</f>
        <v>0.26545454545454544</v>
      </c>
      <c r="D17" s="3">
        <f>9/(9+1084)</f>
        <v>8.2342177493138144E-3</v>
      </c>
      <c r="E17" s="3">
        <f>751/(751+495)</f>
        <v>0.6027287319422151</v>
      </c>
      <c r="F17" s="3">
        <f>28/(28+977)</f>
        <v>2.7860696517412936E-2</v>
      </c>
      <c r="G17" s="3">
        <f>72/(72+1022)</f>
        <v>6.5813528336380253E-2</v>
      </c>
      <c r="H17" s="3">
        <f>254/(254+763)</f>
        <v>0.24975417895771879</v>
      </c>
      <c r="I17" s="3"/>
    </row>
    <row r="18" spans="1:9">
      <c r="A18" s="2" t="s">
        <v>26</v>
      </c>
      <c r="B18" s="3">
        <f>12/(12+802)</f>
        <v>1.4742014742014743E-2</v>
      </c>
      <c r="C18" s="3">
        <f>218/(218+587)</f>
        <v>0.27080745341614909</v>
      </c>
      <c r="D18" s="3">
        <f>14/(14+1136)</f>
        <v>1.2173913043478261E-2</v>
      </c>
      <c r="E18" s="3">
        <f>790/(790+544)</f>
        <v>0.59220389805097451</v>
      </c>
      <c r="F18" s="3">
        <f>21/(21+1048)</f>
        <v>1.9644527595884004E-2</v>
      </c>
      <c r="G18" s="3">
        <f>111/(111+1052)</f>
        <v>9.544282029234738E-2</v>
      </c>
      <c r="H18" s="3">
        <f>201/(201+659)</f>
        <v>0.23372093023255813</v>
      </c>
      <c r="I18" s="3"/>
    </row>
    <row r="19" spans="1:9">
      <c r="A19" s="3" t="s">
        <v>27</v>
      </c>
      <c r="B19" s="3">
        <f>3/(3+709)</f>
        <v>4.2134831460674156E-3</v>
      </c>
      <c r="C19" s="3">
        <f>99/(99+687)</f>
        <v>0.12595419847328243</v>
      </c>
      <c r="D19" s="3">
        <f>0/(0+1041)</f>
        <v>0</v>
      </c>
      <c r="E19" s="3">
        <f>69/(69+802)</f>
        <v>7.9219288174512056E-2</v>
      </c>
      <c r="F19" s="3">
        <f>58/(58+1386)</f>
        <v>4.0166204986149583E-2</v>
      </c>
      <c r="G19" s="3">
        <f>1439/(1439+234)</f>
        <v>0.86013150029886432</v>
      </c>
      <c r="H19" s="3">
        <f>99/(99+902)</f>
        <v>9.8901098901098897E-2</v>
      </c>
      <c r="I19" s="3">
        <f>11/(11+1153)</f>
        <v>9.4501718213058413E-3</v>
      </c>
    </row>
    <row r="20" spans="1:9">
      <c r="A20" s="2" t="s">
        <v>27</v>
      </c>
      <c r="B20" s="3">
        <f>0/(0+738)</f>
        <v>0</v>
      </c>
      <c r="C20" s="3">
        <f>95/(95+683)</f>
        <v>0.12210796915167095</v>
      </c>
      <c r="D20" s="3">
        <f>25/(25+1108)</f>
        <v>2.2065313327449251E-2</v>
      </c>
      <c r="E20" s="3">
        <f>80/(80+833)</f>
        <v>8.7623220153340634E-2</v>
      </c>
      <c r="F20" s="3">
        <f>36/(36+1327)</f>
        <v>2.6412325752017608E-2</v>
      </c>
      <c r="G20" s="3">
        <f>1495/(1495+195)</f>
        <v>0.88461538461538458</v>
      </c>
      <c r="H20" s="3">
        <f>117/(117+892)</f>
        <v>0.1159563924677899</v>
      </c>
      <c r="I20" s="3">
        <f>9/(9+1167)</f>
        <v>7.6530612244897957E-3</v>
      </c>
    </row>
    <row r="21" spans="1:9">
      <c r="A21" s="2" t="s">
        <v>27</v>
      </c>
      <c r="B21" s="3">
        <f>29/(29+741)</f>
        <v>3.7662337662337661E-2</v>
      </c>
      <c r="C21" s="3">
        <f>52/(52+733)</f>
        <v>6.6242038216560509E-2</v>
      </c>
      <c r="D21" s="3">
        <f>1/(1+1039)</f>
        <v>9.6153846153846159E-4</v>
      </c>
      <c r="E21" s="3">
        <f>83/(83+810)</f>
        <v>9.29451287793953E-2</v>
      </c>
      <c r="F21" s="3">
        <f>10/(10+1118)</f>
        <v>8.8652482269503553E-3</v>
      </c>
      <c r="G21" s="3">
        <f>1345/(1345+128)</f>
        <v>0.91310251188051594</v>
      </c>
      <c r="H21" s="3">
        <f>93/(93+926)</f>
        <v>9.1265947006869477E-2</v>
      </c>
      <c r="I21" s="3"/>
    </row>
    <row r="22" spans="1:9">
      <c r="A22" s="2" t="s">
        <v>27</v>
      </c>
      <c r="B22" s="3">
        <f>28/(28+729)</f>
        <v>3.6988110964332896E-2</v>
      </c>
      <c r="C22" s="3">
        <f>95/(95+715)</f>
        <v>0.11728395061728394</v>
      </c>
      <c r="D22" s="3">
        <f>0/(0+991)</f>
        <v>0</v>
      </c>
      <c r="E22" s="3">
        <f>43/(43+771)</f>
        <v>5.2825552825552825E-2</v>
      </c>
      <c r="F22" s="3">
        <f>13/(13+1022)</f>
        <v>1.2560386473429951E-2</v>
      </c>
      <c r="G22" s="3">
        <f>1420/(1420+115)</f>
        <v>0.92508143322475567</v>
      </c>
      <c r="H22" s="3">
        <f>71/(71+840)</f>
        <v>7.7936333699231614E-2</v>
      </c>
      <c r="I22" s="3"/>
    </row>
    <row r="23" spans="1:9">
      <c r="A23" s="2" t="s">
        <v>28</v>
      </c>
      <c r="B23" s="3">
        <f>31/(31+778)</f>
        <v>3.8318912237330034E-2</v>
      </c>
      <c r="C23" s="3">
        <f>158/(158+670)</f>
        <v>0.19082125603864733</v>
      </c>
      <c r="D23" s="3">
        <f>6/(6+1018)</f>
        <v>5.859375E-3</v>
      </c>
      <c r="E23" s="3">
        <f>417/(417+690)</f>
        <v>0.37669376693766937</v>
      </c>
      <c r="F23" s="3">
        <f>25/(25+1307)</f>
        <v>1.8768768768768769E-2</v>
      </c>
      <c r="G23" s="3">
        <f>390/(390+827)</f>
        <v>0.32046014790468363</v>
      </c>
      <c r="H23" s="3">
        <f>230/(230+925)</f>
        <v>0.19913419913419914</v>
      </c>
      <c r="I23" s="3">
        <f>17/(17+1155)</f>
        <v>1.4505119453924915E-2</v>
      </c>
    </row>
    <row r="24" spans="1:9">
      <c r="A24" s="2" t="s">
        <v>28</v>
      </c>
      <c r="B24" s="3">
        <f>17/(17+764)</f>
        <v>2.176696542893726E-2</v>
      </c>
      <c r="C24" s="3">
        <f>132/(132+645)</f>
        <v>0.16988416988416988</v>
      </c>
      <c r="D24" s="3">
        <f>12/(12+1070)</f>
        <v>1.1090573012939002E-2</v>
      </c>
      <c r="E24" s="3">
        <f>459/(459+685)</f>
        <v>0.4012237762237762</v>
      </c>
      <c r="F24" s="3">
        <f>57/(57+1336)</f>
        <v>4.0918880114860015E-2</v>
      </c>
      <c r="G24" s="3">
        <f>382/(382+866)</f>
        <v>0.30608974358974361</v>
      </c>
      <c r="H24" s="3">
        <f>238/(238+870)</f>
        <v>0.2148014440433213</v>
      </c>
      <c r="I24" s="3">
        <f>7/(7+1183)</f>
        <v>5.8823529411764705E-3</v>
      </c>
    </row>
    <row r="25" spans="1:9">
      <c r="A25" s="2" t="s">
        <v>28</v>
      </c>
      <c r="B25" s="3">
        <f>4/(4+743)</f>
        <v>5.3547523427041497E-3</v>
      </c>
      <c r="C25" s="3">
        <f>58/(58+760)</f>
        <v>7.090464547677261E-2</v>
      </c>
      <c r="D25" s="3">
        <f>14/(14+1014)</f>
        <v>1.3618677042801557E-2</v>
      </c>
      <c r="E25" s="3">
        <f>362/(362+650)</f>
        <v>0.35770750988142291</v>
      </c>
      <c r="F25" s="3">
        <f>58/(58+1241)</f>
        <v>4.4649730561970746E-2</v>
      </c>
      <c r="G25" s="3">
        <f>1042/(1042+340)</f>
        <v>0.75397973950795949</v>
      </c>
      <c r="H25" s="3">
        <f>156/(156+953)</f>
        <v>0.14066726780883679</v>
      </c>
      <c r="I25" s="3"/>
    </row>
    <row r="26" spans="1:9">
      <c r="A26" s="2" t="s">
        <v>28</v>
      </c>
      <c r="B26" s="3">
        <f>17/(17+732)</f>
        <v>2.2696929238985315E-2</v>
      </c>
      <c r="C26" s="3">
        <f>50/(50+717)</f>
        <v>6.51890482398957E-2</v>
      </c>
      <c r="D26" s="3">
        <f>5/(5+1068)</f>
        <v>4.6598322460391422E-3</v>
      </c>
      <c r="E26" s="3">
        <f>376/(376+646)</f>
        <v>0.3679060665362035</v>
      </c>
      <c r="F26" s="3">
        <f>38/(38+1321)</f>
        <v>2.7961736571008096E-2</v>
      </c>
      <c r="G26" s="3">
        <f>1091/(1091+306)</f>
        <v>0.78095919828203297</v>
      </c>
      <c r="H26" s="3">
        <f>149/(149+906)</f>
        <v>0.14123222748815165</v>
      </c>
      <c r="I26" s="3"/>
    </row>
    <row r="27" spans="1:9">
      <c r="A27" s="2" t="s">
        <v>29</v>
      </c>
      <c r="B27" s="3">
        <f>16/(16+754)</f>
        <v>2.0779220779220779E-2</v>
      </c>
      <c r="C27" s="3">
        <f>187/(187+608)</f>
        <v>0.23522012578616353</v>
      </c>
      <c r="D27" s="3">
        <f>5/(5+1037)</f>
        <v>4.7984644913627635E-3</v>
      </c>
      <c r="E27" s="3">
        <f>487/(487+521)</f>
        <v>0.48313492063492064</v>
      </c>
      <c r="F27" s="3">
        <f>41/(41+1110)</f>
        <v>3.5621198957428324E-2</v>
      </c>
      <c r="G27" s="3">
        <f>207/(207+956)</f>
        <v>0.17798796216680998</v>
      </c>
      <c r="H27" s="3">
        <f>231/(231+752)</f>
        <v>0.23499491353001017</v>
      </c>
      <c r="I27" s="3">
        <f>7/(7+1166)</f>
        <v>5.9676044330775786E-3</v>
      </c>
    </row>
    <row r="28" spans="1:9">
      <c r="A28" s="2" t="s">
        <v>29</v>
      </c>
      <c r="B28" s="3">
        <f>1/(1+751)</f>
        <v>1.3297872340425532E-3</v>
      </c>
      <c r="C28" s="3">
        <f>167/(167+559)</f>
        <v>0.23002754820936638</v>
      </c>
      <c r="D28" s="3">
        <f>22/(22+1115)</f>
        <v>1.9349164467897976E-2</v>
      </c>
      <c r="E28" s="3">
        <f>638/(638+577)</f>
        <v>0.52510288065843624</v>
      </c>
      <c r="F28" s="3">
        <f>33/(33+1025)</f>
        <v>3.1190926275992438E-2</v>
      </c>
      <c r="G28" s="3">
        <f>199/(199+1026)</f>
        <v>0.16244897959183674</v>
      </c>
      <c r="H28" s="3">
        <f>261/(261+751)</f>
        <v>0.25790513833992096</v>
      </c>
      <c r="I28" s="3">
        <f>16/(16+1221)</f>
        <v>1.2934518997574777E-2</v>
      </c>
    </row>
    <row r="29" spans="1:9">
      <c r="A29" s="2" t="s">
        <v>29</v>
      </c>
      <c r="B29" s="3">
        <f>7/(7+802)</f>
        <v>8.65265760197775E-3</v>
      </c>
      <c r="C29" s="3">
        <f>356/(356+491)</f>
        <v>0.42030696576151122</v>
      </c>
      <c r="D29" s="3">
        <f>1/(1+1100)</f>
        <v>9.0826521344232513E-4</v>
      </c>
      <c r="E29" s="3">
        <f>212/(212+769)</f>
        <v>0.21610601427115189</v>
      </c>
      <c r="F29" s="3">
        <f>37/(37+1020)</f>
        <v>3.5004730368968777E-2</v>
      </c>
      <c r="G29" s="3">
        <f>182/(182+942)</f>
        <v>0.16192170818505339</v>
      </c>
      <c r="H29" s="3">
        <f>310/(310+741)</f>
        <v>0.29495718363463369</v>
      </c>
      <c r="I29" s="3"/>
    </row>
    <row r="30" spans="1:9">
      <c r="A30" s="2" t="s">
        <v>29</v>
      </c>
      <c r="B30" s="3">
        <f>2/(2+805)</f>
        <v>2.4783147459727386E-3</v>
      </c>
      <c r="C30" s="3">
        <f>343/(343+469)</f>
        <v>0.42241379310344829</v>
      </c>
      <c r="D30" s="3">
        <f>6/(6+1173)</f>
        <v>5.0890585241730284E-3</v>
      </c>
      <c r="E30" s="3">
        <f>245/(245+777)</f>
        <v>0.23972602739726026</v>
      </c>
      <c r="F30" s="3">
        <f>16/(16+1058)</f>
        <v>1.4897579143389199E-2</v>
      </c>
      <c r="G30" s="3">
        <f>195/(195+965)</f>
        <v>0.16810344827586207</v>
      </c>
      <c r="H30" s="3">
        <f>272/(272+670)</f>
        <v>0.28874734607218683</v>
      </c>
      <c r="I30" s="3"/>
    </row>
    <row r="31" spans="1:9">
      <c r="A31" s="2" t="s">
        <v>30</v>
      </c>
      <c r="B31" s="3">
        <f>0/(0+779)</f>
        <v>0</v>
      </c>
      <c r="C31" s="3">
        <f>4/(4+776)</f>
        <v>5.1282051282051282E-3</v>
      </c>
      <c r="D31" s="3">
        <f>1/(1+963)</f>
        <v>1.037344398340249E-3</v>
      </c>
      <c r="E31" s="3">
        <f>48/(48+817)</f>
        <v>5.5491329479768786E-2</v>
      </c>
      <c r="F31" s="3">
        <f>17/(17+1332)</f>
        <v>1.2601927353595256E-2</v>
      </c>
      <c r="G31" s="3">
        <f>375/(375+805)</f>
        <v>0.31779661016949151</v>
      </c>
      <c r="H31" s="3">
        <f>695/(695+385)</f>
        <v>0.64351851851851849</v>
      </c>
      <c r="I31" s="3">
        <f>8/(8+1160)</f>
        <v>6.8493150684931503E-3</v>
      </c>
    </row>
    <row r="32" spans="1:9">
      <c r="A32" s="2" t="s">
        <v>30</v>
      </c>
      <c r="B32" s="3">
        <f>12/(12+745)</f>
        <v>1.5852047556142668E-2</v>
      </c>
      <c r="C32" s="3">
        <f>9/(9+766)</f>
        <v>1.1612903225806452E-2</v>
      </c>
      <c r="D32" s="3">
        <f>27/(27+1092)</f>
        <v>2.4128686327077747E-2</v>
      </c>
      <c r="E32" s="3">
        <f>11/(11+862)</f>
        <v>1.2600229095074456E-2</v>
      </c>
      <c r="F32" s="3">
        <f>85/(85+1302)</f>
        <v>6.1283345349675555E-2</v>
      </c>
      <c r="G32" s="3">
        <f>432/(432+830)</f>
        <v>0.34231378763866877</v>
      </c>
      <c r="H32" s="3">
        <f>679/(679+414)</f>
        <v>0.62122598353156455</v>
      </c>
      <c r="I32" s="3">
        <f>18/(18+1238)</f>
        <v>1.4331210191082803E-2</v>
      </c>
    </row>
    <row r="33" spans="1:9">
      <c r="A33" s="2" t="s">
        <v>30</v>
      </c>
      <c r="B33" s="3">
        <f>4/(4+771)</f>
        <v>5.1612903225806452E-3</v>
      </c>
      <c r="C33" s="3">
        <f>16/(16+793)</f>
        <v>1.9777503090234856E-2</v>
      </c>
      <c r="D33" s="3">
        <f>0/(0+1000)</f>
        <v>0</v>
      </c>
      <c r="E33" s="3">
        <f>45/(45+878)</f>
        <v>4.8754062838569881E-2</v>
      </c>
      <c r="F33" s="3">
        <f>23/(23+1352)</f>
        <v>1.6727272727272726E-2</v>
      </c>
      <c r="G33" s="3">
        <f>404/(404+831)</f>
        <v>0.32712550607287449</v>
      </c>
      <c r="H33" s="3">
        <f>646/(646+394)</f>
        <v>0.62115384615384617</v>
      </c>
      <c r="I33" s="3"/>
    </row>
    <row r="34" spans="1:9">
      <c r="A34" s="2" t="s">
        <v>30</v>
      </c>
      <c r="B34" s="3">
        <f>3/(3+778)</f>
        <v>3.8412291933418692E-3</v>
      </c>
      <c r="C34" s="3">
        <f>20/(20+779)</f>
        <v>2.5031289111389236E-2</v>
      </c>
      <c r="D34" s="3">
        <f>12/(12+994)</f>
        <v>1.1928429423459244E-2</v>
      </c>
      <c r="E34" s="3">
        <f>37/(37+914)</f>
        <v>3.8906414300736068E-2</v>
      </c>
      <c r="F34" s="3">
        <f>38/(38+1405)</f>
        <v>2.6334026334026334E-2</v>
      </c>
      <c r="G34" s="3">
        <f>494/(494+826)</f>
        <v>0.37424242424242427</v>
      </c>
      <c r="H34" s="3">
        <f>671/(671+445)</f>
        <v>0.60125448028673834</v>
      </c>
      <c r="I34" s="3"/>
    </row>
    <row r="35" spans="1:9">
      <c r="A35" s="2" t="s">
        <v>31</v>
      </c>
      <c r="B35" s="3">
        <f>9/(9+768)</f>
        <v>1.1583011583011582E-2</v>
      </c>
      <c r="C35" s="3">
        <f>60/(60+749)</f>
        <v>7.4165636588380712E-2</v>
      </c>
      <c r="D35" s="3">
        <f>5/(5+1050)</f>
        <v>4.7393364928909956E-3</v>
      </c>
      <c r="E35" s="3">
        <f>204/(204+787)</f>
        <v>0.20585267406659941</v>
      </c>
      <c r="F35" s="3">
        <f>42/(42+1378)</f>
        <v>2.9577464788732393E-2</v>
      </c>
      <c r="G35" s="3">
        <f>1126/(1126+388)</f>
        <v>0.74372523117569356</v>
      </c>
      <c r="H35" s="3">
        <f>199/(199+885)</f>
        <v>0.18357933579335795</v>
      </c>
      <c r="I35" s="3">
        <f>8/(8+1129)</f>
        <v>7.0360598065083556E-3</v>
      </c>
    </row>
    <row r="36" spans="1:9">
      <c r="A36" s="2" t="s">
        <v>31</v>
      </c>
      <c r="B36" s="3">
        <f>0/(0+750)</f>
        <v>0</v>
      </c>
      <c r="C36" s="3">
        <f>56/(56+712)</f>
        <v>7.2916666666666671E-2</v>
      </c>
      <c r="D36" s="3">
        <f>2/(2+1059)</f>
        <v>1.885014137606032E-3</v>
      </c>
      <c r="E36" s="3">
        <f>178/(178+709)</f>
        <v>0.20067643742953778</v>
      </c>
      <c r="F36" s="3">
        <f>17/(17+1319)</f>
        <v>1.2724550898203593E-2</v>
      </c>
      <c r="G36" s="3">
        <f>1115/(1115+371)</f>
        <v>0.75033647375504708</v>
      </c>
      <c r="H36" s="3">
        <f>198/(198+884)</f>
        <v>0.18299445471349354</v>
      </c>
      <c r="I36" s="3">
        <f>13/(13+1091)</f>
        <v>1.177536231884058E-2</v>
      </c>
    </row>
    <row r="37" spans="1:9">
      <c r="A37" s="2" t="s">
        <v>31</v>
      </c>
      <c r="B37" s="3">
        <f>3/(3+763)</f>
        <v>3.9164490861618795E-3</v>
      </c>
      <c r="C37" s="3">
        <f>77/(77+739)</f>
        <v>9.4362745098039214E-2</v>
      </c>
      <c r="D37" s="3">
        <f>26/(26+1004)</f>
        <v>2.524271844660194E-2</v>
      </c>
      <c r="E37" s="3">
        <f>406/(406+683)</f>
        <v>0.37281910009182734</v>
      </c>
      <c r="F37" s="3">
        <f>56/(56+1346)</f>
        <v>3.9942938659058486E-2</v>
      </c>
      <c r="G37" s="3">
        <f>555/(555+679)</f>
        <v>0.44975688816855752</v>
      </c>
      <c r="H37" s="3">
        <f>215/(215+938)</f>
        <v>0.18647007805724197</v>
      </c>
      <c r="I37" s="3"/>
    </row>
    <row r="38" spans="1:9">
      <c r="A38" s="2" t="s">
        <v>31</v>
      </c>
      <c r="B38" s="3">
        <f>2/(2+769)</f>
        <v>2.5940337224383916E-3</v>
      </c>
      <c r="C38" s="3">
        <f>72/(72+714)</f>
        <v>9.1603053435114504E-2</v>
      </c>
      <c r="D38" s="3">
        <f>9/(9+1076)</f>
        <v>8.2949308755760377E-3</v>
      </c>
      <c r="E38" s="3">
        <f>495/(495+607)</f>
        <v>0.44918330308529947</v>
      </c>
      <c r="F38" s="3">
        <f>24/(24+1413)</f>
        <v>1.6701461377870562E-2</v>
      </c>
      <c r="G38" s="3">
        <f>856/(856+515)</f>
        <v>0.62436177972283002</v>
      </c>
      <c r="H38" s="3">
        <f>216/(216+891)</f>
        <v>0.1951219512195122</v>
      </c>
      <c r="I38" s="3"/>
    </row>
    <row r="39" spans="1:9">
      <c r="A39" s="2" t="s">
        <v>32</v>
      </c>
      <c r="B39" s="3">
        <f>12/(12+806)</f>
        <v>1.4669926650366748E-2</v>
      </c>
      <c r="C39" s="3">
        <f>329/(329+517)</f>
        <v>0.3888888888888889</v>
      </c>
      <c r="D39" s="3">
        <f>7/(7+1082)</f>
        <v>6.4279155188246093E-3</v>
      </c>
      <c r="E39" s="3">
        <f>28/(28+863)</f>
        <v>3.1425364758698095E-2</v>
      </c>
      <c r="F39" s="3">
        <f>41/(41+1052)</f>
        <v>3.7511436413540711E-2</v>
      </c>
      <c r="G39" s="3">
        <f>180/(180+984)</f>
        <v>0.15463917525773196</v>
      </c>
      <c r="H39" s="3">
        <f>485/(485+542)</f>
        <v>0.47224926971762415</v>
      </c>
      <c r="I39" s="3">
        <f>11/(11+1173)</f>
        <v>9.2905405405405411E-3</v>
      </c>
    </row>
    <row r="40" spans="1:9">
      <c r="A40" s="2" t="s">
        <v>32</v>
      </c>
      <c r="B40" s="3">
        <f>4/(4+752)</f>
        <v>5.2910052910052907E-3</v>
      </c>
      <c r="C40" s="3">
        <f>299/(299+475)</f>
        <v>0.3863049095607235</v>
      </c>
      <c r="D40" s="3">
        <f>7/(7+1106)</f>
        <v>6.2893081761006293E-3</v>
      </c>
      <c r="E40" s="3">
        <f>42/(42+827)</f>
        <v>4.8331415420023012E-2</v>
      </c>
      <c r="F40" s="3">
        <f>25/(25+1001)</f>
        <v>2.4366471734892786E-2</v>
      </c>
      <c r="G40" s="3">
        <f>168/(168+991)</f>
        <v>0.1449525452976704</v>
      </c>
      <c r="H40" s="3">
        <f>460/(460+521)</f>
        <v>0.4689092762487258</v>
      </c>
      <c r="I40" s="3">
        <f>6/(6+1229)</f>
        <v>4.8582995951417006E-3</v>
      </c>
    </row>
    <row r="41" spans="1:9">
      <c r="A41" s="2" t="s">
        <v>32</v>
      </c>
      <c r="B41" s="3">
        <f>6/(6+776)</f>
        <v>7.6726342710997444E-3</v>
      </c>
      <c r="C41" s="3">
        <f>221/(221+589)</f>
        <v>0.27283950617283953</v>
      </c>
      <c r="D41" s="3">
        <f>17/(17+1042)</f>
        <v>1.6052880075542966E-2</v>
      </c>
      <c r="E41" s="3">
        <f>32/(32+881)</f>
        <v>3.5049288061336253E-2</v>
      </c>
      <c r="F41" s="3">
        <f>41/(41+1007)</f>
        <v>3.9122137404580155E-2</v>
      </c>
      <c r="G41" s="3">
        <f>145/(145+1003)</f>
        <v>0.12630662020905922</v>
      </c>
      <c r="H41" s="3">
        <f>613/(613+441)</f>
        <v>0.58159392789373809</v>
      </c>
      <c r="I41" s="3"/>
    </row>
    <row r="42" spans="1:9">
      <c r="A42" s="2" t="s">
        <v>32</v>
      </c>
      <c r="B42" s="3">
        <f>26/(26+772)</f>
        <v>3.2581453634085211E-2</v>
      </c>
      <c r="C42" s="3">
        <f>240/(240+558)</f>
        <v>0.3007518796992481</v>
      </c>
      <c r="D42" s="3">
        <f>15/(15+1133)</f>
        <v>1.3066202090592335E-2</v>
      </c>
      <c r="E42" s="3">
        <f>11/(11+784)</f>
        <v>1.3836477987421384E-2</v>
      </c>
      <c r="F42" s="3">
        <f>32/(32+1018)</f>
        <v>3.0476190476190476E-2</v>
      </c>
      <c r="G42" s="3">
        <f>136/(136+965)</f>
        <v>0.12352406902815623</v>
      </c>
      <c r="H42" s="3">
        <f>554/(554+395)</f>
        <v>0.58377239199157005</v>
      </c>
      <c r="I42" s="3"/>
    </row>
    <row r="43" spans="1:9">
      <c r="A43" s="2" t="s">
        <v>33</v>
      </c>
      <c r="B43" s="3">
        <f>2/(2+761)</f>
        <v>2.6212319790301442E-3</v>
      </c>
      <c r="C43" s="3">
        <f>134/(134+671)</f>
        <v>0.16645962732919253</v>
      </c>
      <c r="D43" s="3">
        <f>0/(0+1054)</f>
        <v>0</v>
      </c>
      <c r="E43" s="3">
        <f>69/(69+822)</f>
        <v>7.7441077441077436E-2</v>
      </c>
      <c r="F43" s="3">
        <f>13/(13+1432)</f>
        <v>8.996539792387544E-3</v>
      </c>
      <c r="G43" s="3">
        <f>1472/(1472+215)</f>
        <v>0.87255483106105514</v>
      </c>
      <c r="H43" s="3">
        <f>27/(27+984)</f>
        <v>2.6706231454005934E-2</v>
      </c>
      <c r="I43" s="3">
        <f>19/(19+1172)</f>
        <v>1.595298068849706E-2</v>
      </c>
    </row>
    <row r="44" spans="1:9">
      <c r="A44" s="2" t="s">
        <v>33</v>
      </c>
      <c r="B44" s="3">
        <f>21/(21+747)</f>
        <v>2.734375E-2</v>
      </c>
      <c r="C44" s="3">
        <f>120/(120+640)</f>
        <v>0.15789473684210525</v>
      </c>
      <c r="D44" s="3">
        <f>13/(13+1140)</f>
        <v>1.1274934952298352E-2</v>
      </c>
      <c r="E44" s="3">
        <f>71/(71+826)</f>
        <v>7.9152731326644368E-2</v>
      </c>
      <c r="F44" s="3">
        <f>15/(15+1340)</f>
        <v>1.107011070110701E-2</v>
      </c>
      <c r="G44" s="3">
        <f>1557/(1557+218)</f>
        <v>0.8771830985915493</v>
      </c>
      <c r="H44" s="3">
        <f>20/(20+869)</f>
        <v>2.2497187851518559E-2</v>
      </c>
      <c r="I44" s="3">
        <f>7/(7+1163)</f>
        <v>5.9829059829059833E-3</v>
      </c>
    </row>
    <row r="45" spans="1:9">
      <c r="A45" s="2" t="s">
        <v>33</v>
      </c>
      <c r="B45" s="3">
        <f>6/(6+834)</f>
        <v>7.1428571428571426E-3</v>
      </c>
      <c r="C45" s="3">
        <f>228/(228+619)</f>
        <v>0.26918536009445099</v>
      </c>
      <c r="D45" s="3">
        <f>9/(9+933)</f>
        <v>9.5541401273885346E-3</v>
      </c>
      <c r="E45" s="3">
        <f>62/(62+939)</f>
        <v>6.1938061938061936E-2</v>
      </c>
      <c r="F45" s="3">
        <f>46/(46+1426)</f>
        <v>3.125E-2</v>
      </c>
      <c r="G45" s="3">
        <f>1201/(1201+360)</f>
        <v>0.76937860345932096</v>
      </c>
      <c r="H45" s="3">
        <f>50/(50+1007)</f>
        <v>4.730368968779565E-2</v>
      </c>
      <c r="I45" s="3"/>
    </row>
    <row r="46" spans="1:9">
      <c r="A46" s="2" t="s">
        <v>33</v>
      </c>
      <c r="B46" s="3">
        <f>8/(8+755)</f>
        <v>1.0484927916120577E-2</v>
      </c>
      <c r="C46" s="3">
        <f>217/(217+564)</f>
        <v>0.27784891165172854</v>
      </c>
      <c r="D46" s="3">
        <f>17/(17+1118)</f>
        <v>1.4977973568281937E-2</v>
      </c>
      <c r="E46" s="3">
        <f>57/(57+818)</f>
        <v>6.5142857142857141E-2</v>
      </c>
      <c r="F46" s="3">
        <f>38/(38+1307)</f>
        <v>2.8252788104089221E-2</v>
      </c>
      <c r="G46" s="3">
        <f>1240/(1240+381)</f>
        <v>0.76495990129549662</v>
      </c>
      <c r="H46" s="3">
        <f>50/(50+978)</f>
        <v>4.8638132295719845E-2</v>
      </c>
      <c r="I46" s="3"/>
    </row>
    <row r="47" spans="1:9">
      <c r="A47" s="2" t="s">
        <v>34</v>
      </c>
      <c r="B47" s="3">
        <f>6/(6+787)</f>
        <v>7.5662042875157629E-3</v>
      </c>
      <c r="C47" s="3">
        <f>447/(447+415)</f>
        <v>0.5185614849187935</v>
      </c>
      <c r="D47" s="3">
        <f>0/(0+1018)</f>
        <v>0</v>
      </c>
      <c r="E47" s="3">
        <f>23/(23+884)</f>
        <v>2.5358324145534728E-2</v>
      </c>
      <c r="F47" s="3">
        <f>46/(46+1341)</f>
        <v>3.3165104542177359E-2</v>
      </c>
      <c r="G47" s="3">
        <f>432/(462+823)</f>
        <v>0.33618677042801559</v>
      </c>
      <c r="H47" s="3">
        <f>129/(129+962)</f>
        <v>0.11824014665444546</v>
      </c>
      <c r="I47" s="3">
        <f>7/(7+1165)</f>
        <v>5.9726962457337888E-3</v>
      </c>
    </row>
    <row r="48" spans="1:9">
      <c r="A48" s="2" t="s">
        <v>34</v>
      </c>
      <c r="B48" s="3">
        <f>27/(27+787)</f>
        <v>3.3169533169533166E-2</v>
      </c>
      <c r="C48" s="3">
        <f>422/(422+376)</f>
        <v>0.52882205513784464</v>
      </c>
      <c r="D48" s="3">
        <f>11/(11+1062)</f>
        <v>1.0251630941286114E-2</v>
      </c>
      <c r="E48" s="3">
        <f>33/(33+866)</f>
        <v>3.6707452725250278E-2</v>
      </c>
      <c r="F48" s="3">
        <f>17/(17+1334)</f>
        <v>1.2583271650629163E-2</v>
      </c>
      <c r="G48" s="3">
        <f>419/(419+856)</f>
        <v>0.32862745098039214</v>
      </c>
      <c r="H48" s="3">
        <f>100/(100+907)</f>
        <v>9.9304865938430978E-2</v>
      </c>
      <c r="I48" s="3">
        <f>20/(20+1160)</f>
        <v>1.6949152542372881E-2</v>
      </c>
    </row>
    <row r="49" spans="1:9">
      <c r="A49" s="2" t="s">
        <v>34</v>
      </c>
      <c r="B49" s="3">
        <f>4/(4+787)</f>
        <v>5.0568900126422255E-3</v>
      </c>
      <c r="C49" s="3">
        <f>423/(423+383)</f>
        <v>0.52481389578163773</v>
      </c>
      <c r="D49" s="3">
        <f>17/(1032)</f>
        <v>1.6472868217054265E-2</v>
      </c>
      <c r="E49" s="3">
        <f>11/(11+867)</f>
        <v>1.2528473804100227E-2</v>
      </c>
      <c r="F49" s="3">
        <f>28/(28+1299)</f>
        <v>2.110022607385079E-2</v>
      </c>
      <c r="G49" s="3">
        <f>542/(542+776)</f>
        <v>0.41122913505311076</v>
      </c>
      <c r="H49" s="3">
        <f>84/(84+961)</f>
        <v>8.0382775119617222E-2</v>
      </c>
      <c r="I49" s="3"/>
    </row>
    <row r="50" spans="1:9">
      <c r="A50" s="2" t="s">
        <v>34</v>
      </c>
      <c r="B50" s="3">
        <f>13/(13+735)</f>
        <v>1.7379679144385027E-2</v>
      </c>
      <c r="C50" s="3">
        <f>410/(410+356)</f>
        <v>0.53524804177545693</v>
      </c>
      <c r="D50" s="3">
        <f>5/(5+1037)</f>
        <v>4.7984644913627635E-3</v>
      </c>
      <c r="E50" s="3">
        <f>10/(10+850)</f>
        <v>1.1627906976744186E-2</v>
      </c>
      <c r="F50" s="3">
        <f>53/(53+1370)</f>
        <v>3.7245256500351369E-2</v>
      </c>
      <c r="G50" s="3">
        <f>581/(581+788)</f>
        <v>0.42439737034331632</v>
      </c>
      <c r="H50" s="3">
        <f>85/(85+924)</f>
        <v>8.424182358771061E-2</v>
      </c>
      <c r="I50" s="3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9EC8-DFC6-4668-98B7-4E246733E49C}">
  <dimension ref="A1:K22"/>
  <sheetViews>
    <sheetView tabSelected="1" zoomScaleNormal="100" workbookViewId="0">
      <selection activeCell="C7" sqref="C7"/>
    </sheetView>
  </sheetViews>
  <sheetFormatPr defaultRowHeight="14.4"/>
  <cols>
    <col min="1" max="1" width="17.77734375" bestFit="1" customWidth="1"/>
    <col min="2" max="3" width="12.77734375" customWidth="1"/>
    <col min="4" max="4" width="14.44140625" customWidth="1"/>
    <col min="5" max="9" width="12.77734375" customWidth="1"/>
    <col min="10" max="10" width="10.88671875" customWidth="1"/>
    <col min="11" max="11" width="14.88671875" bestFit="1" customWidth="1"/>
  </cols>
  <sheetData>
    <row r="1" spans="1:11">
      <c r="A1" s="1" t="s">
        <v>48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</row>
    <row r="2" spans="1:11">
      <c r="A2" s="3" t="s">
        <v>10</v>
      </c>
      <c r="B2" s="3">
        <f>AVERAGE('Infectivity ratio'!B3:B6)/'Infectivity ratio'!B$2</f>
        <v>1</v>
      </c>
      <c r="C2" s="3">
        <f>AVERAGE('Infectivity ratio'!C3:C6)/'Infectivity ratio'!C$2</f>
        <v>1</v>
      </c>
      <c r="D2" s="3">
        <f>AVERAGE('Infectivity ratio'!D3:D6)/'Infectivity ratio'!D$2</f>
        <v>1</v>
      </c>
      <c r="E2" s="3">
        <f>AVERAGE('Infectivity ratio'!E3:E6)/'Infectivity ratio'!E$2</f>
        <v>1</v>
      </c>
      <c r="F2" s="3">
        <f>AVERAGE('Infectivity ratio'!F3:F6)/'Infectivity ratio'!F$2</f>
        <v>1</v>
      </c>
      <c r="G2" s="3">
        <f>AVERAGE('Infectivity ratio'!G3:G6)/'Infectivity ratio'!G$2</f>
        <v>1</v>
      </c>
      <c r="H2" s="3">
        <f>AVERAGE('Infectivity ratio'!H3:H6)/'Infectivity ratio'!H$2</f>
        <v>1</v>
      </c>
      <c r="I2" s="3">
        <f>AVERAGE('Infectivity ratio'!I3:I6)/'Infectivity ratio'!I$2</f>
        <v>1</v>
      </c>
      <c r="J2" s="3">
        <f>-((B2/SUM(B2:I2))*(LN(B2/SUM(B2:I2)))+(C2/SUM(B2:I2))*(LN(C2/SUM(B2:I2)))+(D2/SUM(B2:I2))*(LN(D2/SUM(B2:I2)))+(E2/SUM(B2:I2))*(LN(E2/SUM(B2:I2)))+(F2/SUM(B2:I2))*(LN(F2/SUM(B2:I2)))+(G2/SUM(B2:I2))*(LN(G2/SUM(B2:I2)))+(H2/SUM(B2:I2))*(LN(H2/SUM(B2:I2)))+(I2/SUM(B2:I2))*(LN(I2/SUM(B2:I2))))</f>
        <v>2.0794415416798357</v>
      </c>
      <c r="K2" s="3">
        <f t="shared" ref="K2:K3" si="0">1/((B2/SUM(B2:I2))^2+(C2/SUM(B2:I2))^2+(D2/SUM(B2:I2))^2+(E2/SUM(B2:I2))^2+(F2/SUM(B2:I2))^2+(G2/SUM(B2:I2))^2+(H2/SUM(B2:I2))^2+(I2/SUM(B2:I2))^2)</f>
        <v>8</v>
      </c>
    </row>
    <row r="3" spans="1:11">
      <c r="A3" s="3" t="s">
        <v>11</v>
      </c>
      <c r="B3" s="3">
        <f>AVERAGE('Infectivity ratio'!B7:B13)/'Infectivity ratio'!B$2</f>
        <v>0.53603345615453857</v>
      </c>
      <c r="C3" s="3">
        <f>AVERAGE('Infectivity ratio'!C7:C13)/'Infectivity ratio'!C$2</f>
        <v>0.81716464555527624</v>
      </c>
      <c r="D3" s="3">
        <f>AVERAGE('Infectivity ratio'!D7:D13)/'Infectivity ratio'!D$2</f>
        <v>10.883858801879697</v>
      </c>
      <c r="E3" s="3">
        <f>AVERAGE('Infectivity ratio'!E7:E13)/'Infectivity ratio'!E$2</f>
        <v>1.6534330428066968</v>
      </c>
      <c r="F3" s="3">
        <f>AVERAGE('Infectivity ratio'!F7:F13)/'Infectivity ratio'!F$2</f>
        <v>1.175940169537957</v>
      </c>
      <c r="G3" s="3">
        <f>AVERAGE('Infectivity ratio'!G7:G13)/'Infectivity ratio'!G$2</f>
        <v>0.12639516450284238</v>
      </c>
      <c r="H3" s="3">
        <f>AVERAGE('Infectivity ratio'!H7:H13)/'Infectivity ratio'!H$2</f>
        <v>0.52772994851943233</v>
      </c>
      <c r="I3" s="3">
        <f>AVERAGE('Infectivity ratio'!I7:I13)/'Infectivity ratio'!I$2</f>
        <v>1.0325367008879922</v>
      </c>
      <c r="J3" s="3">
        <f t="shared" ref="J3" si="1">-((B3/SUM(B3:I3))*(LN(B3/SUM(B3:I3)))+(C3/SUM(B3:I3))*(LN(C3/SUM(B3:I3)))+(D3/SUM(B3:I3))*(LN(D3/SUM(B3:I3)))+(E3/SUM(B3:I3))*(LN(E3/SUM(B3:I3)))+(F3/SUM(B3:I3))*(LN(F3/SUM(B3:I3)))+(G3/SUM(B3:I3))*(LN(G3/SUM(B3:I3)))+(H3/SUM(B3:I3))*(LN(H3/SUM(B3:I3)))+(I3/SUM(B3:I3))*(LN(I3/SUM(B3:I3))))</f>
        <v>1.2702166192549829</v>
      </c>
      <c r="K3" s="3">
        <f t="shared" si="0"/>
        <v>2.2472927553619013</v>
      </c>
    </row>
    <row r="4" spans="1:11">
      <c r="A4" s="3" t="s">
        <v>12</v>
      </c>
      <c r="B4" s="3">
        <f>AVERAGE('Infectivity ratio'!B14:B21)/'Infectivity ratio'!B$2</f>
        <v>2.7184244171651986</v>
      </c>
      <c r="C4" s="3">
        <f>AVERAGE('Infectivity ratio'!C14:C21)/'Infectivity ratio'!C$2</f>
        <v>0.93919087840249404</v>
      </c>
      <c r="D4" s="3">
        <f>AVERAGE('Infectivity ratio'!D14:D21)/'Infectivity ratio'!D$2</f>
        <v>10.416750397753608</v>
      </c>
      <c r="E4" s="3">
        <f>AVERAGE('Infectivity ratio'!E14:E21)/'Infectivity ratio'!E$2</f>
        <v>1.1011771992726032</v>
      </c>
      <c r="F4" s="3">
        <f>AVERAGE('Infectivity ratio'!F14:F21)/'Infectivity ratio'!F$2</f>
        <v>0.84180233259587933</v>
      </c>
      <c r="G4" s="3">
        <f>AVERAGE('Infectivity ratio'!G14:G21)/'Infectivity ratio'!G$2</f>
        <v>0.2068332892963142</v>
      </c>
      <c r="H4" s="3">
        <f>AVERAGE('Infectivity ratio'!H14:H21)/'Infectivity ratio'!H$2</f>
        <v>2.2875760306200177</v>
      </c>
      <c r="I4" s="3">
        <f>AVERAGE('Infectivity ratio'!I14:I21)/'Infectivity ratio'!I$2</f>
        <v>0.64136531602945845</v>
      </c>
      <c r="J4" s="3">
        <f t="shared" ref="J4" si="2">-((B4/SUM(B4:I4))*(LN(B4/SUM(B4:I4)))+(C4/SUM(B4:I4))*(LN(C4/SUM(B4:I4)))+(D4/SUM(B4:I4))*(LN(D4/SUM(B4:I4)))+(E4/SUM(B4:I4))*(LN(E4/SUM(B4:I4)))+(F4/SUM(B4:I4))*(LN(F4/SUM(B4:I4)))+(G4/SUM(B4:I4))*(LN(G4/SUM(B4:I4)))+(H4/SUM(B4:I4))*(LN(H4/SUM(B4:I4)))+(I4/SUM(B4:I4))*(LN(I4/SUM(B4:I4))))</f>
        <v>1.4741827001638448</v>
      </c>
      <c r="K4" s="3">
        <f t="shared" ref="K4" si="3">1/((B4/SUM(B4:I4))^2+(C4/SUM(B4:I4))^2+(D4/SUM(B4:I4))^2+(E4/SUM(B4:I4))^2+(F4/SUM(B4:I4))^2+(G4/SUM(B4:I4))^2+(H4/SUM(B4:I4))^2+(I4/SUM(B4:I4))^2)</f>
        <v>2.9491525075514335</v>
      </c>
    </row>
    <row r="9" spans="1:11">
      <c r="A9" s="1" t="s">
        <v>47</v>
      </c>
      <c r="B9" s="1" t="s">
        <v>13</v>
      </c>
      <c r="C9" s="1" t="s">
        <v>14</v>
      </c>
      <c r="D9" s="1" t="s">
        <v>15</v>
      </c>
      <c r="E9" s="1" t="s">
        <v>16</v>
      </c>
      <c r="F9" s="1" t="s">
        <v>17</v>
      </c>
      <c r="G9" s="1" t="s">
        <v>18</v>
      </c>
      <c r="H9" s="1" t="s">
        <v>19</v>
      </c>
      <c r="I9" s="1" t="s">
        <v>20</v>
      </c>
      <c r="J9" s="1" t="s">
        <v>21</v>
      </c>
      <c r="K9" s="1" t="s">
        <v>22</v>
      </c>
    </row>
    <row r="10" spans="1:11">
      <c r="A10" s="2" t="s">
        <v>10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f>-((B10/SUM(B10:I10))*(LN(B10/SUM(B10:I10)))+(C10/SUM(B10:I10))*(LN(C10/SUM(B10:I10)))+(D10/SUM(B10:I10))*(LN(D10/SUM(B10:I10)))+(E10/SUM(B10:I10))*(LN(E10/SUM(B10:I10)))+(F10/SUM(B10:I10))*(LN(F10/SUM(B10:I10)))+(G10/SUM(B10:I10))*(LN(G10/SUM(B10:I10)))+(H10/SUM(B10:I10))*(LN(H10/SUM(B10:I10)))+(I10/SUM(B10:I10))*(LN(I10/SUM(B10:I10))))</f>
        <v>2.0794415416798357</v>
      </c>
      <c r="K10" s="3">
        <f>1/((B10/SUM(B10:I10))^2+(C10/SUM(B10:I10))^2+(D10/SUM(B10:I10))^2+(E10/SUM(B10:I10))^2+(F10/SUM(B10:I10))^2+(G10/SUM(B10:I10))^2+(H10/SUM(B10:I10))^2+(I10/SUM(B10:I10))^2)</f>
        <v>8</v>
      </c>
    </row>
    <row r="11" spans="1:11">
      <c r="A11" s="2" t="s">
        <v>35</v>
      </c>
      <c r="B11" s="3">
        <f>AVERAGE('Stress ratio'!B3:B6)/'Stress ratio'!B$2</f>
        <v>0.51879675502536249</v>
      </c>
      <c r="C11" s="3">
        <f>AVERAGE('Stress ratio'!C3:C6)/'Stress ratio'!C$2</f>
        <v>0.31935350921795896</v>
      </c>
      <c r="D11" s="3">
        <f>AVERAGE('Stress ratio'!D3:D6)/'Stress ratio'!D$2</f>
        <v>4.2973860094273624</v>
      </c>
      <c r="E11" s="3">
        <f>AVERAGE('Stress ratio'!E3:E6)/'Stress ratio'!E$2</f>
        <v>1.1585305859657482</v>
      </c>
      <c r="F11" s="3">
        <f>AVERAGE('Stress ratio'!F3:F6)/'Stress ratio'!F$2</f>
        <v>0.88486902432195125</v>
      </c>
      <c r="G11" s="3">
        <f>AVERAGE('Stress ratio'!G3:G6)/'Stress ratio'!G$2</f>
        <v>1.378244485682139</v>
      </c>
      <c r="H11" s="3">
        <f>AVERAGE('Stress ratio'!H3:H6)/'Stress ratio'!H$2</f>
        <v>1.2516793263149633</v>
      </c>
      <c r="I11" s="3">
        <f>AVERAGE('Stress ratio'!I3:I6)/'Stress ratio'!I$2</f>
        <v>1.3925393612478052</v>
      </c>
      <c r="J11" s="3">
        <f>-((B11/SUM(B11:I11))*(LN(B11/SUM(B11:I11)))+(C11/SUM(B11:I11))*(LN(C11/SUM(B11:I11)))+(D11/SUM(B11:I11))*(LN(D11/SUM(B11:I11)))+(E11/SUM(B11:I11))*(LN(E11/SUM(B11:I11)))+(F11/SUM(B11:I11))*(LN(F11/SUM(B11:I11)))+(G11/SUM(B11:I11))*(LN(G11/SUM(B11:I11)))+(H11/SUM(B11:I11))*(LN(H11/SUM(B11:I11)))+(I11/SUM(B11:I11))*(LN(I11/SUM(B11:I11))))</f>
        <v>1.8083350361239001</v>
      </c>
      <c r="K11" s="3">
        <f>1/((B11/SUM(B11:I11))^2+(C11/SUM(B11:I11))^2+(D11/SUM(B11:I11))^2+(E11/SUM(B11:I11))^2+(F11/SUM(B11:I11))^2+(G11/SUM(B11:I11))^2+(H11/SUM(B11:I11))^2+(I11/SUM(B11:I11))^2)</f>
        <v>4.758240169596843</v>
      </c>
    </row>
    <row r="12" spans="1:11" ht="15.6">
      <c r="A12" s="2" t="s">
        <v>46</v>
      </c>
      <c r="B12" s="3">
        <f>AVERAGE('Stress ratio'!B7:B10)/'Stress ratio'!B$2</f>
        <v>0.97928317931649711</v>
      </c>
      <c r="C12" s="3">
        <f>AVERAGE('Stress ratio'!C7:C10)/'Stress ratio'!C$2</f>
        <v>0.83745031787012503</v>
      </c>
      <c r="D12" s="3">
        <f>AVERAGE('Stress ratio'!D7:D10)/'Stress ratio'!D$2</f>
        <v>2.3290899377831837</v>
      </c>
      <c r="E12" s="3">
        <f>AVERAGE('Stress ratio'!E7:E10)/'Stress ratio'!E$2</f>
        <v>1.7559226524264433</v>
      </c>
      <c r="F12" s="3">
        <f>AVERAGE('Stress ratio'!F7:F10)/'Stress ratio'!F$2</f>
        <v>1.054614928442374</v>
      </c>
      <c r="G12" s="3">
        <f>AVERAGE('Stress ratio'!G7:G10)/'Stress ratio'!G$2</f>
        <v>9.7202151915507601E-2</v>
      </c>
      <c r="H12" s="3">
        <f>AVERAGE('Stress ratio'!H7:H10)/'Stress ratio'!H$2</f>
        <v>0.42949169148958627</v>
      </c>
      <c r="I12" s="3">
        <f>AVERAGE('Stress ratio'!I7:I10)/'Stress ratio'!I$2</f>
        <v>1.7632377206988192</v>
      </c>
      <c r="J12" s="3">
        <f>-((B12/SUM(B12:I12))*(LN(B12/SUM(B12:I12)))+(C12/SUM(B12:I12))*(LN(C12/SUM(B12:I12)))+(D12/SUM(B12:I12))*(LN(D12/SUM(B12:I12)))+(E12/SUM(B12:I12))*(LN(E12/SUM(B12:I12)))+(F12/SUM(B12:I12))*(LN(F12/SUM(B12:I12)))+(G12/SUM(B12:I12))*(LN(G12/SUM(B12:I12)))+(H12/SUM(B12:I12))*(LN(H12/SUM(B12:I12)))+(I12/SUM(B12:I12))*(LN(I12/SUM(B12:I12))))</f>
        <v>1.8721624527790888</v>
      </c>
      <c r="K12" s="3">
        <f>1/((B12/SUM(B12:I12))^2+(C12/SUM(B12:I12))^2+(D12/SUM(B12:I12))^2+(E12/SUM(B12:I12))^2+(F12/SUM(B12:I12))^2+(G12/SUM(B12:I12))^2+(H12/SUM(B12:I12))^2+(I12/SUM(B12:I12))^2)</f>
        <v>5.8624242611259394</v>
      </c>
    </row>
    <row r="13" spans="1:11">
      <c r="A13" s="2" t="s">
        <v>36</v>
      </c>
      <c r="B13" s="3">
        <f>AVERAGE('Stress ratio'!B11:B14)/'Stress ratio'!B$2</f>
        <v>1.3096079132282359</v>
      </c>
      <c r="C13" s="3">
        <f>AVERAGE('Stress ratio'!C11:C14)/'Stress ratio'!C$2</f>
        <v>0.18136258471413463</v>
      </c>
      <c r="D13" s="3">
        <f>AVERAGE('Stress ratio'!D11:D14)/'Stress ratio'!D$2</f>
        <v>4.2923745682819758</v>
      </c>
      <c r="E13" s="3">
        <f>AVERAGE('Stress ratio'!E11:E14)/'Stress ratio'!E$2</f>
        <v>0.41156817502996329</v>
      </c>
      <c r="F13" s="3">
        <f>AVERAGE('Stress ratio'!F11:F14)/'Stress ratio'!F$2</f>
        <v>1.724038089919441</v>
      </c>
      <c r="G13" s="3">
        <f>AVERAGE('Stress ratio'!G11:G14)/'Stress ratio'!G$2</f>
        <v>0.41338459983249465</v>
      </c>
      <c r="H13" s="3">
        <f>AVERAGE('Stress ratio'!H11:H14)/'Stress ratio'!H$2</f>
        <v>3.7184003728923614</v>
      </c>
      <c r="I13" s="3">
        <f>AVERAGE('Stress ratio'!I11:I14)/'Stress ratio'!I$2</f>
        <v>1.9333641683811869</v>
      </c>
      <c r="J13" s="3">
        <f>-((B13/SUM(B13:I13))*(LN(B13/SUM(B13:I13)))+(C13/SUM(B13:I13))*(LN(C13/SUM(B13:I13)))+(D13/SUM(B13:I13))*(LN(D13/SUM(B13:I13)))+(E13/SUM(B13:I13))*(LN(E13/SUM(B13:I13)))+(F13/SUM(B13:I13))*(LN(F13/SUM(B13:I13)))+(G13/SUM(B13:I13))*(LN(G13/SUM(B13:I13)))+(H13/SUM(B13:I13))*(LN(H13/SUM(B13:I13)))+(I13/SUM(B13:I13))*(LN(I13/SUM(B13:I13))))</f>
        <v>1.7323692725694504</v>
      </c>
      <c r="K13" s="3">
        <f>1/((B13/SUM(B13:I13))^2+(C13/SUM(B13:I13))^2+(D13/SUM(B13:I13))^2+(E13/SUM(B13:I13))^2+(F13/SUM(B13:I13))^2+(G13/SUM(B13:I13))^2+(H13/SUM(B13:I13))^2+(I13/SUM(B13:I13))^2)</f>
        <v>4.7638928750701952</v>
      </c>
    </row>
    <row r="14" spans="1:11">
      <c r="A14" s="2" t="s">
        <v>37</v>
      </c>
      <c r="B14" s="3">
        <f>AVERAGE('Stress ratio'!B15:B18)/'Stress ratio'!B$2</f>
        <v>1.0553143820941924</v>
      </c>
      <c r="C14" s="3">
        <f>AVERAGE('Stress ratio'!C15:C18)/'Stress ratio'!C$2</f>
        <v>0.7094192454119036</v>
      </c>
      <c r="D14" s="3">
        <f>AVERAGE('Stress ratio'!D15:D18)/'Stress ratio'!D$2</f>
        <v>3.0930490326584166</v>
      </c>
      <c r="E14" s="3">
        <f>AVERAGE('Stress ratio'!E15:E18)/'Stress ratio'!E$2</f>
        <v>1.3758261354973895</v>
      </c>
      <c r="F14" s="3">
        <f>AVERAGE('Stress ratio'!F15:F18)/'Stress ratio'!F$2</f>
        <v>1.1143020975905136</v>
      </c>
      <c r="G14" s="3">
        <f>AVERAGE('Stress ratio'!G15:G18)/'Stress ratio'!G$2</f>
        <v>0.43963407956904532</v>
      </c>
      <c r="H14" s="3">
        <f>AVERAGE('Stress ratio'!H15:H18)/'Stress ratio'!H$2</f>
        <v>1.3397734999480313</v>
      </c>
      <c r="I14" s="3">
        <f>AVERAGE('Stress ratio'!I15:I18)/'Stress ratio'!I$2</f>
        <v>1.022572209191837</v>
      </c>
      <c r="J14" s="3">
        <f>-((B14/SUM(B14:I14))*(LN(B14/SUM(B14:I14)))+(C14/SUM(B14:I14))*(LN(C14/SUM(B14:I14)))+(D14/SUM(B14:I14))*(LN(D14/SUM(B14:I14)))+(E14/SUM(B14:I14))*(LN(E14/SUM(B14:I14)))+(F14/SUM(B14:I14))*(LN(F14/SUM(B14:I14)))+(G14/SUM(B14:I14))*(LN(G14/SUM(B14:I14)))+(H14/SUM(B14:I14))*(LN(H14/SUM(B14:I14)))+(I14/SUM(B14:I14))*(LN(I14/SUM(B14:I14))))</f>
        <v>1.9313719578807929</v>
      </c>
      <c r="K14" s="3">
        <f>1/((B14/SUM(B14:I14))^2+(C14/SUM(B14:I14))^2+(D14/SUM(B14:I14))^2+(E14/SUM(B14:I14))^2+(F14/SUM(B14:I14))^2+(G14/SUM(B14:I14))^2+(H14/SUM(B14:I14))^2+(I14/SUM(B14:I14))^2)</f>
        <v>5.9369442850345564</v>
      </c>
    </row>
    <row r="15" spans="1:11">
      <c r="A15" s="3" t="s">
        <v>38</v>
      </c>
      <c r="B15" s="3">
        <f>AVERAGE('Stress ratio'!B19:B22)/'Stress ratio'!B$2</f>
        <v>1.4044537164295181</v>
      </c>
      <c r="C15" s="3">
        <f>AVERAGE('Stress ratio'!C19:C22)/'Stress ratio'!C$2</f>
        <v>0.32151320967638264</v>
      </c>
      <c r="D15" s="3">
        <f>AVERAGE('Stress ratio'!D19:D22)/'Stress ratio'!D$2</f>
        <v>2.1174912425669885</v>
      </c>
      <c r="E15" s="3">
        <f>AVERAGE('Stress ratio'!E19:E22)/'Stress ratio'!E$2</f>
        <v>0.18731596049567406</v>
      </c>
      <c r="F15" s="3">
        <f>AVERAGE('Stress ratio'!F19:F22)/'Stress ratio'!F$2</f>
        <v>1.1852930599599714</v>
      </c>
      <c r="G15" s="3">
        <f>AVERAGE('Stress ratio'!G19:G22)/'Stress ratio'!G$2</f>
        <v>4.7127960162207518</v>
      </c>
      <c r="H15" s="3">
        <f>AVERAGE('Stress ratio'!H19:H22)/'Stress ratio'!H$2</f>
        <v>0.45904719893861279</v>
      </c>
      <c r="I15" s="3">
        <f>AVERAGE('Stress ratio'!I19:I22)/'Stress ratio'!I$2</f>
        <v>1.4321726864377409</v>
      </c>
      <c r="J15" s="3">
        <f>-((B15/SUM(B15:I15))*(LN(B15/SUM(B15:I15)))+(C15/SUM(B15:I15))*(LN(C15/SUM(B15:I15)))+(D15/SUM(B15:I15))*(LN(D15/SUM(B15:I15)))+(E15/SUM(B15:I15))*(LN(E15/SUM(B15:I15)))+(F15/SUM(B15:I15))*(LN(F15/SUM(B15:I15)))+(G15/SUM(B15:I15))*(LN(G15/SUM(B15:I15)))+(H15/SUM(B15:I15))*(LN(H15/SUM(B15:I15)))+(I15/SUM(B15:I15))*(LN(I15/SUM(B15:I15))))</f>
        <v>1.7040088134241285</v>
      </c>
      <c r="K15" s="3">
        <f>1/((B15/SUM(B15:I15))^2+(C15/SUM(B15:I15))^2+(D15/SUM(B15:I15))^2+(E15/SUM(B15:I15))^2+(F15/SUM(B15:I15))^2+(G15/SUM(B15:I15))^2+(H15/SUM(B15:I15))^2+(I15/SUM(B15:I15))^2)</f>
        <v>4.3026201484447162</v>
      </c>
    </row>
    <row r="16" spans="1:11">
      <c r="A16" s="2" t="s">
        <v>39</v>
      </c>
      <c r="B16" s="3">
        <f>AVERAGE('Stress ratio'!B23:B26)/'Stress ratio'!B$2</f>
        <v>1.5696037448339637</v>
      </c>
      <c r="C16" s="3">
        <f>AVERAGE('Stress ratio'!C23:C26)/'Stress ratio'!C$2</f>
        <v>0.37009236034247112</v>
      </c>
      <c r="D16" s="3">
        <f>AVERAGE('Stress ratio'!D23:D26)/'Stress ratio'!D$2</f>
        <v>3.2395201267303997</v>
      </c>
      <c r="E16" s="3">
        <f>AVERAGE('Stress ratio'!E23:E26)/'Stress ratio'!E$2</f>
        <v>0.90090688706906519</v>
      </c>
      <c r="F16" s="3">
        <f>AVERAGE('Stress ratio'!F23:F26)/'Stress ratio'!F$2</f>
        <v>1.7818841105063981</v>
      </c>
      <c r="G16" s="3">
        <f>AVERAGE('Stress ratio'!G23:G26)/'Stress ratio'!G$2</f>
        <v>2.8431070615175043</v>
      </c>
      <c r="H16" s="3">
        <f>AVERAGE('Stress ratio'!H23:H26)/'Stress ratio'!H$2</f>
        <v>0.83169650784830496</v>
      </c>
      <c r="I16" s="3">
        <f>AVERAGE('Stress ratio'!I23:I26)/'Stress ratio'!I$2</f>
        <v>1.7071848949018011</v>
      </c>
      <c r="J16" s="3">
        <f>-((B16/SUM(B16:I16))*(LN(B16/SUM(B16:I16)))+(C16/SUM(B16:I16))*(LN(C16/SUM(B16:I16)))+(D16/SUM(B16:I16))*(LN(D16/SUM(B16:I16)))+(E16/SUM(B16:I16))*(LN(E16/SUM(B16:I16)))+(F16/SUM(B16:I16))*(LN(F16/SUM(B16:I16)))+(G16/SUM(B16:I16))*(LN(G16/SUM(B16:I16)))+(H16/SUM(B16:I16))*(LN(H16/SUM(B16:I16)))+(I16/SUM(B16:I16))*(LN(I16/SUM(B16:I16))))</f>
        <v>1.9180767091204414</v>
      </c>
      <c r="K16" s="3">
        <f>1/((B16/SUM(B16:I16))^2+(C16/SUM(B16:I16))^2+(D16/SUM(B16:I16))^2+(E16/SUM(B16:I16))^2+(F16/SUM(B16:I16))^2+(G16/SUM(B16:I16))^2+(H16/SUM(B16:I16))^2+(I16/SUM(B16:I16))^2)</f>
        <v>6.096468458555659</v>
      </c>
    </row>
    <row r="17" spans="1:11">
      <c r="A17" s="2" t="s">
        <v>40</v>
      </c>
      <c r="B17" s="3">
        <f>AVERAGE('Stress ratio'!B27:B30)/'Stress ratio'!B$2</f>
        <v>0.59195646099512478</v>
      </c>
      <c r="C17" s="3">
        <f>AVERAGE('Stress ratio'!C27:C30)/'Stress ratio'!C$2</f>
        <v>0.9743759709599692</v>
      </c>
      <c r="D17" s="3">
        <f>AVERAGE('Stress ratio'!D27:D30)/'Stress ratio'!D$2</f>
        <v>2.772053858172566</v>
      </c>
      <c r="E17" s="3">
        <f>AVERAGE('Stress ratio'!E27:E30)/'Stress ratio'!E$2</f>
        <v>0.87726192527604396</v>
      </c>
      <c r="F17" s="3">
        <f>AVERAGE('Stress ratio'!F27:F30)/'Stress ratio'!F$2</f>
        <v>1.5719802444797297</v>
      </c>
      <c r="G17" s="3">
        <f>AVERAGE('Stress ratio'!G27:G30)/'Stress ratio'!G$2</f>
        <v>0.88189006582048479</v>
      </c>
      <c r="H17" s="3">
        <f>AVERAGE('Stress ratio'!H27:H30)/'Stress ratio'!H$2</f>
        <v>1.2868109431695107</v>
      </c>
      <c r="I17" s="3">
        <f>AVERAGE('Stress ratio'!I27:I30)/'Stress ratio'!I$2</f>
        <v>1.5828062928552471</v>
      </c>
      <c r="J17" s="3">
        <f>-((B17/SUM(B17:I17))*(LN(B17/SUM(B17:I17)))+(C17/SUM(B17:I17))*(LN(C17/SUM(B17:I17)))+(D17/SUM(B17:I17))*(LN(D17/SUM(B17:I17)))+(E17/SUM(B17:I17))*(LN(E17/SUM(B17:I17)))+(F17/SUM(B17:I17))*(LN(F17/SUM(B17:I17)))+(G17/SUM(B17:I17))*(LN(G17/SUM(B17:I17)))+(H17/SUM(B17:I17))*(LN(H17/SUM(B17:I17)))+(I17/SUM(B17:I17))*(LN(I17/SUM(B17:I17))))</f>
        <v>1.9729632747099206</v>
      </c>
      <c r="K17" s="3">
        <f>1/((B17/SUM(B17:I17))^2+(C17/SUM(B17:I17))^2+(D17/SUM(B17:I17))^2+(E17/SUM(B17:I17))^2+(F17/SUM(B17:I17))^2+(G17/SUM(B17:I17))^2+(H17/SUM(B17:I17))^2+(I17/SUM(B17:I17))^2)</f>
        <v>6.4714116618746722</v>
      </c>
    </row>
    <row r="18" spans="1:11">
      <c r="A18" s="2" t="s">
        <v>41</v>
      </c>
      <c r="B18" s="3">
        <f>AVERAGE('Stress ratio'!B31:B34)/'Stress ratio'!B$2</f>
        <v>0.44262425560014379</v>
      </c>
      <c r="C18" s="3">
        <f>AVERAGE('Stress ratio'!C31:C34)/'Stress ratio'!C$2</f>
        <v>4.585182838490099E-2</v>
      </c>
      <c r="D18" s="3">
        <f>AVERAGE('Stress ratio'!D31:D34)/'Stress ratio'!D$2</f>
        <v>3.4111130445787583</v>
      </c>
      <c r="E18" s="3">
        <f>AVERAGE('Stress ratio'!E31:E34)/'Stress ratio'!E$2</f>
        <v>9.3325691648595485E-2</v>
      </c>
      <c r="F18" s="3">
        <f>AVERAGE('Stress ratio'!F31:F34)/'Stress ratio'!F$2</f>
        <v>1.5751068055460358</v>
      </c>
      <c r="G18" s="3">
        <f>AVERAGE('Stress ratio'!G31:G34)/'Stress ratio'!G$2</f>
        <v>1.7908159396189545</v>
      </c>
      <c r="H18" s="3">
        <f>AVERAGE('Stress ratio'!H31:H34)/'Stress ratio'!H$2</f>
        <v>2.9727678404911448</v>
      </c>
      <c r="I18" s="3">
        <f>AVERAGE('Stress ratio'!I31:I34)/'Stress ratio'!I$2</f>
        <v>1.7735927283424435</v>
      </c>
      <c r="J18" s="3">
        <f>-((B18/SUM(B18:I18))*(LN(B18/SUM(B18:I18)))+(C18/SUM(B18:I18))*(LN(C18/SUM(B18:I18)))+(D18/SUM(B18:I18))*(LN(D18/SUM(B18:I18)))+(E18/SUM(B18:I18))*(LN(E18/SUM(B18:I18)))+(F18/SUM(B18:I18))*(LN(F18/SUM(B18:I18)))+(G18/SUM(B18:I18))*(LN(G18/SUM(B18:I18)))+(H18/SUM(B18:I18))*(LN(H18/SUM(B18:I18)))+(I18/SUM(B18:I18))*(LN(I18/SUM(B18:I18))))</f>
        <v>1.7108057134418821</v>
      </c>
      <c r="K18" s="3">
        <f>1/((B18/SUM(B18:I18))^2+(C18/SUM(B18:I18))^2+(D18/SUM(B18:I18))^2+(E18/SUM(B18:I18))^2+(F18/SUM(B18:I18))^2+(G18/SUM(B18:I18))^2+(H18/SUM(B18:I18))^2+(I18/SUM(B18:I18))^2)</f>
        <v>4.9650634577742743</v>
      </c>
    </row>
    <row r="19" spans="1:11">
      <c r="A19" s="2" t="s">
        <v>42</v>
      </c>
      <c r="B19" s="3">
        <f>AVERAGE('Stress ratio'!B35:B38)/'Stress ratio'!B$2</f>
        <v>0.32221923089916582</v>
      </c>
      <c r="C19" s="3">
        <f>AVERAGE('Stress ratio'!C35:C38)/'Stress ratio'!C$2</f>
        <v>0.24810542777897943</v>
      </c>
      <c r="D19" s="3">
        <f>AVERAGE('Stress ratio'!D35:D38)/'Stress ratio'!D$2</f>
        <v>3.6931962720338372</v>
      </c>
      <c r="E19" s="3">
        <f>AVERAGE('Stress ratio'!E35:E38)/'Stress ratio'!E$2</f>
        <v>0.73612876257618876</v>
      </c>
      <c r="F19" s="3">
        <f>AVERAGE('Stress ratio'!F35:F38)/'Stress ratio'!F$2</f>
        <v>1.3326698717154166</v>
      </c>
      <c r="G19" s="3">
        <f>AVERAGE('Stress ratio'!G35:G38)/'Stress ratio'!G$2</f>
        <v>3.378047415418989</v>
      </c>
      <c r="H19" s="3">
        <f>AVERAGE('Stress ratio'!H35:H38)/'Stress ratio'!H$2</f>
        <v>0.89424472148625822</v>
      </c>
      <c r="I19" s="3">
        <f>AVERAGE('Stress ratio'!I35:I38)/'Stress ratio'!I$2</f>
        <v>1.5752112415727213</v>
      </c>
      <c r="J19" s="3">
        <f>-((B19/SUM(B19:I19))*(LN(B19/SUM(B19:I19)))+(C19/SUM(B19:I19))*(LN(C19/SUM(B19:I19)))+(D19/SUM(B19:I19))*(LN(D19/SUM(B19:I19)))+(E19/SUM(B19:I19))*(LN(E19/SUM(B19:I19)))+(F19/SUM(B19:I19))*(LN(F19/SUM(B19:I19)))+(G19/SUM(B19:I19))*(LN(G19/SUM(B19:I19)))+(H19/SUM(B19:I19))*(LN(H19/SUM(B19:I19)))+(I19/SUM(B19:I19))*(LN(I19/SUM(B19:I19))))</f>
        <v>1.7608964130994986</v>
      </c>
      <c r="K19" s="3">
        <f>1/((B19/SUM(B19:I19))^2+(C19/SUM(B19:I19))^2+(D19/SUM(B19:I19))^2+(E19/SUM(B19:I19))^2+(F19/SUM(B19:I19))^2+(G19/SUM(B19:I19))^2+(H19/SUM(B19:I19))^2+(I19/SUM(B19:I19))^2)</f>
        <v>4.8141294028982173</v>
      </c>
    </row>
    <row r="20" spans="1:11">
      <c r="A20" s="2" t="s">
        <v>43</v>
      </c>
      <c r="B20" s="3">
        <f>AVERAGE('Stress ratio'!B39:B42)/'Stress ratio'!B$2</f>
        <v>1.0723432944235785</v>
      </c>
      <c r="C20" s="3">
        <f>AVERAGE('Stress ratio'!C39:C42)/'Stress ratio'!C$2</f>
        <v>1.0047825624626945</v>
      </c>
      <c r="D20" s="3">
        <f>AVERAGE('Stress ratio'!D39:D42)/'Stress ratio'!D$2</f>
        <v>3.8471612226433711</v>
      </c>
      <c r="E20" s="3">
        <f>AVERAGE('Stress ratio'!E39:E42)/'Stress ratio'!E$2</f>
        <v>7.7081847097971681E-2</v>
      </c>
      <c r="F20" s="3">
        <f>AVERAGE('Stress ratio'!F39:F42)/'Stress ratio'!F$2</f>
        <v>1.7708010676369055</v>
      </c>
      <c r="G20" s="3">
        <f>AVERAGE('Stress ratio'!G39:G42)/'Stress ratio'!G$2</f>
        <v>0.7226809187602844</v>
      </c>
      <c r="H20" s="3">
        <f>AVERAGE('Stress ratio'!H39:H42)/'Stress ratio'!H$2</f>
        <v>2.5178225096038687</v>
      </c>
      <c r="I20" s="3">
        <f>AVERAGE('Stress ratio'!I39:I42)/'Stress ratio'!I$2</f>
        <v>1.1847808149979817</v>
      </c>
      <c r="J20" s="3">
        <f>-((B20/SUM(B20:I20))*(LN(B20/SUM(B20:I20)))+(C20/SUM(B20:I20))*(LN(C20/SUM(B20:I20)))+(D20/SUM(B20:I20))*(LN(D20/SUM(B20:I20)))+(E20/SUM(B20:I20))*(LN(E20/SUM(B20:I20)))+(F20/SUM(B20:I20))*(LN(F20/SUM(B20:I20)))+(G20/SUM(B20:I20))*(LN(G20/SUM(B20:I20)))+(H20/SUM(B20:I20))*(LN(H20/SUM(B20:I20)))+(I20/SUM(B20:I20))*(LN(I20/SUM(B20:I20))))</f>
        <v>1.8151361518322491</v>
      </c>
      <c r="K20" s="3">
        <f>1/((B20/SUM(B20:I20))^2+(C20/SUM(B20:I20))^2+(D20/SUM(B20:I20))^2+(E20/SUM(B20:I20))^2+(F20/SUM(B20:I20))^2+(G20/SUM(B20:I20))^2+(H20/SUM(B20:I20))^2+(I20/SUM(B20:I20))^2)</f>
        <v>5.2447081377399165</v>
      </c>
    </row>
    <row r="21" spans="1:11">
      <c r="A21" s="2" t="s">
        <v>44</v>
      </c>
      <c r="B21" s="3">
        <f>AVERAGE('Stress ratio'!B43:B46)/'Stress ratio'!B$2</f>
        <v>0.84755904301490326</v>
      </c>
      <c r="C21" s="3">
        <f>AVERAGE('Stress ratio'!C43:C46)/'Stress ratio'!C$2</f>
        <v>0.64914422005484096</v>
      </c>
      <c r="D21" s="3">
        <f>AVERAGE('Stress ratio'!D43:D46)/'Stress ratio'!D$2</f>
        <v>3.2927259283661416</v>
      </c>
      <c r="E21" s="3">
        <f>AVERAGE('Stress ratio'!E43:E46)/'Stress ratio'!E$2</f>
        <v>0.16997620646377515</v>
      </c>
      <c r="F21" s="3">
        <f>AVERAGE('Stress ratio'!F43:F46)/'Stress ratio'!F$2</f>
        <v>1.0716890829501144</v>
      </c>
      <c r="G21" s="3">
        <f>AVERAGE('Stress ratio'!G43:G46)/'Stress ratio'!G$2</f>
        <v>4.3196988921372581</v>
      </c>
      <c r="H21" s="3">
        <f>AVERAGE('Stress ratio'!H43:H46)/'Stress ratio'!H$2</f>
        <v>0.17348475757568615</v>
      </c>
      <c r="I21" s="3">
        <f>AVERAGE('Stress ratio'!I43:I46)/'Stress ratio'!I$2</f>
        <v>1.8368443942415842</v>
      </c>
      <c r="J21" s="3">
        <f>-((B21/SUM(B21:I21))*(LN(B21/SUM(B21:I21)))+(C21/SUM(B21:I21))*(LN(C21/SUM(B21:I21)))+(D21/SUM(B21:I21))*(LN(D21/SUM(B21:I21)))+(E21/SUM(B21:I21))*(LN(E21/SUM(B21:I21)))+(F21/SUM(B21:I21))*(LN(F21/SUM(B21:I21)))+(G21/SUM(B21:I21))*(LN(G21/SUM(B21:I21)))+(H21/SUM(B21:I21))*(LN(H21/SUM(B21:I21)))+(I21/SUM(B21:I21))*(LN(I21/SUM(B21:I21))))</f>
        <v>1.6724137183391066</v>
      </c>
      <c r="K21" s="3">
        <f>1/((B21/SUM(B21:I21))^2+(C21/SUM(B21:I21))^2+(D21/SUM(B21:I21))^2+(E21/SUM(B21:I21))^2+(F21/SUM(B21:I21))^2+(G21/SUM(B21:I21))^2+(H21/SUM(B21:I21))^2+(I21/SUM(B21:I21))^2)</f>
        <v>4.3379881381058265</v>
      </c>
    </row>
    <row r="22" spans="1:11">
      <c r="A22" s="2" t="s">
        <v>45</v>
      </c>
      <c r="B22" s="3">
        <f>AVERAGE('Stress ratio'!B47:B50)/'Stress ratio'!B$2</f>
        <v>1.1250083378449351</v>
      </c>
      <c r="C22" s="3">
        <f>AVERAGE('Stress ratio'!C47:C50)/'Stress ratio'!C$2</f>
        <v>1.5699493824971396</v>
      </c>
      <c r="D22" s="3">
        <f>AVERAGE('Stress ratio'!D47:D50)/'Stress ratio'!D$2</f>
        <v>2.8987722715932032</v>
      </c>
      <c r="E22" s="3">
        <f>AVERAGE('Stress ratio'!E47:E50)/'Stress ratio'!E$2</f>
        <v>5.1663803053211416E-2</v>
      </c>
      <c r="F22" s="3">
        <f>AVERAGE('Stress ratio'!F47:F50)/'Stress ratio'!F$2</f>
        <v>1.4019987322889296</v>
      </c>
      <c r="G22" s="3">
        <f>AVERAGE('Stress ratio'!G47:G50)/'Stress ratio'!G$2</f>
        <v>1.9735996633299979</v>
      </c>
      <c r="H22" s="3">
        <f>AVERAGE('Stress ratio'!H47:H50)/'Stress ratio'!H$2</f>
        <v>0.45678798547160182</v>
      </c>
      <c r="I22" s="3">
        <f>AVERAGE('Stress ratio'!I47:I50)/'Stress ratio'!I$2</f>
        <v>1.9194058613995375</v>
      </c>
      <c r="J22" s="3">
        <f>-((B22/SUM(B22:I22))*(LN(B22/SUM(B22:I22)))+(C22/SUM(B22:I22))*(LN(C22/SUM(B22:I22)))+(D22/SUM(B22:I22))*(LN(D22/SUM(B22:I22)))+(E22/SUM(B22:I22))*(LN(E22/SUM(B22:I22)))+(F22/SUM(B22:I22))*(LN(F22/SUM(B22:I22)))+(G22/SUM(B22:I22))*(LN(G22/SUM(B22:I22)))+(H22/SUM(B22:I22))*(LN(H22/SUM(B22:I22)))+(I22/SUM(B22:I22))*(LN(I22/SUM(B22:I22))))</f>
        <v>1.864651216026189</v>
      </c>
      <c r="K22" s="3">
        <f>1/((B22/SUM(B22:I22))^2+(C22/SUM(B22:I22))^2+(D22/SUM(B22:I22))^2+(E22/SUM(B22:I22))^2+(F22/SUM(B22:I22))^2+(G22/SUM(B22:I22))^2+(H22/SUM(B22:I22))^2+(I22/SUM(B22:I22))^2)</f>
        <v>5.9341882718397283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Infectivity ratio</vt:lpstr>
      <vt:lpstr>Stress ratio</vt:lpstr>
      <vt:lpstr>Relative abundance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Kayden Min</dc:creator>
  <cp:keywords/>
  <dc:description/>
  <cp:lastModifiedBy>민경훈</cp:lastModifiedBy>
  <cp:revision/>
  <dcterms:created xsi:type="dcterms:W3CDTF">2023-01-30T11:47:15Z</dcterms:created>
  <dcterms:modified xsi:type="dcterms:W3CDTF">2023-03-06T08:19:43Z</dcterms:modified>
  <cp:category/>
  <cp:contentStatus/>
</cp:coreProperties>
</file>