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ngliu\Documents\JPL research\lunar volatiles\lunar vesicular basalts\"/>
    </mc:Choice>
  </mc:AlternateContent>
  <xr:revisionPtr revIDLastSave="0" documentId="13_ncr:1_{881DFDB4-AB71-4346-949D-CC5F792F3FB6}" xr6:coauthVersionLast="47" xr6:coauthVersionMax="47" xr10:uidLastSave="{00000000-0000-0000-0000-000000000000}"/>
  <bookViews>
    <workbookView xWindow="-17010" yWindow="0" windowWidth="15360" windowHeight="14655" xr2:uid="{00000000-000D-0000-FFFF-FFFF00000000}"/>
  </bookViews>
  <sheets>
    <sheet name="Table S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8" i="4" l="1"/>
  <c r="AB9" i="4"/>
  <c r="U8" i="4"/>
  <c r="U9" i="4"/>
  <c r="M8" i="4"/>
  <c r="M9" i="4"/>
  <c r="AM14" i="4"/>
  <c r="AR14" i="4"/>
  <c r="AZ14" i="4"/>
  <c r="AX14" i="4"/>
  <c r="AV14" i="4"/>
  <c r="AT14" i="4"/>
  <c r="AY14" i="4"/>
  <c r="AW14" i="4"/>
  <c r="AU14" i="4"/>
  <c r="AQ14" i="4"/>
  <c r="AP14" i="4"/>
  <c r="AO14" i="4"/>
  <c r="AN14" i="4"/>
  <c r="AL14" i="4"/>
  <c r="AK14" i="4"/>
  <c r="AJ14" i="4"/>
  <c r="AI14" i="4"/>
  <c r="AG14" i="4"/>
  <c r="AF14" i="4"/>
  <c r="AE14" i="4"/>
  <c r="AH14" i="4" l="1"/>
  <c r="AT12" i="4"/>
  <c r="AT11" i="4"/>
  <c r="AT10" i="4"/>
  <c r="AT9" i="4"/>
  <c r="AT8" i="4"/>
  <c r="AT6" i="4"/>
  <c r="T9" i="4"/>
  <c r="K13" i="4"/>
  <c r="AY12" i="4" l="1"/>
  <c r="AY10" i="4"/>
  <c r="AY6" i="4"/>
  <c r="T8" i="4" l="1"/>
  <c r="T6" i="4"/>
  <c r="Q6" i="4"/>
  <c r="Q8" i="4"/>
  <c r="Q9" i="4"/>
  <c r="AA12" i="4"/>
  <c r="AA9" i="4"/>
  <c r="AA8" i="4"/>
  <c r="AA6" i="4"/>
  <c r="AP11" i="4"/>
  <c r="AP10" i="4"/>
  <c r="AP6" i="4"/>
  <c r="AQ6" i="4"/>
  <c r="AQ10" i="4"/>
  <c r="AA13" i="4" l="1"/>
  <c r="Q13" i="4"/>
  <c r="U6" i="4"/>
  <c r="T13" i="4"/>
  <c r="AQ13" i="4"/>
  <c r="AP13" i="4"/>
  <c r="AL6" i="4"/>
  <c r="AL10" i="4"/>
  <c r="G6" i="4"/>
  <c r="H6" i="4" s="1"/>
  <c r="D12" i="4"/>
  <c r="D10" i="4"/>
  <c r="D6" i="4"/>
  <c r="E6" i="4" s="1"/>
  <c r="AG10" i="4"/>
  <c r="AG9" i="4"/>
  <c r="AG6" i="4"/>
  <c r="AO13" i="4"/>
  <c r="AN13" i="4"/>
  <c r="AR6" i="4" s="1"/>
  <c r="AK13" i="4"/>
  <c r="AJ13" i="4"/>
  <c r="AI13" i="4"/>
  <c r="AT13" i="4" s="1"/>
  <c r="AF13" i="4"/>
  <c r="AE13" i="4"/>
  <c r="Z13" i="4"/>
  <c r="Y13" i="4"/>
  <c r="X13" i="4"/>
  <c r="W13" i="4"/>
  <c r="V13" i="4"/>
  <c r="S13" i="4"/>
  <c r="P13" i="4"/>
  <c r="O13" i="4"/>
  <c r="N13" i="4"/>
  <c r="L13" i="4"/>
  <c r="J13" i="4"/>
  <c r="I13" i="4"/>
  <c r="F13" i="4"/>
  <c r="C13" i="4"/>
  <c r="AZ10" i="4" l="1"/>
  <c r="AX6" i="4"/>
  <c r="AX10" i="4"/>
  <c r="AV6" i="4"/>
  <c r="AV10" i="4"/>
  <c r="AZ6" i="4"/>
  <c r="R8" i="4"/>
  <c r="R6" i="4"/>
  <c r="R9" i="4"/>
  <c r="AB6" i="4"/>
  <c r="M6" i="4"/>
  <c r="AH6" i="4"/>
  <c r="AR10" i="4"/>
  <c r="AM6" i="4"/>
  <c r="AM10" i="4"/>
  <c r="AH10" i="4"/>
</calcChain>
</file>

<file path=xl/sharedStrings.xml><?xml version="1.0" encoding="utf-8"?>
<sst xmlns="http://schemas.openxmlformats.org/spreadsheetml/2006/main" count="117" uniqueCount="35">
  <si>
    <t>Fe in wall FeS</t>
  </si>
  <si>
    <t>Fe</t>
  </si>
  <si>
    <t>Ni</t>
  </si>
  <si>
    <t>Co</t>
  </si>
  <si>
    <t>Cu</t>
  </si>
  <si>
    <t>wt%</t>
  </si>
  <si>
    <t>S</t>
  </si>
  <si>
    <t>Ti</t>
  </si>
  <si>
    <t>Si</t>
  </si>
  <si>
    <t>Total</t>
  </si>
  <si>
    <t>bd</t>
  </si>
  <si>
    <t>d.l.</t>
  </si>
  <si>
    <t>na</t>
  </si>
  <si>
    <t>Irregular Fe metal grains in the rock matrix and on walls</t>
  </si>
  <si>
    <t>Fe in rock troilite</t>
  </si>
  <si>
    <t>no metal</t>
  </si>
  <si>
    <t>rock troilite</t>
  </si>
  <si>
    <t>wall troilite</t>
  </si>
  <si>
    <t>Table S1. EPMA data of Fe metal and troilite</t>
  </si>
  <si>
    <t>d.l. Limite of detection based on counting statistics</t>
  </si>
  <si>
    <t>bd: below detection</t>
  </si>
  <si>
    <t>na: not analyzed</t>
  </si>
  <si>
    <t>percent error: uncertainty in the elemental wt%</t>
  </si>
  <si>
    <t>fig. S3A</t>
  </si>
  <si>
    <t>fig. S4B</t>
  </si>
  <si>
    <t>Element</t>
  </si>
  <si>
    <t>EPMA</t>
  </si>
  <si>
    <t>EDS</t>
  </si>
  <si>
    <t>Troilite chemistry in polished thin section</t>
  </si>
  <si>
    <t>Fe metal chemistry in thin section</t>
  </si>
  <si>
    <t xml:space="preserve"> Fig. S4B</t>
  </si>
  <si>
    <t>Wall troilite in chips</t>
  </si>
  <si>
    <t>rel%</t>
  </si>
  <si>
    <t>Avg</t>
  </si>
  <si>
    <t>Fe/S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</si>
</sst>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2" fontId="0" fillId="0" borderId="0" xfId="0" applyNumberFormat="1"/>
    <xf numFmtId="0" fontId="16" fillId="0" borderId="0" xfId="0" applyFont="1"/>
    <xf numFmtId="0" fontId="16" fillId="0" borderId="23" xfId="0" applyFont="1" applyBorder="1"/>
    <xf numFmtId="0" fontId="16" fillId="0" borderId="24" xfId="0" applyFont="1" applyBorder="1"/>
    <xf numFmtId="0" fontId="16" fillId="0" borderId="10" xfId="0" applyFont="1" applyBorder="1"/>
    <xf numFmtId="0" fontId="16" fillId="0" borderId="10" xfId="0" applyFont="1" applyBorder="1" applyAlignment="1"/>
    <xf numFmtId="0" fontId="0" fillId="0" borderId="0" xfId="0" applyFont="1" applyFill="1" applyBorder="1"/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16" fillId="0" borderId="22" xfId="0" applyFont="1" applyBorder="1"/>
    <xf numFmtId="0" fontId="0" fillId="0" borderId="21" xfId="0" applyBorder="1" applyAlignment="1"/>
    <xf numFmtId="0" fontId="0" fillId="0" borderId="15" xfId="0" applyBorder="1"/>
    <xf numFmtId="164" fontId="0" fillId="0" borderId="0" xfId="0" applyNumberFormat="1"/>
    <xf numFmtId="0" fontId="0" fillId="0" borderId="20" xfId="0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0" fillId="0" borderId="19" xfId="0" applyBorder="1" applyAlignment="1"/>
    <xf numFmtId="0" fontId="0" fillId="0" borderId="0" xfId="0" applyBorder="1" applyAlignment="1"/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0" borderId="17" xfId="0" applyBorder="1"/>
    <xf numFmtId="0" fontId="18" fillId="0" borderId="20" xfId="0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0" fillId="0" borderId="22" xfId="0" applyBorder="1"/>
    <xf numFmtId="164" fontId="0" fillId="0" borderId="23" xfId="0" applyNumberFormat="1" applyBorder="1"/>
    <xf numFmtId="2" fontId="0" fillId="0" borderId="23" xfId="0" applyNumberFormat="1" applyBorder="1"/>
    <xf numFmtId="164" fontId="0" fillId="0" borderId="24" xfId="0" applyNumberFormat="1" applyBorder="1"/>
    <xf numFmtId="0" fontId="0" fillId="0" borderId="10" xfId="0" applyBorder="1"/>
    <xf numFmtId="9" fontId="0" fillId="0" borderId="0" xfId="42" applyFon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64" fontId="0" fillId="0" borderId="17" xfId="0" applyNumberForma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9" fontId="16" fillId="0" borderId="23" xfId="42" applyFont="1" applyBorder="1" applyAlignment="1">
      <alignment horizontal="center"/>
    </xf>
    <xf numFmtId="2" fontId="16" fillId="0" borderId="23" xfId="0" applyNumberFormat="1" applyFont="1" applyBorder="1" applyAlignment="1">
      <alignment horizontal="center"/>
    </xf>
    <xf numFmtId="2" fontId="0" fillId="0" borderId="23" xfId="0" applyNumberForma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9" fontId="0" fillId="0" borderId="23" xfId="42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9" fontId="0" fillId="0" borderId="23" xfId="42" applyNumberFormat="1" applyFont="1" applyFill="1" applyBorder="1" applyAlignment="1">
      <alignment horizontal="center"/>
    </xf>
    <xf numFmtId="9" fontId="0" fillId="0" borderId="23" xfId="42" applyFont="1" applyBorder="1" applyAlignment="1">
      <alignment horizontal="center"/>
    </xf>
    <xf numFmtId="9" fontId="0" fillId="0" borderId="23" xfId="42" applyFont="1" applyBorder="1"/>
    <xf numFmtId="2" fontId="0" fillId="0" borderId="15" xfId="0" applyNumberFormat="1" applyBorder="1"/>
    <xf numFmtId="2" fontId="0" fillId="0" borderId="18" xfId="0" applyNumberFormat="1" applyBorder="1"/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0" xfId="0" applyFont="1" applyBorder="1"/>
    <xf numFmtId="0" fontId="0" fillId="0" borderId="0" xfId="0" applyBorder="1"/>
    <xf numFmtId="9" fontId="0" fillId="0" borderId="0" xfId="42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17C04-BE9B-4EB3-B312-4BE9B9ACD88D}">
  <dimension ref="A1:BW18"/>
  <sheetViews>
    <sheetView tabSelected="1" topLeftCell="AE1" workbookViewId="0">
      <selection activeCell="AR24" sqref="AR24"/>
    </sheetView>
  </sheetViews>
  <sheetFormatPr defaultRowHeight="14.4" x14ac:dyDescent="0.3"/>
  <cols>
    <col min="1" max="1" width="4.5546875" customWidth="1"/>
    <col min="2" max="2" width="5.109375" customWidth="1"/>
    <col min="3" max="8" width="5.44140625" customWidth="1"/>
    <col min="9" max="12" width="5.109375" customWidth="1"/>
    <col min="13" max="13" width="5.6640625" customWidth="1"/>
    <col min="14" max="28" width="5.109375" customWidth="1"/>
    <col min="29" max="29" width="2.5546875" customWidth="1"/>
    <col min="30" max="38" width="5.21875" customWidth="1"/>
    <col min="39" max="39" width="7.5546875" customWidth="1"/>
    <col min="40" max="44" width="5.21875" customWidth="1"/>
    <col min="45" max="45" width="3.88671875" customWidth="1"/>
    <col min="46" max="46" width="7.33203125" customWidth="1"/>
    <col min="47" max="48" width="5.6640625" customWidth="1"/>
    <col min="49" max="50" width="6.21875" customWidth="1"/>
    <col min="51" max="51" width="6.5546875" customWidth="1"/>
    <col min="52" max="52" width="5.88671875" customWidth="1"/>
    <col min="53" max="75" width="6.5546875" customWidth="1"/>
  </cols>
  <sheetData>
    <row r="1" spans="1:75" x14ac:dyDescent="0.3">
      <c r="B1" s="2" t="s">
        <v>18</v>
      </c>
    </row>
    <row r="2" spans="1:75" x14ac:dyDescent="0.3">
      <c r="B2" s="6"/>
      <c r="C2" s="55" t="s">
        <v>29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7"/>
      <c r="AD2" s="71" t="s">
        <v>28</v>
      </c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3"/>
    </row>
    <row r="3" spans="1:75" x14ac:dyDescent="0.3">
      <c r="A3" s="2" t="s">
        <v>11</v>
      </c>
      <c r="B3" s="16" t="s">
        <v>25</v>
      </c>
      <c r="C3" s="74" t="s">
        <v>14</v>
      </c>
      <c r="D3" s="75"/>
      <c r="E3" s="75"/>
      <c r="F3" s="75"/>
      <c r="G3" s="75"/>
      <c r="H3" s="76"/>
      <c r="I3" s="55" t="s">
        <v>13</v>
      </c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7"/>
      <c r="V3" s="74" t="s">
        <v>0</v>
      </c>
      <c r="W3" s="75"/>
      <c r="X3" s="75"/>
      <c r="Y3" s="75"/>
      <c r="Z3" s="75"/>
      <c r="AA3" s="75"/>
      <c r="AB3" s="76"/>
      <c r="AD3" s="32"/>
      <c r="AE3" s="55" t="s">
        <v>16</v>
      </c>
      <c r="AF3" s="56"/>
      <c r="AG3" s="56"/>
      <c r="AH3" s="41"/>
      <c r="AI3" s="55" t="s">
        <v>17</v>
      </c>
      <c r="AJ3" s="56"/>
      <c r="AK3" s="56"/>
      <c r="AL3" s="56"/>
      <c r="AM3" s="56"/>
      <c r="AN3" s="55" t="s">
        <v>17</v>
      </c>
      <c r="AO3" s="56"/>
      <c r="AP3" s="56"/>
      <c r="AQ3" s="56"/>
      <c r="AR3" s="57"/>
    </row>
    <row r="4" spans="1:75" x14ac:dyDescent="0.3">
      <c r="A4" t="s">
        <v>5</v>
      </c>
      <c r="B4" s="5" t="s">
        <v>5</v>
      </c>
      <c r="C4" s="58" t="s">
        <v>30</v>
      </c>
      <c r="D4" s="59"/>
      <c r="E4" s="59"/>
      <c r="F4" s="59"/>
      <c r="G4" s="64"/>
      <c r="H4" s="20"/>
      <c r="I4" s="58"/>
      <c r="J4" s="59"/>
      <c r="K4" s="59"/>
      <c r="L4" s="64"/>
      <c r="M4" s="20"/>
      <c r="N4" s="58"/>
      <c r="O4" s="59"/>
      <c r="P4" s="59"/>
      <c r="Q4" s="64"/>
      <c r="R4" s="49"/>
      <c r="S4" s="59"/>
      <c r="T4" s="59"/>
      <c r="U4" s="49"/>
      <c r="V4" s="65" t="s">
        <v>23</v>
      </c>
      <c r="W4" s="66"/>
      <c r="X4" s="66"/>
      <c r="Y4" s="66"/>
      <c r="Z4" s="66"/>
      <c r="AA4" s="67"/>
      <c r="AB4" s="42"/>
      <c r="AD4" s="5" t="s">
        <v>5</v>
      </c>
      <c r="AE4" s="60" t="s">
        <v>24</v>
      </c>
      <c r="AF4" s="61"/>
      <c r="AG4" s="61"/>
      <c r="AH4" s="42"/>
      <c r="AI4" s="60" t="s">
        <v>15</v>
      </c>
      <c r="AJ4" s="61"/>
      <c r="AK4" s="61"/>
      <c r="AL4" s="61"/>
      <c r="AM4" s="42"/>
      <c r="AN4" s="68" t="s">
        <v>23</v>
      </c>
      <c r="AO4" s="69"/>
      <c r="AP4" s="69"/>
      <c r="AQ4" s="70"/>
      <c r="AR4" s="42"/>
      <c r="AT4" s="2" t="s">
        <v>33</v>
      </c>
      <c r="AU4" s="55" t="s">
        <v>31</v>
      </c>
      <c r="AV4" s="56"/>
      <c r="AW4" s="56"/>
      <c r="AX4" s="56"/>
      <c r="AY4" s="56"/>
      <c r="AZ4" s="57"/>
    </row>
    <row r="5" spans="1:75" x14ac:dyDescent="0.3">
      <c r="B5" s="3"/>
      <c r="C5" s="23" t="s">
        <v>26</v>
      </c>
      <c r="D5" s="17" t="s">
        <v>27</v>
      </c>
      <c r="E5" s="43" t="s">
        <v>32</v>
      </c>
      <c r="F5" s="23" t="s">
        <v>26</v>
      </c>
      <c r="G5" s="17" t="s">
        <v>27</v>
      </c>
      <c r="H5" s="43" t="s">
        <v>32</v>
      </c>
      <c r="I5" s="58" t="s">
        <v>26</v>
      </c>
      <c r="J5" s="59"/>
      <c r="K5" s="59"/>
      <c r="L5" s="17" t="s">
        <v>27</v>
      </c>
      <c r="M5" s="43" t="s">
        <v>32</v>
      </c>
      <c r="N5" s="58" t="s">
        <v>26</v>
      </c>
      <c r="O5" s="59"/>
      <c r="P5" s="59"/>
      <c r="Q5" s="17" t="s">
        <v>27</v>
      </c>
      <c r="R5" s="43" t="s">
        <v>32</v>
      </c>
      <c r="S5" s="24" t="s">
        <v>26</v>
      </c>
      <c r="T5" s="24" t="s">
        <v>27</v>
      </c>
      <c r="U5" s="43" t="s">
        <v>32</v>
      </c>
      <c r="V5" s="58" t="s">
        <v>26</v>
      </c>
      <c r="W5" s="59"/>
      <c r="X5" s="59"/>
      <c r="Y5" s="59"/>
      <c r="Z5" s="59"/>
      <c r="AA5" s="22" t="s">
        <v>27</v>
      </c>
      <c r="AB5" s="43" t="s">
        <v>32</v>
      </c>
      <c r="AD5" s="3"/>
      <c r="AE5" s="58" t="s">
        <v>26</v>
      </c>
      <c r="AF5" s="59"/>
      <c r="AG5" s="21" t="s">
        <v>27</v>
      </c>
      <c r="AH5" s="43" t="s">
        <v>32</v>
      </c>
      <c r="AI5" s="58" t="s">
        <v>26</v>
      </c>
      <c r="AJ5" s="59"/>
      <c r="AK5" s="59"/>
      <c r="AL5" s="29" t="s">
        <v>27</v>
      </c>
      <c r="AM5" s="43" t="s">
        <v>32</v>
      </c>
      <c r="AN5" s="59" t="s">
        <v>26</v>
      </c>
      <c r="AO5" s="64"/>
      <c r="AP5" s="62" t="s">
        <v>27</v>
      </c>
      <c r="AQ5" s="63"/>
      <c r="AR5" s="43" t="s">
        <v>32</v>
      </c>
      <c r="AT5" s="2" t="s">
        <v>26</v>
      </c>
      <c r="AU5" s="36" t="s">
        <v>27</v>
      </c>
      <c r="AV5" s="43" t="s">
        <v>32</v>
      </c>
      <c r="AW5" s="36" t="s">
        <v>27</v>
      </c>
      <c r="AX5" s="43" t="s">
        <v>32</v>
      </c>
      <c r="AY5" s="36" t="s">
        <v>27</v>
      </c>
      <c r="AZ5" s="43" t="s">
        <v>32</v>
      </c>
    </row>
    <row r="6" spans="1:75" x14ac:dyDescent="0.3">
      <c r="A6">
        <v>0.03</v>
      </c>
      <c r="B6" s="3" t="s">
        <v>1</v>
      </c>
      <c r="C6" s="8">
        <v>98.886229999999998</v>
      </c>
      <c r="D6" s="9">
        <f>98.96/0.9921</f>
        <v>99.748009273258745</v>
      </c>
      <c r="E6" s="37">
        <f>D6/C6-1</f>
        <v>8.7148561863339413E-3</v>
      </c>
      <c r="F6" s="8">
        <v>98.705665999999994</v>
      </c>
      <c r="G6" s="9">
        <f>100</f>
        <v>100</v>
      </c>
      <c r="H6" s="37">
        <f>G6/F6-1</f>
        <v>1.311306688311098E-2</v>
      </c>
      <c r="I6" s="8">
        <v>93.207800000000006</v>
      </c>
      <c r="J6" s="10">
        <v>94.210499999999996</v>
      </c>
      <c r="K6" s="10">
        <v>94.038700000000006</v>
      </c>
      <c r="L6" s="9">
        <v>94.68</v>
      </c>
      <c r="M6" s="50">
        <f>(L6/L$13*100)/(AVERAGE(I6:K6)/AVERAGE(I$13:K$13)*100)-1</f>
        <v>6.7801201654849041E-3</v>
      </c>
      <c r="N6" s="8">
        <v>94.297600000000003</v>
      </c>
      <c r="O6" s="10">
        <v>93.143100000000004</v>
      </c>
      <c r="P6" s="10">
        <v>93.027299999999997</v>
      </c>
      <c r="Q6" s="9">
        <f>92.53/0.99</f>
        <v>93.464646464646464</v>
      </c>
      <c r="R6" s="50">
        <f>Q6/(AVERAGE(N6:P6)/AVERAGE(N$13:P$13)*100)-1</f>
        <v>-1.0788171066671404E-2</v>
      </c>
      <c r="S6" s="11">
        <v>89.605500000000006</v>
      </c>
      <c r="T6" s="11">
        <f>89.56/0.9917</f>
        <v>90.309569426237772</v>
      </c>
      <c r="U6" s="51">
        <f>S6/T6-1</f>
        <v>-7.7961774229565739E-3</v>
      </c>
      <c r="V6" s="8">
        <v>83.077774000000005</v>
      </c>
      <c r="W6" s="10">
        <v>86.922905</v>
      </c>
      <c r="X6" s="10">
        <v>87.09375</v>
      </c>
      <c r="Y6" s="10">
        <v>86.448463000000004</v>
      </c>
      <c r="Z6" s="10">
        <v>85.267532000000003</v>
      </c>
      <c r="AA6" s="12">
        <f>83.14/0.9941</f>
        <v>83.633437279951721</v>
      </c>
      <c r="AB6" s="48">
        <f>AA6/(AVERAGE(V6:Z6)/AVERAGE(V$13:Z$13)*100)-1</f>
        <v>-3.4496441635497033E-2</v>
      </c>
      <c r="AD6" s="3" t="s">
        <v>1</v>
      </c>
      <c r="AE6" s="8">
        <v>62.292808999999998</v>
      </c>
      <c r="AF6" s="10">
        <v>62.432468</v>
      </c>
      <c r="AG6" s="10">
        <f>63/0.9874</f>
        <v>63.803929511849297</v>
      </c>
      <c r="AH6" s="44">
        <f>(AG6*2/(AE6/AE$13*100+AF6/AF$13*100)-1)</f>
        <v>1.6398031096156673E-2</v>
      </c>
      <c r="AI6" s="8">
        <v>62.413017000000004</v>
      </c>
      <c r="AJ6" s="10">
        <v>61.991534999999999</v>
      </c>
      <c r="AK6" s="10">
        <v>61.657989999999998</v>
      </c>
      <c r="AL6" s="38">
        <f>62.81/0.9817</f>
        <v>63.980849546704697</v>
      </c>
      <c r="AM6" s="48">
        <f>AL6/(AVERAGE(AI6:AK6)/AVERAGE(AI$13:AK$13)*100)-1</f>
        <v>2.3611253001612376E-2</v>
      </c>
      <c r="AN6" s="10">
        <v>62.686667999999997</v>
      </c>
      <c r="AO6" s="9">
        <v>62.472068999999998</v>
      </c>
      <c r="AP6" s="10">
        <f>63.69/0.99</f>
        <v>64.333333333333329</v>
      </c>
      <c r="AQ6" s="9">
        <f>63.66/0.9874</f>
        <v>64.472351630544864</v>
      </c>
      <c r="AR6" s="48">
        <f>AVERAGE(AP6:AQ6)/(AVERAGE(AN6:AP6)/AVERAGE(AN$13:AO$13)*100)-1</f>
        <v>1.4580381965264566E-2</v>
      </c>
      <c r="AT6" s="19">
        <f>AVERAGE(AI6:AK6,AN6:AO6)</f>
        <v>62.244255799999998</v>
      </c>
      <c r="AU6" s="33">
        <v>64</v>
      </c>
      <c r="AV6" s="52">
        <f>AU6/($AT6/$AT$13*100)-1</f>
        <v>2.1398564717035384E-2</v>
      </c>
      <c r="AW6" s="33">
        <v>64.5</v>
      </c>
      <c r="AX6" s="52">
        <f>AW6/($AT6/$AT$13*100)-1</f>
        <v>2.9378241003887196E-2</v>
      </c>
      <c r="AY6" s="33">
        <f>55.44/0.8465</f>
        <v>65.493207324276426</v>
      </c>
      <c r="AZ6" s="52">
        <f>AY6/($AT6/$AT$13*100)-1</f>
        <v>4.5229186870799687E-2</v>
      </c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75" x14ac:dyDescent="0.3">
      <c r="A7">
        <v>0.04</v>
      </c>
      <c r="B7" s="3" t="s">
        <v>4</v>
      </c>
      <c r="C7" s="13" t="s">
        <v>10</v>
      </c>
      <c r="D7" s="14"/>
      <c r="E7" s="15"/>
      <c r="F7" s="13" t="s">
        <v>10</v>
      </c>
      <c r="G7" s="14"/>
      <c r="H7" s="15"/>
      <c r="I7" s="13">
        <v>8.8987999999999998E-2</v>
      </c>
      <c r="J7" s="15">
        <v>9.7082000000000002E-2</v>
      </c>
      <c r="K7" s="15">
        <v>8.2778000000000004E-2</v>
      </c>
      <c r="L7" s="14"/>
      <c r="M7" s="15"/>
      <c r="N7" s="13">
        <v>0.12019299999999999</v>
      </c>
      <c r="O7" s="15">
        <v>8.0254000000000006E-2</v>
      </c>
      <c r="P7" s="15">
        <v>7.1286000000000002E-2</v>
      </c>
      <c r="Q7" s="14"/>
      <c r="R7" s="30"/>
      <c r="S7" s="15"/>
      <c r="T7" s="15"/>
      <c r="U7" s="30"/>
      <c r="V7" s="13">
        <v>0.165073</v>
      </c>
      <c r="W7" s="15">
        <v>0.22980800000000001</v>
      </c>
      <c r="X7" s="15">
        <v>0.29408699999999999</v>
      </c>
      <c r="Y7" s="15">
        <v>0.29408000000000001</v>
      </c>
      <c r="Z7" s="15">
        <v>0.27510099999999998</v>
      </c>
      <c r="AA7" s="14"/>
      <c r="AB7" s="30"/>
      <c r="AD7" s="3" t="s">
        <v>4</v>
      </c>
      <c r="AE7" s="13" t="s">
        <v>10</v>
      </c>
      <c r="AF7" s="15" t="s">
        <v>10</v>
      </c>
      <c r="AG7" s="15"/>
      <c r="AH7" s="45"/>
      <c r="AI7" s="13" t="s">
        <v>10</v>
      </c>
      <c r="AJ7" s="15" t="s">
        <v>10</v>
      </c>
      <c r="AK7" s="15" t="s">
        <v>10</v>
      </c>
      <c r="AL7" s="39"/>
      <c r="AM7" s="46"/>
      <c r="AN7" s="15" t="s">
        <v>10</v>
      </c>
      <c r="AO7" s="14" t="s">
        <v>10</v>
      </c>
      <c r="AP7" s="15"/>
      <c r="AQ7" s="14"/>
      <c r="AR7" s="30"/>
      <c r="AT7" s="19"/>
      <c r="AU7" s="33"/>
      <c r="AV7" s="33"/>
      <c r="AW7" s="33"/>
      <c r="AX7" s="33"/>
      <c r="AY7" s="33"/>
      <c r="AZ7" s="53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75" x14ac:dyDescent="0.3">
      <c r="A8">
        <v>0.03</v>
      </c>
      <c r="B8" s="3" t="s">
        <v>2</v>
      </c>
      <c r="C8" s="13">
        <v>8.8313000000000003E-2</v>
      </c>
      <c r="D8" s="14"/>
      <c r="E8" s="15"/>
      <c r="F8" s="13">
        <v>7.5268000000000002E-2</v>
      </c>
      <c r="G8" s="14"/>
      <c r="H8" s="15"/>
      <c r="I8" s="13">
        <v>3.8031700000000002</v>
      </c>
      <c r="J8" s="15">
        <v>3.6999399999999998</v>
      </c>
      <c r="K8" s="15">
        <v>3.7689499999999998</v>
      </c>
      <c r="L8" s="14">
        <v>3.68</v>
      </c>
      <c r="M8" s="50">
        <f>(L8/L$13*100)/(AVERAGE(I8:K8)/AVERAGE(I$13:K$13)*100)-1</f>
        <v>-2.2913611510594012E-2</v>
      </c>
      <c r="N8" s="13">
        <v>3.9093</v>
      </c>
      <c r="O8" s="15">
        <v>4.3595100000000002</v>
      </c>
      <c r="P8" s="15">
        <v>4.3267300000000004</v>
      </c>
      <c r="Q8" s="18">
        <f>4.09/0.99</f>
        <v>4.1313131313131315</v>
      </c>
      <c r="R8" s="50">
        <f>Q8/(AVERAGE(N8:P8)/AVERAGE(N$13:P$13)*100)-1</f>
        <v>-2.6364113227957731E-2</v>
      </c>
      <c r="S8" s="15">
        <v>7.0751499999999998</v>
      </c>
      <c r="T8" s="15">
        <f>7.05/0.9917</f>
        <v>7.1090047393364921</v>
      </c>
      <c r="U8" s="51">
        <f>S8/T8-1</f>
        <v>-4.7622333333332545E-3</v>
      </c>
      <c r="V8" s="8">
        <v>14.155563000000001</v>
      </c>
      <c r="W8" s="10">
        <v>9.9872669999999992</v>
      </c>
      <c r="X8" s="10">
        <v>9.9553069999999995</v>
      </c>
      <c r="Y8" s="10">
        <v>10.127395999999999</v>
      </c>
      <c r="Z8" s="10">
        <v>10.802614</v>
      </c>
      <c r="AA8" s="9">
        <f>13.77/0.9941</f>
        <v>13.851725178553465</v>
      </c>
      <c r="AB8" s="48">
        <f>AA8/(AVERAGE(V8:Z8)/AVERAGE(V$13:Z$13)*100)-1</f>
        <v>0.24611534524765544</v>
      </c>
      <c r="AD8" s="3" t="s">
        <v>2</v>
      </c>
      <c r="AE8" s="13">
        <v>3.3144E-2</v>
      </c>
      <c r="AF8" s="15">
        <v>3.3966000000000003E-2</v>
      </c>
      <c r="AG8" s="15"/>
      <c r="AH8" s="45"/>
      <c r="AI8" s="13">
        <v>2.6599999999999999E-2</v>
      </c>
      <c r="AJ8" s="15" t="s">
        <v>10</v>
      </c>
      <c r="AK8" s="15" t="s">
        <v>10</v>
      </c>
      <c r="AL8" s="39"/>
      <c r="AM8" s="46"/>
      <c r="AN8" s="15">
        <v>2.8511000000000002E-2</v>
      </c>
      <c r="AO8" s="14">
        <v>2.5891000000000001E-2</v>
      </c>
      <c r="AP8" s="15"/>
      <c r="AQ8" s="14"/>
      <c r="AR8" s="30"/>
      <c r="AT8" s="19">
        <f t="shared" ref="AT8:AT12" si="0">AVERAGE(AI8:AK8,AN8:AO8)</f>
        <v>2.7000666666666669E-2</v>
      </c>
      <c r="AU8" s="33"/>
      <c r="AV8" s="33"/>
      <c r="AW8" s="33"/>
      <c r="AX8" s="33"/>
      <c r="AY8" s="33"/>
      <c r="AZ8" s="53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75" x14ac:dyDescent="0.3">
      <c r="A9">
        <v>0.03</v>
      </c>
      <c r="B9" s="3" t="s">
        <v>3</v>
      </c>
      <c r="C9" s="13">
        <v>0.44958999999999999</v>
      </c>
      <c r="D9" s="14"/>
      <c r="E9" s="15"/>
      <c r="F9" s="13">
        <v>0.45819300000000002</v>
      </c>
      <c r="G9" s="14"/>
      <c r="H9" s="15"/>
      <c r="I9" s="13">
        <v>1.1612899999999999</v>
      </c>
      <c r="J9" s="15">
        <v>1.1024</v>
      </c>
      <c r="K9" s="15">
        <v>1.1480300000000001</v>
      </c>
      <c r="L9" s="14">
        <v>1.64</v>
      </c>
      <c r="M9" s="50">
        <f>(L9/L$13*100)/(AVERAGE(I9:K9)/AVERAGE(I$13:K$13)*100)-1</f>
        <v>0.4386624324313515</v>
      </c>
      <c r="N9" s="13">
        <v>1.1453800000000001</v>
      </c>
      <c r="O9" s="15">
        <v>1.19085</v>
      </c>
      <c r="P9" s="15">
        <v>1.1704300000000001</v>
      </c>
      <c r="Q9" s="14">
        <f>2.05/0.99</f>
        <v>2.0707070707070705</v>
      </c>
      <c r="R9" s="50">
        <f>Q9/(AVERAGE(N9:P9)/AVERAGE(N$13:P$13)*100)-1</f>
        <v>0.75287221899315759</v>
      </c>
      <c r="S9" s="15">
        <v>2.0854400000000002</v>
      </c>
      <c r="T9" s="15">
        <f>2.56/99.17*100</f>
        <v>2.5814258344257337</v>
      </c>
      <c r="U9" s="51">
        <f>S9/T9-1</f>
        <v>-0.19213638749999995</v>
      </c>
      <c r="V9" s="13">
        <v>1.926955</v>
      </c>
      <c r="W9" s="15">
        <v>1.4874940000000001</v>
      </c>
      <c r="X9" s="15">
        <v>1.48739</v>
      </c>
      <c r="Y9" s="15">
        <v>1.5062420000000001</v>
      </c>
      <c r="Z9" s="15">
        <v>1.5932630000000001</v>
      </c>
      <c r="AA9" s="14">
        <f>2.4/0.9941</f>
        <v>2.4142440398350264</v>
      </c>
      <c r="AB9" s="48">
        <f>AA9/(AVERAGE(V9:Z9)/AVERAGE(V$13:Z$13)*100)-1</f>
        <v>0.49367974583851026</v>
      </c>
      <c r="AD9" s="3" t="s">
        <v>3</v>
      </c>
      <c r="AE9" s="13">
        <v>7.1001999999999996E-2</v>
      </c>
      <c r="AF9" s="15">
        <v>8.8635000000000005E-2</v>
      </c>
      <c r="AG9" s="15">
        <f>0.68/0.9874</f>
        <v>0.68867733441361156</v>
      </c>
      <c r="AH9" s="45"/>
      <c r="AI9" s="13">
        <v>5.3296999999999997E-2</v>
      </c>
      <c r="AJ9" s="15">
        <v>5.0145000000000002E-2</v>
      </c>
      <c r="AK9" s="15">
        <v>6.1941999999999997E-2</v>
      </c>
      <c r="AL9" s="39"/>
      <c r="AM9" s="46"/>
      <c r="AN9" s="15">
        <v>0.112499</v>
      </c>
      <c r="AO9" s="14">
        <v>0.100242</v>
      </c>
      <c r="AP9" s="15"/>
      <c r="AQ9" s="14"/>
      <c r="AR9" s="30"/>
      <c r="AT9" s="19">
        <f t="shared" si="0"/>
        <v>7.5624999999999998E-2</v>
      </c>
      <c r="AU9" s="33"/>
      <c r="AV9" s="33"/>
      <c r="AW9" s="33"/>
      <c r="AX9" s="33"/>
      <c r="AY9" s="33"/>
      <c r="AZ9" s="53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75" x14ac:dyDescent="0.3">
      <c r="A10">
        <v>0.01</v>
      </c>
      <c r="B10" s="3" t="s">
        <v>6</v>
      </c>
      <c r="C10" s="13">
        <v>0.13444700000000001</v>
      </c>
      <c r="D10" s="14">
        <f>0.16/0.9921</f>
        <v>0.16127406511440379</v>
      </c>
      <c r="E10" s="15"/>
      <c r="F10" s="13">
        <v>0.113039</v>
      </c>
      <c r="G10" s="14"/>
      <c r="H10" s="15"/>
      <c r="I10" s="13" t="s">
        <v>10</v>
      </c>
      <c r="J10" s="15" t="s">
        <v>10</v>
      </c>
      <c r="K10" s="15" t="s">
        <v>10</v>
      </c>
      <c r="L10" s="14"/>
      <c r="M10" s="15"/>
      <c r="N10" s="13" t="s">
        <v>10</v>
      </c>
      <c r="O10" s="15" t="s">
        <v>10</v>
      </c>
      <c r="P10" s="15" t="s">
        <v>10</v>
      </c>
      <c r="Q10" s="14"/>
      <c r="R10" s="30"/>
      <c r="S10" s="15" t="s">
        <v>10</v>
      </c>
      <c r="T10" s="15"/>
      <c r="U10" s="30"/>
      <c r="V10" s="13">
        <v>3.1316999999999998E-2</v>
      </c>
      <c r="W10" s="15">
        <v>0.203324</v>
      </c>
      <c r="X10" s="15">
        <v>0.1971</v>
      </c>
      <c r="Y10" s="15">
        <v>0.226241</v>
      </c>
      <c r="Z10" s="15">
        <v>0.81956099999999998</v>
      </c>
      <c r="AA10" s="14"/>
      <c r="AB10" s="48"/>
      <c r="AD10" s="3" t="s">
        <v>6</v>
      </c>
      <c r="AE10" s="8">
        <v>36.859977999999998</v>
      </c>
      <c r="AF10" s="10">
        <v>36.824142000000002</v>
      </c>
      <c r="AG10" s="10">
        <f>34.96/0.9874</f>
        <v>35.406117075146852</v>
      </c>
      <c r="AH10" s="44">
        <f>(AG10*2/(AE10/AE$13*100+AF10/AF$13*100)-1)</f>
        <v>-4.5282753942330278E-2</v>
      </c>
      <c r="AI10" s="8">
        <v>36.963878999999999</v>
      </c>
      <c r="AJ10" s="10">
        <v>37.080021000000002</v>
      </c>
      <c r="AK10" s="10">
        <v>36.826568999999999</v>
      </c>
      <c r="AL10" s="38">
        <f>35.37/0.9817</f>
        <v>36.029336864622593</v>
      </c>
      <c r="AM10" s="48">
        <f>AL10/(AVERAGE(AI10:AK10)/AVERAGE(AI$13:AK$13)*100)-1</f>
        <v>-3.2648335230502923E-2</v>
      </c>
      <c r="AN10" s="10">
        <v>36.764355000000002</v>
      </c>
      <c r="AO10" s="9">
        <v>36.760769000000003</v>
      </c>
      <c r="AP10" s="10">
        <f>35.08/0.99</f>
        <v>35.434343434343432</v>
      </c>
      <c r="AQ10" s="9">
        <f>35/0.9874</f>
        <v>35.446627506582942</v>
      </c>
      <c r="AR10" s="48">
        <f>AVERAGE(AP10:AQ10)/(AVERAGE(AN10:AP10)/AVERAGE(AN$13:AO$13)*100)-1</f>
        <v>-2.9026994731329081E-2</v>
      </c>
      <c r="AT10" s="19">
        <f t="shared" si="0"/>
        <v>36.879118600000005</v>
      </c>
      <c r="AU10" s="33">
        <v>35.700000000000003</v>
      </c>
      <c r="AV10" s="52">
        <f>AU10/($AT10/$AT$13*100)-1</f>
        <v>-3.8382781284799994E-2</v>
      </c>
      <c r="AW10" s="33">
        <v>35.5</v>
      </c>
      <c r="AX10" s="52">
        <f>AW10/($AT10/$AT$13*100)-1</f>
        <v>-4.3769992594128837E-2</v>
      </c>
      <c r="AY10" s="33">
        <f>28.98/0.8465</f>
        <v>34.23508564678086</v>
      </c>
      <c r="AZ10" s="52">
        <f>AY10/($AT10/$AT$13*100)-1</f>
        <v>-7.7841797139101554E-2</v>
      </c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75" x14ac:dyDescent="0.3">
      <c r="A11">
        <v>0.02</v>
      </c>
      <c r="B11" s="3" t="s">
        <v>7</v>
      </c>
      <c r="C11" s="13" t="s">
        <v>10</v>
      </c>
      <c r="D11" s="14"/>
      <c r="E11" s="15"/>
      <c r="F11" s="13" t="s">
        <v>10</v>
      </c>
      <c r="G11" s="14"/>
      <c r="H11" s="15"/>
      <c r="I11" s="13" t="s">
        <v>12</v>
      </c>
      <c r="J11" s="15" t="s">
        <v>12</v>
      </c>
      <c r="K11" s="15" t="s">
        <v>12</v>
      </c>
      <c r="L11" s="14"/>
      <c r="M11" s="15"/>
      <c r="N11" s="13" t="s">
        <v>12</v>
      </c>
      <c r="O11" s="15" t="s">
        <v>12</v>
      </c>
      <c r="P11" s="15" t="s">
        <v>12</v>
      </c>
      <c r="Q11" s="14"/>
      <c r="R11" s="30"/>
      <c r="S11" s="15" t="s">
        <v>12</v>
      </c>
      <c r="T11" s="15"/>
      <c r="U11" s="30"/>
      <c r="V11" s="13">
        <v>2.0684999999999999E-2</v>
      </c>
      <c r="W11" s="15">
        <v>5.4602999999999999E-2</v>
      </c>
      <c r="X11" s="15">
        <v>5.7841999999999998E-2</v>
      </c>
      <c r="Y11" s="15">
        <v>7.0156999999999997E-2</v>
      </c>
      <c r="Z11" s="15">
        <v>0.18116699999999999</v>
      </c>
      <c r="AA11" s="14"/>
      <c r="AB11" s="30"/>
      <c r="AD11" s="3" t="s">
        <v>7</v>
      </c>
      <c r="AE11" s="13">
        <v>1.5959999999999998E-2</v>
      </c>
      <c r="AF11" s="15" t="s">
        <v>10</v>
      </c>
      <c r="AG11" s="15"/>
      <c r="AH11" s="30"/>
      <c r="AI11" s="13">
        <v>1.9630000000000002E-2</v>
      </c>
      <c r="AJ11" s="15">
        <v>2.3397999999999999E-2</v>
      </c>
      <c r="AK11" s="15" t="s">
        <v>10</v>
      </c>
      <c r="AL11" s="39"/>
      <c r="AM11" s="46"/>
      <c r="AN11" s="15">
        <v>2.7739E-2</v>
      </c>
      <c r="AO11" s="14">
        <v>3.4146999999999997E-2</v>
      </c>
      <c r="AP11" s="15">
        <f>0.23/0.99</f>
        <v>0.23232323232323235</v>
      </c>
      <c r="AQ11" s="14"/>
      <c r="AR11" s="30"/>
      <c r="AT11" s="19">
        <f t="shared" si="0"/>
        <v>2.6228499999999998E-2</v>
      </c>
      <c r="AU11" s="34"/>
      <c r="AV11" s="34"/>
      <c r="AW11" s="34"/>
      <c r="AX11" s="34"/>
      <c r="AY11" s="34"/>
      <c r="AZ11" s="53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</row>
    <row r="12" spans="1:75" x14ac:dyDescent="0.3">
      <c r="A12">
        <v>0.02</v>
      </c>
      <c r="B12" s="3" t="s">
        <v>8</v>
      </c>
      <c r="C12" s="13">
        <v>5.7258999999999997E-2</v>
      </c>
      <c r="D12" s="14">
        <f>0.1/0.9921</f>
        <v>0.10079629069650238</v>
      </c>
      <c r="E12" s="15"/>
      <c r="F12" s="13">
        <v>2.9984E-2</v>
      </c>
      <c r="G12" s="14"/>
      <c r="H12" s="15"/>
      <c r="I12" s="13" t="s">
        <v>12</v>
      </c>
      <c r="J12" s="15" t="s">
        <v>12</v>
      </c>
      <c r="K12" s="15" t="s">
        <v>12</v>
      </c>
      <c r="L12" s="14"/>
      <c r="M12" s="15"/>
      <c r="N12" s="13" t="s">
        <v>12</v>
      </c>
      <c r="O12" s="15" t="s">
        <v>12</v>
      </c>
      <c r="P12" s="15" t="s">
        <v>12</v>
      </c>
      <c r="Q12" s="14"/>
      <c r="R12" s="30"/>
      <c r="S12" s="15" t="s">
        <v>12</v>
      </c>
      <c r="T12" s="15"/>
      <c r="U12" s="30"/>
      <c r="V12" s="13">
        <v>3.5927000000000001E-2</v>
      </c>
      <c r="W12" s="15" t="s">
        <v>10</v>
      </c>
      <c r="X12" s="15" t="s">
        <v>10</v>
      </c>
      <c r="Y12" s="15">
        <v>1.5824999999999999E-2</v>
      </c>
      <c r="Z12" s="15">
        <v>2.7018E-2</v>
      </c>
      <c r="AA12" s="14">
        <f>0.11/0.9941</f>
        <v>0.11065285182577206</v>
      </c>
      <c r="AB12" s="30"/>
      <c r="AD12" s="3" t="s">
        <v>8</v>
      </c>
      <c r="AE12" s="13" t="s">
        <v>10</v>
      </c>
      <c r="AF12" s="15">
        <v>3.5485000000000003E-2</v>
      </c>
      <c r="AG12" s="15"/>
      <c r="AH12" s="30"/>
      <c r="AI12" s="13">
        <v>1.8762000000000001E-2</v>
      </c>
      <c r="AJ12" s="15">
        <v>3.4924999999999998E-2</v>
      </c>
      <c r="AK12" s="15">
        <v>0.45441199999999998</v>
      </c>
      <c r="AL12" s="39"/>
      <c r="AM12" s="46"/>
      <c r="AN12" s="15" t="s">
        <v>10</v>
      </c>
      <c r="AO12" s="14" t="s">
        <v>10</v>
      </c>
      <c r="AP12" s="15"/>
      <c r="AQ12" s="14"/>
      <c r="AR12" s="30"/>
      <c r="AT12" s="19">
        <f t="shared" si="0"/>
        <v>0.16936633333333331</v>
      </c>
      <c r="AU12" s="34">
        <v>0.31</v>
      </c>
      <c r="AV12" s="34"/>
      <c r="AW12" s="34"/>
      <c r="AX12" s="34"/>
      <c r="AY12" s="34">
        <f>0.23/0.8465</f>
        <v>0.27170702894270526</v>
      </c>
      <c r="AZ12" s="53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</row>
    <row r="13" spans="1:75" x14ac:dyDescent="0.3">
      <c r="B13" s="4" t="s">
        <v>9</v>
      </c>
      <c r="C13" s="25">
        <f>SUM(C6:C12)</f>
        <v>99.615838999999994</v>
      </c>
      <c r="D13" s="27">
        <v>100</v>
      </c>
      <c r="E13" s="26"/>
      <c r="F13" s="25">
        <f>SUM(F6:F12)</f>
        <v>99.382149999999982</v>
      </c>
      <c r="G13" s="27"/>
      <c r="H13" s="26"/>
      <c r="I13" s="25">
        <f t="shared" ref="I13:AA13" si="1">SUM(I6:I12)</f>
        <v>98.261247999999995</v>
      </c>
      <c r="J13" s="26">
        <f t="shared" si="1"/>
        <v>99.109921999999997</v>
      </c>
      <c r="K13" s="26">
        <f t="shared" si="1"/>
        <v>99.03845800000002</v>
      </c>
      <c r="L13" s="27">
        <f>SUM(K6:K12)</f>
        <v>99.03845800000002</v>
      </c>
      <c r="M13" s="26"/>
      <c r="N13" s="25">
        <f t="shared" si="1"/>
        <v>99.472473000000008</v>
      </c>
      <c r="O13" s="26">
        <f t="shared" si="1"/>
        <v>98.773713999999998</v>
      </c>
      <c r="P13" s="26">
        <f t="shared" si="1"/>
        <v>98.595745999999991</v>
      </c>
      <c r="Q13" s="26">
        <f t="shared" si="1"/>
        <v>99.666666666666671</v>
      </c>
      <c r="R13" s="31"/>
      <c r="S13" s="26">
        <f t="shared" si="1"/>
        <v>98.766090000000005</v>
      </c>
      <c r="T13" s="26">
        <f t="shared" si="1"/>
        <v>100</v>
      </c>
      <c r="U13" s="31"/>
      <c r="V13" s="25">
        <f t="shared" si="1"/>
        <v>99.413294000000022</v>
      </c>
      <c r="W13" s="26">
        <f t="shared" si="1"/>
        <v>98.885401000000002</v>
      </c>
      <c r="X13" s="26">
        <f t="shared" si="1"/>
        <v>99.085476000000014</v>
      </c>
      <c r="Y13" s="26">
        <f t="shared" si="1"/>
        <v>98.688404000000006</v>
      </c>
      <c r="Z13" s="26">
        <f t="shared" si="1"/>
        <v>98.966256000000001</v>
      </c>
      <c r="AA13" s="26">
        <f t="shared" si="1"/>
        <v>100.01005935016599</v>
      </c>
      <c r="AB13" s="31"/>
      <c r="AC13" s="28"/>
      <c r="AD13" s="4" t="s">
        <v>9</v>
      </c>
      <c r="AE13" s="25">
        <f t="shared" ref="AE13:AQ13" si="2">SUM(AE6:AE12)</f>
        <v>99.27289300000001</v>
      </c>
      <c r="AF13" s="26">
        <f t="shared" si="2"/>
        <v>99.414695999999992</v>
      </c>
      <c r="AG13" s="26">
        <v>100</v>
      </c>
      <c r="AH13" s="31"/>
      <c r="AI13" s="25">
        <f t="shared" si="2"/>
        <v>99.495185000000006</v>
      </c>
      <c r="AJ13" s="26">
        <f t="shared" si="2"/>
        <v>99.180024000000003</v>
      </c>
      <c r="AK13" s="26">
        <f t="shared" si="2"/>
        <v>99.000913000000011</v>
      </c>
      <c r="AL13" s="40">
        <v>100</v>
      </c>
      <c r="AM13" s="47"/>
      <c r="AN13" s="26">
        <f t="shared" si="2"/>
        <v>99.619771999999998</v>
      </c>
      <c r="AO13" s="27">
        <f t="shared" si="2"/>
        <v>99.393118000000001</v>
      </c>
      <c r="AP13" s="26">
        <f t="shared" si="2"/>
        <v>100</v>
      </c>
      <c r="AQ13" s="27">
        <f t="shared" si="2"/>
        <v>99.918979137127806</v>
      </c>
      <c r="AR13" s="31"/>
      <c r="AT13" s="19">
        <f>AVERAGE(AI13:AK13,AN13:AO13)</f>
        <v>99.337802400000015</v>
      </c>
      <c r="AU13" s="35">
        <v>100</v>
      </c>
      <c r="AV13" s="35"/>
      <c r="AW13" s="35">
        <v>100</v>
      </c>
      <c r="AX13" s="35"/>
      <c r="AY13" s="35">
        <v>100</v>
      </c>
      <c r="AZ13" s="54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</row>
    <row r="14" spans="1:75" x14ac:dyDescent="0.3">
      <c r="B14" s="77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78"/>
      <c r="AD14" s="77" t="s">
        <v>34</v>
      </c>
      <c r="AE14" s="15">
        <f>AE6/56/(AE10/32)</f>
        <v>0.96570570001812961</v>
      </c>
      <c r="AF14" s="15">
        <f>AF6/56/(AF10/32)</f>
        <v>0.96881268815441779</v>
      </c>
      <c r="AG14" s="15">
        <f>AG6/56/(AG10/32)</f>
        <v>1.0297482837528604</v>
      </c>
      <c r="AH14" s="44">
        <f>(AG14/AVERAGE(AE14:AF14)-1)</f>
        <v>6.4604286057593274E-2</v>
      </c>
      <c r="AI14" s="15">
        <f t="shared" ref="AI14:AK14" si="3">AI6/56/(AI10/32)</f>
        <v>0.9648495262863821</v>
      </c>
      <c r="AJ14" s="15">
        <f t="shared" si="3"/>
        <v>0.95533209880637016</v>
      </c>
      <c r="AK14" s="15">
        <f t="shared" si="3"/>
        <v>0.9567314604533792</v>
      </c>
      <c r="AL14" s="15">
        <f>AL6/56/(AL10/32)</f>
        <v>1.0147421139787554</v>
      </c>
      <c r="AM14" s="79">
        <f>AVERAGE(AK14:AL14)/AVERAGE(AI14:AJ14)-1</f>
        <v>2.6712030085646044E-2</v>
      </c>
      <c r="AN14" s="15">
        <f t="shared" ref="AN14:AQ14" si="4">AN6/56/(AN10/32)</f>
        <v>0.97433922457927358</v>
      </c>
      <c r="AO14" s="15">
        <f t="shared" si="4"/>
        <v>0.97109843221335057</v>
      </c>
      <c r="AP14" s="15">
        <f t="shared" si="4"/>
        <v>1.037465385241896</v>
      </c>
      <c r="AQ14" s="15">
        <f t="shared" si="4"/>
        <v>1.0393469387755103</v>
      </c>
      <c r="AR14" s="79">
        <f>AVERAGE(AP14:AQ14)/AVERAGE(AN14:AO14)-1</f>
        <v>6.7529620785368616E-2</v>
      </c>
      <c r="AT14" s="15">
        <f>AT6/56/(AT10/32)</f>
        <v>0.9644521756934985</v>
      </c>
      <c r="AU14" s="15">
        <f>AU6/56/(AU10/32)</f>
        <v>1.024409763905562</v>
      </c>
      <c r="AV14" s="79">
        <f>AU14/$AT14-1</f>
        <v>6.2167507859008708E-2</v>
      </c>
      <c r="AW14" s="15">
        <f>AW6/56/(AW10/32)</f>
        <v>1.0382293762575452</v>
      </c>
      <c r="AX14" s="79">
        <f>AW14/$AT14-1</f>
        <v>7.6496484142406063E-2</v>
      </c>
      <c r="AY14" s="15">
        <f>AY6/56/(AY10/32)</f>
        <v>1.0931677018633541</v>
      </c>
      <c r="AZ14" s="79">
        <f>AY14/$AT14-1</f>
        <v>0.13345972917454563</v>
      </c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</row>
    <row r="15" spans="1:75" x14ac:dyDescent="0.3">
      <c r="B15" s="7" t="s">
        <v>19</v>
      </c>
    </row>
    <row r="16" spans="1:75" x14ac:dyDescent="0.3">
      <c r="B16" s="7" t="s">
        <v>20</v>
      </c>
    </row>
    <row r="17" spans="2:2" x14ac:dyDescent="0.3">
      <c r="B17" s="7" t="s">
        <v>21</v>
      </c>
    </row>
    <row r="18" spans="2:2" x14ac:dyDescent="0.3">
      <c r="B18" s="7" t="s">
        <v>22</v>
      </c>
    </row>
  </sheetData>
  <mergeCells count="24">
    <mergeCell ref="AD2:AR2"/>
    <mergeCell ref="AN3:AR3"/>
    <mergeCell ref="V3:AB3"/>
    <mergeCell ref="C3:H3"/>
    <mergeCell ref="I3:U3"/>
    <mergeCell ref="C2:AB2"/>
    <mergeCell ref="C4:G4"/>
    <mergeCell ref="N5:P5"/>
    <mergeCell ref="I5:K5"/>
    <mergeCell ref="V5:Z5"/>
    <mergeCell ref="V4:AA4"/>
    <mergeCell ref="S4:T4"/>
    <mergeCell ref="N4:Q4"/>
    <mergeCell ref="I4:L4"/>
    <mergeCell ref="AU4:AZ4"/>
    <mergeCell ref="AE5:AF5"/>
    <mergeCell ref="AE3:AG3"/>
    <mergeCell ref="AI4:AL4"/>
    <mergeCell ref="AE4:AG4"/>
    <mergeCell ref="AI3:AM3"/>
    <mergeCell ref="AI5:AK5"/>
    <mergeCell ref="AP5:AQ5"/>
    <mergeCell ref="AN5:AO5"/>
    <mergeCell ref="AN4:A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Yang (US 3223)</dc:creator>
  <cp:lastModifiedBy>Liu, Yang (US 3223)</cp:lastModifiedBy>
  <dcterms:created xsi:type="dcterms:W3CDTF">2023-02-01T07:15:14Z</dcterms:created>
  <dcterms:modified xsi:type="dcterms:W3CDTF">2023-02-26T03:23:46Z</dcterms:modified>
</cp:coreProperties>
</file>