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yn\Documents\PhD\Systematic Review\Manuscript\Manuscript - Draft 2\"/>
    </mc:Choice>
  </mc:AlternateContent>
  <xr:revisionPtr revIDLastSave="0" documentId="13_ncr:1_{2DAD0675-7995-4ED0-BF7C-9B7159F45A39}" xr6:coauthVersionLast="47" xr6:coauthVersionMax="47" xr10:uidLastSave="{00000000-0000-0000-0000-000000000000}"/>
  <bookViews>
    <workbookView xWindow="-120" yWindow="-120" windowWidth="20730" windowHeight="11160" activeTab="2" xr2:uid="{B5780688-7811-43A3-8CA3-9BB6A33B5939}"/>
  </bookViews>
  <sheets>
    <sheet name="Study Characteristics" sheetId="2" r:id="rId1"/>
    <sheet name="Quality Checklist" sheetId="3" r:id="rId2"/>
    <sheet name="Health Disparities" sheetId="1" r:id="rId3"/>
    <sheet name="Meta-Analysis" sheetId="4" r:id="rId4"/>
  </sheets>
  <definedNames>
    <definedName name="_xlnm._FilterDatabase" localSheetId="2" hidden="1">'Health Disparities'!$A$1:$AE$98</definedName>
    <definedName name="_xlnm._FilterDatabase" localSheetId="3" hidden="1">'Meta-Analysis'!$A$1:$U$15</definedName>
    <definedName name="_xlnm._FilterDatabase" localSheetId="1" hidden="1">'Quality Checklist'!$A$1:$I$18</definedName>
    <definedName name="_xlnm._FilterDatabase" localSheetId="0" hidden="1">'Study Characteristics'!$A$1:$O$18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1" l="1"/>
  <c r="L19" i="1"/>
  <c r="L22" i="1"/>
  <c r="D14" i="4"/>
  <c r="T14" i="4"/>
  <c r="Q14" i="4"/>
  <c r="R14" i="4" s="1"/>
  <c r="M14" i="4"/>
  <c r="J14" i="4"/>
  <c r="H14" i="4"/>
  <c r="D3" i="4"/>
  <c r="D5" i="4"/>
  <c r="D4" i="4"/>
  <c r="D6" i="4"/>
  <c r="D7" i="4"/>
  <c r="D9" i="4"/>
  <c r="D8" i="4"/>
  <c r="D11" i="4"/>
  <c r="D10" i="4"/>
  <c r="D12" i="4"/>
  <c r="D13" i="4"/>
  <c r="D15" i="4"/>
  <c r="D2" i="4"/>
  <c r="I15" i="3"/>
  <c r="I16" i="3"/>
  <c r="I5" i="3"/>
  <c r="I11" i="3"/>
  <c r="I14" i="3"/>
  <c r="I6" i="3"/>
  <c r="I18" i="3"/>
  <c r="I2" i="3"/>
  <c r="I8" i="3"/>
  <c r="I9" i="3"/>
  <c r="I3" i="3"/>
  <c r="I13" i="3"/>
  <c r="I4" i="3"/>
  <c r="I17" i="3"/>
  <c r="I7" i="3"/>
  <c r="I10" i="3"/>
  <c r="I12" i="3"/>
  <c r="M10" i="2"/>
  <c r="M7" i="2"/>
  <c r="M17" i="2"/>
  <c r="M13" i="2"/>
  <c r="M3" i="2"/>
  <c r="M9" i="2"/>
  <c r="M2" i="2"/>
  <c r="M18" i="2"/>
  <c r="M6" i="2"/>
  <c r="M15" i="2"/>
  <c r="M11" i="2"/>
  <c r="M5" i="2"/>
  <c r="M16" i="2"/>
  <c r="M14" i="2"/>
  <c r="S23" i="1"/>
  <c r="V23" i="1" s="1"/>
  <c r="P23" i="1"/>
  <c r="R23" i="1" s="1"/>
  <c r="L23" i="1"/>
  <c r="I23" i="1"/>
  <c r="G23" i="1"/>
  <c r="S18" i="1"/>
  <c r="V18" i="1" s="1"/>
  <c r="P18" i="1"/>
  <c r="Q18" i="1" s="1"/>
  <c r="M18" i="1"/>
  <c r="N18" i="1" s="1"/>
  <c r="L18" i="1"/>
  <c r="I9" i="1"/>
  <c r="H9" i="1"/>
  <c r="S9" i="1" s="1"/>
  <c r="I8" i="1"/>
  <c r="H8" i="1"/>
  <c r="S8" i="1" s="1"/>
  <c r="V8" i="1" s="1"/>
  <c r="S58" i="1"/>
  <c r="V58" i="1" s="1"/>
  <c r="P58" i="1"/>
  <c r="L58" i="1"/>
  <c r="I58" i="1"/>
  <c r="G58" i="1"/>
  <c r="S57" i="1"/>
  <c r="U57" i="1" s="1"/>
  <c r="P57" i="1"/>
  <c r="R57" i="1" s="1"/>
  <c r="L57" i="1"/>
  <c r="I57" i="1"/>
  <c r="G57" i="1"/>
  <c r="U56" i="1"/>
  <c r="S56" i="1"/>
  <c r="T56" i="1" s="1"/>
  <c r="P56" i="1"/>
  <c r="R56" i="1" s="1"/>
  <c r="L56" i="1"/>
  <c r="I56" i="1"/>
  <c r="G56" i="1"/>
  <c r="S55" i="1"/>
  <c r="U55" i="1" s="1"/>
  <c r="P55" i="1"/>
  <c r="R55" i="1" s="1"/>
  <c r="L55" i="1"/>
  <c r="I55" i="1"/>
  <c r="G55" i="1"/>
  <c r="S54" i="1"/>
  <c r="U54" i="1" s="1"/>
  <c r="P54" i="1"/>
  <c r="R54" i="1" s="1"/>
  <c r="L54" i="1"/>
  <c r="I54" i="1"/>
  <c r="G54" i="1"/>
  <c r="AE53" i="1"/>
  <c r="AD53" i="1"/>
  <c r="L53" i="1"/>
  <c r="AE52" i="1"/>
  <c r="AD52" i="1"/>
  <c r="L52" i="1"/>
  <c r="L51" i="1"/>
  <c r="L50" i="1"/>
  <c r="U49" i="1"/>
  <c r="S49" i="1"/>
  <c r="T49" i="1" s="1"/>
  <c r="P49" i="1"/>
  <c r="L49" i="1"/>
  <c r="I49" i="1"/>
  <c r="M49" i="1" s="1"/>
  <c r="O49" i="1" s="1"/>
  <c r="G49" i="1"/>
  <c r="S48" i="1"/>
  <c r="V48" i="1" s="1"/>
  <c r="P48" i="1"/>
  <c r="R48" i="1" s="1"/>
  <c r="L48" i="1"/>
  <c r="I48" i="1"/>
  <c r="G48" i="1"/>
  <c r="S47" i="1"/>
  <c r="U47" i="1" s="1"/>
  <c r="P47" i="1"/>
  <c r="R47" i="1" s="1"/>
  <c r="L47" i="1"/>
  <c r="I47" i="1"/>
  <c r="G47" i="1"/>
  <c r="U46" i="1"/>
  <c r="S46" i="1"/>
  <c r="V46" i="1" s="1"/>
  <c r="P46" i="1"/>
  <c r="Q46" i="1" s="1"/>
  <c r="L46" i="1"/>
  <c r="I46" i="1"/>
  <c r="G46" i="1"/>
  <c r="S45" i="1"/>
  <c r="V45" i="1" s="1"/>
  <c r="P45" i="1"/>
  <c r="Q45" i="1" s="1"/>
  <c r="L45" i="1"/>
  <c r="I45" i="1"/>
  <c r="G45" i="1"/>
  <c r="S44" i="1"/>
  <c r="P44" i="1"/>
  <c r="R44" i="1" s="1"/>
  <c r="L44" i="1"/>
  <c r="I44" i="1"/>
  <c r="G44" i="1"/>
  <c r="S43" i="1"/>
  <c r="V43" i="1" s="1"/>
  <c r="P43" i="1"/>
  <c r="Q43" i="1" s="1"/>
  <c r="L43" i="1"/>
  <c r="I43" i="1"/>
  <c r="G43" i="1"/>
  <c r="S42" i="1"/>
  <c r="U42" i="1" s="1"/>
  <c r="Q42" i="1"/>
  <c r="P42" i="1"/>
  <c r="R42" i="1" s="1"/>
  <c r="L42" i="1"/>
  <c r="I42" i="1"/>
  <c r="G42" i="1"/>
  <c r="S41" i="1"/>
  <c r="V41" i="1" s="1"/>
  <c r="P41" i="1"/>
  <c r="L41" i="1"/>
  <c r="I41" i="1"/>
  <c r="G41" i="1"/>
  <c r="S40" i="1"/>
  <c r="T40" i="1" s="1"/>
  <c r="P40" i="1"/>
  <c r="R40" i="1" s="1"/>
  <c r="L40" i="1"/>
  <c r="I40" i="1"/>
  <c r="G40" i="1"/>
  <c r="S39" i="1"/>
  <c r="U39" i="1" s="1"/>
  <c r="P39" i="1"/>
  <c r="R39" i="1" s="1"/>
  <c r="L39" i="1"/>
  <c r="I39" i="1"/>
  <c r="G39" i="1"/>
  <c r="S38" i="1"/>
  <c r="V38" i="1" s="1"/>
  <c r="P38" i="1"/>
  <c r="Q38" i="1" s="1"/>
  <c r="L38" i="1"/>
  <c r="I38" i="1"/>
  <c r="G38" i="1"/>
  <c r="S37" i="1"/>
  <c r="V37" i="1" s="1"/>
  <c r="P37" i="1"/>
  <c r="Q37" i="1" s="1"/>
  <c r="L37" i="1"/>
  <c r="I37" i="1"/>
  <c r="G37" i="1"/>
  <c r="S36" i="1"/>
  <c r="P36" i="1"/>
  <c r="R36" i="1" s="1"/>
  <c r="L36" i="1"/>
  <c r="I36" i="1"/>
  <c r="G36" i="1"/>
  <c r="S35" i="1"/>
  <c r="V35" i="1" s="1"/>
  <c r="P35" i="1"/>
  <c r="Q35" i="1" s="1"/>
  <c r="L35" i="1"/>
  <c r="I35" i="1"/>
  <c r="G35" i="1"/>
  <c r="S34" i="1"/>
  <c r="U34" i="1" s="1"/>
  <c r="P34" i="1"/>
  <c r="R34" i="1" s="1"/>
  <c r="L34" i="1"/>
  <c r="I34" i="1"/>
  <c r="G34" i="1"/>
  <c r="S7" i="1"/>
  <c r="V7" i="1" s="1"/>
  <c r="P7" i="1"/>
  <c r="L7" i="1"/>
  <c r="I7" i="1"/>
  <c r="G7" i="1"/>
  <c r="L6" i="1"/>
  <c r="S21" i="1"/>
  <c r="U21" i="1" s="1"/>
  <c r="P21" i="1"/>
  <c r="R21" i="1" s="1"/>
  <c r="I21" i="1"/>
  <c r="M21" i="1" s="1"/>
  <c r="S20" i="1"/>
  <c r="V20" i="1" s="1"/>
  <c r="P20" i="1"/>
  <c r="Q20" i="1" s="1"/>
  <c r="I20" i="1"/>
  <c r="M20" i="1" s="1"/>
  <c r="S19" i="1"/>
  <c r="U19" i="1" s="1"/>
  <c r="P19" i="1"/>
  <c r="R19" i="1" s="1"/>
  <c r="I19" i="1"/>
  <c r="M19" i="1" s="1"/>
  <c r="S5" i="1"/>
  <c r="V5" i="1" s="1"/>
  <c r="P5" i="1"/>
  <c r="Q5" i="1" s="1"/>
  <c r="I5" i="1"/>
  <c r="G5" i="1"/>
  <c r="S4" i="1"/>
  <c r="V4" i="1" s="1"/>
  <c r="P4" i="1"/>
  <c r="I4" i="1"/>
  <c r="G4" i="1"/>
  <c r="S3" i="1"/>
  <c r="P3" i="1"/>
  <c r="I3" i="1"/>
  <c r="G3" i="1"/>
  <c r="S2" i="1"/>
  <c r="V2" i="1" s="1"/>
  <c r="P2" i="1"/>
  <c r="R2" i="1" s="1"/>
  <c r="I2" i="1"/>
  <c r="G2" i="1"/>
  <c r="K98" i="1"/>
  <c r="G98" i="1"/>
  <c r="V17" i="1"/>
  <c r="S17" i="1"/>
  <c r="P17" i="1"/>
  <c r="L17" i="1"/>
  <c r="I17" i="1"/>
  <c r="G17" i="1"/>
  <c r="K90" i="1"/>
  <c r="H90" i="1"/>
  <c r="F90" i="1"/>
  <c r="G90" i="1" s="1"/>
  <c r="K89" i="1"/>
  <c r="I89" i="1"/>
  <c r="H89" i="1"/>
  <c r="F89" i="1"/>
  <c r="K88" i="1"/>
  <c r="H88" i="1"/>
  <c r="F88" i="1"/>
  <c r="G88" i="1" s="1"/>
  <c r="K87" i="1"/>
  <c r="H87" i="1"/>
  <c r="F87" i="1"/>
  <c r="G87" i="1" s="1"/>
  <c r="K86" i="1"/>
  <c r="I86" i="1" s="1"/>
  <c r="H86" i="1"/>
  <c r="F86" i="1"/>
  <c r="K85" i="1"/>
  <c r="H85" i="1"/>
  <c r="F85" i="1"/>
  <c r="G85" i="1" s="1"/>
  <c r="K84" i="1"/>
  <c r="I84" i="1" s="1"/>
  <c r="H84" i="1"/>
  <c r="S84" i="1" s="1"/>
  <c r="F84" i="1"/>
  <c r="G84" i="1" s="1"/>
  <c r="K83" i="1"/>
  <c r="H83" i="1"/>
  <c r="F83" i="1"/>
  <c r="K82" i="1"/>
  <c r="H82" i="1"/>
  <c r="F82" i="1"/>
  <c r="G82" i="1" s="1"/>
  <c r="K81" i="1"/>
  <c r="I81" i="1" s="1"/>
  <c r="H81" i="1"/>
  <c r="F81" i="1"/>
  <c r="K80" i="1"/>
  <c r="H80" i="1"/>
  <c r="F80" i="1"/>
  <c r="G80" i="1" s="1"/>
  <c r="K79" i="1"/>
  <c r="H79" i="1"/>
  <c r="F79" i="1"/>
  <c r="G79" i="1" s="1"/>
  <c r="K78" i="1"/>
  <c r="P78" i="1" s="1"/>
  <c r="G78" i="1"/>
  <c r="K77" i="1"/>
  <c r="H28" i="1"/>
  <c r="I28" i="1" s="1"/>
  <c r="F28" i="1"/>
  <c r="P28" i="1" s="1"/>
  <c r="Q28" i="1" s="1"/>
  <c r="P27" i="1"/>
  <c r="Q27" i="1" s="1"/>
  <c r="H27" i="1"/>
  <c r="I27" i="1" s="1"/>
  <c r="G27" i="1"/>
  <c r="F27" i="1"/>
  <c r="H26" i="1"/>
  <c r="I26" i="1" s="1"/>
  <c r="F26" i="1"/>
  <c r="G26" i="1" s="1"/>
  <c r="H25" i="1"/>
  <c r="I25" i="1" s="1"/>
  <c r="F25" i="1"/>
  <c r="P25" i="1" s="1"/>
  <c r="Q25" i="1" s="1"/>
  <c r="K24" i="1"/>
  <c r="S24" i="1" s="1"/>
  <c r="T24" i="1" s="1"/>
  <c r="I24" i="1"/>
  <c r="G24" i="1"/>
  <c r="S11" i="1"/>
  <c r="U11" i="1" s="1"/>
  <c r="P11" i="1"/>
  <c r="R11" i="1" s="1"/>
  <c r="L11" i="1"/>
  <c r="I11" i="1"/>
  <c r="G11" i="1"/>
  <c r="S10" i="1"/>
  <c r="T10" i="1" s="1"/>
  <c r="P10" i="1"/>
  <c r="R10" i="1" s="1"/>
  <c r="L10" i="1"/>
  <c r="I10" i="1"/>
  <c r="G10" i="1"/>
  <c r="M10" i="1" s="1"/>
  <c r="O10" i="1" s="1"/>
  <c r="S96" i="1"/>
  <c r="T96" i="1" s="1"/>
  <c r="P96" i="1"/>
  <c r="R96" i="1" s="1"/>
  <c r="L96" i="1"/>
  <c r="I96" i="1"/>
  <c r="G96" i="1"/>
  <c r="S95" i="1"/>
  <c r="U95" i="1" s="1"/>
  <c r="P95" i="1"/>
  <c r="R95" i="1" s="1"/>
  <c r="L95" i="1"/>
  <c r="I95" i="1"/>
  <c r="G95" i="1"/>
  <c r="S94" i="1"/>
  <c r="T94" i="1" s="1"/>
  <c r="P94" i="1"/>
  <c r="Q94" i="1" s="1"/>
  <c r="L94" i="1"/>
  <c r="I94" i="1"/>
  <c r="G94" i="1"/>
  <c r="S93" i="1"/>
  <c r="T93" i="1" s="1"/>
  <c r="P93" i="1"/>
  <c r="R93" i="1" s="1"/>
  <c r="L93" i="1"/>
  <c r="I93" i="1"/>
  <c r="G93" i="1"/>
  <c r="S92" i="1"/>
  <c r="V92" i="1" s="1"/>
  <c r="P92" i="1"/>
  <c r="R92" i="1" s="1"/>
  <c r="L92" i="1"/>
  <c r="I92" i="1"/>
  <c r="G92" i="1"/>
  <c r="S91" i="1"/>
  <c r="V91" i="1" s="1"/>
  <c r="P91" i="1"/>
  <c r="Q91" i="1" s="1"/>
  <c r="L91" i="1"/>
  <c r="I91" i="1"/>
  <c r="G91" i="1"/>
  <c r="S76" i="1"/>
  <c r="U76" i="1" s="1"/>
  <c r="P76" i="1"/>
  <c r="Q76" i="1" s="1"/>
  <c r="I76" i="1"/>
  <c r="G76" i="1"/>
  <c r="S75" i="1"/>
  <c r="V75" i="1" s="1"/>
  <c r="P75" i="1"/>
  <c r="R75" i="1" s="1"/>
  <c r="L75" i="1"/>
  <c r="I75" i="1"/>
  <c r="G75" i="1"/>
  <c r="L74" i="1"/>
  <c r="S73" i="1"/>
  <c r="U73" i="1" s="1"/>
  <c r="P73" i="1"/>
  <c r="R73" i="1" s="1"/>
  <c r="L73" i="1"/>
  <c r="I73" i="1"/>
  <c r="G73" i="1"/>
  <c r="S72" i="1"/>
  <c r="T72" i="1" s="1"/>
  <c r="P72" i="1"/>
  <c r="Q72" i="1" s="1"/>
  <c r="L72" i="1"/>
  <c r="I72" i="1"/>
  <c r="G72" i="1"/>
  <c r="S71" i="1"/>
  <c r="V71" i="1" s="1"/>
  <c r="P71" i="1"/>
  <c r="R71" i="1" s="1"/>
  <c r="L71" i="1"/>
  <c r="I71" i="1"/>
  <c r="G71" i="1"/>
  <c r="S70" i="1"/>
  <c r="V70" i="1" s="1"/>
  <c r="P70" i="1"/>
  <c r="R70" i="1" s="1"/>
  <c r="L70" i="1"/>
  <c r="I70" i="1"/>
  <c r="G70" i="1"/>
  <c r="S69" i="1"/>
  <c r="V69" i="1" s="1"/>
  <c r="P69" i="1"/>
  <c r="Q69" i="1" s="1"/>
  <c r="L69" i="1"/>
  <c r="I69" i="1"/>
  <c r="G69" i="1"/>
  <c r="S68" i="1"/>
  <c r="U68" i="1" s="1"/>
  <c r="P68" i="1"/>
  <c r="R68" i="1" s="1"/>
  <c r="L68" i="1"/>
  <c r="I68" i="1"/>
  <c r="G68" i="1"/>
  <c r="S67" i="1"/>
  <c r="T67" i="1" s="1"/>
  <c r="P67" i="1"/>
  <c r="Q67" i="1" s="1"/>
  <c r="L67" i="1"/>
  <c r="I67" i="1"/>
  <c r="G67" i="1"/>
  <c r="S66" i="1"/>
  <c r="V66" i="1" s="1"/>
  <c r="P66" i="1"/>
  <c r="R66" i="1" s="1"/>
  <c r="L66" i="1"/>
  <c r="I66" i="1"/>
  <c r="G66" i="1"/>
  <c r="S65" i="1"/>
  <c r="U65" i="1" s="1"/>
  <c r="P65" i="1"/>
  <c r="R65" i="1" s="1"/>
  <c r="L65" i="1"/>
  <c r="I65" i="1"/>
  <c r="G65" i="1"/>
  <c r="S64" i="1"/>
  <c r="T64" i="1" s="1"/>
  <c r="P64" i="1"/>
  <c r="Q64" i="1" s="1"/>
  <c r="L64" i="1"/>
  <c r="I64" i="1"/>
  <c r="G64" i="1"/>
  <c r="S63" i="1"/>
  <c r="V63" i="1" s="1"/>
  <c r="P63" i="1"/>
  <c r="Q63" i="1" s="1"/>
  <c r="L63" i="1"/>
  <c r="I63" i="1"/>
  <c r="G63" i="1"/>
  <c r="S62" i="1"/>
  <c r="V62" i="1" s="1"/>
  <c r="P62" i="1"/>
  <c r="R62" i="1" s="1"/>
  <c r="L62" i="1"/>
  <c r="I62" i="1"/>
  <c r="G62" i="1"/>
  <c r="S61" i="1"/>
  <c r="V61" i="1" s="1"/>
  <c r="P61" i="1"/>
  <c r="Q61" i="1" s="1"/>
  <c r="L61" i="1"/>
  <c r="I61" i="1"/>
  <c r="G61" i="1"/>
  <c r="S60" i="1"/>
  <c r="U60" i="1" s="1"/>
  <c r="P60" i="1"/>
  <c r="Q60" i="1" s="1"/>
  <c r="L60" i="1"/>
  <c r="I60" i="1"/>
  <c r="G60" i="1"/>
  <c r="S59" i="1"/>
  <c r="U59" i="1" s="1"/>
  <c r="P59" i="1"/>
  <c r="Q59" i="1" s="1"/>
  <c r="L59" i="1"/>
  <c r="I59" i="1"/>
  <c r="G59" i="1"/>
  <c r="S33" i="1"/>
  <c r="V33" i="1" s="1"/>
  <c r="P33" i="1"/>
  <c r="R33" i="1" s="1"/>
  <c r="I33" i="1"/>
  <c r="G33" i="1"/>
  <c r="S32" i="1"/>
  <c r="V32" i="1" s="1"/>
  <c r="P32" i="1"/>
  <c r="R32" i="1" s="1"/>
  <c r="I32" i="1"/>
  <c r="G32" i="1"/>
  <c r="S31" i="1"/>
  <c r="V31" i="1" s="1"/>
  <c r="P31" i="1"/>
  <c r="R31" i="1" s="1"/>
  <c r="I31" i="1"/>
  <c r="G31" i="1"/>
  <c r="S30" i="1"/>
  <c r="V30" i="1" s="1"/>
  <c r="P30" i="1"/>
  <c r="Q30" i="1" s="1"/>
  <c r="I30" i="1"/>
  <c r="G30" i="1"/>
  <c r="S29" i="1"/>
  <c r="T29" i="1" s="1"/>
  <c r="P29" i="1"/>
  <c r="R29" i="1" s="1"/>
  <c r="M29" i="1"/>
  <c r="N29" i="1" s="1"/>
  <c r="M69" i="1" l="1"/>
  <c r="N69" i="1" s="1"/>
  <c r="R5" i="1"/>
  <c r="M71" i="1"/>
  <c r="O71" i="1" s="1"/>
  <c r="M94" i="1"/>
  <c r="S82" i="1"/>
  <c r="U82" i="1" s="1"/>
  <c r="R60" i="1"/>
  <c r="M38" i="1"/>
  <c r="R64" i="1"/>
  <c r="R67" i="1"/>
  <c r="T30" i="1"/>
  <c r="Q2" i="1"/>
  <c r="M47" i="1"/>
  <c r="O47" i="1" s="1"/>
  <c r="M54" i="1"/>
  <c r="M63" i="1"/>
  <c r="T92" i="1"/>
  <c r="M96" i="1"/>
  <c r="N96" i="1" s="1"/>
  <c r="T21" i="1"/>
  <c r="M56" i="1"/>
  <c r="O56" i="1" s="1"/>
  <c r="M60" i="1"/>
  <c r="O60" i="1" s="1"/>
  <c r="M66" i="1"/>
  <c r="M65" i="1"/>
  <c r="O65" i="1" s="1"/>
  <c r="U67" i="1"/>
  <c r="P86" i="1"/>
  <c r="R86" i="1" s="1"/>
  <c r="V34" i="1"/>
  <c r="V40" i="1"/>
  <c r="R43" i="1"/>
  <c r="U40" i="1"/>
  <c r="V93" i="1"/>
  <c r="U96" i="1"/>
  <c r="M26" i="1"/>
  <c r="O26" i="1" s="1"/>
  <c r="M2" i="1"/>
  <c r="O2" i="1" s="1"/>
  <c r="R37" i="1"/>
  <c r="U38" i="1"/>
  <c r="R18" i="1"/>
  <c r="M31" i="1"/>
  <c r="O31" i="1" s="1"/>
  <c r="T32" i="1"/>
  <c r="U64" i="1"/>
  <c r="M93" i="1"/>
  <c r="O93" i="1" s="1"/>
  <c r="M39" i="1"/>
  <c r="O39" i="1" s="1"/>
  <c r="Q40" i="1"/>
  <c r="M55" i="1"/>
  <c r="O55" i="1" s="1"/>
  <c r="U32" i="1"/>
  <c r="U29" i="1"/>
  <c r="M64" i="1"/>
  <c r="N64" i="1" s="1"/>
  <c r="R76" i="1"/>
  <c r="S79" i="1"/>
  <c r="V79" i="1" s="1"/>
  <c r="M37" i="1"/>
  <c r="N37" i="1" s="1"/>
  <c r="U41" i="1"/>
  <c r="T42" i="1"/>
  <c r="M44" i="1"/>
  <c r="R45" i="1"/>
  <c r="T76" i="1"/>
  <c r="R38" i="1"/>
  <c r="M46" i="1"/>
  <c r="N46" i="1" s="1"/>
  <c r="T55" i="1"/>
  <c r="M57" i="1"/>
  <c r="O57" i="1" s="1"/>
  <c r="O18" i="1"/>
  <c r="T59" i="1"/>
  <c r="M70" i="1"/>
  <c r="O70" i="1" s="1"/>
  <c r="U93" i="1"/>
  <c r="S80" i="1"/>
  <c r="T80" i="1" s="1"/>
  <c r="N14" i="4"/>
  <c r="O14" i="4" s="1"/>
  <c r="S14" i="4"/>
  <c r="Q68" i="1"/>
  <c r="M72" i="1"/>
  <c r="N72" i="1" s="1"/>
  <c r="Q73" i="1"/>
  <c r="T91" i="1"/>
  <c r="P24" i="1"/>
  <c r="Q24" i="1" s="1"/>
  <c r="U5" i="1"/>
  <c r="R35" i="1"/>
  <c r="T37" i="1"/>
  <c r="V57" i="1"/>
  <c r="M30" i="1"/>
  <c r="O30" i="1" s="1"/>
  <c r="M33" i="1"/>
  <c r="V64" i="1"/>
  <c r="V68" i="1"/>
  <c r="Q71" i="1"/>
  <c r="T73" i="1"/>
  <c r="U75" i="1"/>
  <c r="M92" i="1"/>
  <c r="O92" i="1" s="1"/>
  <c r="V96" i="1"/>
  <c r="S90" i="1"/>
  <c r="U4" i="1"/>
  <c r="T35" i="1"/>
  <c r="M41" i="1"/>
  <c r="O41" i="1" s="1"/>
  <c r="M45" i="1"/>
  <c r="N45" i="1" s="1"/>
  <c r="Q48" i="1"/>
  <c r="T54" i="1"/>
  <c r="V55" i="1"/>
  <c r="V56" i="1"/>
  <c r="P9" i="1"/>
  <c r="R9" i="1" s="1"/>
  <c r="U37" i="1"/>
  <c r="V73" i="1"/>
  <c r="G28" i="1"/>
  <c r="M28" i="1" s="1"/>
  <c r="O28" i="1" s="1"/>
  <c r="Q19" i="1"/>
  <c r="Q21" i="1"/>
  <c r="U35" i="1"/>
  <c r="V54" i="1"/>
  <c r="U91" i="1"/>
  <c r="V59" i="1"/>
  <c r="M61" i="1"/>
  <c r="N61" i="1" s="1"/>
  <c r="U62" i="1"/>
  <c r="T71" i="1"/>
  <c r="R94" i="1"/>
  <c r="P84" i="1"/>
  <c r="Q84" i="1" s="1"/>
  <c r="S89" i="1"/>
  <c r="M17" i="1"/>
  <c r="O17" i="1" s="1"/>
  <c r="U7" i="1"/>
  <c r="R46" i="1"/>
  <c r="V47" i="1"/>
  <c r="T48" i="1"/>
  <c r="M59" i="1"/>
  <c r="O59" i="1" s="1"/>
  <c r="U71" i="1"/>
  <c r="R91" i="1"/>
  <c r="S28" i="1"/>
  <c r="T28" i="1" s="1"/>
  <c r="M48" i="1"/>
  <c r="N48" i="1" s="1"/>
  <c r="O63" i="1"/>
  <c r="N63" i="1"/>
  <c r="O72" i="1"/>
  <c r="O64" i="1"/>
  <c r="N66" i="1"/>
  <c r="O66" i="1"/>
  <c r="Q11" i="1"/>
  <c r="P26" i="1"/>
  <c r="Q26" i="1" s="1"/>
  <c r="I79" i="1"/>
  <c r="M79" i="1" s="1"/>
  <c r="G86" i="1"/>
  <c r="M86" i="1" s="1"/>
  <c r="O29" i="1"/>
  <c r="M32" i="1"/>
  <c r="O32" i="1" s="1"/>
  <c r="V60" i="1"/>
  <c r="R63" i="1"/>
  <c r="V65" i="1"/>
  <c r="Q66" i="1"/>
  <c r="N71" i="1"/>
  <c r="R72" i="1"/>
  <c r="M76" i="1"/>
  <c r="O76" i="1" s="1"/>
  <c r="M91" i="1"/>
  <c r="Q93" i="1"/>
  <c r="V10" i="1"/>
  <c r="M24" i="1"/>
  <c r="O24" i="1" s="1"/>
  <c r="S26" i="1"/>
  <c r="T26" i="1" s="1"/>
  <c r="I80" i="1"/>
  <c r="M80" i="1" s="1"/>
  <c r="P87" i="1"/>
  <c r="Q87" i="1" s="1"/>
  <c r="I90" i="1"/>
  <c r="M90" i="1" s="1"/>
  <c r="R20" i="1"/>
  <c r="M35" i="1"/>
  <c r="O35" i="1" s="1"/>
  <c r="Q39" i="1"/>
  <c r="M42" i="1"/>
  <c r="O42" i="1" s="1"/>
  <c r="V42" i="1"/>
  <c r="T43" i="1"/>
  <c r="T45" i="1"/>
  <c r="N47" i="1"/>
  <c r="U48" i="1"/>
  <c r="Q57" i="1"/>
  <c r="P8" i="1"/>
  <c r="U45" i="1"/>
  <c r="G25" i="1"/>
  <c r="M25" i="1" s="1"/>
  <c r="U43" i="1"/>
  <c r="Q29" i="1"/>
  <c r="R30" i="1"/>
  <c r="Q31" i="1"/>
  <c r="Q33" i="1"/>
  <c r="R59" i="1"/>
  <c r="M62" i="1"/>
  <c r="O62" i="1" s="1"/>
  <c r="T63" i="1"/>
  <c r="T66" i="1"/>
  <c r="U70" i="1"/>
  <c r="U72" i="1"/>
  <c r="Q96" i="1"/>
  <c r="M11" i="1"/>
  <c r="S78" i="1"/>
  <c r="P79" i="1"/>
  <c r="Q79" i="1" s="1"/>
  <c r="T19" i="1"/>
  <c r="U20" i="1"/>
  <c r="V21" i="1"/>
  <c r="Q34" i="1"/>
  <c r="M36" i="1"/>
  <c r="N36" i="1" s="1"/>
  <c r="V39" i="1"/>
  <c r="M43" i="1"/>
  <c r="N43" i="1" s="1"/>
  <c r="Q47" i="1"/>
  <c r="V49" i="1"/>
  <c r="T58" i="1"/>
  <c r="M23" i="1"/>
  <c r="N23" i="1" s="1"/>
  <c r="T65" i="1"/>
  <c r="Q92" i="1"/>
  <c r="U63" i="1"/>
  <c r="U66" i="1"/>
  <c r="V72" i="1"/>
  <c r="S86" i="1"/>
  <c r="U86" i="1" s="1"/>
  <c r="P89" i="1"/>
  <c r="Q89" i="1" s="1"/>
  <c r="V19" i="1"/>
  <c r="U58" i="1"/>
  <c r="P83" i="1"/>
  <c r="R83" i="1" s="1"/>
  <c r="M40" i="1"/>
  <c r="U10" i="1"/>
  <c r="V29" i="1"/>
  <c r="U31" i="1"/>
  <c r="Q65" i="1"/>
  <c r="M67" i="1"/>
  <c r="N67" i="1" s="1"/>
  <c r="M68" i="1"/>
  <c r="O68" i="1" s="1"/>
  <c r="M73" i="1"/>
  <c r="O73" i="1" s="1"/>
  <c r="T75" i="1"/>
  <c r="V94" i="1"/>
  <c r="M27" i="1"/>
  <c r="O27" i="1" s="1"/>
  <c r="P80" i="1"/>
  <c r="R80" i="1" s="1"/>
  <c r="G83" i="1"/>
  <c r="M84" i="1"/>
  <c r="O84" i="1" s="1"/>
  <c r="I88" i="1"/>
  <c r="M88" i="1" s="1"/>
  <c r="T34" i="1"/>
  <c r="M58" i="1"/>
  <c r="N58" i="1" s="1"/>
  <c r="M34" i="1"/>
  <c r="N34" i="1" s="1"/>
  <c r="N30" i="1"/>
  <c r="N70" i="1"/>
  <c r="N91" i="1"/>
  <c r="O91" i="1"/>
  <c r="O33" i="1"/>
  <c r="N33" i="1"/>
  <c r="R78" i="1"/>
  <c r="Q78" i="1"/>
  <c r="O94" i="1"/>
  <c r="N94" i="1"/>
  <c r="P85" i="1"/>
  <c r="R41" i="1"/>
  <c r="Q41" i="1"/>
  <c r="O46" i="1"/>
  <c r="T31" i="1"/>
  <c r="T60" i="1"/>
  <c r="T62" i="1"/>
  <c r="T68" i="1"/>
  <c r="O69" i="1"/>
  <c r="T70" i="1"/>
  <c r="U94" i="1"/>
  <c r="R24" i="1"/>
  <c r="R28" i="1"/>
  <c r="G81" i="1"/>
  <c r="M81" i="1" s="1"/>
  <c r="T90" i="1"/>
  <c r="V90" i="1"/>
  <c r="U9" i="1"/>
  <c r="T9" i="1"/>
  <c r="V9" i="1"/>
  <c r="O23" i="1"/>
  <c r="N31" i="1"/>
  <c r="Q32" i="1"/>
  <c r="T33" i="1"/>
  <c r="R61" i="1"/>
  <c r="R69" i="1"/>
  <c r="Q95" i="1"/>
  <c r="N10" i="1"/>
  <c r="U24" i="1"/>
  <c r="U28" i="1"/>
  <c r="I78" i="1"/>
  <c r="M78" i="1" s="1"/>
  <c r="R84" i="1"/>
  <c r="I85" i="1"/>
  <c r="M85" i="1" s="1"/>
  <c r="S98" i="1"/>
  <c r="I98" i="1"/>
  <c r="M98" i="1" s="1"/>
  <c r="P98" i="1"/>
  <c r="O34" i="1"/>
  <c r="O44" i="1"/>
  <c r="N44" i="1"/>
  <c r="R49" i="1"/>
  <c r="Q49" i="1"/>
  <c r="R4" i="1"/>
  <c r="Q4" i="1"/>
  <c r="U33" i="1"/>
  <c r="V24" i="1"/>
  <c r="V28" i="1"/>
  <c r="T82" i="1"/>
  <c r="V82" i="1"/>
  <c r="V84" i="1"/>
  <c r="T84" i="1"/>
  <c r="U89" i="1"/>
  <c r="T89" i="1"/>
  <c r="R3" i="1"/>
  <c r="Q3" i="1"/>
  <c r="U36" i="1"/>
  <c r="T36" i="1"/>
  <c r="V36" i="1"/>
  <c r="S85" i="1"/>
  <c r="O54" i="1"/>
  <c r="N54" i="1"/>
  <c r="U30" i="1"/>
  <c r="T61" i="1"/>
  <c r="V67" i="1"/>
  <c r="T69" i="1"/>
  <c r="Q75" i="1"/>
  <c r="V76" i="1"/>
  <c r="U92" i="1"/>
  <c r="M95" i="1"/>
  <c r="T95" i="1"/>
  <c r="O96" i="1"/>
  <c r="Q10" i="1"/>
  <c r="T11" i="1"/>
  <c r="R25" i="1"/>
  <c r="R27" i="1"/>
  <c r="I82" i="1"/>
  <c r="M82" i="1" s="1"/>
  <c r="U84" i="1"/>
  <c r="S87" i="1"/>
  <c r="I87" i="1"/>
  <c r="M87" i="1" s="1"/>
  <c r="P88" i="1"/>
  <c r="V89" i="1"/>
  <c r="R17" i="1"/>
  <c r="Q17" i="1"/>
  <c r="U3" i="1"/>
  <c r="T3" i="1"/>
  <c r="V3" i="1"/>
  <c r="O21" i="1"/>
  <c r="N21" i="1"/>
  <c r="U61" i="1"/>
  <c r="U69" i="1"/>
  <c r="V95" i="1"/>
  <c r="V11" i="1"/>
  <c r="S25" i="1"/>
  <c r="S27" i="1"/>
  <c r="P81" i="1"/>
  <c r="G89" i="1"/>
  <c r="M89" i="1" s="1"/>
  <c r="U90" i="1"/>
  <c r="U17" i="1"/>
  <c r="T17" i="1"/>
  <c r="U2" i="1"/>
  <c r="T2" i="1"/>
  <c r="O19" i="1"/>
  <c r="N19" i="1"/>
  <c r="R7" i="1"/>
  <c r="Q7" i="1"/>
  <c r="O38" i="1"/>
  <c r="N38" i="1"/>
  <c r="U44" i="1"/>
  <c r="T44" i="1"/>
  <c r="V44" i="1"/>
  <c r="O58" i="1"/>
  <c r="Q62" i="1"/>
  <c r="Q70" i="1"/>
  <c r="S81" i="1"/>
  <c r="S83" i="1"/>
  <c r="I83" i="1"/>
  <c r="S88" i="1"/>
  <c r="O20" i="1"/>
  <c r="N20" i="1"/>
  <c r="N56" i="1"/>
  <c r="T4" i="1"/>
  <c r="T7" i="1"/>
  <c r="T41" i="1"/>
  <c r="Q23" i="1"/>
  <c r="P82" i="1"/>
  <c r="P90" i="1"/>
  <c r="Q36" i="1"/>
  <c r="T39" i="1"/>
  <c r="Q44" i="1"/>
  <c r="T47" i="1"/>
  <c r="N49" i="1"/>
  <c r="Q56" i="1"/>
  <c r="T5" i="1"/>
  <c r="T20" i="1"/>
  <c r="T38" i="1"/>
  <c r="T46" i="1"/>
  <c r="Q55" i="1"/>
  <c r="T8" i="1"/>
  <c r="T23" i="1"/>
  <c r="Q54" i="1"/>
  <c r="T57" i="1"/>
  <c r="U8" i="1"/>
  <c r="T18" i="1"/>
  <c r="U23" i="1"/>
  <c r="U18" i="1"/>
  <c r="N59" i="1" l="1"/>
  <c r="Q83" i="1"/>
  <c r="N32" i="1"/>
  <c r="M83" i="1"/>
  <c r="N57" i="1"/>
  <c r="N73" i="1"/>
  <c r="O36" i="1"/>
  <c r="Q86" i="1"/>
  <c r="N2" i="1"/>
  <c r="O37" i="1"/>
  <c r="N65" i="1"/>
  <c r="N26" i="1"/>
  <c r="N35" i="1"/>
  <c r="U79" i="1"/>
  <c r="N93" i="1"/>
  <c r="T79" i="1"/>
  <c r="N39" i="1"/>
  <c r="N60" i="1"/>
  <c r="O90" i="1"/>
  <c r="N90" i="1"/>
  <c r="U80" i="1"/>
  <c r="N76" i="1"/>
  <c r="N92" i="1"/>
  <c r="N42" i="1"/>
  <c r="N55" i="1"/>
  <c r="V80" i="1"/>
  <c r="Q9" i="1"/>
  <c r="N17" i="1"/>
  <c r="R89" i="1"/>
  <c r="N24" i="1"/>
  <c r="P14" i="4"/>
  <c r="N84" i="1"/>
  <c r="V86" i="1"/>
  <c r="N28" i="1"/>
  <c r="R87" i="1"/>
  <c r="O67" i="1"/>
  <c r="Q80" i="1"/>
  <c r="O45" i="1"/>
  <c r="O48" i="1"/>
  <c r="O61" i="1"/>
  <c r="T86" i="1"/>
  <c r="N41" i="1"/>
  <c r="N79" i="1"/>
  <c r="O79" i="1"/>
  <c r="O25" i="1"/>
  <c r="N25" i="1"/>
  <c r="N80" i="1"/>
  <c r="O80" i="1"/>
  <c r="N40" i="1"/>
  <c r="O40" i="1"/>
  <c r="N11" i="1"/>
  <c r="O11" i="1"/>
  <c r="R79" i="1"/>
  <c r="Q8" i="1"/>
  <c r="R8" i="1"/>
  <c r="U78" i="1"/>
  <c r="V78" i="1"/>
  <c r="N68" i="1"/>
  <c r="O43" i="1"/>
  <c r="N62" i="1"/>
  <c r="V26" i="1"/>
  <c r="N27" i="1"/>
  <c r="R26" i="1"/>
  <c r="T78" i="1"/>
  <c r="U26" i="1"/>
  <c r="N82" i="1"/>
  <c r="O82" i="1"/>
  <c r="O81" i="1"/>
  <c r="N81" i="1"/>
  <c r="O89" i="1"/>
  <c r="N89" i="1"/>
  <c r="O83" i="1"/>
  <c r="N83" i="1"/>
  <c r="O86" i="1"/>
  <c r="N86" i="1"/>
  <c r="Q90" i="1"/>
  <c r="R90" i="1"/>
  <c r="U83" i="1"/>
  <c r="T83" i="1"/>
  <c r="V83" i="1"/>
  <c r="R88" i="1"/>
  <c r="Q88" i="1"/>
  <c r="O78" i="1"/>
  <c r="N78" i="1"/>
  <c r="R98" i="1"/>
  <c r="Q98" i="1"/>
  <c r="Q85" i="1"/>
  <c r="R85" i="1"/>
  <c r="Q82" i="1"/>
  <c r="R82" i="1"/>
  <c r="U81" i="1"/>
  <c r="T81" i="1"/>
  <c r="V81" i="1"/>
  <c r="N88" i="1"/>
  <c r="O88" i="1"/>
  <c r="V87" i="1"/>
  <c r="T87" i="1"/>
  <c r="U87" i="1"/>
  <c r="V85" i="1"/>
  <c r="U85" i="1"/>
  <c r="T85" i="1"/>
  <c r="V98" i="1"/>
  <c r="U98" i="1"/>
  <c r="T98" i="1"/>
  <c r="V88" i="1"/>
  <c r="U88" i="1"/>
  <c r="T88" i="1"/>
  <c r="O87" i="1"/>
  <c r="N87" i="1"/>
  <c r="R81" i="1"/>
  <c r="Q81" i="1"/>
  <c r="N98" i="1"/>
  <c r="O98" i="1"/>
  <c r="N85" i="1"/>
  <c r="O85" i="1"/>
  <c r="T27" i="1"/>
  <c r="U27" i="1"/>
  <c r="V27" i="1"/>
  <c r="T25" i="1"/>
  <c r="U25" i="1"/>
  <c r="V25" i="1"/>
  <c r="O95" i="1"/>
  <c r="N9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tc={AB35E587-8EE7-423F-965E-093AF4820D18}</author>
  </authors>
  <commentList>
    <comment ref="J1" authorId="0" shapeId="0" xr:uid="{AB35E587-8EE7-423F-965E-093AF4820D18}">
      <text>
        <t>[Threaded comment]
Your version of Excel allows you to read this threaded comment; however, any edits to it will get removed if the file is opened in a newer version of Excel. Learn more: https://go.microsoft.com/fwlink/?linkid=870924
Comment:
    Reference: https://www.cdc.gov/globalhealth/healthprotection/fetp/training_modules/19/desc-and-analytic-studies_ppt_final_09252013.pdf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tc={09060EBE-711A-4255-A510-F8CEE37B1229}</author>
    <author>tc={866DA425-1BA3-48A8-A058-D2B97262EFA9}</author>
  </authors>
  <commentList>
    <comment ref="D8" authorId="0" shapeId="0" xr:uid="{09060EBE-711A-4255-A510-F8CEE37B1229}">
      <text>
        <t>[Threaded comment]
Your version of Excel allows you to read this threaded comment; however, any edits to it will get removed if the file is opened in a newer version of Excel. Learn more: https://go.microsoft.com/fwlink/?linkid=870924
Comment:
    All patients checking in over a 2-week period</t>
      </text>
    </comment>
    <comment ref="B14" authorId="1" shapeId="0" xr:uid="{866DA425-1BA3-48A8-A058-D2B97262EFA9}">
      <text>
        <t>[Threaded comment]
Your version of Excel allows you to read this threaded comment; however, any edits to it will get removed if the file is opened in a newer version of Excel. Learn more: https://go.microsoft.com/fwlink/?linkid=870924
Comment:
    Note: Objective Data likely overlaps with O'Brien et al. 2022 and is not reported in manuscript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tc={733C96F8-407F-4BEC-98AA-D7D553BA10EA}</author>
    <author>tc={EA00972A-1D21-4422-A069-FC73174593CF}</author>
    <author>tc={278610FB-A980-45FF-BC9D-180178FD11F6}</author>
    <author>tc={55D2972A-2DEC-45E4-BBC1-A686D9B8075B}</author>
    <author>tc={D34FF68F-97DC-4E19-B2B0-34AE13A690DB}</author>
    <author>tc={64C5EC6D-C51F-4ECF-9DA5-ABD9888BEEF2}</author>
    <author>tc={55A2A6F0-1B25-47A5-87D3-28C40BCFABCD}</author>
    <author>tc={C43184AD-6DFF-4BE4-BEC2-3D6211E5DE5E}</author>
    <author>tc={6785C712-CB89-43C1-B305-EA9E17611D71}</author>
    <author>tc={4D534892-7C5D-4A53-9C1B-DC82DCD2DB5F}</author>
    <author>tc={565BA369-19D5-4F9A-B987-FF9FD2083FE1}</author>
    <author>tc={29C7F7EF-DDD5-4274-979E-E211969BFEF1}</author>
    <author>tc={6C05BBEC-764C-4146-A832-A432463C4C65}</author>
    <author>tc={1B3E48C7-4FB2-47DA-BA6E-E6C90F19D48C}</author>
    <author>tc={EAF36E81-A457-4C9A-B494-8F40B1185A2D}</author>
    <author>tc={B2EFAAC7-97F6-4EC3-9CAF-B29265A16204}</author>
    <author>tc={F0F6C6E0-EF4A-4519-BFE2-39CE564AFC3B}</author>
    <author>tc={A2DC4B41-7226-49F9-AF60-874753555591}</author>
    <author>tc={5B75A15B-5EDB-44F0-957C-5878AFE2720E}</author>
    <author>tc={828A72C7-4E5C-4210-AB7E-472A83D54784}</author>
    <author>tc={8DBDC1E2-6CFF-4D4A-9EFE-06CFBC9CAF9F}</author>
    <author>tc={C6EED4BA-A43B-44EE-A301-38D9F620A126}</author>
    <author>tc={DEBA3805-3C87-40AC-BCDB-8D0160D6F927}</author>
    <author>tc={04DACC5B-3E80-432D-BA61-4FCCD7D5AC4C}</author>
    <author>tc={AB8CE4F7-6AE4-4A4B-B9C0-EB814C312B41}</author>
    <author>tc={09CA6C4F-36CF-4E82-9B3A-3101E417CE9E}</author>
    <author>tc={DBF721B4-F2A0-432E-B6D3-19E4796CDE9A}</author>
    <author>tc={2ACCF80F-C453-4955-B4D2-F482AD174C6D}</author>
    <author>tc={0132F903-8231-42BE-A07F-1BED37ADF058}</author>
    <author>tc={5C741402-DB9A-4602-8F7E-8794E75F866B}</author>
    <author>tc={6567FB30-9B70-4B7E-B751-9F0591C19297}</author>
  </authors>
  <commentList>
    <comment ref="E2" authorId="0" shapeId="0" xr:uid="{733C96F8-407F-4BEC-98AA-D7D553BA10EA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self-harm presentation, not individual person. Possible to have repeat visits.</t>
      </text>
    </comment>
    <comment ref="E3" authorId="1" shapeId="0" xr:uid="{EA00972A-1D21-4422-A069-FC73174593CF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self-harm presentation, not individual person. Possible to have repeat visits.</t>
      </text>
    </comment>
    <comment ref="E4" authorId="2" shapeId="0" xr:uid="{278610FB-A980-45FF-BC9D-180178FD11F6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self-harm presentation, not individual person. Possible to have repeat visits.</t>
      </text>
    </comment>
    <comment ref="E5" authorId="3" shapeId="0" xr:uid="{55D2972A-2DEC-45E4-BBC1-A686D9B8075B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self-harm presentation, not individual person. Possible to have repeat visits.</t>
      </text>
    </comment>
    <comment ref="F5" authorId="4" shapeId="0" xr:uid="{D34FF68F-97DC-4E19-B2B0-34AE13A690DB}">
      <text>
        <t>[Threaded comment]
Your version of Excel allows you to read this threaded comment; however, any edits to it will get removed if the file is opened in a newer version of Excel. Learn more: https://go.microsoft.com/fwlink/?linkid=870924
Comment:
    Error in Number reported in Table 1 (went by percentages reported instead)</t>
      </text>
    </comment>
    <comment ref="H5" authorId="5" shapeId="0" xr:uid="{64C5EC6D-C51F-4ECF-9DA5-ABD9888BEEF2}">
      <text>
        <t>[Threaded comment]
Your version of Excel allows you to read this threaded comment; however, any edits to it will get removed if the file is opened in a newer version of Excel. Learn more: https://go.microsoft.com/fwlink/?linkid=870924
Comment:
    Error in Number reported in Table 1 (went by percentages reported instead)</t>
      </text>
    </comment>
    <comment ref="E6" authorId="6" shapeId="0" xr:uid="{55A2A6F0-1B25-47A5-87D3-28C40BCFABCD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ED self-harm presentation, NOT by person. One individual can have multiple presentations.</t>
      </text>
    </comment>
    <comment ref="W6" authorId="7" shapeId="0" xr:uid="{C43184AD-6DFF-4BE4-BEC2-3D6211E5DE5E}">
      <text>
        <t>[Threaded comment]
Your version of Excel allows you to read this threaded comment; however, any edits to it will get removed if the file is opened in a newer version of Excel. Learn more: https://go.microsoft.com/fwlink/?linkid=870924
Comment:
    "A general increase in the percentage of self-harm presentations among the homeless was observed from 2010 (2.5%; N=305) to 2014 (4.6%; N=513)."</t>
      </text>
    </comment>
    <comment ref="E7" authorId="8" shapeId="0" xr:uid="{6785C712-CB89-43C1-B305-EA9E17611D71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ED self-harm presentation, NOT by person. One individual can have multiple presentations.</t>
      </text>
    </comment>
    <comment ref="B19" authorId="9" shapeId="0" xr:uid="{4D534892-7C5D-4A53-9C1B-DC82DCD2DB5F}">
      <text>
        <t>[Threaded comment]
Your version of Excel allows you to read this threaded comment; however, any edits to it will get removed if the file is opened in a newer version of Excel. Learn more: https://go.microsoft.com/fwlink/?linkid=870924
Comment:
    Same family as O'Brien et al.</t>
      </text>
    </comment>
    <comment ref="J22" authorId="10" shapeId="0" xr:uid="{565BA369-19D5-4F9A-B987-FF9FD2083FE1}">
      <text>
        <t>[Threaded comment]
Your version of Excel allows you to read this threaded comment; however, any edits to it will get removed if the file is opened in a newer version of Excel. Learn more: https://go.microsoft.com/fwlink/?linkid=870924
Comment:
    Numbers from 2015 (Ivers Supplemental File 1)</t>
      </text>
    </comment>
    <comment ref="AB22" authorId="11" shapeId="0" xr:uid="{29C7F7EF-DDD5-4274-979E-E211969BFEF1}">
      <text>
        <t>[Threaded comment]
Your version of Excel allows you to read this threaded comment; however, any edits to it will get removed if the file is opened in a newer version of Excel. Learn more: https://go.microsoft.com/fwlink/?linkid=870924
Comment:
    SMRs got larger over the 5-year period between 2011 and 2015. SMRs larger in male vs. female population. Leading cause of death: Drugs (71/201).</t>
      </text>
    </comment>
    <comment ref="K24" authorId="12" shapeId="0" xr:uid="{6C05BBEC-764C-4146-A832-A432463C4C65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"Across Dublin south city, St. James's Hospital provides psychiatric care to a population of 136,704 people within areas of significant deprivation (14). During the month of the study (March 2019), 4315 adults accessed emergency homeless accommodation in Dublin (15)." 
For general non-exposed population we took 136704-4315. Exposed = 4315
</t>
      </text>
    </comment>
    <comment ref="F35" authorId="13" shapeId="0" xr:uid="{1B3E48C7-4FB2-47DA-BA6E-E6C90F19D48C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ED attendance, not individual person.</t>
      </text>
    </comment>
    <comment ref="K35" authorId="14" shapeId="0" xr:uid="{EAF36E81-A457-4C9A-B494-8F40B1185A2D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Admission! Not individual.</t>
      </text>
    </comment>
    <comment ref="D50" authorId="15" shapeId="0" xr:uid="{B2EFAAC7-97F6-4EC3-9CAF-B29265A16204}">
      <text>
        <t>[Threaded comment]
Your version of Excel allows you to read this threaded comment; however, any edits to it will get removed if the file is opened in a newer version of Excel. Learn more: https://go.microsoft.com/fwlink/?linkid=870924
Comment:
    Different population… Now we are just looking at the individuals who had an unscheduled medical admission. Not just those who showed up at the ER. &lt;-- Indicator of condition severity.
Reply:
    Applies to rest of Cheallaigh results.</t>
      </text>
    </comment>
    <comment ref="K50" authorId="16" shapeId="0" xr:uid="{F0F6C6E0-EF4A-4519-BFE2-39CE564AFC3B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individual who had an unscheduled medical admission.</t>
      </text>
    </comment>
    <comment ref="Y52" authorId="17" shapeId="0" xr:uid="{A2DC4B41-7226-49F9-AF60-874753555591}">
      <text>
        <t>[Threaded comment]
Your version of Excel allows you to read this threaded comment; however, any edits to it will get removed if the file is opened in a newer version of Excel. Learn more: https://go.microsoft.com/fwlink/?linkid=870924
Comment:
    Mean Length of Stay (95% CI)</t>
      </text>
    </comment>
    <comment ref="Y53" authorId="18" shapeId="0" xr:uid="{5B75A15B-5EDB-44F0-957C-5878AFE2720E}">
      <text>
        <t>[Threaded comment]
Your version of Excel allows you to read this threaded comment; however, any edits to it will get removed if the file is opened in a newer version of Excel. Learn more: https://go.microsoft.com/fwlink/?linkid=870924
Comment:
    Mean Length of Stay (95% CI)</t>
      </text>
    </comment>
    <comment ref="Y54" authorId="19" shapeId="0" xr:uid="{828A72C7-4E5C-4210-AB7E-472A83D54784}">
      <text>
        <t>[Threaded comment]
Your version of Excel allows you to read this threaded comment; however, any edits to it will get removed if the file is opened in a newer version of Excel. Learn more: https://go.microsoft.com/fwlink/?linkid=870924
Comment:
    Mean Length of Stay (95% CI)</t>
      </text>
    </comment>
    <comment ref="K55" authorId="20" shapeId="0" xr:uid="{8DBDC1E2-6CFF-4D4A-9EFE-06CFBC9CAF9F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Unscheduled medical admission.</t>
      </text>
    </comment>
    <comment ref="K56" authorId="21" shapeId="0" xr:uid="{C6EED4BA-A43B-44EE-A301-38D9F620A126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Unscheduled medical admission.</t>
      </text>
    </comment>
    <comment ref="K57" authorId="22" shapeId="0" xr:uid="{DEBA3805-3C87-40AC-BCDB-8D0160D6F927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Unscheduled medical admission.</t>
      </text>
    </comment>
    <comment ref="K58" authorId="23" shapeId="0" xr:uid="{04DACC5B-3E80-432D-BA61-4FCCD7D5AC4C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Unscheduled medical admission.</t>
      </text>
    </comment>
    <comment ref="E72" authorId="24" shapeId="0" xr:uid="{AB8CE4F7-6AE4-4A4B-B9C0-EB814C312B41}">
      <text>
        <t>[Threaded comment]
Your version of Excel allows you to read this threaded comment; however, any edits to it will get removed if the file is opened in a newer version of Excel. Learn more: https://go.microsoft.com/fwlink/?linkid=870924
Comment:
    "Over-representation of children with lower acuity presentations not needing admission likely indicates increased use of ED for issues more appropriate to primary care, when compared with non-homeless children."</t>
      </text>
    </comment>
    <comment ref="W74" authorId="25" shapeId="0" xr:uid="{09CA6C4F-36CF-4E82-9B3A-3101E417CE9E}">
      <text>
        <t>[Threaded comment]
Your version of Excel allows you to read this threaded comment; however, any edits to it will get removed if the file is opened in a newer version of Excel. Learn more: https://go.microsoft.com/fwlink/?linkid=870924
Comment:
    Corresponding 11% Increase in child homelessness during this period. Authors' hypotheses: Increased child homelessness --&gt; Increase health issues/reduced access to primary care. OR: Improved identification of homeless children in ED.</t>
      </text>
    </comment>
    <comment ref="E75" authorId="26" shapeId="0" xr:uid="{DBF721B4-F2A0-432E-B6D3-19E4796CDE9A}">
      <text>
        <t>[Threaded comment]
Your version of Excel allows you to read this threaded comment; however, any edits to it will get removed if the file is opened in a newer version of Excel. Learn more: https://go.microsoft.com/fwlink/?linkid=870924
Comment:
    "Over-representation of infants in the homeless cohort may reflect a lack of community support for young homeless parents.</t>
      </text>
    </comment>
    <comment ref="B77" authorId="27" shapeId="0" xr:uid="{2ACCF80F-C453-4955-B4D2-F482AD174C6D}">
      <text>
        <t>[Threaded comment]
Your version of Excel allows you to read this threaded comment; however, any edits to it will get removed if the file is opened in a newer version of Excel. Learn more: https://go.microsoft.com/fwlink/?linkid=870924
Comment:
    Careful: Objective Data likely overlaps with O'Brien et al. 2022</t>
      </text>
    </comment>
    <comment ref="E77" authorId="28" shapeId="0" xr:uid="{0132F903-8231-42BE-A07F-1BED37ADF05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Potential overlap data
</t>
      </text>
    </comment>
    <comment ref="E80" authorId="29" shapeId="0" xr:uid="{5C741402-DB9A-4602-8F7E-8794E75F866B}">
      <text>
        <t>[Threaded comment]
Your version of Excel allows you to read this threaded comment; however, any edits to it will get removed if the file is opened in a newer version of Excel. Learn more: https://go.microsoft.com/fwlink/?linkid=870924
Comment:
    Potential overlap data</t>
      </text>
    </comment>
    <comment ref="H93" authorId="30" shapeId="0" xr:uid="{6567FB30-9B70-4B7E-B751-9F0591C19297}">
      <text>
        <t>[Threaded comment]
Your version of Excel allows you to read this threaded comment; however, any edits to it will get removed if the file is opened in a newer version of Excel. Learn more: https://go.microsoft.com/fwlink/?linkid=870924
Comment:
    Imputed 1 (instead of zero) for calculation to work.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tc={2801053A-7546-4B75-ACDE-C546141F0B60}</author>
    <author>tc={60A68593-17F4-4EC1-9386-1CF98225CF18}</author>
    <author>tc={38344B3F-586C-4A74-8CEB-897963BCE5E1}</author>
    <author>tc={E11EEAFA-942B-4127-98BC-E652B383D05D}</author>
    <author>tc={4BAE16B3-294D-49FB-B84D-CE0A64128B70}</author>
    <author>tc={1ED050B1-38DB-4D65-8ED2-6F9F5BB07794}</author>
    <author>tc={F93BCEE2-6070-4FA8-993A-AF03FD4D8B79}</author>
    <author>tc={5CE6DC30-F968-460E-9592-4B635280ECE5}</author>
  </authors>
  <commentList>
    <comment ref="L7" authorId="0" shapeId="0" xr:uid="{2801053A-7546-4B75-ACDE-C546141F0B6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"Across Dublin south city, St. James's Hospital provides psychiatric care to a population of 136,704 people within areas of significant deprivation (14). During the month of the study (March 2019), 4315 adults accessed emergency homeless accommodation in Dublin (15)." 
For general non-exposed population we took 136704-4315. Exposed = 4315
</t>
      </text>
    </comment>
    <comment ref="F9" authorId="1" shapeId="0" xr:uid="{60A68593-17F4-4EC1-9386-1CF98225CF18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ED self-harm presentation, NOT by person. One individual can have multiple presentations.</t>
      </text>
    </comment>
    <comment ref="F13" authorId="2" shapeId="0" xr:uid="{38344B3F-586C-4A74-8CEB-897963BCE5E1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self-harm presentation, not individual person. Possible to have repeat visits.</t>
      </text>
    </comment>
    <comment ref="G13" authorId="3" shapeId="0" xr:uid="{E11EEAFA-942B-4127-98BC-E652B383D05D}">
      <text>
        <t>[Threaded comment]
Your version of Excel allows you to read this threaded comment; however, any edits to it will get removed if the file is opened in a newer version of Excel. Learn more: https://go.microsoft.com/fwlink/?linkid=870924
Comment:
    Error in Number reported in Table 1 (went by percentages reported instead)</t>
      </text>
    </comment>
    <comment ref="I13" authorId="4" shapeId="0" xr:uid="{4BAE16B3-294D-49FB-B84D-CE0A64128B70}">
      <text>
        <t>[Threaded comment]
Your version of Excel allows you to read this threaded comment; however, any edits to it will get removed if the file is opened in a newer version of Excel. Learn more: https://go.microsoft.com/fwlink/?linkid=870924
Comment:
    Error in Number reported in Table 1 (went by percentages reported instead)</t>
      </text>
    </comment>
    <comment ref="G14" authorId="5" shapeId="0" xr:uid="{1ED050B1-38DB-4D65-8ED2-6F9F5BB07794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ED attendance, not individual person.</t>
      </text>
    </comment>
    <comment ref="L14" authorId="6" shapeId="0" xr:uid="{F93BCEE2-6070-4FA8-993A-AF03FD4D8B79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Admission! Not individual.</t>
      </text>
    </comment>
    <comment ref="L15" authorId="7" shapeId="0" xr:uid="{5CE6DC30-F968-460E-9592-4B635280ECE5}">
      <text>
        <t>[Threaded comment]
Your version of Excel allows you to read this threaded comment; however, any edits to it will get removed if the file is opened in a newer version of Excel. Learn more: https://go.microsoft.com/fwlink/?linkid=870924
Comment:
    Unit = Unscheduled medical admission.</t>
      </text>
    </comment>
  </commentList>
</comments>
</file>

<file path=xl/sharedStrings.xml><?xml version="1.0" encoding="utf-8"?>
<sst xmlns="http://schemas.openxmlformats.org/spreadsheetml/2006/main" count="623" uniqueCount="286">
  <si>
    <t>Article ID</t>
  </si>
  <si>
    <t>Author</t>
  </si>
  <si>
    <t>Year</t>
  </si>
  <si>
    <t>Publication Type</t>
  </si>
  <si>
    <t>City</t>
  </si>
  <si>
    <t>Setting</t>
  </si>
  <si>
    <t>Health Topic</t>
  </si>
  <si>
    <t>Specific Health Topic</t>
  </si>
  <si>
    <t xml:space="preserve">Study design </t>
  </si>
  <si>
    <t>Study Period Start Date</t>
  </si>
  <si>
    <t>Study Period End Date</t>
  </si>
  <si>
    <t>Study duration (Days)</t>
  </si>
  <si>
    <t>Statistical analysis</t>
  </si>
  <si>
    <t xml:space="preserve">How was disparity measured? </t>
  </si>
  <si>
    <t>Exposure</t>
  </si>
  <si>
    <t>Condition</t>
  </si>
  <si>
    <t>Condition - Exposed</t>
  </si>
  <si>
    <t>No Condition - Exposed</t>
  </si>
  <si>
    <t>Condition - Not Exposed</t>
  </si>
  <si>
    <t>No Condition - Not Exposed</t>
  </si>
  <si>
    <t>Total Exposed (N)</t>
  </si>
  <si>
    <t>Total Non-Exposed (N)</t>
  </si>
  <si>
    <t>Total N</t>
  </si>
  <si>
    <t>OR</t>
  </si>
  <si>
    <t>RR</t>
  </si>
  <si>
    <t>95% CI - Lower Bound (RR)</t>
  </si>
  <si>
    <t>95% CI - Upper Bound (RR)</t>
  </si>
  <si>
    <t>ARR</t>
  </si>
  <si>
    <t>95% CI - Lower Bound (ARR)</t>
  </si>
  <si>
    <t>95% CI - Upper Bound (ARR)</t>
  </si>
  <si>
    <t>NNT</t>
  </si>
  <si>
    <t>% Increase over time  - Exposed</t>
  </si>
  <si>
    <t>% Increase over time - Not Exposed</t>
  </si>
  <si>
    <t>Continuous value - Exposed</t>
  </si>
  <si>
    <t>Continuous value - Non Exposed</t>
  </si>
  <si>
    <t>Incidence Rate Ratio</t>
  </si>
  <si>
    <t>5-year SMR</t>
  </si>
  <si>
    <t>Mean Fixed Effect Estimate</t>
  </si>
  <si>
    <t>SD-Exposed</t>
  </si>
  <si>
    <t>SD-Non Exposed</t>
  </si>
  <si>
    <t>Sample selected using something other than a convenience sample</t>
  </si>
  <si>
    <t>Clear description of methods used to collect, analyze data, and assess disparities</t>
  </si>
  <si>
    <t>Attempt made to establish non-self reported/objective assessment of the data</t>
  </si>
  <si>
    <t>Sampled from multiple sites/communities/localities</t>
  </si>
  <si>
    <t>Sufficient sample size and standard errors accurately reported</t>
  </si>
  <si>
    <t>Moloney et al.</t>
  </si>
  <si>
    <t>Peer-Reviewed</t>
  </si>
  <si>
    <t>Limerick</t>
  </si>
  <si>
    <t>Two Acute Psychiatric Units</t>
  </si>
  <si>
    <t>Mental Health and Mental Disorders</t>
  </si>
  <si>
    <t>Analytical Cross-sectional</t>
  </si>
  <si>
    <t>NA</t>
  </si>
  <si>
    <t>Descriptive (N,%)</t>
  </si>
  <si>
    <t xml:space="preserve">Comparison of characteristics of psychiatric inpatients who are/have been homeless vs housed </t>
  </si>
  <si>
    <t>Homelessness (Current or Past)</t>
  </si>
  <si>
    <t>Voluntary patient</t>
  </si>
  <si>
    <t>Schizophrenia</t>
  </si>
  <si>
    <t>Depression</t>
  </si>
  <si>
    <t>Alcohol misuse</t>
  </si>
  <si>
    <t>Substance misuse</t>
  </si>
  <si>
    <t>O'Brien et al.</t>
  </si>
  <si>
    <t xml:space="preserve">Dublin  </t>
  </si>
  <si>
    <t>Tertiary paediatric emergency department</t>
  </si>
  <si>
    <t>Healthcare</t>
  </si>
  <si>
    <t>Utilisation</t>
  </si>
  <si>
    <t xml:space="preserve">Chi-squared or fisher exact test. Proportions presented as N (%) and 95% Cis using the exact method. </t>
  </si>
  <si>
    <t>Comparison of clinical details of ED presentation between non-homeless and homeless children under 16 years attending ED (N, %, 95% CI, P value)</t>
  </si>
  <si>
    <t>Homeless Child (Under 16) attending ED vs. Non-Homeless Child Attending ED</t>
  </si>
  <si>
    <t>GP</t>
  </si>
  <si>
    <t>Medical Card</t>
  </si>
  <si>
    <t>No Pre-Existing Medical Condition</t>
  </si>
  <si>
    <t xml:space="preserve">Unvaccinated </t>
  </si>
  <si>
    <t>Incomplete Vaccination</t>
  </si>
  <si>
    <t xml:space="preserve">Complete Vaccination </t>
  </si>
  <si>
    <t>Presenting for injury</t>
  </si>
  <si>
    <t>Presenting for resp viral</t>
  </si>
  <si>
    <t xml:space="preserve">Presenting for other viral </t>
  </si>
  <si>
    <t>Presenting for infection</t>
  </si>
  <si>
    <t>Presenting for wheezing</t>
  </si>
  <si>
    <t>Presenting for gastro</t>
  </si>
  <si>
    <t>Presenting for Bacterial respiratory tract infection</t>
  </si>
  <si>
    <t>Presenting for well child</t>
  </si>
  <si>
    <t>Presenting for None - Did not wait</t>
  </si>
  <si>
    <t>% Increase in ED attendences between 2017 to 2019</t>
  </si>
  <si>
    <t>Age (&lt; 12 months)</t>
  </si>
  <si>
    <t>Irish Ethnicity</t>
  </si>
  <si>
    <t>O'Donnell</t>
  </si>
  <si>
    <t>National</t>
  </si>
  <si>
    <t>Participants recruited through NGOs in two Irish cities. Control participants recruited via university staff email lists and social media.</t>
  </si>
  <si>
    <t>SDoH</t>
  </si>
  <si>
    <t>Social and Community Context</t>
  </si>
  <si>
    <t>Comparison of lived experiences between socially excluded (~80% homeless) and non-socially excluded participants</t>
  </si>
  <si>
    <t>Presumed Social Exclusion</t>
  </si>
  <si>
    <t>Period in life when consumed 6+ alcoholic drinks on a daily basis for more than a week</t>
  </si>
  <si>
    <t>Has used 'hard' drugs</t>
  </si>
  <si>
    <t>Has injected drugs</t>
  </si>
  <si>
    <t>Been admitted to hospital for mental health issue</t>
  </si>
  <si>
    <t>Been in state care as a child</t>
  </si>
  <si>
    <t>Has been involved in street drinking</t>
  </si>
  <si>
    <t>Doran et al.</t>
  </si>
  <si>
    <t>Dublin</t>
  </si>
  <si>
    <t>University Hospital</t>
  </si>
  <si>
    <t>Descriptive statistics (N,%)</t>
  </si>
  <si>
    <t>Comparison of characteristics between a homeless cohort of patients with seizure to a housed cohort</t>
  </si>
  <si>
    <t>Homeless vs Housed Patients presenting to ED for seizure between 2015 and 2019 (five-year span)</t>
  </si>
  <si>
    <t>Diagnosis - Established Epilepsy</t>
  </si>
  <si>
    <t>SZ related to substance abuse</t>
  </si>
  <si>
    <t>Median Nb. Of CTs (5 years</t>
  </si>
  <si>
    <t>1 (range 0-32)</t>
  </si>
  <si>
    <t>1 (range 0-6)</t>
  </si>
  <si>
    <t>Mean Nb. Of CTs (5 years)</t>
  </si>
  <si>
    <t>Mean CT exposure  (median radiation exposure per CT Brain using Diagnostic Reference Level of 700mGycm for each scan. Median exposure corresponds to an effective dose of 1.4mSv)</t>
  </si>
  <si>
    <t>Median number of Admissions (5 years)</t>
  </si>
  <si>
    <t>6 (range 0-70)</t>
  </si>
  <si>
    <t>2 (range 0-16)</t>
  </si>
  <si>
    <t>Mean number of Admissions (5 years)</t>
  </si>
  <si>
    <t xml:space="preserve">McLoughlin et al. </t>
  </si>
  <si>
    <t>Dublin south city</t>
  </si>
  <si>
    <t>St. James's Hospital ED</t>
  </si>
  <si>
    <t>Descriptive statistics (%)</t>
  </si>
  <si>
    <t>Behaviours/psychiatric presentations compared between psychiatric referrals received through the Emergency Department at St. James Hospital in homeless vs. non-homeless presenters (N, %)</t>
  </si>
  <si>
    <t xml:space="preserve">Accessing emergency homeless accommodation in Dublin in March 2019 vs. living in Dublin and not accessing emergency homeless accomodation </t>
  </si>
  <si>
    <t>Emergency department psychiatry referral</t>
  </si>
  <si>
    <t>Homeless individual receiving psychiatriy referral through ED in March 2019 vs. non-homeless individual receiving psychiatry referral</t>
  </si>
  <si>
    <t>Suicidal behaviour</t>
  </si>
  <si>
    <t>Illicit drug abuse/dependence</t>
  </si>
  <si>
    <t>Alcohol abuse/dependence</t>
  </si>
  <si>
    <t>Major mental illness (affective or psychotic disorder)</t>
  </si>
  <si>
    <t>Conference Abstract</t>
  </si>
  <si>
    <t>P-values reported (analysis methods not specified)</t>
  </si>
  <si>
    <t>Parental perceptions compared on the impact of housing situation (homeless vs. non-homeless) on health and on use of primary and emergency healthcare services</t>
  </si>
  <si>
    <t>Homelessness</t>
  </si>
  <si>
    <t>Median GP attendences in past 6 months</t>
  </si>
  <si>
    <t>Self-reported: Housing impacts ability to keep a GP</t>
  </si>
  <si>
    <t>Self-reported: Scheduling difficulties lead to incomplete vaccination</t>
  </si>
  <si>
    <t>Behavior</t>
  </si>
  <si>
    <t>Self-reported: Feeling unsafe at home</t>
  </si>
  <si>
    <t>Self-reported: Concern regarding loosing home</t>
  </si>
  <si>
    <t>Self-reported: No cooking facilities</t>
  </si>
  <si>
    <t>Self-reported: No indoor play facilities</t>
  </si>
  <si>
    <t>Self-reported: No outdoor play facilities</t>
  </si>
  <si>
    <t>Self-reported: Housing negatively impacts child's play</t>
  </si>
  <si>
    <t>Self-reported: Housing negatively impacts child's social development</t>
  </si>
  <si>
    <t>Self-reported: Housing negatively impacts child's education</t>
  </si>
  <si>
    <t>Self-reported: Housing negatively impacts child's physical health</t>
  </si>
  <si>
    <t>Self-reported: Housing negatively impacts child's mental health</t>
  </si>
  <si>
    <t>Ewins et al.</t>
  </si>
  <si>
    <t>Hospital InPatient Enquiry data from Health Atlas Ireland (Dublin)</t>
  </si>
  <si>
    <t>Venous Thromboembolism</t>
  </si>
  <si>
    <t>Maximum and minimum assumptions on estimated population denominator to provide (N,%)</t>
  </si>
  <si>
    <t>Comparison of number of emergency inpatient hospital admissions for those with any diagnosis of VTE during 2017 between socially excluded individuals and general population</t>
  </si>
  <si>
    <t xml:space="preserve">Socially Excluded (homeless, prisoners, sex workers, substance use disorder) individual </t>
  </si>
  <si>
    <t>Inpatient hospital admission in Dublin for VTE in 2017</t>
  </si>
  <si>
    <t>Cork</t>
  </si>
  <si>
    <t>Inner city emergency department</t>
  </si>
  <si>
    <t>Comparing (N,%) proportions of Frequent ED Attenders out of homeless vs. non-homeless attenders of ED</t>
  </si>
  <si>
    <t>Homeless individual presenting to the ED at at Mercy University Hospital in Cork vs. non-homeless individual presenting to ED</t>
  </si>
  <si>
    <t>High and Very High Frequent ED attenders (&gt;13 visit attendances/year)</t>
  </si>
  <si>
    <t>Arensman et al.</t>
  </si>
  <si>
    <t>Secondary data: National Self-Harm Registry Ireland (NSHRI) data on all self-harm presentations to hospital emergency departments (N=34) in Ireland</t>
  </si>
  <si>
    <t>Homeless vs. Fixed Residence (Exclude hospital in-patients, prisoners, and other)</t>
  </si>
  <si>
    <t>Recommended next care received following ED presentation for self-harm: Discharge from ED</t>
  </si>
  <si>
    <t>Recommended next care received following ED presentation for self-harm: General Admission</t>
  </si>
  <si>
    <t>Recommended next care received following ED presentation for self-harm: Psychiatric Admission</t>
  </si>
  <si>
    <t>Recommended next care received following ED presentation for self-harm: Left without being seen/refuse admission</t>
  </si>
  <si>
    <t xml:space="preserve">Hayes et al. </t>
  </si>
  <si>
    <t>Nutrition and Healthy Eating</t>
  </si>
  <si>
    <t>Attenders of paediatric ED living in homelessness/emergency accommodation vs. housed attenders of ED</t>
  </si>
  <si>
    <t xml:space="preserve">Self-reported: Fast-food ready meals twice or more per week </t>
  </si>
  <si>
    <t>Self-reported: Making and maintaining friends affected by living situation</t>
  </si>
  <si>
    <t>Self-reported: Ability to exercise and play affected by living situation</t>
  </si>
  <si>
    <t>Ivers et al.</t>
  </si>
  <si>
    <t>Death data from cohort of homeless people in the Dublin region</t>
  </si>
  <si>
    <t>Mortality</t>
  </si>
  <si>
    <t>Standardized mortality ratios</t>
  </si>
  <si>
    <t>SMRs of homeless people living in the Dublin region using Dublin Region Homeless Executive (DRHE) mortality data compared to Central Statistics Office mortality data for general population in Dublin</t>
  </si>
  <si>
    <t>Homeless individual living in Dublin vs. non-homeless</t>
  </si>
  <si>
    <t>Death</t>
  </si>
  <si>
    <t>Barrett et al.</t>
  </si>
  <si>
    <t>Age-standardized incidence rate of self-harm presentations between 2010 and 2014 per 100,000 population</t>
  </si>
  <si>
    <t>Incidence rate ratio</t>
  </si>
  <si>
    <t>Homeless</t>
  </si>
  <si>
    <t>Self-harm presentation to Emergency Department</t>
  </si>
  <si>
    <t>Repetition of self-harm presentation to Emergency Department within 12-months</t>
  </si>
  <si>
    <t>Comparison of clinical details of ED presentation between homeless and housed ED attenders (N, %, P value)</t>
  </si>
  <si>
    <t xml:space="preserve">Homeless vs. Housed ED attendances </t>
  </si>
  <si>
    <t>ED Attendance</t>
  </si>
  <si>
    <t>Left before seen/against medical advice</t>
  </si>
  <si>
    <t>Individual with &gt;= 4 presentations per year</t>
  </si>
  <si>
    <t>Individual with &gt;= 12 presentations per year</t>
  </si>
  <si>
    <t>Primary presenting complaint: Limb Problems</t>
  </si>
  <si>
    <t>Primary presenting complaint: Abdominal Pain</t>
  </si>
  <si>
    <t>Primary presenting complaint: Chest Pain</t>
  </si>
  <si>
    <t>Primary presenting complaint: Unwell Adult</t>
  </si>
  <si>
    <t>Primary presenting complaint: Shortness of Breath</t>
  </si>
  <si>
    <t>Primary presenting complaint: Head injury</t>
  </si>
  <si>
    <t>Primary presenting complaint: Collapsed adult</t>
  </si>
  <si>
    <t>Primary diagnosis: COPD</t>
  </si>
  <si>
    <t>Primary diagnosis: Pneumonia</t>
  </si>
  <si>
    <t>Primary diagnosis: Syncope/Collapse</t>
  </si>
  <si>
    <t>Primary diagnosis: Cellulitis</t>
  </si>
  <si>
    <t>Primary diagnosis: Seizures</t>
  </si>
  <si>
    <t>Homeless vs. Housed unscheduled medical admissions</t>
  </si>
  <si>
    <t>Bed days per capita of catchment population (days/person/annum)</t>
  </si>
  <si>
    <t>Mean length of stay</t>
  </si>
  <si>
    <t>9.41 (7.2,11.6)</t>
  </si>
  <si>
    <t>12.2 (11.5,12.96)</t>
  </si>
  <si>
    <t>Mean admissions</t>
  </si>
  <si>
    <t>2.79 (2.62,2.96)</t>
  </si>
  <si>
    <t>1.87 (1.84,1.91)</t>
  </si>
  <si>
    <t>Outcome of admission: Self-discharge</t>
  </si>
  <si>
    <t>Outcome of admission: deceased</t>
  </si>
  <si>
    <t>Outcome of admission: Discharged to home/homelessness</t>
  </si>
  <si>
    <t>Outcome of admission: Discharged to long-term care</t>
  </si>
  <si>
    <t>Crowley et al.</t>
  </si>
  <si>
    <t>North inner city Dublin</t>
  </si>
  <si>
    <t>Fibroscanning clinic at the largest community based drug treatment center in Ireland</t>
  </si>
  <si>
    <t>Infectious Disease</t>
  </si>
  <si>
    <t>Not specified</t>
  </si>
  <si>
    <t>Comparison in proportion of study sample with Fibro scan score indicative of fibrosis</t>
  </si>
  <si>
    <t>Unstable accomodation amongst drug substitution treatment attendees with HCV</t>
  </si>
  <si>
    <t>Fibro scan score&gt; 8.5kPa vs. &lt; 8.5 (determines stage of liver disease. &gt; 8.5 kPa is eligible for protease and polymerase inhibitors treatment. Determines fibrosis.) in stable vs. unstable accomodation</t>
  </si>
  <si>
    <t>Fibro scan score&gt; 12.5kPa vs. &lt; 12.5 (determines stage of liver disease. &gt; 12.5 kPa is eligible for protease and polymerase inhibitors treatment. Determines cirrhosis.) in stable vs. unstable accomodation</t>
  </si>
  <si>
    <t xml:space="preserve">Renwick et al. </t>
  </si>
  <si>
    <t>Geographically defined catchement area in the Republic of Ireland (pop. 390,000)</t>
  </si>
  <si>
    <t xml:space="preserve">Individuals with first-episode psychosis upon entry in-patient and community admissions </t>
  </si>
  <si>
    <t>Prospective Cohort</t>
  </si>
  <si>
    <t>Mixed model for predicting social networks and support</t>
  </si>
  <si>
    <t>Estimates of Fixed Effects</t>
  </si>
  <si>
    <t>Homeless vs. Renting</t>
  </si>
  <si>
    <t>Mean social networks and support of amongst individuals admitted to care for first-episode psychosis</t>
  </si>
  <si>
    <t>Giese et al.</t>
  </si>
  <si>
    <t xml:space="preserve">New HIV diagnoses notified by clinicians in Dublin </t>
  </si>
  <si>
    <t>Case-control</t>
  </si>
  <si>
    <t>4x4 table</t>
  </si>
  <si>
    <t>Comparison of cases (HIV positive attendees of National Drug Treatment Centre) vs. controls (HIV negative attendees of the National Drug Treatment Centre)</t>
  </si>
  <si>
    <t>HIV positive</t>
  </si>
  <si>
    <t xml:space="preserve">Larkin et al. </t>
  </si>
  <si>
    <t>Secondary analysis: National Registry of Deliberate Self-Harm Ireland records of self-harm based on emergency department case notes</t>
  </si>
  <si>
    <t>Descriptive (N,%), Magnitudes of association demonstrated with Cramer's V</t>
  </si>
  <si>
    <t>Comparison in proportion of homeless population vs. those in private residence experiencing 12-month repetition in presentations</t>
  </si>
  <si>
    <t>Homeless vs. Private Residence individual presenting to ED for self-cutting</t>
  </si>
  <si>
    <t>12-month repetition in self-cutting presentation 2007-2010</t>
  </si>
  <si>
    <t>Total Quality Score/ 5</t>
  </si>
  <si>
    <t>Retrospective Review</t>
  </si>
  <si>
    <t>Analytical Cross-Sectional</t>
  </si>
  <si>
    <t>Subject</t>
  </si>
  <si>
    <t>ED Mental Health Referral</t>
  </si>
  <si>
    <t>Frequent ED Attendance (&gt;11/year)</t>
  </si>
  <si>
    <t>Repeat Self-Harm Presentation to ED</t>
  </si>
  <si>
    <t>95% CI - Lower Bound (OR)</t>
  </si>
  <si>
    <t>95% CI - Upper Bound (OR)</t>
  </si>
  <si>
    <t>Condition_Exposed</t>
  </si>
  <si>
    <t>No Condition_Exposed</t>
  </si>
  <si>
    <t>Exposed</t>
  </si>
  <si>
    <t>Total_N</t>
  </si>
  <si>
    <t>No Condition_NotExposed</t>
  </si>
  <si>
    <t>Condition_NotExposed</t>
  </si>
  <si>
    <t>NotExposed</t>
  </si>
  <si>
    <t>Author_Year</t>
  </si>
  <si>
    <t xml:space="preserve">Comparison of care recommended following ED presentation for self-harm between homeless vs housed presenters </t>
  </si>
  <si>
    <t>Alcohol Misuse and Psychiatric Diagnosis</t>
  </si>
  <si>
    <t>Drug Misuse and Psychiatric Diagnosis</t>
  </si>
  <si>
    <t>Left ED Before Being Seen/Self-Discharge</t>
  </si>
  <si>
    <t>Ní Cheallaigh</t>
  </si>
  <si>
    <t xml:space="preserve">Uí Bhroin, Kinahan, and Murphy </t>
  </si>
  <si>
    <t>Uí Bhroin, Kinahan, and Murphy</t>
  </si>
  <si>
    <t>Article Title</t>
  </si>
  <si>
    <t>Recommended next care following hospital-treated self-harm: Patterns and trends over time</t>
  </si>
  <si>
    <t>Self-harm among the homeless population in Ireland: A national registry-based study of incidence and associated factors</t>
  </si>
  <si>
    <t>Usage of unscheduled hospital care by homeless individuals in Dublin, Ireland: a cross-sectional study</t>
  </si>
  <si>
    <t>Exploring Patient Characteristics and Barriers to Hepatitis C Treatment in Patients on Opioid Substitution Treatment Attending a Community Based Fibro-scanning Clinic</t>
  </si>
  <si>
    <t>Computed tomography and emergency department frequency in homeless patients with seizures</t>
  </si>
  <si>
    <t>Socially Excluded Persons in Ireland Have an Increased Annual Risk of Hospitalisation Due to Venous Thromboembolic Disease</t>
  </si>
  <si>
    <t>Injection of new psychoactive substance snow blow associated with recently acquired hiv infections among homeless people who inject drugs in dublin, ireland, 2015</t>
  </si>
  <si>
    <t>Impact of Homelessness on Children Presenting to a Tertiary Emergency Department</t>
  </si>
  <si>
    <t>Five-year standardised mortality ratios in a cohort of homeless people in Dublin</t>
  </si>
  <si>
    <t>Severity of hospital-treated self-cutting and risk of future self-harm: A national registry study</t>
  </si>
  <si>
    <t>Homelessness, emergency care and mental health. Inner-city emergency department psychiatry referrals: a retrospective descriptive analysis</t>
  </si>
  <si>
    <t>Homelessness amongst psychiatric Inpatients: a cross-sectional study in the mid-west of Ireland</t>
  </si>
  <si>
    <t>Parental Perceptions Regarding the Impact of Housing on Child Health</t>
  </si>
  <si>
    <t>Emergency department utilisation by homeless children in Dublin, Ireland: a retrospective review</t>
  </si>
  <si>
    <t>Developing a tool for the measurement of social exclusion in healthcare settings</t>
  </si>
  <si>
    <t>Predictors of change in social networks, support and satisfaction following a first episode psychosis: A cohort study</t>
  </si>
  <si>
    <t>Profiling frequent attenders at an inner city emergency department</t>
  </si>
  <si>
    <t>Ní Cheallaigh et 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</si>
</sst>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1" fillId="3" borderId="0" xfId="0" applyFont="1" applyFill="1" applyAlignment="1">
      <alignment horizontal="center" vertical="center" wrapText="1"/>
    </xf>
    <xf numFmtId="1" fontId="1" fillId="3" borderId="0" xfId="0" applyNumberFormat="1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Carolyn Ingram" id="{AD04A5D9-694B-43B0-A4F9-3FCD72C48E55}" userId="Carolyn Ingram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1" dT="2022-09-16T12:30:11.65" personId="{AD04A5D9-694B-43B0-A4F9-3FCD72C48E55}" id="{AB35E587-8EE7-423F-965E-093AF4820D18}">
    <text>Reference: https://www.cdc.gov/globalhealth/healthprotection/fetp/training_modules/19/desc-and-analytic-studies_ppt_final_09252013.pdf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D8" dT="2022-09-16T15:26:22.16" personId="{AD04A5D9-694B-43B0-A4F9-3FCD72C48E55}" id="{09060EBE-711A-4255-A510-F8CEE37B1229}">
    <text>All patients checking in over a 2-week period</text>
  </threadedComment>
  <threadedComment ref="B14" dT="2022-09-16T11:19:48.45" personId="{AD04A5D9-694B-43B0-A4F9-3FCD72C48E55}" id="{866DA425-1BA3-48A8-A058-D2B97262EFA9}">
    <text>Note: Objective Data likely overlaps with O'Brien et al. 2022 and is not reported in manuscript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E2" dT="2022-09-19T15:23:38.38" personId="{AD04A5D9-694B-43B0-A4F9-3FCD72C48E55}" id="{733C96F8-407F-4BEC-98AA-D7D553BA10EA}">
    <text>Unit = self-harm presentation, not individual person. Possible to have repeat visits.</text>
  </threadedComment>
  <threadedComment ref="E3" dT="2022-09-19T15:23:38.38" personId="{AD04A5D9-694B-43B0-A4F9-3FCD72C48E55}" id="{EA00972A-1D21-4422-A069-FC73174593CF}">
    <text>Unit = self-harm presentation, not individual person. Possible to have repeat visits.</text>
  </threadedComment>
  <threadedComment ref="E4" dT="2022-09-19T15:23:38.38" personId="{AD04A5D9-694B-43B0-A4F9-3FCD72C48E55}" id="{278610FB-A980-45FF-BC9D-180178FD11F6}">
    <text>Unit = self-harm presentation, not individual person. Possible to have repeat visits.</text>
  </threadedComment>
  <threadedComment ref="E5" dT="2022-09-19T15:23:38.38" personId="{AD04A5D9-694B-43B0-A4F9-3FCD72C48E55}" id="{55D2972A-2DEC-45E4-BBC1-A686D9B8075B}">
    <text>Unit = self-harm presentation, not individual person. Possible to have repeat visits.</text>
  </threadedComment>
  <threadedComment ref="F5" dT="2022-09-19T15:39:45.68" personId="{AD04A5D9-694B-43B0-A4F9-3FCD72C48E55}" id="{D34FF68F-97DC-4E19-B2B0-34AE13A690DB}">
    <text>Error in Number reported in Table 1 (went by percentages reported instead)</text>
  </threadedComment>
  <threadedComment ref="H5" dT="2022-09-19T15:39:52.45" personId="{AD04A5D9-694B-43B0-A4F9-3FCD72C48E55}" id="{64C5EC6D-C51F-4ECF-9DA5-ABD9888BEEF2}">
    <text>Error in Number reported in Table 1 (went by percentages reported instead)</text>
  </threadedComment>
  <threadedComment ref="E6" dT="2022-09-19T14:32:32.06" personId="{AD04A5D9-694B-43B0-A4F9-3FCD72C48E55}" id="{55A2A6F0-1B25-47A5-87D3-28C40BCFABCD}">
    <text>Unit = ED self-harm presentation, NOT by person. One individual can have multiple presentations.</text>
  </threadedComment>
  <threadedComment ref="W6" dT="2022-09-19T14:36:33.43" personId="{AD04A5D9-694B-43B0-A4F9-3FCD72C48E55}" id="{C43184AD-6DFF-4BE4-BEC2-3D6211E5DE5E}">
    <text>"A general increase in the percentage of self-harm presentations among the homeless was observed from 2010 (2.5%; N=305) to 2014 (4.6%; N=513)."</text>
  </threadedComment>
  <threadedComment ref="E7" dT="2022-09-19T14:32:32.06" personId="{AD04A5D9-694B-43B0-A4F9-3FCD72C48E55}" id="{6785C712-CB89-43C1-B305-EA9E17611D71}">
    <text>Unit = ED self-harm presentation, NOT by person. One individual can have multiple presentations.</text>
  </threadedComment>
  <threadedComment ref="B19" dT="2022-09-16T15:15:58.03" personId="{AD04A5D9-694B-43B0-A4F9-3FCD72C48E55}" id="{4D534892-7C5D-4A53-9C1B-DC82DCD2DB5F}">
    <text>Same family as O'Brien et al.</text>
  </threadedComment>
  <threadedComment ref="J22" dT="2023-01-17T15:26:42.70" personId="{AD04A5D9-694B-43B0-A4F9-3FCD72C48E55}" id="{565BA369-19D5-4F9A-B987-FF9FD2083FE1}">
    <text>Numbers from 2015 (Ivers Supplemental File 1)</text>
  </threadedComment>
  <threadedComment ref="AB22" dT="2022-09-16T15:07:13.59" personId="{AD04A5D9-694B-43B0-A4F9-3FCD72C48E55}" id="{29C7F7EF-DDD5-4274-979E-E211969BFEF1}">
    <text>SMRs got larger over the 5-year period between 2011 and 2015. SMRs larger in male vs. female population. Leading cause of death: Drugs (71/201).</text>
  </threadedComment>
  <threadedComment ref="K24" dT="2022-09-16T13:33:37.24" personId="{AD04A5D9-694B-43B0-A4F9-3FCD72C48E55}" id="{6C05BBEC-764C-4146-A832-A432463C4C65}">
    <text xml:space="preserve">"Across Dublin south city, St. James's Hospital provides psychiatric care to a population of 136,704 people within areas of significant deprivation (14). During the month of the study (March 2019), 4315 adults accessed emergency homeless accommodation in Dublin (15)." 
For general non-exposed population we took 136704-4315. Exposed = 4315
</text>
  </threadedComment>
  <threadedComment ref="F35" dT="2022-09-20T14:14:22.23" personId="{AD04A5D9-694B-43B0-A4F9-3FCD72C48E55}" id="{1B3E48C7-4FB2-47DA-BA6E-E6C90F19D48C}">
    <text>Unit = ED attendance, not individual person.</text>
  </threadedComment>
  <threadedComment ref="K35" dT="2022-09-20T14:23:15.53" personId="{AD04A5D9-694B-43B0-A4F9-3FCD72C48E55}" id="{EAF36E81-A457-4C9A-B494-8F40B1185A2D}">
    <text>Unit = Admission! Not individual.</text>
  </threadedComment>
  <threadedComment ref="D50" dT="2022-09-20T14:16:32.63" personId="{AD04A5D9-694B-43B0-A4F9-3FCD72C48E55}" id="{B2EFAAC7-97F6-4EC3-9CAF-B29265A16204}">
    <text>Different population… Now we are just looking at the individuals who had an unscheduled medical admission. Not just those who showed up at the ER. &lt;-- Indicator of condition severity.</text>
  </threadedComment>
  <threadedComment ref="D50" dT="2022-09-20T14:21:56.76" personId="{AD04A5D9-694B-43B0-A4F9-3FCD72C48E55}" id="{6B7216E9-955C-4498-B7E7-B7AD3CE455C5}" parentId="{B2EFAAC7-97F6-4EC3-9CAF-B29265A16204}">
    <text>Applies to rest of Cheallaigh results.</text>
  </threadedComment>
  <threadedComment ref="K50" dT="2022-09-20T14:23:53.25" personId="{AD04A5D9-694B-43B0-A4F9-3FCD72C48E55}" id="{F0F6C6E0-EF4A-4519-BFE2-39CE564AFC3B}">
    <text>Unit = individual who had an unscheduled medical admission.</text>
  </threadedComment>
  <threadedComment ref="Y52" dT="2022-09-20T14:03:44.56" personId="{AD04A5D9-694B-43B0-A4F9-3FCD72C48E55}" id="{A2DC4B41-7226-49F9-AF60-874753555591}">
    <text>Mean Length of Stay (95% CI)</text>
  </threadedComment>
  <threadedComment ref="Y53" dT="2022-09-20T14:03:44.56" personId="{AD04A5D9-694B-43B0-A4F9-3FCD72C48E55}" id="{5B75A15B-5EDB-44F0-957C-5878AFE2720E}">
    <text>Mean Length of Stay (95% CI)</text>
  </threadedComment>
  <threadedComment ref="Y54" dT="2022-09-20T14:03:44.56" personId="{AD04A5D9-694B-43B0-A4F9-3FCD72C48E55}" id="{828A72C7-4E5C-4210-AB7E-472A83D54784}">
    <text>Mean Length of Stay (95% CI)</text>
  </threadedComment>
  <threadedComment ref="K55" dT="2022-09-20T14:24:14.88" personId="{AD04A5D9-694B-43B0-A4F9-3FCD72C48E55}" id="{8DBDC1E2-6CFF-4D4A-9EFE-06CFBC9CAF9F}">
    <text>Unit = Unscheduled medical admission.</text>
  </threadedComment>
  <threadedComment ref="K56" dT="2022-09-20T14:24:14.88" personId="{AD04A5D9-694B-43B0-A4F9-3FCD72C48E55}" id="{C6EED4BA-A43B-44EE-A301-38D9F620A126}">
    <text>Unit = Unscheduled medical admission.</text>
  </threadedComment>
  <threadedComment ref="K57" dT="2022-09-20T14:24:14.88" personId="{AD04A5D9-694B-43B0-A4F9-3FCD72C48E55}" id="{DEBA3805-3C87-40AC-BCDB-8D0160D6F927}">
    <text>Unit = Unscheduled medical admission.</text>
  </threadedComment>
  <threadedComment ref="K58" dT="2022-09-20T14:24:14.88" personId="{AD04A5D9-694B-43B0-A4F9-3FCD72C48E55}" id="{04DACC5B-3E80-432D-BA61-4FCCD7D5AC4C}">
    <text>Unit = Unscheduled medical admission.</text>
  </threadedComment>
  <threadedComment ref="E72" dT="2022-09-16T10:04:55.69" personId="{AD04A5D9-694B-43B0-A4F9-3FCD72C48E55}" id="{AB8CE4F7-6AE4-4A4B-B9C0-EB814C312B41}">
    <text>"Over-representation of children with lower acuity presentations not needing admission likely indicates increased use of ED for issues more appropriate to primary care, when compared with non-homeless children."</text>
  </threadedComment>
  <threadedComment ref="W74" dT="2022-09-16T09:53:34.87" personId="{AD04A5D9-694B-43B0-A4F9-3FCD72C48E55}" id="{09CA6C4F-36CF-4E82-9B3A-3101E417CE9E}">
    <text>Corresponding 11% Increase in child homelessness during this period. Authors' hypotheses: Increased child homelessness --&gt; Increase health issues/reduced access to primary care. OR: Improved identification of homeless children in ED.</text>
  </threadedComment>
  <threadedComment ref="E75" dT="2022-09-16T10:03:28.27" personId="{AD04A5D9-694B-43B0-A4F9-3FCD72C48E55}" id="{DBF721B4-F2A0-432E-B6D3-19E4796CDE9A}">
    <text>"Over-representation of infants in the homeless cohort may reflect a lack of community support for young homeless parents.</text>
  </threadedComment>
  <threadedComment ref="B77" dT="2022-09-16T11:19:48.45" personId="{AD04A5D9-694B-43B0-A4F9-3FCD72C48E55}" id="{2ACCF80F-C453-4955-B4D2-F482AD174C6D}">
    <text>Careful: Objective Data likely overlaps with O'Brien et al. 2022</text>
  </threadedComment>
  <threadedComment ref="E77" dT="2022-09-16T11:29:43.29" personId="{AD04A5D9-694B-43B0-A4F9-3FCD72C48E55}" id="{0132F903-8231-42BE-A07F-1BED37ADF058}">
    <text xml:space="preserve">Potential overlap data
</text>
  </threadedComment>
  <threadedComment ref="E80" dT="2022-09-16T11:29:52.48" personId="{AD04A5D9-694B-43B0-A4F9-3FCD72C48E55}" id="{5C741402-DB9A-4602-8F7E-8794E75F866B}">
    <text>Potential overlap data</text>
  </threadedComment>
  <threadedComment ref="H93" dT="2022-12-07T13:16:35.95" personId="{AD04A5D9-694B-43B0-A4F9-3FCD72C48E55}" id="{6567FB30-9B70-4B7E-B751-9F0591C19297}">
    <text>Imputed 1 (instead of zero) for calculation to work.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L7" dT="2022-09-16T13:33:37.24" personId="{AD04A5D9-694B-43B0-A4F9-3FCD72C48E55}" id="{2801053A-7546-4B75-ACDE-C546141F0B60}">
    <text xml:space="preserve">"Across Dublin south city, St. James's Hospital provides psychiatric care to a population of 136,704 people within areas of significant deprivation (14). During the month of the study (March 2019), 4315 adults accessed emergency homeless accommodation in Dublin (15)." 
For general non-exposed population we took 136704-4315. Exposed = 4315
</text>
  </threadedComment>
  <threadedComment ref="F9" dT="2022-09-19T14:32:32.06" personId="{AD04A5D9-694B-43B0-A4F9-3FCD72C48E55}" id="{60A68593-17F4-4EC1-9386-1CF98225CF18}">
    <text>Unit = ED self-harm presentation, NOT by person. One individual can have multiple presentations.</text>
  </threadedComment>
  <threadedComment ref="F13" dT="2022-09-19T15:23:38.38" personId="{AD04A5D9-694B-43B0-A4F9-3FCD72C48E55}" id="{38344B3F-586C-4A74-8CEB-897963BCE5E1}">
    <text>Unit = self-harm presentation, not individual person. Possible to have repeat visits.</text>
  </threadedComment>
  <threadedComment ref="G13" dT="2022-09-19T15:39:45.68" personId="{AD04A5D9-694B-43B0-A4F9-3FCD72C48E55}" id="{E11EEAFA-942B-4127-98BC-E652B383D05D}">
    <text>Error in Number reported in Table 1 (went by percentages reported instead)</text>
  </threadedComment>
  <threadedComment ref="I13" dT="2022-09-19T15:39:52.45" personId="{AD04A5D9-694B-43B0-A4F9-3FCD72C48E55}" id="{4BAE16B3-294D-49FB-B84D-CE0A64128B70}">
    <text>Error in Number reported in Table 1 (went by percentages reported instead)</text>
  </threadedComment>
  <threadedComment ref="G14" dT="2022-09-20T14:14:22.23" personId="{AD04A5D9-694B-43B0-A4F9-3FCD72C48E55}" id="{1ED050B1-38DB-4D65-8ED2-6F9F5BB07794}">
    <text>Unit = ED attendance, not individual person.</text>
  </threadedComment>
  <threadedComment ref="L14" dT="2022-09-20T14:23:15.53" personId="{AD04A5D9-694B-43B0-A4F9-3FCD72C48E55}" id="{F93BCEE2-6070-4FA8-993A-AF03FD4D8B79}">
    <text>Unit = Admission! Not individual.</text>
  </threadedComment>
  <threadedComment ref="L15" dT="2022-09-20T14:24:14.88" personId="{AD04A5D9-694B-43B0-A4F9-3FCD72C48E55}" id="{5CE6DC30-F968-460E-9592-4B635280ECE5}">
    <text>Unit = Unscheduled medical admission.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B4040-4636-45DD-89D3-85F6F1B58EFE}">
  <dimension ref="A1:O18"/>
  <sheetViews>
    <sheetView zoomScale="76" workbookViewId="0">
      <selection activeCell="C18" sqref="C18"/>
    </sheetView>
  </sheetViews>
  <sheetFormatPr defaultRowHeight="15" x14ac:dyDescent="0.25"/>
  <cols>
    <col min="1" max="1" width="9.28515625" bestFit="1" customWidth="1"/>
    <col min="2" max="2" width="9.28515625" customWidth="1"/>
    <col min="4" max="4" width="9.28515625" bestFit="1" customWidth="1"/>
    <col min="11" max="12" width="11.42578125" bestFit="1" customWidth="1"/>
    <col min="13" max="13" width="9.28515625" bestFit="1" customWidth="1"/>
    <col min="15" max="15" width="111" customWidth="1"/>
  </cols>
  <sheetData>
    <row r="1" spans="1:15" x14ac:dyDescent="0.25">
      <c r="A1" s="6" t="s">
        <v>0</v>
      </c>
      <c r="B1" s="6" t="s">
        <v>267</v>
      </c>
      <c r="C1" s="6" t="s">
        <v>1</v>
      </c>
      <c r="D1" s="7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</row>
    <row r="2" spans="1:15" x14ac:dyDescent="0.25">
      <c r="A2">
        <v>1</v>
      </c>
      <c r="B2" t="s">
        <v>268</v>
      </c>
      <c r="C2" t="s">
        <v>158</v>
      </c>
      <c r="D2">
        <v>2018</v>
      </c>
      <c r="E2" t="s">
        <v>46</v>
      </c>
      <c r="F2" t="s">
        <v>87</v>
      </c>
      <c r="G2" t="s">
        <v>159</v>
      </c>
      <c r="H2" t="s">
        <v>15</v>
      </c>
      <c r="I2" t="s">
        <v>49</v>
      </c>
      <c r="J2" t="s">
        <v>244</v>
      </c>
      <c r="K2" s="8">
        <v>37987</v>
      </c>
      <c r="L2" s="8">
        <v>42004</v>
      </c>
      <c r="M2">
        <f>L2-K2</f>
        <v>4017</v>
      </c>
      <c r="N2" t="s">
        <v>52</v>
      </c>
      <c r="O2" t="s">
        <v>260</v>
      </c>
    </row>
    <row r="3" spans="1:15" x14ac:dyDescent="0.25">
      <c r="A3">
        <v>4</v>
      </c>
      <c r="B3" t="s">
        <v>269</v>
      </c>
      <c r="C3" t="s">
        <v>178</v>
      </c>
      <c r="D3">
        <v>2017</v>
      </c>
      <c r="E3" t="s">
        <v>46</v>
      </c>
      <c r="F3" t="s">
        <v>87</v>
      </c>
      <c r="G3" t="s">
        <v>159</v>
      </c>
      <c r="H3" t="s">
        <v>15</v>
      </c>
      <c r="I3" t="s">
        <v>49</v>
      </c>
      <c r="J3" t="s">
        <v>244</v>
      </c>
      <c r="K3" s="8">
        <v>40179</v>
      </c>
      <c r="L3" s="8">
        <v>42004</v>
      </c>
      <c r="M3">
        <f>L3-K3</f>
        <v>1825</v>
      </c>
      <c r="N3" t="s">
        <v>179</v>
      </c>
      <c r="O3" t="s">
        <v>180</v>
      </c>
    </row>
    <row r="4" spans="1:15" x14ac:dyDescent="0.25">
      <c r="A4">
        <v>19</v>
      </c>
      <c r="B4" t="s">
        <v>271</v>
      </c>
      <c r="C4" t="s">
        <v>214</v>
      </c>
      <c r="D4">
        <v>2017</v>
      </c>
      <c r="E4" t="s">
        <v>46</v>
      </c>
      <c r="F4" t="s">
        <v>215</v>
      </c>
      <c r="G4" t="s">
        <v>216</v>
      </c>
      <c r="H4" t="s">
        <v>15</v>
      </c>
      <c r="I4" t="s">
        <v>217</v>
      </c>
      <c r="J4" t="s">
        <v>50</v>
      </c>
      <c r="K4" t="s">
        <v>218</v>
      </c>
      <c r="L4" t="s">
        <v>218</v>
      </c>
      <c r="M4" t="s">
        <v>218</v>
      </c>
      <c r="N4" t="s">
        <v>102</v>
      </c>
      <c r="O4" t="s">
        <v>219</v>
      </c>
    </row>
    <row r="5" spans="1:15" x14ac:dyDescent="0.25">
      <c r="A5">
        <v>23</v>
      </c>
      <c r="B5" t="s">
        <v>272</v>
      </c>
      <c r="C5" t="s">
        <v>99</v>
      </c>
      <c r="D5">
        <v>2021</v>
      </c>
      <c r="E5" t="s">
        <v>46</v>
      </c>
      <c r="F5" t="s">
        <v>100</v>
      </c>
      <c r="G5" t="s">
        <v>101</v>
      </c>
      <c r="H5" t="s">
        <v>63</v>
      </c>
      <c r="I5" t="s">
        <v>64</v>
      </c>
      <c r="J5" t="s">
        <v>244</v>
      </c>
      <c r="K5" s="8">
        <v>42005</v>
      </c>
      <c r="L5" s="8">
        <v>43830</v>
      </c>
      <c r="M5">
        <f>L5-K5</f>
        <v>1825</v>
      </c>
      <c r="N5" t="s">
        <v>102</v>
      </c>
      <c r="O5" t="s">
        <v>103</v>
      </c>
    </row>
    <row r="6" spans="1:15" x14ac:dyDescent="0.25">
      <c r="A6">
        <v>26</v>
      </c>
      <c r="B6" t="s">
        <v>273</v>
      </c>
      <c r="C6" t="s">
        <v>146</v>
      </c>
      <c r="D6">
        <v>2019</v>
      </c>
      <c r="E6" t="s">
        <v>128</v>
      </c>
      <c r="F6" t="s">
        <v>100</v>
      </c>
      <c r="G6" t="s">
        <v>147</v>
      </c>
      <c r="H6" t="s">
        <v>15</v>
      </c>
      <c r="I6" t="s">
        <v>148</v>
      </c>
      <c r="J6" t="s">
        <v>244</v>
      </c>
      <c r="K6" s="8">
        <v>42736</v>
      </c>
      <c r="L6" s="8">
        <v>43100</v>
      </c>
      <c r="M6">
        <f>L6-K6</f>
        <v>364</v>
      </c>
      <c r="N6" t="s">
        <v>149</v>
      </c>
      <c r="O6" t="s">
        <v>150</v>
      </c>
    </row>
    <row r="7" spans="1:15" x14ac:dyDescent="0.25">
      <c r="A7">
        <v>28</v>
      </c>
      <c r="B7" t="s">
        <v>274</v>
      </c>
      <c r="C7" t="s">
        <v>231</v>
      </c>
      <c r="D7">
        <v>2015</v>
      </c>
      <c r="E7" t="s">
        <v>46</v>
      </c>
      <c r="F7" t="s">
        <v>100</v>
      </c>
      <c r="G7" t="s">
        <v>232</v>
      </c>
      <c r="H7" t="s">
        <v>15</v>
      </c>
      <c r="I7" t="s">
        <v>217</v>
      </c>
      <c r="J7" t="s">
        <v>233</v>
      </c>
      <c r="K7" s="8">
        <v>41640</v>
      </c>
      <c r="L7" s="8">
        <v>42369</v>
      </c>
      <c r="M7">
        <f>L7-K7</f>
        <v>729</v>
      </c>
      <c r="N7" t="s">
        <v>234</v>
      </c>
      <c r="O7" t="s">
        <v>235</v>
      </c>
    </row>
    <row r="8" spans="1:15" x14ac:dyDescent="0.25">
      <c r="A8">
        <v>36</v>
      </c>
      <c r="B8" t="s">
        <v>275</v>
      </c>
      <c r="C8" t="s">
        <v>165</v>
      </c>
      <c r="D8">
        <v>2018</v>
      </c>
      <c r="E8" t="s">
        <v>128</v>
      </c>
      <c r="F8" t="s">
        <v>61</v>
      </c>
      <c r="G8" t="s">
        <v>62</v>
      </c>
      <c r="H8" t="s">
        <v>135</v>
      </c>
      <c r="I8" t="s">
        <v>166</v>
      </c>
      <c r="J8" t="s">
        <v>50</v>
      </c>
      <c r="K8" s="8">
        <v>40544</v>
      </c>
      <c r="L8" s="8">
        <v>42369</v>
      </c>
      <c r="M8">
        <v>14</v>
      </c>
      <c r="N8" t="s">
        <v>102</v>
      </c>
      <c r="O8" t="s">
        <v>130</v>
      </c>
    </row>
    <row r="9" spans="1:15" x14ac:dyDescent="0.25">
      <c r="A9">
        <v>42</v>
      </c>
      <c r="B9" t="s">
        <v>276</v>
      </c>
      <c r="C9" t="s">
        <v>171</v>
      </c>
      <c r="D9">
        <v>2018</v>
      </c>
      <c r="E9" t="s">
        <v>46</v>
      </c>
      <c r="F9" t="s">
        <v>100</v>
      </c>
      <c r="G9" t="s">
        <v>172</v>
      </c>
      <c r="H9" t="s">
        <v>173</v>
      </c>
      <c r="J9" t="s">
        <v>244</v>
      </c>
      <c r="K9" s="8">
        <v>40544</v>
      </c>
      <c r="L9" s="8">
        <v>42369</v>
      </c>
      <c r="M9">
        <f>L9-K9</f>
        <v>1825</v>
      </c>
      <c r="N9" t="s">
        <v>174</v>
      </c>
      <c r="O9" t="s">
        <v>175</v>
      </c>
    </row>
    <row r="10" spans="1:15" x14ac:dyDescent="0.25">
      <c r="A10">
        <v>49</v>
      </c>
      <c r="B10" t="s">
        <v>277</v>
      </c>
      <c r="C10" t="s">
        <v>237</v>
      </c>
      <c r="D10">
        <v>2014</v>
      </c>
      <c r="E10" t="s">
        <v>46</v>
      </c>
      <c r="F10" t="s">
        <v>87</v>
      </c>
      <c r="G10" t="s">
        <v>238</v>
      </c>
      <c r="H10" t="s">
        <v>15</v>
      </c>
      <c r="I10" t="s">
        <v>49</v>
      </c>
      <c r="J10" t="s">
        <v>244</v>
      </c>
      <c r="K10" s="8">
        <v>39083</v>
      </c>
      <c r="L10" s="8">
        <v>40908</v>
      </c>
      <c r="M10">
        <f>L10-K10</f>
        <v>1825</v>
      </c>
      <c r="N10" t="s">
        <v>239</v>
      </c>
      <c r="O10" t="s">
        <v>240</v>
      </c>
    </row>
    <row r="11" spans="1:15" x14ac:dyDescent="0.25">
      <c r="A11">
        <v>58</v>
      </c>
      <c r="B11" t="s">
        <v>278</v>
      </c>
      <c r="C11" t="s">
        <v>116</v>
      </c>
      <c r="D11">
        <v>2021</v>
      </c>
      <c r="E11" t="s">
        <v>46</v>
      </c>
      <c r="F11" t="s">
        <v>117</v>
      </c>
      <c r="G11" t="s">
        <v>118</v>
      </c>
      <c r="H11" t="s">
        <v>63</v>
      </c>
      <c r="I11" t="s">
        <v>64</v>
      </c>
      <c r="J11" t="s">
        <v>245</v>
      </c>
      <c r="K11" s="8">
        <v>43525</v>
      </c>
      <c r="L11" s="8">
        <v>43555</v>
      </c>
      <c r="M11">
        <f>L11-K11</f>
        <v>30</v>
      </c>
      <c r="N11" t="s">
        <v>119</v>
      </c>
      <c r="O11" t="s">
        <v>120</v>
      </c>
    </row>
    <row r="12" spans="1:15" x14ac:dyDescent="0.25">
      <c r="A12">
        <v>61</v>
      </c>
      <c r="B12" t="s">
        <v>279</v>
      </c>
      <c r="C12" t="s">
        <v>45</v>
      </c>
      <c r="D12">
        <v>2022</v>
      </c>
      <c r="E12" t="s">
        <v>46</v>
      </c>
      <c r="F12" t="s">
        <v>47</v>
      </c>
      <c r="G12" t="s">
        <v>48</v>
      </c>
      <c r="H12" t="s">
        <v>15</v>
      </c>
      <c r="I12" t="s">
        <v>49</v>
      </c>
      <c r="J12" t="s">
        <v>50</v>
      </c>
      <c r="K12" t="s">
        <v>51</v>
      </c>
      <c r="L12" t="s">
        <v>51</v>
      </c>
      <c r="M12" t="s">
        <v>51</v>
      </c>
      <c r="N12" t="s">
        <v>52</v>
      </c>
      <c r="O12" t="s">
        <v>53</v>
      </c>
    </row>
    <row r="13" spans="1:15" x14ac:dyDescent="0.25">
      <c r="A13">
        <v>9</v>
      </c>
      <c r="B13" t="s">
        <v>270</v>
      </c>
      <c r="C13" t="s">
        <v>264</v>
      </c>
      <c r="D13">
        <v>2017</v>
      </c>
      <c r="E13" t="s">
        <v>46</v>
      </c>
      <c r="F13" t="s">
        <v>100</v>
      </c>
      <c r="G13" t="s">
        <v>118</v>
      </c>
      <c r="H13" t="s">
        <v>63</v>
      </c>
      <c r="I13" t="s">
        <v>64</v>
      </c>
      <c r="J13" t="s">
        <v>244</v>
      </c>
      <c r="K13" s="8">
        <v>42005</v>
      </c>
      <c r="L13" s="8">
        <v>42369</v>
      </c>
      <c r="M13">
        <f>L13-K13</f>
        <v>364</v>
      </c>
      <c r="N13" t="s">
        <v>102</v>
      </c>
      <c r="O13" t="s">
        <v>184</v>
      </c>
    </row>
    <row r="14" spans="1:15" x14ac:dyDescent="0.25">
      <c r="A14">
        <v>63</v>
      </c>
      <c r="B14" t="s">
        <v>281</v>
      </c>
      <c r="C14" t="s">
        <v>60</v>
      </c>
      <c r="D14">
        <v>2022</v>
      </c>
      <c r="E14" t="s">
        <v>46</v>
      </c>
      <c r="F14" t="s">
        <v>61</v>
      </c>
      <c r="G14" t="s">
        <v>62</v>
      </c>
      <c r="H14" t="s">
        <v>63</v>
      </c>
      <c r="I14" t="s">
        <v>64</v>
      </c>
      <c r="J14" t="s">
        <v>244</v>
      </c>
      <c r="K14" s="8">
        <v>42736</v>
      </c>
      <c r="L14" s="8">
        <v>44196</v>
      </c>
      <c r="M14">
        <f>L14-K14</f>
        <v>1460</v>
      </c>
      <c r="N14" t="s">
        <v>65</v>
      </c>
      <c r="O14" t="s">
        <v>66</v>
      </c>
    </row>
    <row r="15" spans="1:15" x14ac:dyDescent="0.25">
      <c r="A15">
        <v>64</v>
      </c>
      <c r="B15" t="s">
        <v>280</v>
      </c>
      <c r="C15" t="s">
        <v>60</v>
      </c>
      <c r="D15">
        <v>2021</v>
      </c>
      <c r="E15" t="s">
        <v>128</v>
      </c>
      <c r="F15" t="s">
        <v>61</v>
      </c>
      <c r="G15" t="s">
        <v>62</v>
      </c>
      <c r="H15" t="s">
        <v>63</v>
      </c>
      <c r="I15" t="s">
        <v>64</v>
      </c>
      <c r="J15" t="s">
        <v>50</v>
      </c>
      <c r="K15" s="8">
        <v>44136</v>
      </c>
      <c r="L15" s="8">
        <v>44204</v>
      </c>
      <c r="M15">
        <f>L15-K15</f>
        <v>68</v>
      </c>
      <c r="N15" t="s">
        <v>129</v>
      </c>
      <c r="O15" t="s">
        <v>130</v>
      </c>
    </row>
    <row r="16" spans="1:15" x14ac:dyDescent="0.25">
      <c r="A16">
        <v>76</v>
      </c>
      <c r="B16" t="s">
        <v>282</v>
      </c>
      <c r="C16" t="s">
        <v>86</v>
      </c>
      <c r="D16">
        <v>2022</v>
      </c>
      <c r="E16" t="s">
        <v>46</v>
      </c>
      <c r="F16" t="s">
        <v>87</v>
      </c>
      <c r="G16" t="s">
        <v>88</v>
      </c>
      <c r="H16" t="s">
        <v>89</v>
      </c>
      <c r="I16" t="s">
        <v>90</v>
      </c>
      <c r="J16" t="s">
        <v>50</v>
      </c>
      <c r="K16" s="8">
        <v>43709</v>
      </c>
      <c r="L16" s="8">
        <v>43830</v>
      </c>
      <c r="M16">
        <f>L16-K16</f>
        <v>121</v>
      </c>
      <c r="N16" t="s">
        <v>52</v>
      </c>
      <c r="O16" t="s">
        <v>91</v>
      </c>
    </row>
    <row r="17" spans="1:15" x14ac:dyDescent="0.25">
      <c r="A17">
        <v>88</v>
      </c>
      <c r="B17" t="s">
        <v>283</v>
      </c>
      <c r="C17" t="s">
        <v>223</v>
      </c>
      <c r="D17">
        <v>2017</v>
      </c>
      <c r="E17" t="s">
        <v>46</v>
      </c>
      <c r="F17" t="s">
        <v>224</v>
      </c>
      <c r="G17" t="s">
        <v>225</v>
      </c>
      <c r="H17" t="s">
        <v>15</v>
      </c>
      <c r="I17" t="s">
        <v>49</v>
      </c>
      <c r="J17" t="s">
        <v>226</v>
      </c>
      <c r="K17" s="8">
        <v>39845</v>
      </c>
      <c r="L17" s="8">
        <v>41000</v>
      </c>
      <c r="M17">
        <f>L17-K17</f>
        <v>1155</v>
      </c>
      <c r="N17" t="s">
        <v>227</v>
      </c>
      <c r="O17" t="s">
        <v>228</v>
      </c>
    </row>
    <row r="18" spans="1:15" x14ac:dyDescent="0.25">
      <c r="A18">
        <v>99</v>
      </c>
      <c r="B18" t="s">
        <v>284</v>
      </c>
      <c r="C18" t="s">
        <v>266</v>
      </c>
      <c r="D18">
        <v>2019</v>
      </c>
      <c r="E18" t="s">
        <v>46</v>
      </c>
      <c r="F18" t="s">
        <v>153</v>
      </c>
      <c r="G18" t="s">
        <v>154</v>
      </c>
      <c r="H18" t="s">
        <v>63</v>
      </c>
      <c r="I18" t="s">
        <v>64</v>
      </c>
      <c r="J18" t="s">
        <v>244</v>
      </c>
      <c r="K18" s="8">
        <v>42370</v>
      </c>
      <c r="L18" s="8">
        <v>42735</v>
      </c>
      <c r="M18">
        <f>L18-K18</f>
        <v>365</v>
      </c>
      <c r="N18" t="s">
        <v>119</v>
      </c>
      <c r="O18" t="s">
        <v>155</v>
      </c>
    </row>
  </sheetData>
  <sortState xmlns:xlrd2="http://schemas.microsoft.com/office/spreadsheetml/2017/richdata2" ref="A2:O18">
    <sortCondition ref="C2:C18"/>
  </sortState>
  <dataValidations count="2">
    <dataValidation type="date" operator="greaterThan" allowBlank="1" showInputMessage="1" showErrorMessage="1" sqref="K2:K3" xr:uid="{EE6B3678-6808-42EC-9AE4-0360F03B9401}">
      <formula1>36526</formula1>
    </dataValidation>
    <dataValidation type="list" allowBlank="1" showInputMessage="1" showErrorMessage="1" sqref="I2:I12" xr:uid="{2AF452D1-59A0-44CF-8612-5D92D8A1E7E0}">
      <formula1>INDIRECT(H2)</formula1>
    </dataValidation>
  </dataValidation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7E9A5-A960-49F1-8F82-48F49175FF68}">
  <dimension ref="A1:I18"/>
  <sheetViews>
    <sheetView zoomScale="80" workbookViewId="0">
      <selection activeCell="M19" sqref="M19"/>
    </sheetView>
  </sheetViews>
  <sheetFormatPr defaultRowHeight="15" x14ac:dyDescent="0.25"/>
  <cols>
    <col min="1" max="1" width="9.28515625" bestFit="1" customWidth="1"/>
    <col min="2" max="2" width="15.85546875" customWidth="1"/>
    <col min="3" max="3" width="9.28515625" bestFit="1" customWidth="1"/>
  </cols>
  <sheetData>
    <row r="1" spans="1:9" ht="165" x14ac:dyDescent="0.25">
      <c r="A1" s="1" t="s">
        <v>0</v>
      </c>
      <c r="B1" s="1" t="s">
        <v>1</v>
      </c>
      <c r="C1" s="7" t="s">
        <v>2</v>
      </c>
      <c r="D1" s="5" t="s">
        <v>40</v>
      </c>
      <c r="E1" s="5" t="s">
        <v>41</v>
      </c>
      <c r="F1" s="5" t="s">
        <v>42</v>
      </c>
      <c r="G1" s="5" t="s">
        <v>43</v>
      </c>
      <c r="H1" s="5" t="s">
        <v>44</v>
      </c>
      <c r="I1" s="5" t="s">
        <v>243</v>
      </c>
    </row>
    <row r="2" spans="1:9" x14ac:dyDescent="0.25">
      <c r="A2">
        <v>1</v>
      </c>
      <c r="B2" t="s">
        <v>158</v>
      </c>
      <c r="C2">
        <v>2018</v>
      </c>
      <c r="D2">
        <v>1</v>
      </c>
      <c r="E2">
        <v>1</v>
      </c>
      <c r="F2">
        <v>1</v>
      </c>
      <c r="G2">
        <v>1</v>
      </c>
      <c r="H2">
        <v>1</v>
      </c>
      <c r="I2">
        <f>D2+E2+F2+G2+H2</f>
        <v>5</v>
      </c>
    </row>
    <row r="3" spans="1:9" x14ac:dyDescent="0.25">
      <c r="A3">
        <v>4</v>
      </c>
      <c r="B3" t="s">
        <v>178</v>
      </c>
      <c r="C3">
        <v>2017</v>
      </c>
      <c r="D3">
        <v>1</v>
      </c>
      <c r="E3">
        <v>1</v>
      </c>
      <c r="F3">
        <v>1</v>
      </c>
      <c r="G3">
        <v>1</v>
      </c>
      <c r="H3">
        <v>1</v>
      </c>
      <c r="I3">
        <f>D3+E3+F3+G3+H3</f>
        <v>5</v>
      </c>
    </row>
    <row r="4" spans="1:9" x14ac:dyDescent="0.25">
      <c r="A4">
        <v>19</v>
      </c>
      <c r="B4" t="s">
        <v>214</v>
      </c>
      <c r="C4">
        <v>2017</v>
      </c>
      <c r="D4">
        <v>0</v>
      </c>
      <c r="E4">
        <v>1</v>
      </c>
      <c r="F4">
        <v>1</v>
      </c>
      <c r="G4">
        <v>0</v>
      </c>
      <c r="H4">
        <v>0</v>
      </c>
      <c r="I4">
        <f>D4+E4+F4+G4+H4</f>
        <v>2</v>
      </c>
    </row>
    <row r="5" spans="1:9" x14ac:dyDescent="0.25">
      <c r="A5">
        <v>23</v>
      </c>
      <c r="B5" t="s">
        <v>99</v>
      </c>
      <c r="C5">
        <v>2021</v>
      </c>
      <c r="D5">
        <v>0</v>
      </c>
      <c r="E5">
        <v>1</v>
      </c>
      <c r="F5">
        <v>1</v>
      </c>
      <c r="G5">
        <v>0</v>
      </c>
      <c r="H5">
        <v>1</v>
      </c>
      <c r="I5">
        <f>D5+E5+F5+G5+H5</f>
        <v>3</v>
      </c>
    </row>
    <row r="6" spans="1:9" x14ac:dyDescent="0.25">
      <c r="A6">
        <v>26</v>
      </c>
      <c r="B6" t="s">
        <v>146</v>
      </c>
      <c r="C6">
        <v>2019</v>
      </c>
      <c r="D6">
        <v>1</v>
      </c>
      <c r="E6">
        <v>0</v>
      </c>
      <c r="F6">
        <v>1</v>
      </c>
      <c r="G6">
        <v>1</v>
      </c>
      <c r="H6">
        <v>1</v>
      </c>
      <c r="I6">
        <f>D6+E6+F6+G6+H6</f>
        <v>4</v>
      </c>
    </row>
    <row r="7" spans="1:9" x14ac:dyDescent="0.25">
      <c r="A7">
        <v>28</v>
      </c>
      <c r="B7" t="s">
        <v>231</v>
      </c>
      <c r="C7">
        <v>2015</v>
      </c>
      <c r="D7">
        <v>1</v>
      </c>
      <c r="E7">
        <v>1</v>
      </c>
      <c r="F7">
        <v>1</v>
      </c>
      <c r="G7">
        <v>0</v>
      </c>
      <c r="H7">
        <v>0</v>
      </c>
      <c r="I7">
        <f>D7+E7+F7+G7+H7</f>
        <v>3</v>
      </c>
    </row>
    <row r="8" spans="1:9" x14ac:dyDescent="0.25">
      <c r="A8">
        <v>36</v>
      </c>
      <c r="B8" t="s">
        <v>165</v>
      </c>
      <c r="C8">
        <v>2018</v>
      </c>
      <c r="D8">
        <v>0</v>
      </c>
      <c r="E8">
        <v>0</v>
      </c>
      <c r="F8">
        <v>0</v>
      </c>
      <c r="G8">
        <v>0</v>
      </c>
      <c r="H8">
        <v>0</v>
      </c>
      <c r="I8">
        <f>D8+E8+F8+G8+H8</f>
        <v>0</v>
      </c>
    </row>
    <row r="9" spans="1:9" x14ac:dyDescent="0.25">
      <c r="A9">
        <v>42</v>
      </c>
      <c r="B9" t="s">
        <v>171</v>
      </c>
      <c r="C9">
        <v>2018</v>
      </c>
      <c r="D9">
        <v>1</v>
      </c>
      <c r="E9">
        <v>1</v>
      </c>
      <c r="F9">
        <v>1</v>
      </c>
      <c r="G9">
        <v>1</v>
      </c>
      <c r="H9">
        <v>1</v>
      </c>
      <c r="I9">
        <f>D9+E9+F9+G9+H9</f>
        <v>5</v>
      </c>
    </row>
    <row r="10" spans="1:9" x14ac:dyDescent="0.25">
      <c r="A10">
        <v>49</v>
      </c>
      <c r="B10" t="s">
        <v>237</v>
      </c>
      <c r="C10">
        <v>2014</v>
      </c>
      <c r="D10">
        <v>1</v>
      </c>
      <c r="E10">
        <v>1</v>
      </c>
      <c r="F10">
        <v>1</v>
      </c>
      <c r="G10">
        <v>1</v>
      </c>
      <c r="H10">
        <v>1</v>
      </c>
      <c r="I10">
        <f>D10+E10+F10+G10+H10</f>
        <v>5</v>
      </c>
    </row>
    <row r="11" spans="1:9" x14ac:dyDescent="0.25">
      <c r="A11">
        <v>58</v>
      </c>
      <c r="B11" t="s">
        <v>116</v>
      </c>
      <c r="C11">
        <v>2021</v>
      </c>
      <c r="D11">
        <v>0</v>
      </c>
      <c r="E11">
        <v>0</v>
      </c>
      <c r="F11">
        <v>1</v>
      </c>
      <c r="G11">
        <v>0</v>
      </c>
      <c r="H11">
        <v>0</v>
      </c>
      <c r="I11">
        <f>D11+E11+F11+G11+H11</f>
        <v>1</v>
      </c>
    </row>
    <row r="12" spans="1:9" x14ac:dyDescent="0.25">
      <c r="A12">
        <v>61</v>
      </c>
      <c r="B12" t="s">
        <v>45</v>
      </c>
      <c r="C12">
        <v>2022</v>
      </c>
      <c r="D12">
        <v>0</v>
      </c>
      <c r="E12">
        <v>1</v>
      </c>
      <c r="F12">
        <v>0</v>
      </c>
      <c r="G12">
        <v>1</v>
      </c>
      <c r="H12">
        <v>0</v>
      </c>
      <c r="I12">
        <f>D12+E12+F12+G12+H12</f>
        <v>2</v>
      </c>
    </row>
    <row r="13" spans="1:9" x14ac:dyDescent="0.25">
      <c r="A13">
        <v>9</v>
      </c>
      <c r="B13" t="s">
        <v>285</v>
      </c>
      <c r="C13">
        <v>2017</v>
      </c>
      <c r="D13">
        <v>1</v>
      </c>
      <c r="E13">
        <v>1</v>
      </c>
      <c r="F13">
        <v>1</v>
      </c>
      <c r="G13">
        <v>0</v>
      </c>
      <c r="H13">
        <v>1</v>
      </c>
      <c r="I13">
        <f>D13+E13+F13+G13+H13</f>
        <v>4</v>
      </c>
    </row>
    <row r="14" spans="1:9" x14ac:dyDescent="0.25">
      <c r="A14">
        <v>63</v>
      </c>
      <c r="B14" t="s">
        <v>60</v>
      </c>
      <c r="C14">
        <v>2021</v>
      </c>
      <c r="D14">
        <v>0</v>
      </c>
      <c r="E14">
        <v>0</v>
      </c>
      <c r="F14">
        <v>0</v>
      </c>
      <c r="G14">
        <v>0</v>
      </c>
      <c r="H14">
        <v>0</v>
      </c>
      <c r="I14">
        <f>D14+E14+F14+G14+H14</f>
        <v>0</v>
      </c>
    </row>
    <row r="15" spans="1:9" x14ac:dyDescent="0.25">
      <c r="A15">
        <v>64</v>
      </c>
      <c r="B15" t="s">
        <v>60</v>
      </c>
      <c r="C15">
        <v>2022</v>
      </c>
      <c r="D15">
        <v>0</v>
      </c>
      <c r="E15">
        <v>1</v>
      </c>
      <c r="F15">
        <v>1</v>
      </c>
      <c r="G15">
        <v>0</v>
      </c>
      <c r="H15">
        <v>1</v>
      </c>
      <c r="I15">
        <f>D15+E15+F15+G15+H15</f>
        <v>3</v>
      </c>
    </row>
    <row r="16" spans="1:9" x14ac:dyDescent="0.25">
      <c r="A16">
        <v>76</v>
      </c>
      <c r="B16" t="s">
        <v>86</v>
      </c>
      <c r="C16">
        <v>2022</v>
      </c>
      <c r="D16">
        <v>0</v>
      </c>
      <c r="E16">
        <v>1</v>
      </c>
      <c r="F16">
        <v>0</v>
      </c>
      <c r="G16">
        <v>1</v>
      </c>
      <c r="H16">
        <v>1</v>
      </c>
      <c r="I16">
        <f>D16+E16+F16+G16+H16</f>
        <v>3</v>
      </c>
    </row>
    <row r="17" spans="1:9" x14ac:dyDescent="0.25">
      <c r="A17">
        <v>88</v>
      </c>
      <c r="B17" t="s">
        <v>223</v>
      </c>
      <c r="C17">
        <v>2017</v>
      </c>
      <c r="D17">
        <v>1</v>
      </c>
      <c r="E17">
        <v>1</v>
      </c>
      <c r="F17">
        <v>1</v>
      </c>
      <c r="G17">
        <v>0</v>
      </c>
      <c r="H17">
        <v>0</v>
      </c>
      <c r="I17">
        <f>D17+E17+F17+G17+H17</f>
        <v>3</v>
      </c>
    </row>
    <row r="18" spans="1:9" x14ac:dyDescent="0.25">
      <c r="A18">
        <v>99</v>
      </c>
      <c r="B18" t="s">
        <v>266</v>
      </c>
      <c r="C18">
        <v>2019</v>
      </c>
      <c r="D18">
        <v>0</v>
      </c>
      <c r="E18">
        <v>1</v>
      </c>
      <c r="F18">
        <v>1</v>
      </c>
      <c r="G18">
        <v>0</v>
      </c>
      <c r="H18">
        <v>1</v>
      </c>
      <c r="I18">
        <f>D18+E18+F18+G18+H18</f>
        <v>3</v>
      </c>
    </row>
  </sheetData>
  <sortState xmlns:xlrd2="http://schemas.microsoft.com/office/spreadsheetml/2017/richdata2" ref="A2:I19">
    <sortCondition ref="B2:B19"/>
  </sortState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0BCD2-908B-44A7-8917-B76D320450F9}">
  <dimension ref="A1:AE98"/>
  <sheetViews>
    <sheetView tabSelected="1" zoomScale="42" zoomScaleNormal="55" workbookViewId="0">
      <pane ySplit="1" topLeftCell="A2" activePane="bottomLeft" state="frozen"/>
      <selection pane="bottomLeft" activeCell="K12" sqref="K12"/>
    </sheetView>
  </sheetViews>
  <sheetFormatPr defaultRowHeight="15" x14ac:dyDescent="0.25"/>
  <cols>
    <col min="1" max="1" width="9.28515625" bestFit="1" customWidth="1"/>
    <col min="3" max="3" width="9.28515625" bestFit="1" customWidth="1"/>
    <col min="5" max="5" width="27.7109375" customWidth="1"/>
    <col min="6" max="11" width="9.28515625" bestFit="1" customWidth="1"/>
    <col min="12" max="12" width="15.7109375" customWidth="1"/>
    <col min="13" max="21" width="9.28515625" bestFit="1" customWidth="1"/>
    <col min="22" max="22" width="9.28515625" customWidth="1"/>
    <col min="23" max="24" width="9.28515625" bestFit="1" customWidth="1"/>
    <col min="25" max="25" width="12.42578125" customWidth="1"/>
  </cols>
  <sheetData>
    <row r="1" spans="1:31" ht="90" x14ac:dyDescent="0.25">
      <c r="A1" s="1" t="s">
        <v>0</v>
      </c>
      <c r="B1" s="1" t="s">
        <v>1</v>
      </c>
      <c r="C1" s="2" t="s">
        <v>2</v>
      </c>
      <c r="D1" s="3" t="s">
        <v>14</v>
      </c>
      <c r="E1" s="3" t="s">
        <v>15</v>
      </c>
      <c r="F1" s="4" t="s">
        <v>16</v>
      </c>
      <c r="G1" s="3" t="s">
        <v>17</v>
      </c>
      <c r="H1" s="4" t="s">
        <v>18</v>
      </c>
      <c r="I1" s="3" t="s">
        <v>19</v>
      </c>
      <c r="J1" s="3" t="s">
        <v>20</v>
      </c>
      <c r="K1" s="3" t="s">
        <v>21</v>
      </c>
      <c r="L1" s="3" t="s">
        <v>22</v>
      </c>
      <c r="M1" s="3" t="s">
        <v>23</v>
      </c>
      <c r="N1" s="3" t="s">
        <v>250</v>
      </c>
      <c r="O1" s="3" t="s">
        <v>251</v>
      </c>
      <c r="P1" s="3" t="s">
        <v>24</v>
      </c>
      <c r="Q1" s="3" t="s">
        <v>25</v>
      </c>
      <c r="R1" s="3" t="s">
        <v>26</v>
      </c>
      <c r="S1" s="3" t="s">
        <v>27</v>
      </c>
      <c r="T1" s="3" t="s">
        <v>28</v>
      </c>
      <c r="U1" s="3" t="s">
        <v>29</v>
      </c>
      <c r="V1" s="3" t="s">
        <v>30</v>
      </c>
      <c r="W1" s="3" t="s">
        <v>31</v>
      </c>
      <c r="X1" s="3" t="s">
        <v>32</v>
      </c>
      <c r="Y1" s="3" t="s">
        <v>33</v>
      </c>
      <c r="Z1" s="3" t="s">
        <v>34</v>
      </c>
      <c r="AA1" s="3" t="s">
        <v>35</v>
      </c>
      <c r="AB1" s="3" t="s">
        <v>36</v>
      </c>
      <c r="AC1" s="3" t="s">
        <v>37</v>
      </c>
      <c r="AD1" s="3" t="s">
        <v>38</v>
      </c>
      <c r="AE1" s="3" t="s">
        <v>39</v>
      </c>
    </row>
    <row r="2" spans="1:31" x14ac:dyDescent="0.25">
      <c r="A2">
        <v>1</v>
      </c>
      <c r="B2" t="s">
        <v>158</v>
      </c>
      <c r="C2">
        <v>2018</v>
      </c>
      <c r="D2" t="s">
        <v>160</v>
      </c>
      <c r="E2" t="s">
        <v>161</v>
      </c>
      <c r="F2">
        <v>1360</v>
      </c>
      <c r="G2">
        <f>J2-F2</f>
        <v>1685</v>
      </c>
      <c r="H2">
        <v>38437</v>
      </c>
      <c r="I2">
        <f>K2-H2</f>
        <v>54944</v>
      </c>
      <c r="J2">
        <v>3045</v>
      </c>
      <c r="K2">
        <v>93381</v>
      </c>
      <c r="L2">
        <v>96426</v>
      </c>
      <c r="M2">
        <f>(F2/G2)/(H2/I2)</f>
        <v>1.1537448963655428</v>
      </c>
      <c r="N2">
        <f>EXP(LN(M2)-1.96*SQRT(1/F2+1/G2+1/H2+1/I2))</f>
        <v>1.0729240384622984</v>
      </c>
      <c r="O2">
        <f>EXP(LN(M2)+1.96*SQRT(1/F2+1/G2+1/H2+1/I2))</f>
        <v>1.2406538004286791</v>
      </c>
      <c r="P2">
        <f>(F2/J2)/(H2/K2)</f>
        <v>1.0850772250824106</v>
      </c>
      <c r="Q2">
        <f>EXP(LN(P2)-1.96*(SQRT(1/F2+1/H2-1/J2-1/K2)))</f>
        <v>1.0422463148539587</v>
      </c>
      <c r="R2">
        <f>EXP(LN(P2)+1.96*(SQRT(1/F2+1/H2-1/J2-1/K2)))</f>
        <v>1.1296682632622428</v>
      </c>
      <c r="S2">
        <f>(H2/K2)-(F2/J2)</f>
        <v>-3.5019043493779378E-2</v>
      </c>
      <c r="T2">
        <f>S2-1.96*SQRT(((H2/K2*(1-H2/K2))/K2+(F2/J2*(1-F2/J2))/J2))</f>
        <v>-5.2957066590852406E-2</v>
      </c>
      <c r="U2">
        <f>S2+(1.96*SQRT(((H2/K2*(1-H2/K2)/K2)+F2/J2*(1-F2/J2)/J2)))</f>
        <v>-1.7081020396706354E-2</v>
      </c>
      <c r="V2">
        <f>1/S2</f>
        <v>-28.55589131603881</v>
      </c>
    </row>
    <row r="3" spans="1:31" x14ac:dyDescent="0.25">
      <c r="A3">
        <v>1</v>
      </c>
      <c r="B3" t="s">
        <v>158</v>
      </c>
      <c r="C3">
        <v>2018</v>
      </c>
      <c r="D3" t="s">
        <v>160</v>
      </c>
      <c r="E3" t="s">
        <v>162</v>
      </c>
      <c r="F3">
        <v>490</v>
      </c>
      <c r="G3">
        <f>J3-F3</f>
        <v>2555</v>
      </c>
      <c r="H3">
        <v>31356</v>
      </c>
      <c r="I3">
        <f>K3-H3</f>
        <v>62025</v>
      </c>
      <c r="J3">
        <v>3045</v>
      </c>
      <c r="K3">
        <v>93381</v>
      </c>
      <c r="L3">
        <v>96426</v>
      </c>
      <c r="M3">
        <v>0.67</v>
      </c>
      <c r="N3">
        <v>0.6</v>
      </c>
      <c r="O3">
        <v>0.76</v>
      </c>
      <c r="P3">
        <f>(F3/J3)/(H3/K3)</f>
        <v>0.47923292467811252</v>
      </c>
      <c r="Q3">
        <f>EXP(LN(P3)-1.96*(SQRT(1/F3+1/H3-1/J3-1/K3)))</f>
        <v>0.44167722442614843</v>
      </c>
      <c r="R3">
        <f>EXP(LN(P3)+1.96*(SQRT(1/F3+1/H3-1/J3-1/K3)))</f>
        <v>0.51998197641712207</v>
      </c>
      <c r="S3">
        <f>(H3/K3)-(F3/J3)</f>
        <v>0.17486611209767625</v>
      </c>
      <c r="T3">
        <f>S3-1.96*SQRT(((H3/K3*(1-H3/K3))/K3+(F3/J3*(1-F3/J3))/J3))</f>
        <v>0.16146747573657932</v>
      </c>
      <c r="U3">
        <f>S3+(1.96*SQRT(((H3/K3*(1-H3/K3)/K3)+F3/J3*(1-F3/J3)/J3)))</f>
        <v>0.18826474845877317</v>
      </c>
      <c r="V3">
        <f>1/S3</f>
        <v>5.7186609115059568</v>
      </c>
    </row>
    <row r="4" spans="1:31" x14ac:dyDescent="0.25">
      <c r="A4">
        <v>1</v>
      </c>
      <c r="B4" t="s">
        <v>158</v>
      </c>
      <c r="C4">
        <v>2018</v>
      </c>
      <c r="D4" t="s">
        <v>160</v>
      </c>
      <c r="E4" t="s">
        <v>163</v>
      </c>
      <c r="F4">
        <v>396</v>
      </c>
      <c r="G4">
        <f>J4-F4</f>
        <v>2649</v>
      </c>
      <c r="H4">
        <v>9993</v>
      </c>
      <c r="I4">
        <f>K4-H4</f>
        <v>83388</v>
      </c>
      <c r="J4">
        <v>3045</v>
      </c>
      <c r="K4">
        <v>93381</v>
      </c>
      <c r="L4">
        <v>96426</v>
      </c>
      <c r="M4">
        <v>0.8</v>
      </c>
      <c r="N4">
        <v>0.71</v>
      </c>
      <c r="O4">
        <v>0.9</v>
      </c>
      <c r="P4">
        <f>(F4/J4)/(H4/K4)</f>
        <v>1.2152636895087645</v>
      </c>
      <c r="Q4">
        <f>EXP(LN(P4)-1.96*(SQRT(1/F4+1/H4-1/J4-1/K4)))</f>
        <v>1.1065477891581232</v>
      </c>
      <c r="R4">
        <f>EXP(LN(P4)+1.96*(SQRT(1/F4+1/H4-1/J4-1/K4)))</f>
        <v>1.3346606893156188</v>
      </c>
      <c r="S4">
        <f>(H4/K4)-(F4/J4)</f>
        <v>-2.3036057112914662E-2</v>
      </c>
      <c r="T4">
        <f>S4-1.96*SQRT(((H4/K4*(1-H4/K4))/K4+(F4/J4*(1-F4/J4))/J4))</f>
        <v>-3.5146601493226577E-2</v>
      </c>
      <c r="U4">
        <f>S4+(1.96*SQRT(((H4/K4*(1-H4/K4)/K4)+F4/J4*(1-F4/J4)/J4)))</f>
        <v>-1.0925512732602746E-2</v>
      </c>
      <c r="V4">
        <f>1/S4</f>
        <v>-43.410206664202612</v>
      </c>
    </row>
    <row r="5" spans="1:31" x14ac:dyDescent="0.25">
      <c r="A5">
        <v>1</v>
      </c>
      <c r="B5" t="s">
        <v>158</v>
      </c>
      <c r="C5">
        <v>2018</v>
      </c>
      <c r="D5" t="s">
        <v>160</v>
      </c>
      <c r="E5" t="s">
        <v>164</v>
      </c>
      <c r="F5">
        <v>798</v>
      </c>
      <c r="G5">
        <f>J5-F5</f>
        <v>2247</v>
      </c>
      <c r="H5">
        <v>13445</v>
      </c>
      <c r="I5">
        <f>K5-H5</f>
        <v>79936</v>
      </c>
      <c r="J5">
        <v>3045</v>
      </c>
      <c r="K5">
        <v>93381</v>
      </c>
      <c r="L5">
        <v>96426</v>
      </c>
      <c r="M5">
        <v>1.1399999999999999</v>
      </c>
      <c r="N5">
        <v>1.04</v>
      </c>
      <c r="O5">
        <v>1.26</v>
      </c>
      <c r="P5">
        <f>(F5/J5)/(H5/K5)</f>
        <v>1.8201756838204179</v>
      </c>
      <c r="Q5">
        <f>EXP(LN(P5)-1.96*(SQRT(1/F5+1/H5-1/J5-1/K5)))</f>
        <v>1.7114023307330144</v>
      </c>
      <c r="R5">
        <f>EXP(LN(P5)+1.96*(SQRT(1/F5+1/H5-1/J5-1/K5)))</f>
        <v>1.935862456464057</v>
      </c>
      <c r="S5">
        <f>(H5/K5)-(F5/J5)</f>
        <v>-0.11808892675132543</v>
      </c>
      <c r="T5">
        <f>S5-1.96*SQRT(((H5/K5*(1-H5/K5))/K5+(F5/J5*(1-F5/J5))/J5))</f>
        <v>-0.13387029199329051</v>
      </c>
      <c r="U5">
        <f>S5+(1.96*SQRT(((H5/K5*(1-H5/K5)/K5)+F5/J5*(1-F5/J5)/J5)))</f>
        <v>-0.10230756150936035</v>
      </c>
      <c r="V5">
        <f>1/S5</f>
        <v>-8.4681944997757892</v>
      </c>
    </row>
    <row r="6" spans="1:31" x14ac:dyDescent="0.25">
      <c r="A6">
        <v>4</v>
      </c>
      <c r="B6" t="s">
        <v>178</v>
      </c>
      <c r="C6">
        <v>2017</v>
      </c>
      <c r="D6" t="s">
        <v>181</v>
      </c>
      <c r="E6" t="s">
        <v>182</v>
      </c>
      <c r="J6">
        <v>2276</v>
      </c>
      <c r="K6">
        <v>54848</v>
      </c>
      <c r="L6">
        <f>K6+J6</f>
        <v>57124</v>
      </c>
      <c r="W6">
        <v>0.68</v>
      </c>
      <c r="Y6">
        <v>5572</v>
      </c>
      <c r="Z6">
        <v>187</v>
      </c>
      <c r="AA6">
        <v>30</v>
      </c>
    </row>
    <row r="7" spans="1:31" x14ac:dyDescent="0.25">
      <c r="A7">
        <v>4</v>
      </c>
      <c r="B7" t="s">
        <v>178</v>
      </c>
      <c r="C7">
        <v>2017</v>
      </c>
      <c r="D7" t="s">
        <v>181</v>
      </c>
      <c r="E7" t="s">
        <v>183</v>
      </c>
      <c r="F7">
        <v>508</v>
      </c>
      <c r="G7">
        <f>F7/0.375</f>
        <v>1354.6666666666667</v>
      </c>
      <c r="H7">
        <v>9234</v>
      </c>
      <c r="I7">
        <f>H7/0.204</f>
        <v>45264.705882352944</v>
      </c>
      <c r="J7">
        <v>1356</v>
      </c>
      <c r="K7">
        <v>43712</v>
      </c>
      <c r="L7">
        <f>J7+K7</f>
        <v>45068</v>
      </c>
      <c r="M7">
        <v>1.63</v>
      </c>
      <c r="N7">
        <v>1.35</v>
      </c>
      <c r="O7">
        <v>1.96</v>
      </c>
      <c r="P7">
        <f>(F7/J7)/(H7/K7)</f>
        <v>1.7734331823586424</v>
      </c>
      <c r="Q7">
        <f>EXP(LN(P7)-1.96*(SQRT(1/F7+1/H7-1/J7-1/K7)))</f>
        <v>1.651695860253557</v>
      </c>
      <c r="R7">
        <f>EXP(LN(P7)+1.96*(SQRT(1/F7+1/H7-1/J7-1/K7)))</f>
        <v>1.9041430858874304</v>
      </c>
      <c r="S7">
        <f>(H7/K7)-(F7/J7)</f>
        <v>-0.16338492875868652</v>
      </c>
      <c r="T7">
        <f>S7-1.96*SQRT(((H7/K7*(1-H7/K7))/K7+(F7/J7*(1-F7/J7))/J7))</f>
        <v>-0.18943056609026662</v>
      </c>
      <c r="U7">
        <f>S7+(1.96*SQRT(((H7/K7*(1-H7/K7)/K7)+F7/J7*(1-F7/J7)/J7)))</f>
        <v>-0.13733929142710641</v>
      </c>
      <c r="V7">
        <f>1/S7</f>
        <v>-6.1205155677300134</v>
      </c>
    </row>
    <row r="8" spans="1:31" x14ac:dyDescent="0.25">
      <c r="A8">
        <v>19</v>
      </c>
      <c r="B8" t="s">
        <v>214</v>
      </c>
      <c r="C8">
        <v>2017</v>
      </c>
      <c r="D8" t="s">
        <v>220</v>
      </c>
      <c r="E8" t="s">
        <v>221</v>
      </c>
      <c r="F8">
        <v>13</v>
      </c>
      <c r="G8">
        <v>24</v>
      </c>
      <c r="H8">
        <f>22-13</f>
        <v>9</v>
      </c>
      <c r="I8">
        <f>37-24</f>
        <v>13</v>
      </c>
      <c r="J8">
        <v>37</v>
      </c>
      <c r="K8">
        <v>22</v>
      </c>
      <c r="L8">
        <v>59</v>
      </c>
      <c r="P8">
        <f>(F8/J8)/(H8/K8)</f>
        <v>0.85885885885885882</v>
      </c>
      <c r="Q8">
        <f>EXP(LN(P8)-1.96*(SQRT(1/F8+1/H8-1/J8-1/K8)))</f>
        <v>0.4411306951926206</v>
      </c>
      <c r="R8">
        <f>EXP(LN(P8)+1.96*(SQRT(1/F8+1/H8-1/J8-1/K8)))</f>
        <v>1.6721541880422757</v>
      </c>
      <c r="S8">
        <f>(H8/K8)-(F8/J8)</f>
        <v>5.7739557739557745E-2</v>
      </c>
      <c r="T8">
        <f>S8-1.96*SQRT(((H8/K8*(1-H8/K8))/K8+(F8/J8*(1-F8/J8))/J8))</f>
        <v>-0.19891969315125196</v>
      </c>
      <c r="U8">
        <f>S8+(1.96*SQRT(((H8/K8*(1-H8/K8)/K8)+F8/J8*(1-F8/J8)/J8)))</f>
        <v>0.31439880863036745</v>
      </c>
      <c r="V8">
        <f>1/S8</f>
        <v>17.319148936170212</v>
      </c>
    </row>
    <row r="9" spans="1:31" x14ac:dyDescent="0.25">
      <c r="A9">
        <v>19</v>
      </c>
      <c r="B9" t="s">
        <v>214</v>
      </c>
      <c r="C9">
        <v>2017</v>
      </c>
      <c r="D9" t="s">
        <v>220</v>
      </c>
      <c r="E9" t="s">
        <v>222</v>
      </c>
      <c r="F9">
        <v>9</v>
      </c>
      <c r="G9">
        <v>28</v>
      </c>
      <c r="H9">
        <f>12-9</f>
        <v>3</v>
      </c>
      <c r="I9">
        <f>47-28</f>
        <v>19</v>
      </c>
      <c r="J9">
        <v>37</v>
      </c>
      <c r="K9">
        <v>22</v>
      </c>
      <c r="L9">
        <v>59</v>
      </c>
      <c r="P9">
        <f>(F9/J9)/(H9/K9)</f>
        <v>1.783783783783784</v>
      </c>
      <c r="Q9">
        <f>EXP(LN(P9)-1.96*(SQRT(1/F9+1/H9-1/J9-1/K9)))</f>
        <v>0.53975343461812364</v>
      </c>
      <c r="R9">
        <f>EXP(LN(P9)+1.96*(SQRT(1/F9+1/H9-1/J9-1/K9)))</f>
        <v>5.8950705696596089</v>
      </c>
      <c r="S9">
        <f>(H9/K9)-(F9/J9)</f>
        <v>-0.1068796068796069</v>
      </c>
      <c r="T9">
        <f>S9-1.96*SQRT(((H9/K9*(1-H9/K9))/K9+(F9/J9*(1-F9/J9))/J9))</f>
        <v>-0.30606946212178043</v>
      </c>
      <c r="U9">
        <f>S9+(1.96*SQRT(((H9/K9*(1-H9/K9)/K9)+F9/J9*(1-F9/J9)/J9)))</f>
        <v>9.2310248362566599E-2</v>
      </c>
      <c r="V9">
        <f>1/S9</f>
        <v>-9.3563218390804579</v>
      </c>
    </row>
    <row r="10" spans="1:31" x14ac:dyDescent="0.25">
      <c r="A10">
        <v>23</v>
      </c>
      <c r="B10" t="s">
        <v>99</v>
      </c>
      <c r="C10">
        <v>2021</v>
      </c>
      <c r="D10" t="s">
        <v>104</v>
      </c>
      <c r="E10" t="s">
        <v>105</v>
      </c>
      <c r="F10">
        <v>36</v>
      </c>
      <c r="G10">
        <f>88-F10</f>
        <v>52</v>
      </c>
      <c r="H10">
        <v>75</v>
      </c>
      <c r="I10">
        <f>88-75</f>
        <v>13</v>
      </c>
      <c r="J10">
        <v>88</v>
      </c>
      <c r="K10">
        <v>88</v>
      </c>
      <c r="L10">
        <f>J10+K10</f>
        <v>176</v>
      </c>
      <c r="M10">
        <f>(F10/G10)/(H10/I10)</f>
        <v>0.12</v>
      </c>
      <c r="N10">
        <f>EXP(LN(M10)-1.96*SQRT(1/F10+1/G10+1/H10+1/I10))</f>
        <v>5.8051221062672222E-2</v>
      </c>
      <c r="O10">
        <f>EXP(LN(M10)+1.96*SQRT(1/F10+1/G10+1/H10+1/I10))</f>
        <v>0.24805679771065844</v>
      </c>
      <c r="P10">
        <f>(F10/J10)/(H10/K10)</f>
        <v>0.48000000000000004</v>
      </c>
      <c r="Q10">
        <f>EXP(LN(P10)-1.96*(SQRT(1/F10+1/H10-1/J10-1/K10)))</f>
        <v>0.36798256389595985</v>
      </c>
      <c r="R10">
        <f>EXP(LN(P10)+1.96*(SQRT(1/F10+1/H10-1/J10-1/K10)))</f>
        <v>0.62611662237654642</v>
      </c>
      <c r="S10">
        <f>(H10/K10)-(F10/J10)</f>
        <v>0.44318181818181818</v>
      </c>
      <c r="T10">
        <f>S10-1.96*SQRT(((H10/K10*(1-H10/K10))/K10+(F10/J10*(1-F10/J10))/J10))</f>
        <v>0.31649664288446855</v>
      </c>
      <c r="U10">
        <f>S10+(1.96*SQRT(((H10/K10*(1-H10/K10)/K10)+F10/J10*(1-F10/J10)/J10)))</f>
        <v>0.5698669934791678</v>
      </c>
      <c r="V10">
        <f>1/S10</f>
        <v>2.2564102564102564</v>
      </c>
    </row>
    <row r="11" spans="1:31" x14ac:dyDescent="0.25">
      <c r="A11">
        <v>23</v>
      </c>
      <c r="B11" t="s">
        <v>99</v>
      </c>
      <c r="C11">
        <v>2021</v>
      </c>
      <c r="D11" t="s">
        <v>104</v>
      </c>
      <c r="E11" t="s">
        <v>106</v>
      </c>
      <c r="F11">
        <v>13</v>
      </c>
      <c r="G11">
        <f>88-13</f>
        <v>75</v>
      </c>
      <c r="H11">
        <v>1</v>
      </c>
      <c r="I11">
        <f>88-1</f>
        <v>87</v>
      </c>
      <c r="J11">
        <v>88</v>
      </c>
      <c r="K11">
        <v>88</v>
      </c>
      <c r="L11">
        <f>J11+K11</f>
        <v>176</v>
      </c>
      <c r="M11">
        <f>(F11/G11)/(H11/I11)</f>
        <v>15.08</v>
      </c>
      <c r="N11">
        <f>EXP(LN(M11)-1.96*SQRT(1/F11+1/G11+1/H11+1/I11))</f>
        <v>1.9272013301877666</v>
      </c>
      <c r="O11">
        <f>EXP(LN(M11)+1.96*SQRT(1/F11+1/G11+1/H11+1/I11))</f>
        <v>117.99825811548388</v>
      </c>
      <c r="P11">
        <f>(F11/J11)/(H11/K11)</f>
        <v>13</v>
      </c>
      <c r="Q11">
        <f>EXP(LN(P11)-1.96*(SQRT(1/F11+1/H11-1/J11-1/K11)))</f>
        <v>1.7376579767924918</v>
      </c>
      <c r="R11">
        <f>EXP(LN(P11)+1.96*(SQRT(1/F11+1/H11-1/J11-1/K11)))</f>
        <v>97.25734422832376</v>
      </c>
      <c r="S11">
        <f>(H11/K11)-(F11/J11)</f>
        <v>-0.13636363636363638</v>
      </c>
      <c r="T11">
        <f>S11-1.96*SQRT(((H11/K11*(1-H11/K11))/K11+(F11/J11*(1-F11/J11))/J11))</f>
        <v>-0.2137375067280983</v>
      </c>
      <c r="U11">
        <f>S11+(1.96*SQRT(((H11/K11*(1-H11/K11)/K11)+F11/J11*(1-F11/J11)/J11)))</f>
        <v>-5.8989765999174465E-2</v>
      </c>
      <c r="V11">
        <f>1/S11</f>
        <v>-7.3333333333333321</v>
      </c>
    </row>
    <row r="12" spans="1:31" x14ac:dyDescent="0.25">
      <c r="A12">
        <v>23</v>
      </c>
      <c r="B12" t="s">
        <v>99</v>
      </c>
      <c r="C12">
        <v>2021</v>
      </c>
      <c r="D12" t="s">
        <v>104</v>
      </c>
      <c r="E12" t="s">
        <v>107</v>
      </c>
      <c r="Y12" t="s">
        <v>108</v>
      </c>
      <c r="Z12" t="s">
        <v>109</v>
      </c>
    </row>
    <row r="13" spans="1:31" x14ac:dyDescent="0.25">
      <c r="A13">
        <v>23</v>
      </c>
      <c r="B13" t="s">
        <v>99</v>
      </c>
      <c r="C13">
        <v>2021</v>
      </c>
      <c r="D13" t="s">
        <v>104</v>
      </c>
      <c r="E13" t="s">
        <v>110</v>
      </c>
      <c r="Y13">
        <v>3</v>
      </c>
      <c r="Z13">
        <v>1.2</v>
      </c>
      <c r="AD13">
        <v>4.8</v>
      </c>
      <c r="AE13">
        <v>1.6</v>
      </c>
    </row>
    <row r="14" spans="1:31" x14ac:dyDescent="0.25">
      <c r="A14">
        <v>23</v>
      </c>
      <c r="B14" t="s">
        <v>99</v>
      </c>
      <c r="C14">
        <v>2021</v>
      </c>
      <c r="D14" t="s">
        <v>104</v>
      </c>
      <c r="E14" t="s">
        <v>111</v>
      </c>
      <c r="Y14">
        <v>4.3</v>
      </c>
      <c r="Z14">
        <v>1.7</v>
      </c>
      <c r="AD14">
        <v>6.8</v>
      </c>
      <c r="AE14">
        <v>2.2999999999999998</v>
      </c>
    </row>
    <row r="15" spans="1:31" x14ac:dyDescent="0.25">
      <c r="A15">
        <v>23</v>
      </c>
      <c r="B15" t="s">
        <v>99</v>
      </c>
      <c r="C15">
        <v>2021</v>
      </c>
      <c r="D15" t="s">
        <v>104</v>
      </c>
      <c r="E15" t="s">
        <v>112</v>
      </c>
      <c r="Y15" t="s">
        <v>113</v>
      </c>
      <c r="Z15" t="s">
        <v>114</v>
      </c>
    </row>
    <row r="16" spans="1:31" x14ac:dyDescent="0.25">
      <c r="A16">
        <v>23</v>
      </c>
      <c r="B16" t="s">
        <v>99</v>
      </c>
      <c r="C16">
        <v>2021</v>
      </c>
      <c r="D16" t="s">
        <v>104</v>
      </c>
      <c r="E16" t="s">
        <v>115</v>
      </c>
      <c r="Y16">
        <v>11</v>
      </c>
      <c r="Z16">
        <v>3.2</v>
      </c>
      <c r="AD16">
        <v>13.7</v>
      </c>
      <c r="AE16">
        <v>3.5</v>
      </c>
    </row>
    <row r="17" spans="1:28" x14ac:dyDescent="0.25">
      <c r="A17">
        <v>26</v>
      </c>
      <c r="B17" t="s">
        <v>146</v>
      </c>
      <c r="C17">
        <v>2019</v>
      </c>
      <c r="D17" t="s">
        <v>151</v>
      </c>
      <c r="E17" t="s">
        <v>152</v>
      </c>
      <c r="F17">
        <v>306</v>
      </c>
      <c r="G17">
        <f>25500-306</f>
        <v>25194</v>
      </c>
      <c r="H17">
        <v>5411</v>
      </c>
      <c r="I17">
        <f>K17-H17</f>
        <v>4503756</v>
      </c>
      <c r="J17">
        <v>25500</v>
      </c>
      <c r="K17">
        <v>4509167</v>
      </c>
      <c r="L17">
        <f>J17+K17</f>
        <v>4534667</v>
      </c>
      <c r="M17">
        <f>(F17/G17)/(H17/I17)</f>
        <v>10.109312489104141</v>
      </c>
      <c r="N17">
        <f>EXP(LN(M17)-1.96*SQRT(1/F17+1/G17+1/H17+1/I17))</f>
        <v>9.0035856899105973</v>
      </c>
      <c r="O17">
        <f>EXP(LN(M17)+1.96*SQRT(1/F17+1/G17+1/H17+1/I17))</f>
        <v>11.350833159380059</v>
      </c>
      <c r="P17">
        <f>(F17/J17)/(H17/K17)</f>
        <v>10.000000739234892</v>
      </c>
      <c r="Q17">
        <f>EXP(LN(P17)-1.96*(SQRT(1/F17+1/H17-1/J17-1/K17)))</f>
        <v>8.9180243783307578</v>
      </c>
      <c r="R17">
        <f>EXP(LN(P17)+1.96*(SQRT(1/F17+1/H17-1/J17-1/K17)))</f>
        <v>11.213247524606571</v>
      </c>
      <c r="S17">
        <f>(H17/K17)-(F17/J17)</f>
        <v>-1.080000008870818E-2</v>
      </c>
      <c r="T17">
        <f>S17-1.96*SQRT(((H17/K17*(1-H17/K17))/K17+(F17/J17*(1-F17/J17))/J17))</f>
        <v>-1.2136839323874264E-2</v>
      </c>
      <c r="U17">
        <f>S17+(1.96*SQRT(((H17/K17*(1-H17/K17)/K17)+F17/J17*(1-F17/J17)/J17)))</f>
        <v>-9.4631608535420964E-3</v>
      </c>
      <c r="V17">
        <f>1/S17</f>
        <v>-92.592591832062936</v>
      </c>
    </row>
    <row r="18" spans="1:28" x14ac:dyDescent="0.25">
      <c r="A18">
        <v>28</v>
      </c>
      <c r="B18" t="s">
        <v>231</v>
      </c>
      <c r="C18">
        <v>2015</v>
      </c>
      <c r="D18" t="s">
        <v>181</v>
      </c>
      <c r="E18" t="s">
        <v>236</v>
      </c>
      <c r="F18">
        <v>7</v>
      </c>
      <c r="G18">
        <v>25</v>
      </c>
      <c r="H18">
        <v>7</v>
      </c>
      <c r="I18">
        <v>14</v>
      </c>
      <c r="J18">
        <v>32</v>
      </c>
      <c r="K18">
        <v>21</v>
      </c>
      <c r="L18">
        <f>J18+K18</f>
        <v>53</v>
      </c>
      <c r="M18">
        <f>(F18/G18)/(H18/I18)</f>
        <v>0.56000000000000005</v>
      </c>
      <c r="N18">
        <f>EXP(LN(M18)-1.96*SQRT(1/F18+1/G18+1/H18+1/I18))</f>
        <v>0.16283852469062948</v>
      </c>
      <c r="O18">
        <f>EXP(LN(M18)+1.96*SQRT(1/F18+1/G18+1/H18+1/I18))</f>
        <v>1.9258342004497788</v>
      </c>
      <c r="P18">
        <f>(F18/J18)/(H18/K18)</f>
        <v>0.65625</v>
      </c>
      <c r="Q18">
        <f>EXP(LN(P18)-1.96*(SQRT(1/F18+1/H18-1/J18-1/K18)))</f>
        <v>0.26911238419823663</v>
      </c>
      <c r="R18">
        <f>EXP(LN(P18)+1.96*(SQRT(1/F18+1/H18-1/J18-1/K18)))</f>
        <v>1.6003130579927505</v>
      </c>
      <c r="S18">
        <f>(H18/K18)-(F18/J18)</f>
        <v>0.11458333333333331</v>
      </c>
      <c r="T18">
        <f>S18-1.96*SQRT(((H18/K18*(1-H18/K18))/K18+(F18/J18*(1-F18/J18))/J18))</f>
        <v>-0.13273874266015107</v>
      </c>
      <c r="U18">
        <f>S18+(1.96*SQRT(((H18/K18*(1-H18/K18)/K18)+F18/J18*(1-F18/J18)/J18)))</f>
        <v>0.3619054093268177</v>
      </c>
      <c r="V18">
        <f>1/S18</f>
        <v>8.7272727272727284</v>
      </c>
    </row>
    <row r="19" spans="1:28" x14ac:dyDescent="0.25">
      <c r="A19">
        <v>36</v>
      </c>
      <c r="B19" t="s">
        <v>165</v>
      </c>
      <c r="C19">
        <v>2018</v>
      </c>
      <c r="D19" t="s">
        <v>167</v>
      </c>
      <c r="E19" t="s">
        <v>168</v>
      </c>
      <c r="F19">
        <v>6</v>
      </c>
      <c r="G19">
        <v>16</v>
      </c>
      <c r="H19">
        <v>17</v>
      </c>
      <c r="I19">
        <f>K19-H19</f>
        <v>81</v>
      </c>
      <c r="J19">
        <v>22</v>
      </c>
      <c r="K19">
        <v>98</v>
      </c>
      <c r="L19">
        <f>J19+K19</f>
        <v>120</v>
      </c>
      <c r="M19">
        <f>(F19/G19)/(H19/I19)</f>
        <v>1.786764705882353</v>
      </c>
      <c r="N19">
        <f>EXP(LN(M19)-1.96*SQRT(1/F19+1/G19+1/H19+1/I19))</f>
        <v>0.61034528328456705</v>
      </c>
      <c r="O19">
        <f>EXP(LN(M19)+1.96*SQRT(1/F19+1/G19+1/H19+1/I19))</f>
        <v>5.2306918749437923</v>
      </c>
      <c r="P19">
        <f>(F19/J19)/(H19/K19)</f>
        <v>1.5721925133689838</v>
      </c>
      <c r="Q19">
        <f>EXP(LN(P19)-1.96*(SQRT(1/F19+1/H19-1/J19-1/K19)))</f>
        <v>0.70099318218823881</v>
      </c>
      <c r="R19">
        <f>EXP(LN(P19)+1.96*(SQRT(1/F19+1/H19-1/J19-1/K19)))</f>
        <v>3.5261245927920153</v>
      </c>
      <c r="S19">
        <f>(H19/K19)-(F19/J19)</f>
        <v>-9.9257884972170668E-2</v>
      </c>
      <c r="T19">
        <f>S19-1.96*SQRT(((H19/K19*(1-H19/K19))/K19+(F19/J19*(1-F19/J19))/J19))</f>
        <v>-0.29989541743553438</v>
      </c>
      <c r="U19">
        <f>S19+(1.96*SQRT(((H19/K19*(1-H19/K19)/K19)+F19/J19*(1-F19/J19)/J19)))</f>
        <v>0.10137964749119302</v>
      </c>
      <c r="V19">
        <f>1/S19</f>
        <v>-10.07476635514019</v>
      </c>
    </row>
    <row r="20" spans="1:28" x14ac:dyDescent="0.25">
      <c r="A20">
        <v>36</v>
      </c>
      <c r="B20" t="s">
        <v>165</v>
      </c>
      <c r="C20">
        <v>2018</v>
      </c>
      <c r="D20" t="s">
        <v>167</v>
      </c>
      <c r="E20" t="s">
        <v>169</v>
      </c>
      <c r="F20">
        <v>4</v>
      </c>
      <c r="G20">
        <v>18</v>
      </c>
      <c r="H20">
        <v>7</v>
      </c>
      <c r="I20">
        <f>K20-H20</f>
        <v>91</v>
      </c>
      <c r="J20">
        <v>22</v>
      </c>
      <c r="K20">
        <v>98</v>
      </c>
      <c r="L20">
        <f>J20+K20</f>
        <v>120</v>
      </c>
      <c r="M20">
        <f>(F20/G20)/(H20/I20)</f>
        <v>2.8888888888888884</v>
      </c>
      <c r="N20">
        <f>EXP(LN(M20)-1.96*SQRT(1/F20+1/G20+1/H20+1/I20))</f>
        <v>0.76521384674177262</v>
      </c>
      <c r="O20">
        <f>EXP(LN(M20)+1.96*SQRT(1/F20+1/G20+1/H20+1/I20))</f>
        <v>10.906335592175964</v>
      </c>
      <c r="P20">
        <f>(F20/J20)/(H20/K20)</f>
        <v>2.5454545454545459</v>
      </c>
      <c r="Q20">
        <f>EXP(LN(P20)-1.96*(SQRT(1/F20+1/H20-1/J20-1/K20)))</f>
        <v>0.81559352503492433</v>
      </c>
      <c r="R20">
        <f>EXP(LN(P20)+1.96*(SQRT(1/F20+1/H20-1/J20-1/K20)))</f>
        <v>7.9443235436399</v>
      </c>
      <c r="S20">
        <f>(H20/K20)-(F20/J20)</f>
        <v>-0.1103896103896104</v>
      </c>
      <c r="T20">
        <f>S20-1.96*SQRT(((H20/K20*(1-H20/K20))/K20+(F20/J20*(1-F20/J20))/J20))</f>
        <v>-0.27943474771184013</v>
      </c>
      <c r="U20">
        <f>S20+(1.96*SQRT(((H20/K20*(1-H20/K20)/K20)+F20/J20*(1-F20/J20)/J20)))</f>
        <v>5.8655526932619328E-2</v>
      </c>
      <c r="V20">
        <f>1/S20</f>
        <v>-9.0588235294117645</v>
      </c>
    </row>
    <row r="21" spans="1:28" x14ac:dyDescent="0.25">
      <c r="A21">
        <v>36</v>
      </c>
      <c r="B21" t="s">
        <v>165</v>
      </c>
      <c r="C21">
        <v>2018</v>
      </c>
      <c r="D21" t="s">
        <v>167</v>
      </c>
      <c r="E21" t="s">
        <v>170</v>
      </c>
      <c r="F21">
        <v>8</v>
      </c>
      <c r="G21">
        <v>14</v>
      </c>
      <c r="H21">
        <v>12</v>
      </c>
      <c r="I21">
        <f>K21-H21</f>
        <v>86</v>
      </c>
      <c r="J21">
        <v>22</v>
      </c>
      <c r="K21">
        <v>98</v>
      </c>
      <c r="L21">
        <v>120</v>
      </c>
      <c r="M21">
        <f>(F21/G21)/(H21/I21)</f>
        <v>4.0952380952380949</v>
      </c>
      <c r="N21">
        <f>EXP(LN(M21)-1.96*SQRT(1/F21+1/G21+1/H21+1/I21))</f>
        <v>1.4216332405325662</v>
      </c>
      <c r="O21">
        <f>EXP(LN(M21)+1.96*SQRT(1/F21+1/G21+1/H21+1/I21))</f>
        <v>11.796977292403959</v>
      </c>
      <c r="P21">
        <f>(F21/J21)/(H21/K21)</f>
        <v>2.9696969696969697</v>
      </c>
      <c r="Q21">
        <f>EXP(LN(P21)-1.96*(SQRT(1/F21+1/H21-1/J21-1/K21)))</f>
        <v>1.3807366279785227</v>
      </c>
      <c r="R21">
        <f>EXP(LN(P21)+1.96*(SQRT(1/F21+1/H21-1/J21-1/K21)))</f>
        <v>6.3872428044000182</v>
      </c>
      <c r="S21">
        <f>(H21/K21)-(F21/J21)</f>
        <v>-0.24118738404452691</v>
      </c>
      <c r="T21">
        <f>S21-1.96*SQRT(((H21/K21*(1-H21/K21))/K21+(F21/J21*(1-F21/J21))/J21))</f>
        <v>-0.45242127821392436</v>
      </c>
      <c r="U21">
        <f>S21+(1.96*SQRT(((H21/K21*(1-H21/K21)/K21)+F21/J21*(1-F21/J21)/J21)))</f>
        <v>-2.9953489875129469E-2</v>
      </c>
      <c r="V21">
        <f>1/S21</f>
        <v>-4.1461538461538456</v>
      </c>
    </row>
    <row r="22" spans="1:28" x14ac:dyDescent="0.25">
      <c r="A22">
        <v>42</v>
      </c>
      <c r="B22" t="s">
        <v>171</v>
      </c>
      <c r="C22">
        <v>2018</v>
      </c>
      <c r="D22" t="s">
        <v>176</v>
      </c>
      <c r="E22" t="s">
        <v>177</v>
      </c>
      <c r="J22">
        <v>5481</v>
      </c>
      <c r="K22">
        <v>991563</v>
      </c>
      <c r="L22">
        <f>J22+K22</f>
        <v>997044</v>
      </c>
      <c r="AB22">
        <v>6</v>
      </c>
    </row>
    <row r="23" spans="1:28" x14ac:dyDescent="0.25">
      <c r="A23">
        <v>49</v>
      </c>
      <c r="B23" t="s">
        <v>237</v>
      </c>
      <c r="C23">
        <v>2014</v>
      </c>
      <c r="D23" t="s">
        <v>241</v>
      </c>
      <c r="E23" t="s">
        <v>242</v>
      </c>
      <c r="F23">
        <v>72</v>
      </c>
      <c r="G23">
        <f>J23-F23</f>
        <v>208</v>
      </c>
      <c r="H23">
        <v>1596</v>
      </c>
      <c r="I23">
        <f>K23-H23</f>
        <v>6870</v>
      </c>
      <c r="J23">
        <v>280</v>
      </c>
      <c r="K23">
        <v>8466</v>
      </c>
      <c r="L23">
        <f>J23+K23</f>
        <v>8746</v>
      </c>
      <c r="M23">
        <f>(F23/G23)/(H23/I23)</f>
        <v>1.4900231347599768</v>
      </c>
      <c r="N23">
        <f>EXP(LN(M23)-1.96*SQRT(1/F23+1/G23+1/H23+1/I23))</f>
        <v>1.1335023164921811</v>
      </c>
      <c r="O23">
        <f>EXP(LN(M23)+1.96*SQRT(1/F23+1/G23+1/H23+1/I23))</f>
        <v>1.9586805512587258</v>
      </c>
      <c r="P23">
        <f>(F23/J23)/(H23/K23)</f>
        <v>1.364017185821697</v>
      </c>
      <c r="Q23">
        <f>EXP(LN(P23)-1.96*(SQRT(1/F23+1/H23-1/J23-1/K23)))</f>
        <v>1.1123788430579071</v>
      </c>
      <c r="R23">
        <f>EXP(LN(P23)+1.96*(SQRT(1/F23+1/H23-1/J23-1/K23)))</f>
        <v>1.6725802498205975</v>
      </c>
      <c r="S23">
        <f>(H23/K23)-(F23/J23)</f>
        <v>-6.8624076136478668E-2</v>
      </c>
      <c r="T23">
        <f>S23-1.96*SQRT(((H23/K23*(1-H23/K23))/K23+(F23/J23*(1-F23/J23))/J23))</f>
        <v>-0.12049137972157592</v>
      </c>
      <c r="U23">
        <f>S23+(1.96*SQRT(((H23/K23*(1-H23/K23)/K23)+F23/J23*(1-F23/J23)/J23)))</f>
        <v>-1.6756772551381409E-2</v>
      </c>
      <c r="V23">
        <f>1/S23</f>
        <v>-14.572145175568018</v>
      </c>
    </row>
    <row r="24" spans="1:28" x14ac:dyDescent="0.25">
      <c r="A24">
        <v>58</v>
      </c>
      <c r="B24" t="s">
        <v>116</v>
      </c>
      <c r="C24">
        <v>2021</v>
      </c>
      <c r="D24" t="s">
        <v>121</v>
      </c>
      <c r="E24" t="s">
        <v>122</v>
      </c>
      <c r="F24">
        <v>30</v>
      </c>
      <c r="G24">
        <f>4315-30</f>
        <v>4285</v>
      </c>
      <c r="H24">
        <v>79</v>
      </c>
      <c r="I24">
        <f>132389-79</f>
        <v>132310</v>
      </c>
      <c r="J24">
        <v>4315</v>
      </c>
      <c r="K24">
        <f>136704-4315</f>
        <v>132389</v>
      </c>
      <c r="L24">
        <v>136704</v>
      </c>
      <c r="M24">
        <f>(F24/G24)/(H24/I24)</f>
        <v>11.725625156935438</v>
      </c>
      <c r="N24">
        <f>EXP(LN(M24)-1.96*SQRT(1/F24+1/G24+1/H24+1/I24))</f>
        <v>7.6932435733015634</v>
      </c>
      <c r="O24">
        <f>EXP(LN(M24)+1.96*SQRT(1/F24+1/G24+1/H24+1/I24))</f>
        <v>17.871562756455546</v>
      </c>
      <c r="P24">
        <f>(F24/J24)/(H24/K24)</f>
        <v>11.651055341244115</v>
      </c>
      <c r="Q24">
        <f>EXP(LN(P24)-1.96*(SQRT(1/F24+1/H24-1/J24-1/K24)))</f>
        <v>7.661111862249725</v>
      </c>
      <c r="R24">
        <f>EXP(LN(P24)+1.96*(SQRT(1/F24+1/H24-1/J24-1/K24)))</f>
        <v>17.718980352398905</v>
      </c>
      <c r="S24">
        <f>(H24/K24)-(F24/J24)</f>
        <v>-6.3557649952661098E-3</v>
      </c>
      <c r="T24">
        <f>S24-1.96*SQRT(((H24/K24*(1-H24/K24))/K24+(F24/J24*(1-F24/J24))/J24))</f>
        <v>-8.8385059085677471E-3</v>
      </c>
      <c r="U24">
        <f>S24+(1.96*SQRT(((H24/K24*(1-H24/K24)/K24)+F24/J24*(1-F24/J24)/J24)))</f>
        <v>-3.8730240819644726E-3</v>
      </c>
      <c r="V24">
        <f>1/S24</f>
        <v>-157.33747247496066</v>
      </c>
    </row>
    <row r="25" spans="1:28" x14ac:dyDescent="0.25">
      <c r="A25">
        <v>58</v>
      </c>
      <c r="B25" t="s">
        <v>116</v>
      </c>
      <c r="C25">
        <v>2021</v>
      </c>
      <c r="D25" t="s">
        <v>123</v>
      </c>
      <c r="E25" t="s">
        <v>124</v>
      </c>
      <c r="F25">
        <f>0.5*30</f>
        <v>15</v>
      </c>
      <c r="G25">
        <f>J25-F25</f>
        <v>15</v>
      </c>
      <c r="H25">
        <f>0.58*79</f>
        <v>45.82</v>
      </c>
      <c r="I25">
        <f>K25-H25</f>
        <v>33.18</v>
      </c>
      <c r="J25">
        <v>30</v>
      </c>
      <c r="K25">
        <v>79</v>
      </c>
      <c r="L25">
        <v>109</v>
      </c>
      <c r="M25">
        <f>(F25/G25)/(H25/I25)</f>
        <v>0.72413793103448276</v>
      </c>
      <c r="N25">
        <f>EXP(LN(M25)-1.96*SQRT(1/F25+1/G25+1/H25+1/I25))</f>
        <v>0.31146242822340015</v>
      </c>
      <c r="O25">
        <f>EXP(LN(M25)+1.96*SQRT(1/F25+1/G25+1/H25+1/I25))</f>
        <v>1.6835922912242454</v>
      </c>
      <c r="P25">
        <f>(F25/J25)/(H25/K25)</f>
        <v>0.86206896551724144</v>
      </c>
      <c r="Q25">
        <f>EXP(LN(P25)-1.96*(SQRT(1/F25+1/H25-1/J25-1/K25)))</f>
        <v>0.5755192355547194</v>
      </c>
      <c r="R25">
        <f>EXP(LN(P25)+1.96*(SQRT(1/F25+1/H25-1/J25-1/K25)))</f>
        <v>1.2912911600455241</v>
      </c>
      <c r="S25">
        <f>(H25/K25)-(F25/J25)</f>
        <v>7.999999999999996E-2</v>
      </c>
      <c r="T25">
        <f>S25-1.96*SQRT(((H25/K25*(1-H25/K25))/K25+(F25/J25*(1-F25/J25))/J25))</f>
        <v>-0.1294255885291998</v>
      </c>
      <c r="U25">
        <f>S25+(1.96*SQRT(((H25/K25*(1-H25/K25)/K25)+F25/J25*(1-F25/J25)/J25)))</f>
        <v>0.28942558852919975</v>
      </c>
      <c r="V25">
        <f>1/S25</f>
        <v>12.500000000000007</v>
      </c>
    </row>
    <row r="26" spans="1:28" x14ac:dyDescent="0.25">
      <c r="A26">
        <v>58</v>
      </c>
      <c r="B26" t="s">
        <v>116</v>
      </c>
      <c r="C26">
        <v>2021</v>
      </c>
      <c r="D26" t="s">
        <v>123</v>
      </c>
      <c r="E26" t="s">
        <v>125</v>
      </c>
      <c r="F26">
        <f>0.73*30</f>
        <v>21.9</v>
      </c>
      <c r="G26">
        <f>J26-F26</f>
        <v>8.1000000000000014</v>
      </c>
      <c r="H26">
        <f>0.53*79</f>
        <v>41.870000000000005</v>
      </c>
      <c r="I26">
        <f>K26-H26</f>
        <v>37.129999999999995</v>
      </c>
      <c r="J26">
        <v>30</v>
      </c>
      <c r="K26">
        <v>79</v>
      </c>
      <c r="L26">
        <v>109</v>
      </c>
      <c r="M26">
        <f>(F26/G26)/(H26/I26)</f>
        <v>2.3976240391334724</v>
      </c>
      <c r="N26">
        <f>EXP(LN(M26)-1.96*SQRT(1/F26+1/G26+1/H26+1/I26))</f>
        <v>0.95627776268950848</v>
      </c>
      <c r="O26">
        <f>EXP(LN(M26)+1.96*SQRT(1/F26+1/G26+1/H26+1/I26))</f>
        <v>6.01143439418993</v>
      </c>
      <c r="P26">
        <f>(F26/J26)/(H26/K26)</f>
        <v>1.3773584905660377</v>
      </c>
      <c r="Q26">
        <f>EXP(LN(P26)-1.96*(SQRT(1/F26+1/H26-1/J26-1/K26)))</f>
        <v>1.019548905081362</v>
      </c>
      <c r="R26">
        <f>EXP(LN(P26)+1.96*(SQRT(1/F26+1/H26-1/J26-1/K26)))</f>
        <v>1.8607409630663669</v>
      </c>
      <c r="S26">
        <f>(H26/K26)-(F26/J26)</f>
        <v>-0.19999999999999996</v>
      </c>
      <c r="T26">
        <f>S26-1.96*SQRT(((H26/K26*(1-H26/K26))/K26+(F26/J26*(1-F26/J26))/J26))</f>
        <v>-0.39326797189918794</v>
      </c>
      <c r="U26">
        <f>S26+(1.96*SQRT(((H26/K26*(1-H26/K26)/K26)+F26/J26*(1-F26/J26)/J26)))</f>
        <v>-6.7320281008119986E-3</v>
      </c>
      <c r="V26">
        <f>1/S26</f>
        <v>-5.0000000000000009</v>
      </c>
    </row>
    <row r="27" spans="1:28" x14ac:dyDescent="0.25">
      <c r="A27">
        <v>58</v>
      </c>
      <c r="B27" t="s">
        <v>116</v>
      </c>
      <c r="C27">
        <v>2021</v>
      </c>
      <c r="D27" t="s">
        <v>123</v>
      </c>
      <c r="E27" t="s">
        <v>126</v>
      </c>
      <c r="F27">
        <f>0.47*30</f>
        <v>14.1</v>
      </c>
      <c r="G27">
        <f>J27-F27</f>
        <v>15.9</v>
      </c>
      <c r="H27">
        <f>0.39*79</f>
        <v>30.810000000000002</v>
      </c>
      <c r="I27">
        <f>K27-H27</f>
        <v>48.19</v>
      </c>
      <c r="J27">
        <v>30</v>
      </c>
      <c r="K27">
        <v>79</v>
      </c>
      <c r="L27">
        <v>109</v>
      </c>
      <c r="M27">
        <f>(F27/G27)/(H27/I27)</f>
        <v>1.3870343492985</v>
      </c>
      <c r="N27">
        <f>EXP(LN(M27)-1.96*SQRT(1/F27+1/G27+1/H27+1/I27))</f>
        <v>0.59424871933638579</v>
      </c>
      <c r="O27">
        <f>EXP(LN(M27)+1.96*SQRT(1/F27+1/G27+1/H27+1/I27))</f>
        <v>3.2374731716415761</v>
      </c>
      <c r="P27">
        <f>(F27/J27)/(H27/K27)</f>
        <v>1.2051282051282051</v>
      </c>
      <c r="Q27">
        <f>EXP(LN(P27)-1.96*(SQRT(1/F27+1/H27-1/J27-1/K27)))</f>
        <v>0.75356107929386806</v>
      </c>
      <c r="R27">
        <f>EXP(LN(P27)+1.96*(SQRT(1/F27+1/H27-1/J27-1/K27)))</f>
        <v>1.9272943238475815</v>
      </c>
      <c r="S27">
        <f>(H27/K27)-(F27/J27)</f>
        <v>-7.999999999999996E-2</v>
      </c>
      <c r="T27">
        <f>S27-1.96*SQRT(((H27/K27*(1-H27/K27))/K27+(F27/J27*(1-F27/J27))/J27))</f>
        <v>-0.28848657126209459</v>
      </c>
      <c r="U27">
        <f>S27+(1.96*SQRT(((H27/K27*(1-H27/K27)/K27)+F27/J27*(1-F27/J27)/J27)))</f>
        <v>0.12848657126209467</v>
      </c>
      <c r="V27">
        <f>1/S27</f>
        <v>-12.500000000000007</v>
      </c>
    </row>
    <row r="28" spans="1:28" x14ac:dyDescent="0.25">
      <c r="A28">
        <v>58</v>
      </c>
      <c r="B28" t="s">
        <v>116</v>
      </c>
      <c r="C28">
        <v>2021</v>
      </c>
      <c r="D28" t="s">
        <v>123</v>
      </c>
      <c r="E28" t="s">
        <v>127</v>
      </c>
      <c r="F28">
        <f>0.23*30</f>
        <v>6.9</v>
      </c>
      <c r="G28">
        <f>J28-F28</f>
        <v>23.1</v>
      </c>
      <c r="H28">
        <f>0.32*79</f>
        <v>25.28</v>
      </c>
      <c r="I28">
        <f>K28-H28</f>
        <v>53.72</v>
      </c>
      <c r="J28">
        <v>30</v>
      </c>
      <c r="K28">
        <v>79</v>
      </c>
      <c r="L28">
        <v>109</v>
      </c>
      <c r="M28">
        <f>(F28/G28)/(H28/I28)</f>
        <v>0.6347402597402596</v>
      </c>
      <c r="N28">
        <f>EXP(LN(M28)-1.96*SQRT(1/F28+1/G28+1/H28+1/I28))</f>
        <v>0.23992299764711858</v>
      </c>
      <c r="O28">
        <f>EXP(LN(M28)+1.96*SQRT(1/F28+1/G28+1/H28+1/I28))</f>
        <v>1.67926877075667</v>
      </c>
      <c r="P28">
        <f>(F28/J28)/(H28/K28)</f>
        <v>0.71875</v>
      </c>
      <c r="Q28">
        <f>EXP(LN(P28)-1.96*(SQRT(1/F28+1/H28-1/J28-1/K28)))</f>
        <v>0.34657757103272391</v>
      </c>
      <c r="R28">
        <f>EXP(LN(P28)+1.96*(SQRT(1/F28+1/H28-1/J28-1/K28)))</f>
        <v>1.4905799038311756</v>
      </c>
      <c r="S28">
        <f>(H28/K28)-(F28/J28)</f>
        <v>0.09</v>
      </c>
      <c r="T28">
        <f>S28-1.96*SQRT(((H28/K28*(1-H28/K28))/K28+(F28/J28*(1-F28/J28))/J28))</f>
        <v>-9.2372325422934637E-2</v>
      </c>
      <c r="U28">
        <f>S28+(1.96*SQRT(((H28/K28*(1-H28/K28)/K28)+F28/J28*(1-F28/J28)/J28)))</f>
        <v>0.27237232542293466</v>
      </c>
      <c r="V28">
        <f>1/S28</f>
        <v>11.111111111111111</v>
      </c>
    </row>
    <row r="29" spans="1:28" x14ac:dyDescent="0.25">
      <c r="A29">
        <v>61</v>
      </c>
      <c r="B29" t="s">
        <v>45</v>
      </c>
      <c r="C29">
        <v>2022</v>
      </c>
      <c r="D29" t="s">
        <v>54</v>
      </c>
      <c r="E29" t="s">
        <v>55</v>
      </c>
      <c r="F29">
        <v>10</v>
      </c>
      <c r="G29">
        <v>5</v>
      </c>
      <c r="H29">
        <v>31</v>
      </c>
      <c r="I29">
        <v>4</v>
      </c>
      <c r="J29">
        <v>15</v>
      </c>
      <c r="K29">
        <v>35</v>
      </c>
      <c r="L29">
        <v>50</v>
      </c>
      <c r="M29">
        <f>(F29/G29)/(H29/I29)</f>
        <v>0.25806451612903225</v>
      </c>
      <c r="N29">
        <f>EXP(LN(M29)-1.96*SQRT(1/F29+1/G29+1/H29+1/I29))</f>
        <v>5.7836220158618189E-2</v>
      </c>
      <c r="O29">
        <f>EXP(LN(M29)+1.96*SQRT(1/F29+1/G29+1/H29+1/I29))</f>
        <v>1.1514807555242332</v>
      </c>
      <c r="P29">
        <f>(F29/J29)/(H29/K29)</f>
        <v>0.75268817204301075</v>
      </c>
      <c r="Q29">
        <f>EXP(LN(P29)-1.96*(SQRT(1/F29+1/H29-1/J29-1/K29)))</f>
        <v>0.51622141638582719</v>
      </c>
      <c r="R29">
        <f>EXP(LN(P29)+1.96*(SQRT(1/F29+1/H29-1/J29-1/K29)))</f>
        <v>1.0974738093973491</v>
      </c>
      <c r="S29">
        <f>(H29/K29)-(F29/J29)</f>
        <v>0.21904761904761905</v>
      </c>
      <c r="T29">
        <f>S29-(1.96*SQRT(((H29/K29*(1-H29/K29)/K29)+F29/J29*(1-F29/J29)/J29)))</f>
        <v>-4.1764559718236505E-2</v>
      </c>
      <c r="U29">
        <f>S29+(1.96*SQRT(((H29/K29*(1-H29/K29)/K29)+F29/J29*(1-F29/J29)/J29)))</f>
        <v>0.4798597978134746</v>
      </c>
      <c r="V29">
        <f>1/S29</f>
        <v>4.5652173913043477</v>
      </c>
    </row>
    <row r="30" spans="1:28" x14ac:dyDescent="0.25">
      <c r="A30">
        <v>61</v>
      </c>
      <c r="B30" t="s">
        <v>45</v>
      </c>
      <c r="C30">
        <v>2022</v>
      </c>
      <c r="D30" t="s">
        <v>54</v>
      </c>
      <c r="E30" t="s">
        <v>56</v>
      </c>
      <c r="F30">
        <v>7</v>
      </c>
      <c r="G30">
        <f>J30-F30</f>
        <v>8</v>
      </c>
      <c r="H30">
        <v>11</v>
      </c>
      <c r="I30">
        <f>K30-H30</f>
        <v>24</v>
      </c>
      <c r="J30">
        <v>15</v>
      </c>
      <c r="K30">
        <v>35</v>
      </c>
      <c r="L30">
        <v>50</v>
      </c>
      <c r="M30">
        <f>(F30/G30)/(H30/I30)</f>
        <v>1.9090909090909092</v>
      </c>
      <c r="N30">
        <f>EXP(LN(M30)-1.96*SQRT(1/F30+1/G30+1/H30+1/I30))</f>
        <v>0.55230420823016302</v>
      </c>
      <c r="O30">
        <f>EXP(LN(M30)+1.96*SQRT(1/F30+1/G30+1/H30+1/I30))</f>
        <v>6.5989504422800254</v>
      </c>
      <c r="P30">
        <f>(F30/J30)/(H30/K30)</f>
        <v>1.4848484848484849</v>
      </c>
      <c r="Q30">
        <f>EXP(LN(P30)-1.96*(SQRT(1/F30+1/H30-1/J30-1/K30)))</f>
        <v>0.71591997551502073</v>
      </c>
      <c r="R30">
        <f>EXP(LN(P30)+1.96*(SQRT(1/F30+1/H30-1/J30-1/K30)))</f>
        <v>3.0796389238486652</v>
      </c>
      <c r="S30">
        <f>(H30/K30)-(F30/J30)</f>
        <v>-0.15238095238095239</v>
      </c>
      <c r="T30">
        <f>S30-(1.96*SQRT(((H30/K30*(1-H30/K30)/K30)+F30/J30*(1-F30/J30)/J30)))</f>
        <v>-0.44800994910438563</v>
      </c>
      <c r="U30">
        <f>S30+(1.96*SQRT(((H30/K30*(1-H30/K30)/K30)+F30/J30*(1-F30/J30)/J30)))</f>
        <v>0.14324804434248084</v>
      </c>
      <c r="V30">
        <f>1/S30</f>
        <v>-6.5624999999999991</v>
      </c>
    </row>
    <row r="31" spans="1:28" x14ac:dyDescent="0.25">
      <c r="A31">
        <v>61</v>
      </c>
      <c r="B31" t="s">
        <v>45</v>
      </c>
      <c r="C31">
        <v>2022</v>
      </c>
      <c r="D31" t="s">
        <v>54</v>
      </c>
      <c r="E31" t="s">
        <v>57</v>
      </c>
      <c r="F31">
        <v>3</v>
      </c>
      <c r="G31">
        <f>J31-F31</f>
        <v>12</v>
      </c>
      <c r="H31">
        <v>12</v>
      </c>
      <c r="I31">
        <f>K31-H31</f>
        <v>23</v>
      </c>
      <c r="J31">
        <v>15</v>
      </c>
      <c r="K31">
        <v>35</v>
      </c>
      <c r="L31">
        <v>50</v>
      </c>
      <c r="M31">
        <f>(F31/G31)/(H31/I31)</f>
        <v>0.47916666666666669</v>
      </c>
      <c r="N31">
        <f>EXP(LN(M31)-1.96*SQRT(1/F31+1/G31+1/H31+1/I31))</f>
        <v>0.11296943706585619</v>
      </c>
      <c r="O31">
        <f>EXP(LN(M31)+1.96*SQRT(1/F31+1/G31+1/H31+1/I31))</f>
        <v>2.0324142565267223</v>
      </c>
      <c r="P31">
        <f>(F31/J31)/(H31/K31)</f>
        <v>0.58333333333333337</v>
      </c>
      <c r="Q31">
        <f>EXP(LN(P31)-1.96*(SQRT(1/F31+1/H31-1/J31-1/K31)))</f>
        <v>0.19200918849017029</v>
      </c>
      <c r="R31">
        <f>EXP(LN(P31)+1.96*(SQRT(1/F31+1/H31-1/J31-1/K31)))</f>
        <v>1.7721952811398816</v>
      </c>
      <c r="S31">
        <f>(H31/K31)-(F31/J31)</f>
        <v>0.14285714285714285</v>
      </c>
      <c r="T31">
        <f>S31-(1.96*SQRT(((H31/K31*(1-H31/K31)/K31)+F31/J31*(1-F31/J31)/J31)))</f>
        <v>-0.11347597374441265</v>
      </c>
      <c r="U31">
        <f>S31+(1.96*SQRT(((H31/K31*(1-H31/K31)/K31)+F31/J31*(1-F31/J31)/J31)))</f>
        <v>0.39919025945869835</v>
      </c>
      <c r="V31">
        <f>1/S31</f>
        <v>7</v>
      </c>
    </row>
    <row r="32" spans="1:28" x14ac:dyDescent="0.25">
      <c r="A32">
        <v>61</v>
      </c>
      <c r="B32" t="s">
        <v>45</v>
      </c>
      <c r="C32">
        <v>2022</v>
      </c>
      <c r="D32" t="s">
        <v>54</v>
      </c>
      <c r="E32" t="s">
        <v>58</v>
      </c>
      <c r="F32">
        <v>4</v>
      </c>
      <c r="G32">
        <f>J32-F32</f>
        <v>11</v>
      </c>
      <c r="H32">
        <v>12</v>
      </c>
      <c r="I32">
        <f>K32-H32</f>
        <v>23</v>
      </c>
      <c r="J32">
        <v>15</v>
      </c>
      <c r="K32">
        <v>35</v>
      </c>
      <c r="L32">
        <v>50</v>
      </c>
      <c r="M32">
        <f>(F32/G32)/(H32/I32)</f>
        <v>0.69696969696969702</v>
      </c>
      <c r="N32">
        <f>EXP(LN(M32)-1.96*SQRT(1/F32+1/G32+1/H32+1/I32))</f>
        <v>0.18241709934820929</v>
      </c>
      <c r="O32">
        <f>EXP(LN(M32)+1.96*SQRT(1/F32+1/G32+1/H32+1/I32))</f>
        <v>2.6629453062772854</v>
      </c>
      <c r="P32">
        <f>(F32/J32)/(H32/K32)</f>
        <v>0.77777777777777779</v>
      </c>
      <c r="Q32">
        <f>EXP(LN(P32)-1.96*(SQRT(1/F32+1/H32-1/J32-1/K32)))</f>
        <v>0.29888496867358538</v>
      </c>
      <c r="R32">
        <f>EXP(LN(P32)+1.96*(SQRT(1/F32+1/H32-1/J32-1/K32)))</f>
        <v>2.023983589036209</v>
      </c>
      <c r="S32">
        <f>(H32/K32)-(F32/J32)</f>
        <v>7.6190476190476197E-2</v>
      </c>
      <c r="T32">
        <f>S32-(1.96*SQRT(((H32/K32*(1-H32/K32)/K32)+F32/J32*(1-F32/J32)/J32)))</f>
        <v>-0.19732859349476806</v>
      </c>
      <c r="U32">
        <f>S32+(1.96*SQRT(((H32/K32*(1-H32/K32)/K32)+F32/J32*(1-F32/J32)/J32)))</f>
        <v>0.34970954587572045</v>
      </c>
      <c r="V32">
        <f>1/S32</f>
        <v>13.124999999999998</v>
      </c>
    </row>
    <row r="33" spans="1:22" x14ac:dyDescent="0.25">
      <c r="A33">
        <v>61</v>
      </c>
      <c r="B33" t="s">
        <v>45</v>
      </c>
      <c r="C33">
        <v>2022</v>
      </c>
      <c r="D33" t="s">
        <v>54</v>
      </c>
      <c r="E33" t="s">
        <v>59</v>
      </c>
      <c r="F33">
        <v>5</v>
      </c>
      <c r="G33">
        <f>J33-F33</f>
        <v>10</v>
      </c>
      <c r="H33">
        <v>8</v>
      </c>
      <c r="I33">
        <f>K33-H33</f>
        <v>27</v>
      </c>
      <c r="J33">
        <v>15</v>
      </c>
      <c r="K33">
        <v>35</v>
      </c>
      <c r="L33">
        <v>50</v>
      </c>
      <c r="M33">
        <f>(F33/G33)/(H33/I33)</f>
        <v>1.6875</v>
      </c>
      <c r="N33">
        <f>EXP(LN(M33)-1.96*SQRT(1/F33+1/G33+1/H33+1/I33))</f>
        <v>0.44529038464848658</v>
      </c>
      <c r="O33">
        <f>EXP(LN(M33)+1.96*SQRT(1/F33+1/G33+1/H33+1/I33))</f>
        <v>6.3950544367760092</v>
      </c>
      <c r="P33">
        <f>(F33/J33)/(H33/K33)</f>
        <v>1.4583333333333333</v>
      </c>
      <c r="Q33">
        <f>EXP(LN(P33)-1.96*(SQRT(1/F33+1/H33-1/J33-1/K33)))</f>
        <v>0.56995259526413777</v>
      </c>
      <c r="R33">
        <f>EXP(LN(P33)+1.96*(SQRT(1/F33+1/H33-1/J33-1/K33)))</f>
        <v>3.7314263129646776</v>
      </c>
      <c r="S33">
        <f>(H33/K33)-(F33/J33)</f>
        <v>-0.10476190476190475</v>
      </c>
      <c r="T33">
        <f>S33-(1.96*SQRT(((H33/K33*(1-H33/K33)/K33)+F33/J33*(1-F33/J33)/J33)))</f>
        <v>-0.38092524880414469</v>
      </c>
      <c r="U33">
        <f>S33+(1.96*SQRT(((H33/K33*(1-H33/K33)/K33)+F33/J33*(1-F33/J33)/J33)))</f>
        <v>0.17140143928033522</v>
      </c>
      <c r="V33">
        <f>1/S33</f>
        <v>-9.5454545454545467</v>
      </c>
    </row>
    <row r="34" spans="1:22" x14ac:dyDescent="0.25">
      <c r="A34">
        <v>9</v>
      </c>
      <c r="B34" t="s">
        <v>285</v>
      </c>
      <c r="C34">
        <v>2017</v>
      </c>
      <c r="D34" t="s">
        <v>185</v>
      </c>
      <c r="E34" t="s">
        <v>186</v>
      </c>
      <c r="F34">
        <v>909</v>
      </c>
      <c r="G34">
        <f>J34-F34</f>
        <v>91</v>
      </c>
      <c r="H34">
        <v>30865</v>
      </c>
      <c r="I34">
        <f>K34-H34</f>
        <v>239135</v>
      </c>
      <c r="J34">
        <v>1000</v>
      </c>
      <c r="K34">
        <v>270000</v>
      </c>
      <c r="L34">
        <f>J34+K34</f>
        <v>271000</v>
      </c>
      <c r="M34">
        <f>(F34/G34)/(H34/I34)</f>
        <v>77.392585221355674</v>
      </c>
      <c r="N34">
        <f>EXP(LN(M34)-1.96*SQRT(1/F34+1/G34+1/H34+1/I34))</f>
        <v>62.368610925419105</v>
      </c>
      <c r="O34">
        <f>EXP(LN(M34)+1.96*SQRT(1/F34+1/G34+1/H34+1/I34))</f>
        <v>96.035684591520337</v>
      </c>
      <c r="P34">
        <f>(F34/J34)/(H34/K34)</f>
        <v>7.9517252551433666</v>
      </c>
      <c r="Q34">
        <f>EXP(LN(P34)-1.96*(SQRT(1/F34+1/H34-1/J34-1/K34)))</f>
        <v>7.7767956974256851</v>
      </c>
      <c r="R34">
        <f>EXP(LN(P34)+1.96*(SQRT(1/F34+1/H34-1/J34-1/K34)))</f>
        <v>8.1305896404370674</v>
      </c>
      <c r="S34">
        <f>(H34/K34)-(F34/J34)</f>
        <v>-0.79468518518518527</v>
      </c>
      <c r="T34">
        <f>S34-1.96*SQRT(((H34/K34*(1-H34/K34))/K34+(F34/J34*(1-F34/J34))/J34))</f>
        <v>-0.81255174240341832</v>
      </c>
      <c r="U34">
        <f>S34+(1.96*SQRT(((H34/K34*(1-H34/K34)/K34)+F34/J34*(1-F34/J34)/J34)))</f>
        <v>-0.77681862796695222</v>
      </c>
      <c r="V34">
        <f>1/S34</f>
        <v>-1.2583599375480623</v>
      </c>
    </row>
    <row r="35" spans="1:22" x14ac:dyDescent="0.25">
      <c r="A35">
        <v>10</v>
      </c>
      <c r="B35" t="s">
        <v>285</v>
      </c>
      <c r="C35">
        <v>2017</v>
      </c>
      <c r="D35" t="s">
        <v>185</v>
      </c>
      <c r="E35" t="s">
        <v>187</v>
      </c>
      <c r="F35">
        <v>1207</v>
      </c>
      <c r="G35">
        <f>J35-F35</f>
        <v>1759</v>
      </c>
      <c r="H35">
        <v>6870</v>
      </c>
      <c r="I35">
        <f>K35-H35</f>
        <v>37338</v>
      </c>
      <c r="J35">
        <v>2966</v>
      </c>
      <c r="K35">
        <v>44208</v>
      </c>
      <c r="L35">
        <f>J35+K35</f>
        <v>47174</v>
      </c>
      <c r="M35">
        <f>(F35/G35)/(H35/I35)</f>
        <v>3.7293723359093969</v>
      </c>
      <c r="N35">
        <f>EXP(LN(M35)-1.96*SQRT(1/F35+1/G35+1/H35+1/I35))</f>
        <v>3.4507601841298614</v>
      </c>
      <c r="O35">
        <f>EXP(LN(M35)+1.96*SQRT(1/F35+1/G35+1/H35+1/I35))</f>
        <v>4.0304794531392183</v>
      </c>
      <c r="P35">
        <f>(F35/J35)/(H35/K35)</f>
        <v>2.6186668708242173</v>
      </c>
      <c r="Q35">
        <f>EXP(LN(P35)-1.96*(SQRT(1/F35+1/H35-1/J35-1/K35)))</f>
        <v>2.4944971407072027</v>
      </c>
      <c r="R35">
        <f>EXP(LN(P35)+1.96*(SQRT(1/F35+1/H35-1/J35-1/K35)))</f>
        <v>2.749017454639449</v>
      </c>
      <c r="S35">
        <f>(H35/K35)-(F35/J35)</f>
        <v>-0.25154364374236277</v>
      </c>
      <c r="T35">
        <f>S35-1.96*SQRT(((H35/K35*(1-H35/K35))/K35+(F35/J35*(1-F35/J35))/J35))</f>
        <v>-0.26954345558530984</v>
      </c>
      <c r="U35">
        <f>S35+(1.96*SQRT(((H35/K35*(1-H35/K35)/K35)+F35/J35*(1-F35/J35)/J35)))</f>
        <v>-0.23354383189941569</v>
      </c>
      <c r="V35">
        <f>1/S35</f>
        <v>-3.975453265772936</v>
      </c>
    </row>
    <row r="36" spans="1:22" x14ac:dyDescent="0.25">
      <c r="A36">
        <v>11</v>
      </c>
      <c r="B36" t="s">
        <v>285</v>
      </c>
      <c r="C36">
        <v>2017</v>
      </c>
      <c r="D36" t="s">
        <v>185</v>
      </c>
      <c r="E36" t="s">
        <v>188</v>
      </c>
      <c r="F36">
        <v>57</v>
      </c>
      <c r="G36">
        <f>J36-F36</f>
        <v>2909</v>
      </c>
      <c r="H36">
        <v>592</v>
      </c>
      <c r="I36">
        <f>K36-H36</f>
        <v>43616</v>
      </c>
      <c r="J36">
        <v>2966</v>
      </c>
      <c r="K36">
        <v>44208</v>
      </c>
      <c r="L36">
        <f>J36+K36</f>
        <v>47174</v>
      </c>
      <c r="M36">
        <f>(F36/G36)/(H36/I36)</f>
        <v>1.4436278836416341</v>
      </c>
      <c r="N36">
        <f>EXP(LN(M36)-1.96*SQRT(1/F36+1/G36+1/H36+1/I36))</f>
        <v>1.0971996381960485</v>
      </c>
      <c r="O36">
        <f>EXP(LN(M36)+1.96*SQRT(1/F36+1/G36+1/H36+1/I36))</f>
        <v>1.8994368881255881</v>
      </c>
      <c r="P36">
        <f>(F36/J36)/(H36/K36)</f>
        <v>1.4351023309216162</v>
      </c>
      <c r="Q36">
        <f>EXP(LN(P36)-1.96*(SQRT(1/F36+1/H36-1/J36-1/K36)))</f>
        <v>1.0963333440938023</v>
      </c>
      <c r="R36">
        <f>EXP(LN(P36)+1.96*(SQRT(1/F36+1/H36-1/J36-1/K36)))</f>
        <v>1.8785515475851873</v>
      </c>
      <c r="S36">
        <f>(H36/K36)-(F36/J36)</f>
        <v>-5.8265603489322474E-3</v>
      </c>
      <c r="T36">
        <f>S36-1.96*SQRT(((H36/K36*(1-H36/K36))/K36+(F36/J36*(1-F36/J36))/J36))</f>
        <v>-1.0882336787788598E-2</v>
      </c>
      <c r="U36">
        <f>S36+(1.96*SQRT(((H36/K36*(1-H36/K36)/K36)+F36/J36*(1-F36/J36)/J36)))</f>
        <v>-7.7078391007589803E-4</v>
      </c>
      <c r="V36">
        <f>1/S36</f>
        <v>-171.62784560933213</v>
      </c>
    </row>
    <row r="37" spans="1:22" x14ac:dyDescent="0.25">
      <c r="A37">
        <v>12</v>
      </c>
      <c r="B37" t="s">
        <v>285</v>
      </c>
      <c r="C37">
        <v>2017</v>
      </c>
      <c r="D37" t="s">
        <v>185</v>
      </c>
      <c r="E37" t="s">
        <v>189</v>
      </c>
      <c r="F37">
        <v>34</v>
      </c>
      <c r="G37">
        <f>J37-F37</f>
        <v>2932</v>
      </c>
      <c r="H37">
        <v>48</v>
      </c>
      <c r="I37">
        <f>K37-H37</f>
        <v>44160</v>
      </c>
      <c r="J37">
        <v>2966</v>
      </c>
      <c r="K37">
        <v>44208</v>
      </c>
      <c r="L37">
        <f>J37+K37</f>
        <v>47174</v>
      </c>
      <c r="M37">
        <f>(F37/G37)/(H37/I37)</f>
        <v>10.668485675306957</v>
      </c>
      <c r="N37">
        <f>EXP(LN(M37)-1.96*SQRT(1/F37+1/G37+1/H37+1/I37))</f>
        <v>6.8645100432580071</v>
      </c>
      <c r="O37">
        <f>EXP(LN(M37)+1.96*SQRT(1/F37+1/G37+1/H37+1/I37))</f>
        <v>16.580438499906489</v>
      </c>
      <c r="P37">
        <f>(F37/J37)/(H37/K37)</f>
        <v>10.557653405259609</v>
      </c>
      <c r="Q37">
        <f>EXP(LN(P37)-1.96*(SQRT(1/F37+1/H37-1/J37-1/K37)))</f>
        <v>6.8147173933956493</v>
      </c>
      <c r="R37">
        <f>EXP(LN(P37)+1.96*(SQRT(1/F37+1/H37-1/J37-1/K37)))</f>
        <v>16.356370923556273</v>
      </c>
      <c r="S37">
        <f>(H37/K37)-(F37/J37)</f>
        <v>-1.0377473838501204E-2</v>
      </c>
      <c r="T37">
        <f>S37-1.96*SQRT(((H37/K37*(1-H37/K37))/K37+(F37/J37*(1-F37/J37))/J37))</f>
        <v>-1.422083105584487E-2</v>
      </c>
      <c r="U37">
        <f>S37+(1.96*SQRT(((H37/K37*(1-H37/K37)/K37)+F37/J37*(1-F37/J37)/J37)))</f>
        <v>-6.5341166211575373E-3</v>
      </c>
      <c r="V37">
        <f>1/S37</f>
        <v>-96.362565260335828</v>
      </c>
    </row>
    <row r="38" spans="1:22" x14ac:dyDescent="0.25">
      <c r="A38">
        <v>13</v>
      </c>
      <c r="B38" t="s">
        <v>285</v>
      </c>
      <c r="C38">
        <v>2017</v>
      </c>
      <c r="D38" t="s">
        <v>185</v>
      </c>
      <c r="E38" t="s">
        <v>190</v>
      </c>
      <c r="F38">
        <v>383</v>
      </c>
      <c r="G38">
        <f>J38-F38</f>
        <v>2584</v>
      </c>
      <c r="H38">
        <v>8464</v>
      </c>
      <c r="I38">
        <f>K38-H38</f>
        <v>35631</v>
      </c>
      <c r="J38">
        <v>2967</v>
      </c>
      <c r="K38">
        <v>44095</v>
      </c>
      <c r="L38">
        <f>J38+K38</f>
        <v>47062</v>
      </c>
      <c r="M38">
        <f>(F38/G38)/(H38/I38)</f>
        <v>0.62396268918222941</v>
      </c>
      <c r="N38">
        <f>EXP(LN(M38)-1.96*SQRT(1/F38+1/G38+1/H38+1/I38))</f>
        <v>0.55902130728667665</v>
      </c>
      <c r="O38">
        <f>EXP(LN(M38)+1.96*SQRT(1/F38+1/G38+1/H38+1/I38))</f>
        <v>0.69644829708049749</v>
      </c>
      <c r="P38">
        <f>(F38/J38)/(H38/K38)</f>
        <v>0.67250407443440541</v>
      </c>
      <c r="Q38">
        <f>EXP(LN(P38)-1.96*(SQRT(1/F38+1/H38-1/J38-1/K38)))</f>
        <v>0.61130888760984381</v>
      </c>
      <c r="R38">
        <f>EXP(LN(P38)+1.96*(SQRT(1/F38+1/H38-1/J38-1/K38)))</f>
        <v>0.73982521651071376</v>
      </c>
      <c r="S38">
        <f>(H38/K38)-(F38/J38)</f>
        <v>6.2862581108678817E-2</v>
      </c>
      <c r="T38">
        <f>S38-1.96*SQRT(((H38/K38*(1-H38/K38))/K38+(F38/J38*(1-F38/J38))/J38))</f>
        <v>5.0250055403101436E-2</v>
      </c>
      <c r="U38">
        <f>S38+(1.96*SQRT(((H38/K38*(1-H38/K38)/K38)+F38/J38*(1-F38/J38)/J38)))</f>
        <v>7.5475106814256204E-2</v>
      </c>
      <c r="V38">
        <f>1/S38</f>
        <v>15.907714611195624</v>
      </c>
    </row>
    <row r="39" spans="1:22" x14ac:dyDescent="0.25">
      <c r="A39">
        <v>14</v>
      </c>
      <c r="B39" t="s">
        <v>285</v>
      </c>
      <c r="C39">
        <v>2017</v>
      </c>
      <c r="D39" t="s">
        <v>185</v>
      </c>
      <c r="E39" t="s">
        <v>191</v>
      </c>
      <c r="F39">
        <v>112</v>
      </c>
      <c r="G39">
        <f>J39-F39</f>
        <v>2855</v>
      </c>
      <c r="H39">
        <v>4250</v>
      </c>
      <c r="I39">
        <f>K39-H39</f>
        <v>39845</v>
      </c>
      <c r="J39">
        <v>2967</v>
      </c>
      <c r="K39">
        <v>44095</v>
      </c>
      <c r="L39">
        <f>J39+K39</f>
        <v>47062</v>
      </c>
      <c r="M39">
        <f>(F39/G39)/(H39/I39)</f>
        <v>0.36778736993921912</v>
      </c>
      <c r="N39">
        <f>EXP(LN(M39)-1.96*SQRT(1/F39+1/G39+1/H39+1/I39))</f>
        <v>0.30371015619582209</v>
      </c>
      <c r="O39">
        <f>EXP(LN(M39)+1.96*SQRT(1/F39+1/G39+1/H39+1/I39))</f>
        <v>0.44538368812267204</v>
      </c>
      <c r="P39">
        <f>(F39/J39)/(H39/K39)</f>
        <v>0.39165249112789707</v>
      </c>
      <c r="Q39">
        <f>EXP(LN(P39)-1.96*(SQRT(1/F39+1/H39-1/J39-1/K39)))</f>
        <v>0.32585983481796221</v>
      </c>
      <c r="R39">
        <f>EXP(LN(P39)+1.96*(SQRT(1/F39+1/H39-1/J39-1/K39)))</f>
        <v>0.47072899884202657</v>
      </c>
      <c r="S39">
        <f>(H39/K39)-(F39/J39)</f>
        <v>5.8634242265708979E-2</v>
      </c>
      <c r="T39">
        <f>S39-1.96*SQRT(((H39/K39*(1-H39/K39))/K39+(F39/J39*(1-F39/J39))/J39))</f>
        <v>5.1243803822602102E-2</v>
      </c>
      <c r="U39">
        <f>S39+(1.96*SQRT(((H39/K39*(1-H39/K39)/K39)+F39/J39*(1-F39/J39)/J39)))</f>
        <v>6.6024680708815855E-2</v>
      </c>
      <c r="V39">
        <f>1/S39</f>
        <v>17.054880584426506</v>
      </c>
    </row>
    <row r="40" spans="1:22" x14ac:dyDescent="0.25">
      <c r="A40">
        <v>15</v>
      </c>
      <c r="B40" t="s">
        <v>285</v>
      </c>
      <c r="C40">
        <v>2017</v>
      </c>
      <c r="D40" t="s">
        <v>185</v>
      </c>
      <c r="E40" t="s">
        <v>192</v>
      </c>
      <c r="F40">
        <v>85</v>
      </c>
      <c r="G40">
        <f>J40-F40</f>
        <v>2882</v>
      </c>
      <c r="H40">
        <v>3315</v>
      </c>
      <c r="I40">
        <f>K40-H40</f>
        <v>40780</v>
      </c>
      <c r="J40">
        <v>2967</v>
      </c>
      <c r="K40">
        <v>44095</v>
      </c>
      <c r="L40">
        <f>J40+K40</f>
        <v>47062</v>
      </c>
      <c r="M40">
        <f>(F40/G40)/(H40/I40)</f>
        <v>0.36281784373387421</v>
      </c>
      <c r="N40">
        <f>EXP(LN(M40)-1.96*SQRT(1/F40+1/G40+1/H40+1/I40))</f>
        <v>0.29157915924488048</v>
      </c>
      <c r="O40">
        <f>EXP(LN(M40)+1.96*SQRT(1/F40+1/G40+1/H40+1/I40))</f>
        <v>0.45146157932756731</v>
      </c>
      <c r="P40">
        <f>(F40/J40)/(H40/K40)</f>
        <v>0.38107213536940532</v>
      </c>
      <c r="Q40">
        <f>EXP(LN(P40)-1.96*(SQRT(1/F40+1/H40-1/J40-1/K40)))</f>
        <v>0.30825336847970519</v>
      </c>
      <c r="R40">
        <f>EXP(LN(P40)+1.96*(SQRT(1/F40+1/H40-1/J40-1/K40)))</f>
        <v>0.47109289696069978</v>
      </c>
      <c r="S40">
        <f>(H40/K40)-(F40/J40)</f>
        <v>4.6530125212618699E-2</v>
      </c>
      <c r="T40">
        <f>S40-1.96*SQRT(((H40/K40*(1-H40/K40))/K40+(F40/J40*(1-F40/J40))/J40))</f>
        <v>4.0042605141394176E-2</v>
      </c>
      <c r="U40">
        <f>S40+(1.96*SQRT(((H40/K40*(1-H40/K40)/K40)+F40/J40*(1-F40/J40)/J40)))</f>
        <v>5.3017645283843222E-2</v>
      </c>
      <c r="V40">
        <f>1/S40</f>
        <v>21.49145301953337</v>
      </c>
    </row>
    <row r="41" spans="1:22" x14ac:dyDescent="0.25">
      <c r="A41">
        <v>16</v>
      </c>
      <c r="B41" t="s">
        <v>285</v>
      </c>
      <c r="C41">
        <v>2017</v>
      </c>
      <c r="D41" t="s">
        <v>185</v>
      </c>
      <c r="E41" t="s">
        <v>193</v>
      </c>
      <c r="F41">
        <v>184</v>
      </c>
      <c r="G41">
        <f>J41-F41</f>
        <v>2783</v>
      </c>
      <c r="H41">
        <v>2818</v>
      </c>
      <c r="I41">
        <f>K41-H41</f>
        <v>41277</v>
      </c>
      <c r="J41">
        <v>2967</v>
      </c>
      <c r="K41">
        <v>44095</v>
      </c>
      <c r="L41">
        <f>J41+K41</f>
        <v>47062</v>
      </c>
      <c r="M41">
        <f>(F41/G41)/(H41/I41)</f>
        <v>0.96843784642997499</v>
      </c>
      <c r="N41">
        <f>EXP(LN(M41)-1.96*SQRT(1/F41+1/G41+1/H41+1/I41))</f>
        <v>0.83021750858208543</v>
      </c>
      <c r="O41">
        <f>EXP(LN(M41)+1.96*SQRT(1/F41+1/G41+1/H41+1/I41))</f>
        <v>1.1296700595964346</v>
      </c>
      <c r="P41">
        <f>(F41/J41)/(H41/K41)</f>
        <v>0.97039518928703072</v>
      </c>
      <c r="Q41">
        <f>EXP(LN(P41)-1.96*(SQRT(1/F41+1/H41-1/J41-1/K41)))</f>
        <v>0.83989330835893361</v>
      </c>
      <c r="R41">
        <f>EXP(LN(P41)+1.96*(SQRT(1/F41+1/H41-1/J41-1/K41)))</f>
        <v>1.1211743372873557</v>
      </c>
      <c r="S41">
        <f>(H41/K41)-(F41/J41)</f>
        <v>1.8919686265823216E-3</v>
      </c>
      <c r="T41">
        <f>S41-1.96*SQRT(((H41/K41*(1-H41/K41))/K41+(F41/J41*(1-F41/J41))/J41))</f>
        <v>-7.081795111219787E-3</v>
      </c>
      <c r="U41">
        <f>S41+(1.96*SQRT(((H41/K41*(1-H41/K41)/K41)+F41/J41*(1-F41/J41)/J41)))</f>
        <v>1.086573236438443E-2</v>
      </c>
      <c r="V41">
        <f>1/S41</f>
        <v>528.5499907080457</v>
      </c>
    </row>
    <row r="42" spans="1:22" x14ac:dyDescent="0.25">
      <c r="A42">
        <v>17</v>
      </c>
      <c r="B42" t="s">
        <v>285</v>
      </c>
      <c r="C42">
        <v>2017</v>
      </c>
      <c r="D42" t="s">
        <v>185</v>
      </c>
      <c r="E42" t="s">
        <v>194</v>
      </c>
      <c r="F42">
        <v>86</v>
      </c>
      <c r="G42">
        <f>J42-F42</f>
        <v>2881</v>
      </c>
      <c r="H42">
        <v>2655</v>
      </c>
      <c r="I42">
        <f>K42-H42</f>
        <v>41440</v>
      </c>
      <c r="J42">
        <v>2967</v>
      </c>
      <c r="K42">
        <v>44095</v>
      </c>
      <c r="L42">
        <f>J42+K42</f>
        <v>47062</v>
      </c>
      <c r="M42">
        <f>(F42/G42)/(H42/I42)</f>
        <v>0.46591899260758352</v>
      </c>
      <c r="N42">
        <f>EXP(LN(M42)-1.96*SQRT(1/F42+1/G42+1/H42+1/I42))</f>
        <v>0.37464114006397048</v>
      </c>
      <c r="O42">
        <f>EXP(LN(M42)+1.96*SQRT(1/F42+1/G42+1/H42+1/I42))</f>
        <v>0.57943585062601155</v>
      </c>
      <c r="P42">
        <f>(F42/J42)/(H42/K42)</f>
        <v>0.48139960151750866</v>
      </c>
      <c r="Q42">
        <f>EXP(LN(P42)-1.96*(SQRT(1/F42+1/H42-1/J42-1/K42)))</f>
        <v>0.38962769975231104</v>
      </c>
      <c r="R42">
        <f>EXP(LN(P42)+1.96*(SQRT(1/F42+1/H42-1/J42-1/K42)))</f>
        <v>0.59478721992440053</v>
      </c>
      <c r="S42">
        <f>(H42/K42)-(F42/J42)</f>
        <v>3.1225401019866528E-2</v>
      </c>
      <c r="T42">
        <f>S42-1.96*SQRT(((H42/K42*(1-H42/K42))/K42+(F42/J42*(1-F42/J42))/J42))</f>
        <v>2.4793316880944712E-2</v>
      </c>
      <c r="U42">
        <f>S42+(1.96*SQRT(((H42/K42*(1-H42/K42)/K42)+F42/J42*(1-F42/J42)/J42)))</f>
        <v>3.7657485158788341E-2</v>
      </c>
      <c r="V42">
        <f>1/S42</f>
        <v>32.025209199515814</v>
      </c>
    </row>
    <row r="43" spans="1:22" x14ac:dyDescent="0.25">
      <c r="A43">
        <v>18</v>
      </c>
      <c r="B43" t="s">
        <v>285</v>
      </c>
      <c r="C43">
        <v>2017</v>
      </c>
      <c r="D43" t="s">
        <v>185</v>
      </c>
      <c r="E43" t="s">
        <v>195</v>
      </c>
      <c r="F43">
        <v>165</v>
      </c>
      <c r="G43">
        <f>J43-F43</f>
        <v>2802</v>
      </c>
      <c r="H43">
        <v>1843</v>
      </c>
      <c r="I43">
        <f>K43-H43</f>
        <v>42252</v>
      </c>
      <c r="J43">
        <v>2967</v>
      </c>
      <c r="K43">
        <v>44095</v>
      </c>
      <c r="L43">
        <f>J43+K43</f>
        <v>47062</v>
      </c>
      <c r="M43">
        <f>(F43/G43)/(H43/I43)</f>
        <v>1.3500123739225101</v>
      </c>
      <c r="N43">
        <f>EXP(LN(M43)-1.96*SQRT(1/F43+1/G43+1/H43+1/I43))</f>
        <v>1.1460471767068157</v>
      </c>
      <c r="O43">
        <f>EXP(LN(M43)+1.96*SQRT(1/F43+1/G43+1/H43+1/I43))</f>
        <v>1.5902778234496149</v>
      </c>
      <c r="P43">
        <f>(F43/J43)/(H43/K43)</f>
        <v>1.3305475806305607</v>
      </c>
      <c r="Q43">
        <f>EXP(LN(P43)-1.96*(SQRT(1/F43+1/H43-1/J43-1/K43)))</f>
        <v>1.13964841132312</v>
      </c>
      <c r="R43">
        <f>EXP(LN(P43)+1.96*(SQRT(1/F43+1/H43-1/J43-1/K43)))</f>
        <v>1.5534237109728186</v>
      </c>
      <c r="S43">
        <f>(H43/K43)-(F43/J43)</f>
        <v>-1.3815607009913217E-2</v>
      </c>
      <c r="T43">
        <f>S43-1.96*SQRT(((H43/K43*(1-H43/K43))/K43+(F43/J43*(1-F43/J43))/J43))</f>
        <v>-2.2270755968389379E-2</v>
      </c>
      <c r="U43">
        <f>S43+(1.96*SQRT(((H43/K43*(1-H43/K43)/K43)+F43/J43*(1-F43/J43)/J43)))</f>
        <v>-5.3604580514370562E-3</v>
      </c>
      <c r="V43">
        <f>1/S43</f>
        <v>-72.381908321687376</v>
      </c>
    </row>
    <row r="44" spans="1:22" x14ac:dyDescent="0.25">
      <c r="A44">
        <v>19</v>
      </c>
      <c r="B44" t="s">
        <v>285</v>
      </c>
      <c r="C44">
        <v>2017</v>
      </c>
      <c r="D44" t="s">
        <v>185</v>
      </c>
      <c r="E44" t="s">
        <v>196</v>
      </c>
      <c r="F44">
        <v>133</v>
      </c>
      <c r="G44">
        <f>J44-F44</f>
        <v>2834</v>
      </c>
      <c r="H44">
        <v>1396</v>
      </c>
      <c r="I44">
        <f>K44-H44</f>
        <v>42699</v>
      </c>
      <c r="J44">
        <v>2967</v>
      </c>
      <c r="K44">
        <v>44095</v>
      </c>
      <c r="L44">
        <f>J44+K44</f>
        <v>47062</v>
      </c>
      <c r="M44">
        <f>(F44/G44)/(H44/I44)</f>
        <v>1.4354368161477595</v>
      </c>
      <c r="N44">
        <f>EXP(LN(M44)-1.96*SQRT(1/F44+1/G44+1/H44+1/I44))</f>
        <v>1.1967215474763038</v>
      </c>
      <c r="O44">
        <f>EXP(LN(M44)+1.96*SQRT(1/F44+1/G44+1/H44+1/I44))</f>
        <v>1.7217696610357189</v>
      </c>
      <c r="P44">
        <f>(F44/J44)/(H44/K44)</f>
        <v>1.4159177408030843</v>
      </c>
      <c r="Q44">
        <f>EXP(LN(P44)-1.96*(SQRT(1/F44+1/H44-1/J44-1/K44)))</f>
        <v>1.1898659152271283</v>
      </c>
      <c r="R44">
        <f>EXP(LN(P44)+1.96*(SQRT(1/F44+1/H44-1/J44-1/K44)))</f>
        <v>1.6849151009912056</v>
      </c>
      <c r="S44">
        <f>(H44/K44)-(F44/J44)</f>
        <v>-1.3167505752604731E-2</v>
      </c>
      <c r="T44">
        <f>S44-1.96*SQRT(((H44/K44*(1-H44/K44))/K44+(F44/J44*(1-F44/J44))/J44))</f>
        <v>-2.079044971750266E-2</v>
      </c>
      <c r="U44">
        <f>S44+(1.96*SQRT(((H44/K44*(1-H44/K44)/K44)+F44/J44*(1-F44/J44)/J44)))</f>
        <v>-5.5445617877068016E-3</v>
      </c>
      <c r="V44">
        <f>1/S44</f>
        <v>-75.944527292284263</v>
      </c>
    </row>
    <row r="45" spans="1:22" x14ac:dyDescent="0.25">
      <c r="A45">
        <v>20</v>
      </c>
      <c r="B45" t="s">
        <v>285</v>
      </c>
      <c r="C45">
        <v>2017</v>
      </c>
      <c r="D45" t="s">
        <v>185</v>
      </c>
      <c r="E45" t="s">
        <v>197</v>
      </c>
      <c r="F45">
        <v>24</v>
      </c>
      <c r="G45">
        <f>J45-F45</f>
        <v>435</v>
      </c>
      <c r="H45">
        <v>397</v>
      </c>
      <c r="I45">
        <f>K45-H45</f>
        <v>6175</v>
      </c>
      <c r="J45">
        <v>459</v>
      </c>
      <c r="K45">
        <v>6572</v>
      </c>
      <c r="L45">
        <f>J45+K45</f>
        <v>7031</v>
      </c>
      <c r="M45">
        <f>(F45/G45)/(H45/I45)</f>
        <v>0.85816034048466949</v>
      </c>
      <c r="N45">
        <f>EXP(LN(M45)-1.96*SQRT(1/F45+1/G45+1/H45+1/I45))</f>
        <v>0.56198476080328497</v>
      </c>
      <c r="O45">
        <f>EXP(LN(M45)+1.96*SQRT(1/F45+1/G45+1/H45+1/I45))</f>
        <v>1.310425515681455</v>
      </c>
      <c r="P45">
        <f>(F45/J45)/(H45/K45)</f>
        <v>0.86557679326978487</v>
      </c>
      <c r="Q45">
        <f>EXP(LN(P45)-1.96*(SQRT(1/F45+1/H45-1/J45-1/K45)))</f>
        <v>0.57964207979138527</v>
      </c>
      <c r="R45">
        <f>EXP(LN(P45)+1.96*(SQRT(1/F45+1/H45-1/J45-1/K45)))</f>
        <v>1.2925617569325736</v>
      </c>
      <c r="S45">
        <f>(H45/K45)-(F45/J45)</f>
        <v>8.1202089275555986E-3</v>
      </c>
      <c r="T45">
        <f>S45-1.96*SQRT(((H45/K45*(1-H45/K45))/K45+(F45/J45*(1-F45/J45))/J45))</f>
        <v>-1.3043828328751953E-2</v>
      </c>
      <c r="U45">
        <f>S45+(1.96*SQRT(((H45/K45*(1-H45/K45)/K45)+F45/J45*(1-F45/J45)/J45)))</f>
        <v>2.928424618386315E-2</v>
      </c>
      <c r="V45">
        <f>1/S45</f>
        <v>123.14954072259653</v>
      </c>
    </row>
    <row r="46" spans="1:22" x14ac:dyDescent="0.25">
      <c r="A46">
        <v>21</v>
      </c>
      <c r="B46" t="s">
        <v>285</v>
      </c>
      <c r="C46">
        <v>2017</v>
      </c>
      <c r="D46" t="s">
        <v>185</v>
      </c>
      <c r="E46" t="s">
        <v>198</v>
      </c>
      <c r="F46">
        <v>54</v>
      </c>
      <c r="G46">
        <f>J46-F46</f>
        <v>405</v>
      </c>
      <c r="H46">
        <v>393</v>
      </c>
      <c r="I46">
        <f>K46-H46</f>
        <v>6179</v>
      </c>
      <c r="J46">
        <v>459</v>
      </c>
      <c r="K46">
        <v>6572</v>
      </c>
      <c r="L46">
        <f>J46+K46</f>
        <v>7031</v>
      </c>
      <c r="M46">
        <f>(F46/G46)/(H46/I46)</f>
        <v>2.0963528413910093</v>
      </c>
      <c r="N46">
        <f>EXP(LN(M46)-1.96*SQRT(1/F46+1/G46+1/H46+1/I46))</f>
        <v>1.5503783294015285</v>
      </c>
      <c r="O46">
        <f>EXP(LN(M46)+1.96*SQRT(1/F46+1/G46+1/H46+1/I46))</f>
        <v>2.8345953708631764</v>
      </c>
      <c r="P46">
        <f>(F46/J46)/(H46/K46)</f>
        <v>1.9673701541685376</v>
      </c>
      <c r="Q46">
        <f>EXP(LN(P46)-1.96*(SQRT(1/F46+1/H46-1/J46-1/K46)))</f>
        <v>1.5044701895899462</v>
      </c>
      <c r="R46">
        <f>EXP(LN(P46)+1.96*(SQRT(1/F46+1/H46-1/J46-1/K46)))</f>
        <v>2.5726965880048973</v>
      </c>
      <c r="S46">
        <f>(H46/K46)-(F46/J46)</f>
        <v>-5.7847910923346818E-2</v>
      </c>
      <c r="T46">
        <f>S46-1.96*SQRT(((H46/K46*(1-H46/K46))/K46+(F46/J46*(1-F46/J46))/J46))</f>
        <v>-8.7875745627986918E-2</v>
      </c>
      <c r="U46">
        <f>S46+(1.96*SQRT(((H46/K46*(1-H46/K46)/K46)+F46/J46*(1-F46/J46)/J46)))</f>
        <v>-2.7820076218706715E-2</v>
      </c>
      <c r="V46">
        <f>1/S46</f>
        <v>-17.286708958687917</v>
      </c>
    </row>
    <row r="47" spans="1:22" x14ac:dyDescent="0.25">
      <c r="A47">
        <v>22</v>
      </c>
      <c r="B47" t="s">
        <v>285</v>
      </c>
      <c r="C47">
        <v>2017</v>
      </c>
      <c r="D47" t="s">
        <v>185</v>
      </c>
      <c r="E47" t="s">
        <v>199</v>
      </c>
      <c r="F47">
        <v>26</v>
      </c>
      <c r="G47">
        <f>J47-F47</f>
        <v>433</v>
      </c>
      <c r="H47">
        <v>268</v>
      </c>
      <c r="I47">
        <f>K47-H47</f>
        <v>6304</v>
      </c>
      <c r="J47">
        <v>459</v>
      </c>
      <c r="K47">
        <v>6572</v>
      </c>
      <c r="L47">
        <f>J47+K47</f>
        <v>7031</v>
      </c>
      <c r="M47">
        <f>(F47/G47)/(H47/I47)</f>
        <v>1.4124297680190272</v>
      </c>
      <c r="N47">
        <f>EXP(LN(M47)-1.96*SQRT(1/F47+1/G47+1/H47+1/I47))</f>
        <v>0.93342172292407799</v>
      </c>
      <c r="O47">
        <f>EXP(LN(M47)+1.96*SQRT(1/F47+1/G47+1/H47+1/I47))</f>
        <v>2.1372524343410286</v>
      </c>
      <c r="P47">
        <f>(F47/J47)/(H47/K47)</f>
        <v>1.3890677332292785</v>
      </c>
      <c r="Q47">
        <f>EXP(LN(P47)-1.96*(SQRT(1/F47+1/H47-1/J47-1/K47)))</f>
        <v>0.93923389464012041</v>
      </c>
      <c r="R47">
        <f>EXP(LN(P47)+1.96*(SQRT(1/F47+1/H47-1/J47-1/K47)))</f>
        <v>2.0543436288977226</v>
      </c>
      <c r="S47">
        <f>(H47/K47)-(F47/J47)</f>
        <v>-1.5865817484091084E-2</v>
      </c>
      <c r="T47">
        <f>S47-1.96*SQRT(((H47/K47*(1-H47/K47))/K47+(F47/J47*(1-F47/J47))/J47))</f>
        <v>-3.7547595433674322E-2</v>
      </c>
      <c r="U47">
        <f>S47+(1.96*SQRT(((H47/K47*(1-H47/K47)/K47)+F47/J47*(1-F47/J47)/J47)))</f>
        <v>5.8159604654921537E-3</v>
      </c>
      <c r="V47">
        <f>1/S47</f>
        <v>-63.028583368157136</v>
      </c>
    </row>
    <row r="48" spans="1:22" x14ac:dyDescent="0.25">
      <c r="A48">
        <v>23</v>
      </c>
      <c r="B48" t="s">
        <v>285</v>
      </c>
      <c r="C48">
        <v>2017</v>
      </c>
      <c r="D48" t="s">
        <v>185</v>
      </c>
      <c r="E48" t="s">
        <v>200</v>
      </c>
      <c r="F48">
        <v>22</v>
      </c>
      <c r="G48">
        <f>J48-F48</f>
        <v>437</v>
      </c>
      <c r="H48">
        <v>152</v>
      </c>
      <c r="I48">
        <f>K48-H48</f>
        <v>6420</v>
      </c>
      <c r="J48">
        <v>459</v>
      </c>
      <c r="K48">
        <v>6572</v>
      </c>
      <c r="L48">
        <f>J48+K48</f>
        <v>7031</v>
      </c>
      <c r="M48">
        <f>(F48/G48)/(H48/I48)</f>
        <v>2.1263398771528363</v>
      </c>
      <c r="N48">
        <f>EXP(LN(M48)-1.96*SQRT(1/F48+1/G48+1/H48+1/I48))</f>
        <v>1.3457205966324246</v>
      </c>
      <c r="O48">
        <f>EXP(LN(M48)+1.96*SQRT(1/F48+1/G48+1/H48+1/I48))</f>
        <v>3.3597771220003936</v>
      </c>
      <c r="P48">
        <f>(F48/J48)/(H48/K48)</f>
        <v>2.0723540878339639</v>
      </c>
      <c r="Q48">
        <f>EXP(LN(P48)-1.96*(SQRT(1/F48+1/H48-1/J48-1/K48)))</f>
        <v>1.338729286673114</v>
      </c>
      <c r="R48">
        <f>EXP(LN(P48)+1.96*(SQRT(1/F48+1/H48-1/J48-1/K48)))</f>
        <v>3.2080059113630139</v>
      </c>
      <c r="S48">
        <f>(H48/K48)-(F48/J48)</f>
        <v>-2.4801859609063073E-2</v>
      </c>
      <c r="T48">
        <f>S48-1.96*SQRT(((H48/K48*(1-H48/K48))/K48+(F48/J48*(1-F48/J48))/J48))</f>
        <v>-4.4679784992231283E-2</v>
      </c>
      <c r="U48">
        <f>S48+(1.96*SQRT(((H48/K48*(1-H48/K48)/K48)+F48/J48*(1-F48/J48)/J48)))</f>
        <v>-4.9239342258948632E-3</v>
      </c>
      <c r="V48">
        <f>1/S48</f>
        <v>-40.319557313943541</v>
      </c>
    </row>
    <row r="49" spans="1:31" x14ac:dyDescent="0.25">
      <c r="A49">
        <v>24</v>
      </c>
      <c r="B49" t="s">
        <v>285</v>
      </c>
      <c r="C49">
        <v>2017</v>
      </c>
      <c r="D49" t="s">
        <v>185</v>
      </c>
      <c r="E49" t="s">
        <v>201</v>
      </c>
      <c r="F49">
        <v>39</v>
      </c>
      <c r="G49">
        <f>J49-F49</f>
        <v>420</v>
      </c>
      <c r="H49">
        <v>133</v>
      </c>
      <c r="I49">
        <f>K49-H49</f>
        <v>6439</v>
      </c>
      <c r="J49">
        <v>459</v>
      </c>
      <c r="K49">
        <v>6572</v>
      </c>
      <c r="L49">
        <f>J49+K49</f>
        <v>7031</v>
      </c>
      <c r="M49">
        <f>(F49/G49)/(H49/I49)</f>
        <v>4.4955424274973144</v>
      </c>
      <c r="N49">
        <f>EXP(LN(M49)-1.96*SQRT(1/F49+1/G49+1/H49+1/I49))</f>
        <v>3.1042606733703444</v>
      </c>
      <c r="O49">
        <f>EXP(LN(M49)+1.96*SQRT(1/F49+1/G49+1/H49+1/I49))</f>
        <v>6.5103752048909715</v>
      </c>
      <c r="P49">
        <f>(F49/J49)/(H49/K49)</f>
        <v>4.1985355545727066</v>
      </c>
      <c r="Q49">
        <f>EXP(LN(P49)-1.96*(SQRT(1/F49+1/H49-1/J49-1/K49)))</f>
        <v>2.9760449236688773</v>
      </c>
      <c r="R49">
        <f>EXP(LN(P49)+1.96*(SQRT(1/F49+1/H49-1/J49-1/K49)))</f>
        <v>5.9231971476020808</v>
      </c>
      <c r="S49">
        <f>(H49/K49)-(F49/J49)</f>
        <v>-6.4729949598017339E-2</v>
      </c>
      <c r="T49">
        <f>S49-1.96*SQRT(((H49/K49*(1-H49/K49))/K49+(F49/J49*(1-F49/J49))/J49))</f>
        <v>-9.0465157311153954E-2</v>
      </c>
      <c r="U49">
        <f>S49+(1.96*SQRT(((H49/K49*(1-H49/K49)/K49)+F49/J49*(1-F49/J49)/J49)))</f>
        <v>-3.8994741884880724E-2</v>
      </c>
      <c r="V49">
        <f>1/S49</f>
        <v>-15.448799299399266</v>
      </c>
    </row>
    <row r="50" spans="1:31" x14ac:dyDescent="0.25">
      <c r="A50">
        <v>25</v>
      </c>
      <c r="B50" t="s">
        <v>285</v>
      </c>
      <c r="C50">
        <v>2017</v>
      </c>
      <c r="D50" t="s">
        <v>202</v>
      </c>
      <c r="E50" t="s">
        <v>203</v>
      </c>
      <c r="J50">
        <v>261</v>
      </c>
      <c r="K50">
        <v>4853</v>
      </c>
      <c r="L50">
        <f>J50+K50</f>
        <v>5114</v>
      </c>
      <c r="Y50">
        <v>4.4000000000000004</v>
      </c>
      <c r="Z50">
        <v>0.3</v>
      </c>
    </row>
    <row r="51" spans="1:31" x14ac:dyDescent="0.25">
      <c r="A51">
        <v>26</v>
      </c>
      <c r="B51" t="s">
        <v>285</v>
      </c>
      <c r="C51">
        <v>2017</v>
      </c>
      <c r="D51" t="s">
        <v>202</v>
      </c>
      <c r="E51" t="s">
        <v>203</v>
      </c>
      <c r="J51">
        <v>261</v>
      </c>
      <c r="K51">
        <v>4853</v>
      </c>
      <c r="L51">
        <f>J51+K51</f>
        <v>5114</v>
      </c>
      <c r="Y51">
        <v>0.4</v>
      </c>
      <c r="Z51">
        <v>0.03</v>
      </c>
    </row>
    <row r="52" spans="1:31" x14ac:dyDescent="0.25">
      <c r="A52">
        <v>27</v>
      </c>
      <c r="B52" t="s">
        <v>285</v>
      </c>
      <c r="C52">
        <v>2017</v>
      </c>
      <c r="D52" t="s">
        <v>202</v>
      </c>
      <c r="E52" t="s">
        <v>204</v>
      </c>
      <c r="J52">
        <v>261</v>
      </c>
      <c r="K52">
        <v>4853</v>
      </c>
      <c r="L52">
        <f>J52+K52</f>
        <v>5114</v>
      </c>
      <c r="Y52" t="s">
        <v>205</v>
      </c>
      <c r="Z52" t="s">
        <v>206</v>
      </c>
      <c r="AD52">
        <f>((9.41-7.2)/1.96)*SQRT(J52)</f>
        <v>18.21614422005192</v>
      </c>
      <c r="AE52">
        <f>((12.2-11.5)/1.96)*SQRT(K52)</f>
        <v>24.879813143205379</v>
      </c>
    </row>
    <row r="53" spans="1:31" x14ac:dyDescent="0.25">
      <c r="A53">
        <v>28</v>
      </c>
      <c r="B53" t="s">
        <v>285</v>
      </c>
      <c r="C53">
        <v>2017</v>
      </c>
      <c r="D53" t="s">
        <v>202</v>
      </c>
      <c r="E53" t="s">
        <v>207</v>
      </c>
      <c r="J53">
        <v>261</v>
      </c>
      <c r="K53">
        <v>4853</v>
      </c>
      <c r="L53">
        <f>J53+K53</f>
        <v>5114</v>
      </c>
      <c r="Y53" t="s">
        <v>208</v>
      </c>
      <c r="Z53" t="s">
        <v>209</v>
      </c>
      <c r="AD53">
        <f>((2.79-2.62)/1.96*SQRT(J53))</f>
        <v>1.4012418630809163</v>
      </c>
      <c r="AE53">
        <f>((1.87-1.84)/1.96)*SQRT(K53)</f>
        <v>1.0662777061373754</v>
      </c>
    </row>
    <row r="54" spans="1:31" x14ac:dyDescent="0.25">
      <c r="A54">
        <v>29</v>
      </c>
      <c r="B54" t="s">
        <v>285</v>
      </c>
      <c r="C54">
        <v>2017</v>
      </c>
      <c r="D54" t="s">
        <v>202</v>
      </c>
      <c r="E54" t="s">
        <v>188</v>
      </c>
      <c r="F54">
        <v>30</v>
      </c>
      <c r="G54">
        <f>J54-F54</f>
        <v>231</v>
      </c>
      <c r="H54">
        <v>178</v>
      </c>
      <c r="I54">
        <f>K54-H54</f>
        <v>4675</v>
      </c>
      <c r="J54">
        <v>261</v>
      </c>
      <c r="K54">
        <v>4853</v>
      </c>
      <c r="L54">
        <f>J54+K54</f>
        <v>5114</v>
      </c>
      <c r="M54">
        <f>(F54/G54)/(H54/I54)</f>
        <v>3.41091492776886</v>
      </c>
      <c r="N54">
        <f>EXP(LN(M54)-1.96*SQRT(1/F54+1/G54+1/H54+1/I54))</f>
        <v>2.2664558602465177</v>
      </c>
      <c r="O54">
        <f>EXP(LN(M54)+1.96*SQRT(1/F54+1/G54+1/H54+1/I54))</f>
        <v>5.1332747522429143</v>
      </c>
      <c r="P54">
        <f>(F54/J54)/(H54/K54)</f>
        <v>3.1337982694046236</v>
      </c>
      <c r="Q54">
        <f>EXP(LN(P54)-1.96*(SQRT(1/F54+1/H54-1/J54-1/K54)))</f>
        <v>2.1727963681744624</v>
      </c>
      <c r="R54">
        <f>EXP(LN(P54)+1.96*(SQRT(1/F54+1/H54-1/J54-1/K54)))</f>
        <v>4.5198398419519412</v>
      </c>
      <c r="S54">
        <f>(H54/K54)-(F54/J54)</f>
        <v>-7.8264185442823611E-2</v>
      </c>
      <c r="T54">
        <f>S54-1.96*SQRT(((H54/K54*(1-H54/K54))/K54+(F54/J54*(1-F54/J54))/J54))</f>
        <v>-0.11731954621123249</v>
      </c>
      <c r="U54">
        <f>S54+(1.96*SQRT(((H54/K54*(1-H54/K54)/K54)+F54/J54*(1-F54/J54)/J54)))</f>
        <v>-3.9208824674414736E-2</v>
      </c>
      <c r="V54">
        <f>1/S54</f>
        <v>-12.777236412056652</v>
      </c>
    </row>
    <row r="55" spans="1:31" x14ac:dyDescent="0.25">
      <c r="A55">
        <v>30</v>
      </c>
      <c r="B55" t="s">
        <v>285</v>
      </c>
      <c r="C55">
        <v>2017</v>
      </c>
      <c r="D55" t="s">
        <v>202</v>
      </c>
      <c r="E55" t="s">
        <v>210</v>
      </c>
      <c r="F55">
        <v>67</v>
      </c>
      <c r="G55">
        <f>J55-F55</f>
        <v>392</v>
      </c>
      <c r="H55">
        <v>125</v>
      </c>
      <c r="I55">
        <f>K55-H55</f>
        <v>6447</v>
      </c>
      <c r="J55">
        <v>459</v>
      </c>
      <c r="K55">
        <v>6572</v>
      </c>
      <c r="L55">
        <f>J55+K55</f>
        <v>7031</v>
      </c>
      <c r="M55">
        <f>(F55/G55)/(H55/I55)</f>
        <v>8.8152857142857144</v>
      </c>
      <c r="N55">
        <f>EXP(LN(M55)-1.96*SQRT(1/F55+1/G55+1/H55+1/I55))</f>
        <v>6.4410677251435215</v>
      </c>
      <c r="O55">
        <f>EXP(LN(M55)+1.96*SQRT(1/F55+1/G55+1/H55+1/I55))</f>
        <v>12.064655355375614</v>
      </c>
      <c r="P55">
        <f>(F55/J55)/(H55/K55)</f>
        <v>7.6744923747276692</v>
      </c>
      <c r="Q55">
        <f>EXP(LN(P55)-1.96*(SQRT(1/F55+1/H55-1/J55-1/K55)))</f>
        <v>5.7928613285208517</v>
      </c>
      <c r="R55">
        <f>EXP(LN(P55)+1.96*(SQRT(1/F55+1/H55-1/J55-1/K55)))</f>
        <v>10.167312813060569</v>
      </c>
      <c r="S55">
        <f>(H55/K55)-(F55/J55)</f>
        <v>-0.12694941370069363</v>
      </c>
      <c r="T55">
        <f>S55-1.96*SQRT(((H55/K55*(1-H55/K55))/K55+(F55/J55*(1-F55/J55))/J55))</f>
        <v>-0.15941891325220442</v>
      </c>
      <c r="U55">
        <f>S55+(1.96*SQRT(((H55/K55*(1-H55/K55)/K55)+F55/J55*(1-F55/J55)/J55)))</f>
        <v>-9.4479914149182831E-2</v>
      </c>
      <c r="V55">
        <f>1/S55</f>
        <v>-7.8771533546242463</v>
      </c>
    </row>
    <row r="56" spans="1:31" x14ac:dyDescent="0.25">
      <c r="A56">
        <v>31</v>
      </c>
      <c r="B56" t="s">
        <v>285</v>
      </c>
      <c r="C56">
        <v>2017</v>
      </c>
      <c r="D56" t="s">
        <v>202</v>
      </c>
      <c r="E56" t="s">
        <v>211</v>
      </c>
      <c r="F56">
        <v>6</v>
      </c>
      <c r="G56">
        <f>J56-F56</f>
        <v>453</v>
      </c>
      <c r="H56">
        <v>151</v>
      </c>
      <c r="I56">
        <f>K56-H56</f>
        <v>6421</v>
      </c>
      <c r="J56">
        <v>459</v>
      </c>
      <c r="K56">
        <v>6572</v>
      </c>
      <c r="L56">
        <f>J56+K56</f>
        <v>7031</v>
      </c>
      <c r="M56">
        <f>(F56/G56)/(H56/I56)</f>
        <v>0.56322091136353669</v>
      </c>
      <c r="N56">
        <f>EXP(LN(M56)-1.96*SQRT(1/F56+1/G56+1/H56+1/I56))</f>
        <v>0.24769994663211178</v>
      </c>
      <c r="O56">
        <f>EXP(LN(M56)+1.96*SQRT(1/F56+1/G56+1/H56+1/I56))</f>
        <v>1.2806534652520947</v>
      </c>
      <c r="P56">
        <f>(F56/J56)/(H56/K56)</f>
        <v>0.56893044193394793</v>
      </c>
      <c r="Q56">
        <f>EXP(LN(P56)-1.96*(SQRT(1/F56+1/H56-1/J56-1/K56)))</f>
        <v>0.25299121644755784</v>
      </c>
      <c r="R56">
        <f>EXP(LN(P56)+1.96*(SQRT(1/F56+1/H56-1/J56-1/K56)))</f>
        <v>1.2794193106947365</v>
      </c>
      <c r="S56">
        <f>(H56/K56)-(F56/J56)</f>
        <v>9.9043675088213417E-3</v>
      </c>
      <c r="T56">
        <f>S56-1.96*SQRT(((H56/K56*(1-H56/K56))/K56+(F56/J56*(1-F56/J56))/J56))</f>
        <v>-1.1000430915123188E-3</v>
      </c>
      <c r="U56">
        <f>S56+(1.96*SQRT(((H56/K56*(1-H56/K56)/K56)+F56/J56*(1-F56/J56)/J56)))</f>
        <v>2.0908778109155E-2</v>
      </c>
      <c r="V56">
        <f>1/S56</f>
        <v>100.96555879104328</v>
      </c>
    </row>
    <row r="57" spans="1:31" x14ac:dyDescent="0.25">
      <c r="A57">
        <v>32</v>
      </c>
      <c r="B57" t="s">
        <v>285</v>
      </c>
      <c r="C57">
        <v>2017</v>
      </c>
      <c r="D57" t="s">
        <v>202</v>
      </c>
      <c r="E57" t="s">
        <v>212</v>
      </c>
      <c r="F57">
        <v>386</v>
      </c>
      <c r="G57">
        <f>J57-F57</f>
        <v>73</v>
      </c>
      <c r="H57">
        <v>6157</v>
      </c>
      <c r="I57">
        <f>K57-H57</f>
        <v>415</v>
      </c>
      <c r="J57">
        <v>459</v>
      </c>
      <c r="K57">
        <v>6572</v>
      </c>
      <c r="L57">
        <f>J57+K57</f>
        <v>7031</v>
      </c>
      <c r="M57">
        <f>(F57/G57)/(H57/I57)</f>
        <v>0.3564046713730446</v>
      </c>
      <c r="N57">
        <f>EXP(LN(M57)-1.96*SQRT(1/F57+1/G57+1/H57+1/I57))</f>
        <v>0.27229524657901805</v>
      </c>
      <c r="O57">
        <f>EXP(LN(M57)+1.96*SQRT(1/F57+1/G57+1/H57+1/I57))</f>
        <v>0.466494701513882</v>
      </c>
      <c r="P57">
        <f>(F57/J57)/(H57/K57)</f>
        <v>0.89764170154734702</v>
      </c>
      <c r="Q57">
        <f>EXP(LN(P57)-1.96*(SQRT(1/F57+1/H57-1/J57-1/K57)))</f>
        <v>0.862205848685624</v>
      </c>
      <c r="R57">
        <f>EXP(LN(P57)+1.96*(SQRT(1/F57+1/H57-1/J57-1/K57)))</f>
        <v>0.93453393477340163</v>
      </c>
      <c r="S57">
        <f>(H57/K57)-(F57/J57)</f>
        <v>9.5894711438372582E-2</v>
      </c>
      <c r="T57">
        <f>S57-1.96*SQRT(((H57/K57*(1-H57/K57))/K57+(F57/J57*(1-F57/J57))/J57))</f>
        <v>6.1924456448676057E-2</v>
      </c>
      <c r="U57">
        <f>S57+(1.96*SQRT(((H57/K57*(1-H57/K57)/K57)+F57/J57*(1-F57/J57)/J57)))</f>
        <v>0.12986496642806911</v>
      </c>
      <c r="V57">
        <f>1/S57</f>
        <v>10.428103750462371</v>
      </c>
    </row>
    <row r="58" spans="1:31" x14ac:dyDescent="0.25">
      <c r="A58">
        <v>33</v>
      </c>
      <c r="B58" t="s">
        <v>285</v>
      </c>
      <c r="C58">
        <v>2017</v>
      </c>
      <c r="D58" t="s">
        <v>202</v>
      </c>
      <c r="E58" t="s">
        <v>213</v>
      </c>
      <c r="F58">
        <v>0</v>
      </c>
      <c r="G58">
        <f>J58-F58</f>
        <v>459</v>
      </c>
      <c r="H58">
        <v>138</v>
      </c>
      <c r="I58">
        <f>K58-H58</f>
        <v>6434</v>
      </c>
      <c r="J58">
        <v>459</v>
      </c>
      <c r="K58">
        <v>6572</v>
      </c>
      <c r="L58">
        <f>J58+K58</f>
        <v>7031</v>
      </c>
      <c r="M58">
        <f>(F58/G58)/(H58/I58)</f>
        <v>0</v>
      </c>
      <c r="N58" t="e">
        <f>EXP(LN(M58)-1.96*SQRT(1/F58+1/G58+1/H58+1/I58))</f>
        <v>#NUM!</v>
      </c>
      <c r="O58" t="e">
        <f>EXP(LN(M58)+1.96*SQRT(1/F58+1/G58+1/H58+1/I58))</f>
        <v>#NUM!</v>
      </c>
      <c r="P58">
        <f>(F58/J58)/(H58/K58)</f>
        <v>0</v>
      </c>
      <c r="S58">
        <f>(H58/K58)-(F58/J58)</f>
        <v>2.0998174071819843E-2</v>
      </c>
      <c r="T58">
        <f>S58-1.96*SQRT(((H58/K58*(1-H58/K58))/K58+(F58/J58*(1-F58/J58))/J58))</f>
        <v>1.75316851973032E-2</v>
      </c>
      <c r="U58">
        <f>S58+(1.96*SQRT(((H58/K58*(1-H58/K58)/K58)+F58/J58*(1-F58/J58)/J58)))</f>
        <v>2.4464662946336486E-2</v>
      </c>
      <c r="V58">
        <f>1/S58</f>
        <v>47.623188405797102</v>
      </c>
    </row>
    <row r="59" spans="1:31" x14ac:dyDescent="0.25">
      <c r="A59">
        <v>63</v>
      </c>
      <c r="B59" t="s">
        <v>60</v>
      </c>
      <c r="C59">
        <v>2022</v>
      </c>
      <c r="D59" t="s">
        <v>67</v>
      </c>
      <c r="E59" t="s">
        <v>68</v>
      </c>
      <c r="F59">
        <v>2186</v>
      </c>
      <c r="G59">
        <f>J59-F59</f>
        <v>952</v>
      </c>
      <c r="H59">
        <v>1431</v>
      </c>
      <c r="I59">
        <f>K59-H59</f>
        <v>69</v>
      </c>
      <c r="J59">
        <v>3138</v>
      </c>
      <c r="K59">
        <v>1500</v>
      </c>
      <c r="L59">
        <f>J59+K59</f>
        <v>4638</v>
      </c>
      <c r="M59">
        <f>(F59/G59)/(H59/I59)</f>
        <v>0.11071913041946337</v>
      </c>
      <c r="N59">
        <f>EXP(LN(M59)-1.96*SQRT(1/F59+1/G59+1/H59+1/I59))</f>
        <v>8.5945471809465254E-2</v>
      </c>
      <c r="O59">
        <f>EXP(LN(M59)+1.96*SQRT(1/F59+1/G59+1/H59+1/I59))</f>
        <v>0.14263376048500648</v>
      </c>
      <c r="P59">
        <f>(F59/J59)/(H59/K59)</f>
        <v>0.73021179482451537</v>
      </c>
      <c r="Q59">
        <f>EXP(LN(P59)-1.96*(SQRT(1/F59+1/H59-1/J59-1/K59)))</f>
        <v>0.71173789889099925</v>
      </c>
      <c r="R59">
        <f>EXP(LN(P59)+1.96*(SQRT(1/F59+1/H59-1/J59-1/K59)))</f>
        <v>0.74916519990247099</v>
      </c>
      <c r="S59">
        <f>(H59/K59)-(F59/J59)</f>
        <v>0.25737794773741229</v>
      </c>
      <c r="T59">
        <f>S59-(1.96*SQRT(((H59/K59*(1-H59/K59)/K59)+F59/J59*(1-F59/J59)/J59)))</f>
        <v>0.23811357486599788</v>
      </c>
      <c r="U59">
        <f>S59+(1.96*SQRT(((H59/K59*(1-H59/K59)/K59)+F59/J59*(1-F59/J59)/J59)))</f>
        <v>0.27664232060882671</v>
      </c>
      <c r="V59">
        <f>1/S59</f>
        <v>3.8853367539484838</v>
      </c>
    </row>
    <row r="60" spans="1:31" x14ac:dyDescent="0.25">
      <c r="A60">
        <v>63</v>
      </c>
      <c r="B60" t="s">
        <v>60</v>
      </c>
      <c r="C60">
        <v>2022</v>
      </c>
      <c r="D60" t="s">
        <v>67</v>
      </c>
      <c r="E60" t="s">
        <v>69</v>
      </c>
      <c r="F60">
        <v>1469</v>
      </c>
      <c r="G60">
        <f>J60-F60</f>
        <v>1669</v>
      </c>
      <c r="H60">
        <v>443</v>
      </c>
      <c r="I60">
        <f>K60-H60</f>
        <v>1057</v>
      </c>
      <c r="J60">
        <v>3138</v>
      </c>
      <c r="K60">
        <v>1500</v>
      </c>
      <c r="L60">
        <f>J60+K60</f>
        <v>4638</v>
      </c>
      <c r="M60">
        <f>(F60/G60)/(H60/I60)</f>
        <v>2.1000842612667321</v>
      </c>
      <c r="N60">
        <f>EXP(LN(M60)-1.96*SQRT(1/F60+1/G60+1/H60+1/I60))</f>
        <v>1.8417952452846817</v>
      </c>
      <c r="O60">
        <f>EXP(LN(M60)+1.96*SQRT(1/F60+1/G60+1/H60+1/I60))</f>
        <v>2.3945951189262291</v>
      </c>
      <c r="P60">
        <f>(F60/J60)/(H60/K60)</f>
        <v>1.5850989904570352</v>
      </c>
      <c r="Q60">
        <f>EXP(LN(P60)-1.96*(SQRT(1/F60+1/H60-1/J60-1/K60)))</f>
        <v>1.4535880635584295</v>
      </c>
      <c r="R60">
        <f>EXP(LN(P60)+1.96*(SQRT(1/F60+1/H60-1/J60-1/K60)))</f>
        <v>1.7285081465220191</v>
      </c>
      <c r="S60">
        <f>(H60/K60)-(F60/J60)</f>
        <v>-0.17279923518164436</v>
      </c>
      <c r="T60">
        <f>S60-(1.96*SQRT(((H60/K60*(1-H60/K60)/K60)+F60/J60*(1-F60/J60)/J60)))</f>
        <v>-0.20174399540843146</v>
      </c>
      <c r="U60">
        <f>S60+(1.96*SQRT(((H60/K60*(1-H60/K60)/K60)+F60/J60*(1-F60/J60)/J60)))</f>
        <v>-0.14385447495485726</v>
      </c>
      <c r="V60">
        <f>1/S60</f>
        <v>-5.7870626507623877</v>
      </c>
    </row>
    <row r="61" spans="1:31" x14ac:dyDescent="0.25">
      <c r="A61">
        <v>63</v>
      </c>
      <c r="B61" t="s">
        <v>60</v>
      </c>
      <c r="C61">
        <v>2022</v>
      </c>
      <c r="D61" t="s">
        <v>67</v>
      </c>
      <c r="E61" t="s">
        <v>70</v>
      </c>
      <c r="F61">
        <v>2314</v>
      </c>
      <c r="G61">
        <f>J61-F61</f>
        <v>824</v>
      </c>
      <c r="H61">
        <v>1084</v>
      </c>
      <c r="I61">
        <f>K61-H61</f>
        <v>416</v>
      </c>
      <c r="J61">
        <v>3138</v>
      </c>
      <c r="K61">
        <v>1500</v>
      </c>
      <c r="L61">
        <f>J61+K61</f>
        <v>4638</v>
      </c>
      <c r="M61">
        <f>(F61/G61)/(H61/I61)</f>
        <v>1.0777057285135958</v>
      </c>
      <c r="N61">
        <f>EXP(LN(M61)-1.96*SQRT(1/F61+1/G61+1/H61+1/I61))</f>
        <v>0.93859495181699049</v>
      </c>
      <c r="O61">
        <f>EXP(LN(M61)+1.96*SQRT(1/F61+1/G61+1/H61+1/I61))</f>
        <v>1.2374343533625596</v>
      </c>
      <c r="P61">
        <f>(F61/J61)/(H61/K61)</f>
        <v>1.0204045635102623</v>
      </c>
      <c r="Q61">
        <f>EXP(LN(P61)-1.96*(SQRT(1/F61+1/H61-1/J61-1/K61)))</f>
        <v>0.98268414171601681</v>
      </c>
      <c r="R61">
        <f>EXP(LN(P61)+1.96*(SQRT(1/F61+1/H61-1/J61-1/K61)))</f>
        <v>1.0595728871886791</v>
      </c>
      <c r="S61">
        <f>(H61/K61)-(F61/J61)</f>
        <v>-1.474569789674951E-2</v>
      </c>
      <c r="T61">
        <f>S61-(1.96*SQRT(((H61/K61*(1-H61/K61)/K61)+F61/J61*(1-F61/J61)/J61)))</f>
        <v>-4.2138032391597191E-2</v>
      </c>
      <c r="U61">
        <f>S61+(1.96*SQRT(((H61/K61*(1-H61/K61)/K61)+F61/J61*(1-F61/J61)/J61)))</f>
        <v>1.2646636598098168E-2</v>
      </c>
      <c r="V61">
        <f>1/S61</f>
        <v>-67.816390041493833</v>
      </c>
    </row>
    <row r="62" spans="1:31" x14ac:dyDescent="0.25">
      <c r="A62">
        <v>63</v>
      </c>
      <c r="B62" t="s">
        <v>60</v>
      </c>
      <c r="C62">
        <v>2022</v>
      </c>
      <c r="D62" t="s">
        <v>67</v>
      </c>
      <c r="E62" t="s">
        <v>71</v>
      </c>
      <c r="F62">
        <v>91</v>
      </c>
      <c r="G62">
        <f>J62-F62</f>
        <v>3047</v>
      </c>
      <c r="H62">
        <v>13</v>
      </c>
      <c r="I62">
        <f>K62-H62</f>
        <v>1487</v>
      </c>
      <c r="J62">
        <v>3138</v>
      </c>
      <c r="K62">
        <v>1500</v>
      </c>
      <c r="L62">
        <f>J62+K62</f>
        <v>4638</v>
      </c>
      <c r="M62">
        <f>(F62/G62)/(H62/I62)</f>
        <v>3.4161470298654413</v>
      </c>
      <c r="N62">
        <f>EXP(LN(M62)-1.96*SQRT(1/F62+1/G62+1/H62+1/I62))</f>
        <v>1.9042261605136761</v>
      </c>
      <c r="O62">
        <f>EXP(LN(M62)+1.96*SQRT(1/F62+1/G62+1/H62+1/I62))</f>
        <v>6.1285055166506099</v>
      </c>
      <c r="P62">
        <f>(F62/J62)/(H62/K62)</f>
        <v>3.3460803059273423</v>
      </c>
      <c r="Q62">
        <f>EXP(LN(P62)-1.96*(SQRT(1/F62+1/H62-1/J62-1/K62)))</f>
        <v>1.8774530450705258</v>
      </c>
      <c r="R62">
        <f>EXP(LN(P62)+1.96*(SQRT(1/F62+1/H62-1/J62-1/K62)))</f>
        <v>5.9635331190369314</v>
      </c>
      <c r="S62">
        <f>(H62/K62)-(F62/J62)</f>
        <v>-2.0332695984703632E-2</v>
      </c>
      <c r="T62">
        <f>S62-(1.96*SQRT(((H62/K62*(1-H62/K62)/K62)+F62/J62*(1-F62/J62)/J62)))</f>
        <v>-2.7847721024606781E-2</v>
      </c>
      <c r="U62">
        <f>S62+(1.96*SQRT(((H62/K62*(1-H62/K62)/K62)+F62/J62*(1-F62/J62)/J62)))</f>
        <v>-1.2817670944800484E-2</v>
      </c>
      <c r="V62">
        <f>1/S62</f>
        <v>-49.181869475268009</v>
      </c>
    </row>
    <row r="63" spans="1:31" x14ac:dyDescent="0.25">
      <c r="A63">
        <v>63</v>
      </c>
      <c r="B63" t="s">
        <v>60</v>
      </c>
      <c r="C63">
        <v>2022</v>
      </c>
      <c r="D63" t="s">
        <v>67</v>
      </c>
      <c r="E63" t="s">
        <v>72</v>
      </c>
      <c r="F63">
        <v>565</v>
      </c>
      <c r="G63">
        <f>J63-F63</f>
        <v>2573</v>
      </c>
      <c r="H63">
        <v>203</v>
      </c>
      <c r="I63">
        <f>K63-H63</f>
        <v>1297</v>
      </c>
      <c r="J63">
        <v>3138</v>
      </c>
      <c r="K63">
        <v>1500</v>
      </c>
      <c r="L63">
        <f>J63+K63</f>
        <v>4638</v>
      </c>
      <c r="M63">
        <f>(F63/G63)/(H63/I63)</f>
        <v>1.402983617291349</v>
      </c>
      <c r="N63">
        <f>EXP(LN(M63)-1.96*SQRT(1/F63+1/G63+1/H63+1/I63))</f>
        <v>1.1792537850261704</v>
      </c>
      <c r="O63">
        <f>EXP(LN(M63)+1.96*SQRT(1/F63+1/G63+1/H63+1/I63))</f>
        <v>1.6691598156237726</v>
      </c>
      <c r="P63">
        <f>(F63/J63)/(H63/K63)</f>
        <v>1.3304260188944044</v>
      </c>
      <c r="Q63">
        <f>EXP(LN(P63)-1.96*(SQRT(1/F63+1/H63-1/J63-1/K63)))</f>
        <v>1.1472684995557563</v>
      </c>
      <c r="R63">
        <f>EXP(LN(P63)+1.96*(SQRT(1/F63+1/H63-1/J63-1/K63)))</f>
        <v>1.542824014114049</v>
      </c>
      <c r="S63">
        <f>(H63/K63)-(F63/J63)</f>
        <v>-4.4717654557042713E-2</v>
      </c>
      <c r="T63">
        <f>S63-(1.96*SQRT(((H63/K63*(1-H63/K63)/K63)+F63/J63*(1-F63/J63)/J63)))</f>
        <v>-6.6636280772338824E-2</v>
      </c>
      <c r="U63">
        <f>S63+(1.96*SQRT(((H63/K63*(1-H63/K63)/K63)+F63/J63*(1-F63/J63)/J63)))</f>
        <v>-2.2799028341746609E-2</v>
      </c>
      <c r="V63">
        <f>1/S63</f>
        <v>-22.362532424959376</v>
      </c>
    </row>
    <row r="64" spans="1:31" x14ac:dyDescent="0.25">
      <c r="A64">
        <v>63</v>
      </c>
      <c r="B64" t="s">
        <v>60</v>
      </c>
      <c r="C64">
        <v>2022</v>
      </c>
      <c r="D64" t="s">
        <v>67</v>
      </c>
      <c r="E64" t="s">
        <v>73</v>
      </c>
      <c r="F64">
        <v>2249</v>
      </c>
      <c r="G64">
        <f>J64-F64</f>
        <v>889</v>
      </c>
      <c r="H64">
        <v>1215</v>
      </c>
      <c r="I64">
        <f>K64-H64</f>
        <v>285</v>
      </c>
      <c r="J64">
        <v>3138</v>
      </c>
      <c r="K64">
        <v>1500</v>
      </c>
      <c r="L64">
        <f>J64+K64</f>
        <v>4638</v>
      </c>
      <c r="M64">
        <f>(F64/G64)/(H64/I64)</f>
        <v>0.59341193461928365</v>
      </c>
      <c r="N64">
        <f>EXP(LN(M64)-1.96*SQRT(1/F64+1/G64+1/H64+1/I64))</f>
        <v>0.51046472696857115</v>
      </c>
      <c r="O64">
        <f>EXP(LN(M64)+1.96*SQRT(1/F64+1/G64+1/H64+1/I64))</f>
        <v>0.68983752558143319</v>
      </c>
      <c r="P64">
        <f>(F64/J64)/(H64/K64)</f>
        <v>0.88481300505944638</v>
      </c>
      <c r="Q64">
        <f>EXP(LN(P64)-1.96*(SQRT(1/F64+1/H64-1/J64-1/K64)))</f>
        <v>0.85614703037630069</v>
      </c>
      <c r="R64">
        <f>EXP(LN(P64)+1.96*(SQRT(1/F64+1/H64-1/J64-1/K64)))</f>
        <v>0.91443878930260836</v>
      </c>
      <c r="S64">
        <f>(H64/K64)-(F64/J64)</f>
        <v>9.3301465901848402E-2</v>
      </c>
      <c r="T64">
        <f>S64-(1.96*SQRT(((H64/K64*(1-H64/K64)/K64)+F64/J64*(1-F64/J64)/J64)))</f>
        <v>6.7949626269320509E-2</v>
      </c>
      <c r="U64">
        <f>S64+(1.96*SQRT(((H64/K64*(1-H64/K64)/K64)+F64/J64*(1-F64/J64)/J64)))</f>
        <v>0.11865330553437629</v>
      </c>
      <c r="V64">
        <f>1/S64</f>
        <v>10.717945214837069</v>
      </c>
    </row>
    <row r="65" spans="1:26" x14ac:dyDescent="0.25">
      <c r="A65">
        <v>63</v>
      </c>
      <c r="B65" t="s">
        <v>60</v>
      </c>
      <c r="C65">
        <v>2022</v>
      </c>
      <c r="D65" t="s">
        <v>67</v>
      </c>
      <c r="E65" t="s">
        <v>74</v>
      </c>
      <c r="F65">
        <v>594</v>
      </c>
      <c r="G65">
        <f>J65-F65</f>
        <v>2544</v>
      </c>
      <c r="H65">
        <v>448</v>
      </c>
      <c r="I65">
        <f>K65-H65</f>
        <v>1052</v>
      </c>
      <c r="J65">
        <v>3138</v>
      </c>
      <c r="K65">
        <v>1500</v>
      </c>
      <c r="L65">
        <f>J65+K65</f>
        <v>4638</v>
      </c>
      <c r="M65">
        <f>(F65/G65)/(H65/I65)</f>
        <v>0.54828588274932621</v>
      </c>
      <c r="N65">
        <f>EXP(LN(M65)-1.96*SQRT(1/F65+1/G65+1/H65+1/I65))</f>
        <v>0.47563733306711059</v>
      </c>
      <c r="O65">
        <f>EXP(LN(M65)+1.96*SQRT(1/F65+1/G65+1/H65+1/I65))</f>
        <v>0.6320307266120172</v>
      </c>
      <c r="P65">
        <f>(F65/J65)/(H65/K65)</f>
        <v>0.63379199672220699</v>
      </c>
      <c r="Q65">
        <f>EXP(LN(P65)-1.96*(SQRT(1/F65+1/H65-1/J65-1/K65)))</f>
        <v>0.56999156026443831</v>
      </c>
      <c r="R65">
        <f>EXP(LN(P65)+1.96*(SQRT(1/F65+1/H65-1/J65-1/K65)))</f>
        <v>0.70473375943104044</v>
      </c>
      <c r="S65">
        <f>(H65/K65)-(F65/J65)</f>
        <v>0.10937412364563417</v>
      </c>
      <c r="T65">
        <f>S65-(1.96*SQRT(((H65/K65*(1-H65/K65)/K65)+F65/J65*(1-F65/J65)/J65)))</f>
        <v>8.246086848779316E-2</v>
      </c>
      <c r="U65">
        <f>S65+(1.96*SQRT(((H65/K65*(1-H65/K65)/K65)+F65/J65*(1-F65/J65)/J65)))</f>
        <v>0.13628737880347519</v>
      </c>
      <c r="V65">
        <f>1/S65</f>
        <v>9.1429303995151727</v>
      </c>
    </row>
    <row r="66" spans="1:26" x14ac:dyDescent="0.25">
      <c r="A66">
        <v>63</v>
      </c>
      <c r="B66" t="s">
        <v>60</v>
      </c>
      <c r="C66">
        <v>2022</v>
      </c>
      <c r="D66" t="s">
        <v>67</v>
      </c>
      <c r="E66" t="s">
        <v>75</v>
      </c>
      <c r="F66">
        <v>475</v>
      </c>
      <c r="G66">
        <f>J66-F66</f>
        <v>2663</v>
      </c>
      <c r="H66">
        <v>139</v>
      </c>
      <c r="I66">
        <f>K66-H66</f>
        <v>1361</v>
      </c>
      <c r="J66">
        <v>3138</v>
      </c>
      <c r="K66">
        <v>1500</v>
      </c>
      <c r="L66">
        <f>J66+K66</f>
        <v>4638</v>
      </c>
      <c r="M66">
        <f>(F66/G66)/(H66/I66)</f>
        <v>1.7464886521124821</v>
      </c>
      <c r="N66">
        <f>EXP(LN(M66)-1.96*SQRT(1/F66+1/G66+1/H66+1/I66))</f>
        <v>1.429938993916761</v>
      </c>
      <c r="O66">
        <f>EXP(LN(M66)+1.96*SQRT(1/F66+1/G66+1/H66+1/I66))</f>
        <v>2.1331138076057194</v>
      </c>
      <c r="P66">
        <f>(F66/J66)/(H66/K66)</f>
        <v>1.6334924412286613</v>
      </c>
      <c r="Q66">
        <f>EXP(LN(P66)-1.96*(SQRT(1/F66+1/H66-1/J66-1/K66)))</f>
        <v>1.3661594758275439</v>
      </c>
      <c r="R66">
        <f>EXP(LN(P66)+1.96*(SQRT(1/F66+1/H66-1/J66-1/K66)))</f>
        <v>1.9531376847017545</v>
      </c>
      <c r="S66">
        <f>(H66/K66)-(F66/J66)</f>
        <v>-5.8703632887189286E-2</v>
      </c>
      <c r="T66">
        <f>S66-(1.96*SQRT(((H66/K66*(1-H66/K66)/K66)+F66/J66*(1-F66/J66)/J66)))</f>
        <v>-7.8006308489624115E-2</v>
      </c>
      <c r="U66">
        <f>S66+(1.96*SQRT(((H66/K66*(1-H66/K66)/K66)+F66/J66*(1-F66/J66)/J66)))</f>
        <v>-3.940095728475445E-2</v>
      </c>
      <c r="V66">
        <f>1/S66</f>
        <v>-17.034720865090225</v>
      </c>
    </row>
    <row r="67" spans="1:26" x14ac:dyDescent="0.25">
      <c r="A67">
        <v>63</v>
      </c>
      <c r="B67" t="s">
        <v>60</v>
      </c>
      <c r="C67">
        <v>2022</v>
      </c>
      <c r="D67" t="s">
        <v>67</v>
      </c>
      <c r="E67" t="s">
        <v>76</v>
      </c>
      <c r="F67">
        <v>279</v>
      </c>
      <c r="G67">
        <f>J67-F67</f>
        <v>2859</v>
      </c>
      <c r="H67">
        <v>135</v>
      </c>
      <c r="I67">
        <f>K67-H67</f>
        <v>1365</v>
      </c>
      <c r="J67">
        <v>3138</v>
      </c>
      <c r="K67">
        <v>1500</v>
      </c>
      <c r="L67">
        <f>J67+K67</f>
        <v>4638</v>
      </c>
      <c r="M67">
        <f>(F67/G67)/(H67/I67)</f>
        <v>0.98670863938440012</v>
      </c>
      <c r="N67">
        <f>EXP(LN(M67)-1.96*SQRT(1/F67+1/G67+1/H67+1/I67))</f>
        <v>0.79552833624312913</v>
      </c>
      <c r="O67">
        <f>EXP(LN(M67)+1.96*SQRT(1/F67+1/G67+1/H67+1/I67))</f>
        <v>1.223833136646769</v>
      </c>
      <c r="P67">
        <f>(F67/J67)/(H67/K67)</f>
        <v>0.98789037603569152</v>
      </c>
      <c r="Q67">
        <f>EXP(LN(P67)-1.96*(SQRT(1/F67+1/H67-1/J67-1/K67)))</f>
        <v>0.81200788188385209</v>
      </c>
      <c r="R67">
        <f>EXP(LN(P67)+1.96*(SQRT(1/F67+1/H67-1/J67-1/K67)))</f>
        <v>1.2018693621542145</v>
      </c>
      <c r="S67">
        <f>(H67/K67)-(F67/J67)</f>
        <v>1.0898661567877582E-3</v>
      </c>
      <c r="T67">
        <f>S67-(1.96*SQRT(((H67/K67*(1-H67/K67)/K67)+F67/J67*(1-F67/J67)/J67)))</f>
        <v>-1.6486236638304883E-2</v>
      </c>
      <c r="U67">
        <f>S67+(1.96*SQRT(((H67/K67*(1-H67/K67)/K67)+F67/J67*(1-F67/J67)/J67)))</f>
        <v>1.8665968951880399E-2</v>
      </c>
      <c r="V67">
        <f>1/S67</f>
        <v>917.54385964912672</v>
      </c>
    </row>
    <row r="68" spans="1:26" x14ac:dyDescent="0.25">
      <c r="A68">
        <v>63</v>
      </c>
      <c r="B68" t="s">
        <v>60</v>
      </c>
      <c r="C68">
        <v>2022</v>
      </c>
      <c r="D68" t="s">
        <v>67</v>
      </c>
      <c r="E68" t="s">
        <v>77</v>
      </c>
      <c r="F68">
        <v>194</v>
      </c>
      <c r="G68">
        <f>J68-F68</f>
        <v>2944</v>
      </c>
      <c r="H68">
        <v>88</v>
      </c>
      <c r="I68">
        <f>K68-H68</f>
        <v>1412</v>
      </c>
      <c r="J68">
        <v>3138</v>
      </c>
      <c r="K68">
        <v>1500</v>
      </c>
      <c r="L68">
        <f>J68+K68</f>
        <v>4638</v>
      </c>
      <c r="M68">
        <f>(F68/G68)/(H68/I68)</f>
        <v>1.0573431324110674</v>
      </c>
      <c r="N68">
        <f>EXP(LN(M68)-1.96*SQRT(1/F68+1/G68+1/H68+1/I68))</f>
        <v>0.81545092332467639</v>
      </c>
      <c r="O68">
        <f>EXP(LN(M68)+1.96*SQRT(1/F68+1/G68+1/H68+1/I68))</f>
        <v>1.37098931116388</v>
      </c>
      <c r="P68">
        <f>(F68/J68)/(H68/K68)</f>
        <v>1.0537980184251694</v>
      </c>
      <c r="Q68">
        <f>EXP(LN(P68)-1.96*(SQRT(1/F68+1/H68-1/J68-1/K68)))</f>
        <v>0.82540893045982566</v>
      </c>
      <c r="R68">
        <f>EXP(LN(P68)+1.96*(SQRT(1/F68+1/H68-1/J68-1/K68)))</f>
        <v>1.3453819345256812</v>
      </c>
      <c r="S68">
        <f>(H68/K68)-(F68/J68)</f>
        <v>-3.1561504142766095E-3</v>
      </c>
      <c r="T68">
        <f>S68-(1.96*SQRT(((H68/K68*(1-H68/K68)/K68)+F68/J68*(1-F68/J68)/J68)))</f>
        <v>-1.7731481094751686E-2</v>
      </c>
      <c r="U68">
        <f>S68+(1.96*SQRT(((H68/K68*(1-H68/K68)/K68)+F68/J68*(1-F68/J68)/J68)))</f>
        <v>1.1419180266198469E-2</v>
      </c>
      <c r="V68">
        <f>1/S68</f>
        <v>-316.84168012924067</v>
      </c>
    </row>
    <row r="69" spans="1:26" x14ac:dyDescent="0.25">
      <c r="A69">
        <v>63</v>
      </c>
      <c r="B69" t="s">
        <v>60</v>
      </c>
      <c r="C69">
        <v>2022</v>
      </c>
      <c r="D69" t="s">
        <v>67</v>
      </c>
      <c r="E69" t="s">
        <v>78</v>
      </c>
      <c r="F69">
        <v>268</v>
      </c>
      <c r="G69">
        <f>J69-F69</f>
        <v>2870</v>
      </c>
      <c r="H69">
        <v>71</v>
      </c>
      <c r="I69">
        <f>K69-H69</f>
        <v>1429</v>
      </c>
      <c r="J69">
        <v>3138</v>
      </c>
      <c r="K69">
        <v>1500</v>
      </c>
      <c r="L69">
        <f>J69+K69</f>
        <v>4638</v>
      </c>
      <c r="M69">
        <f>(F69/G69)/(H69/I69)</f>
        <v>1.8794326937233155</v>
      </c>
      <c r="N69">
        <f>EXP(LN(M69)-1.96*SQRT(1/F69+1/G69+1/H69+1/I69))</f>
        <v>1.4358697331437531</v>
      </c>
      <c r="O69">
        <f>EXP(LN(M69)+1.96*SQRT(1/F69+1/G69+1/H69+1/I69))</f>
        <v>2.4600192961114824</v>
      </c>
      <c r="P69">
        <f>(F69/J69)/(H69/K69)</f>
        <v>1.8043249939406998</v>
      </c>
      <c r="Q69">
        <f>EXP(LN(P69)-1.96*(SQRT(1/F69+1/H69-1/J69-1/K69)))</f>
        <v>1.3992144185415238</v>
      </c>
      <c r="R69">
        <f>EXP(LN(P69)+1.96*(SQRT(1/F69+1/H69-1/J69-1/K69)))</f>
        <v>2.3267260833065033</v>
      </c>
      <c r="S69">
        <f>(H69/K69)-(F69/J69)</f>
        <v>-3.8071383046526457E-2</v>
      </c>
      <c r="T69">
        <f>S69-(1.96*SQRT(((H69/K69*(1-H69/K69)/K69)+F69/J69*(1-F69/J69)/J69)))</f>
        <v>-5.2601027888588968E-2</v>
      </c>
      <c r="U69">
        <f>S69+(1.96*SQRT(((H69/K69*(1-H69/K69)/K69)+F69/J69*(1-F69/J69)/J69)))</f>
        <v>-2.3541738204463945E-2</v>
      </c>
      <c r="V69">
        <f>1/S69</f>
        <v>-26.266447919108042</v>
      </c>
    </row>
    <row r="70" spans="1:26" x14ac:dyDescent="0.25">
      <c r="A70">
        <v>63</v>
      </c>
      <c r="B70" t="s">
        <v>60</v>
      </c>
      <c r="C70">
        <v>2022</v>
      </c>
      <c r="D70" t="s">
        <v>67</v>
      </c>
      <c r="E70" t="s">
        <v>79</v>
      </c>
      <c r="F70">
        <v>263</v>
      </c>
      <c r="G70">
        <f>J70-F70</f>
        <v>2875</v>
      </c>
      <c r="H70">
        <v>78</v>
      </c>
      <c r="I70">
        <f>K70-H70</f>
        <v>1422</v>
      </c>
      <c r="J70">
        <v>3138</v>
      </c>
      <c r="K70">
        <v>1500</v>
      </c>
      <c r="L70">
        <f>J70+K70</f>
        <v>4638</v>
      </c>
      <c r="M70">
        <f>(F70/G70)/(H70/I70)</f>
        <v>1.6677190635451504</v>
      </c>
      <c r="N70">
        <f>EXP(LN(M70)-1.96*SQRT(1/F70+1/G70+1/H70+1/I70))</f>
        <v>1.2851667546686272</v>
      </c>
      <c r="O70">
        <f>EXP(LN(M70)+1.96*SQRT(1/F70+1/G70+1/H70+1/I70))</f>
        <v>2.164144742157645</v>
      </c>
      <c r="P70">
        <f>(F70/J70)/(H70/K70)</f>
        <v>1.6117566308770899</v>
      </c>
      <c r="Q70">
        <f>EXP(LN(P70)-1.96*(SQRT(1/F70+1/H70-1/J70-1/K70)))</f>
        <v>1.2614060929987567</v>
      </c>
      <c r="R70">
        <f>EXP(LN(P70)+1.96*(SQRT(1/F70+1/H70-1/J70-1/K70)))</f>
        <v>2.0594156406844215</v>
      </c>
      <c r="S70">
        <f>(H70/K70)-(F70/J70)</f>
        <v>-3.1811344805608675E-2</v>
      </c>
      <c r="T70">
        <f>S70-(1.96*SQRT(((H70/K70*(1-H70/K70)/K70)+F70/J70*(1-F70/J70)/J70)))</f>
        <v>-4.6652317476404075E-2</v>
      </c>
      <c r="U70">
        <f>S70+(1.96*SQRT(((H70/K70*(1-H70/K70)/K70)+F70/J70*(1-F70/J70)/J70)))</f>
        <v>-1.6970372134813276E-2</v>
      </c>
      <c r="V70">
        <f>1/S70</f>
        <v>-31.435326174066351</v>
      </c>
    </row>
    <row r="71" spans="1:26" x14ac:dyDescent="0.25">
      <c r="A71">
        <v>63</v>
      </c>
      <c r="B71" t="s">
        <v>60</v>
      </c>
      <c r="C71">
        <v>2022</v>
      </c>
      <c r="D71" t="s">
        <v>67</v>
      </c>
      <c r="E71" t="s">
        <v>80</v>
      </c>
      <c r="F71">
        <v>186</v>
      </c>
      <c r="G71">
        <f>J71-F71</f>
        <v>2952</v>
      </c>
      <c r="H71">
        <v>73</v>
      </c>
      <c r="I71">
        <f>K71-H71</f>
        <v>1427</v>
      </c>
      <c r="J71">
        <v>3138</v>
      </c>
      <c r="K71">
        <v>1500</v>
      </c>
      <c r="L71">
        <f>J71+K71</f>
        <v>4638</v>
      </c>
      <c r="M71">
        <f>(F71/G71)/(H71/I71)</f>
        <v>1.2316794743289896</v>
      </c>
      <c r="N71">
        <f>EXP(LN(M71)-1.96*SQRT(1/F71+1/G71+1/H71+1/I71))</f>
        <v>0.93276732271627216</v>
      </c>
      <c r="O71">
        <f>EXP(LN(M71)+1.96*SQRT(1/F71+1/G71+1/H71+1/I71))</f>
        <v>1.6263802242403227</v>
      </c>
      <c r="P71">
        <f>(F71/J71)/(H71/K71)</f>
        <v>1.2179470389481128</v>
      </c>
      <c r="Q71">
        <f>EXP(LN(P71)-1.96*(SQRT(1/F71+1/H71-1/J71-1/K71)))</f>
        <v>0.93571080454773115</v>
      </c>
      <c r="R71">
        <f>EXP(LN(P71)+1.96*(SQRT(1/F71+1/H71-1/J71-1/K71)))</f>
        <v>1.5853135204519349</v>
      </c>
      <c r="S71">
        <f>(H71/K71)-(F71/J71)</f>
        <v>-1.0606755895474829E-2</v>
      </c>
      <c r="T71">
        <f>S71-(1.96*SQRT(((H71/K71*(1-H71/K71)/K71)+F71/J71*(1-F71/J71)/J71)))</f>
        <v>-2.4275530591277447E-2</v>
      </c>
      <c r="U71">
        <f>S71+(1.96*SQRT(((H71/K71*(1-H71/K71)/K71)+F71/J71*(1-F71/J71)/J71)))</f>
        <v>3.0620188003277916E-3</v>
      </c>
      <c r="V71">
        <f>1/S71</f>
        <v>-94.2795337098906</v>
      </c>
    </row>
    <row r="72" spans="1:26" x14ac:dyDescent="0.25">
      <c r="A72">
        <v>63</v>
      </c>
      <c r="B72" t="s">
        <v>60</v>
      </c>
      <c r="C72">
        <v>2022</v>
      </c>
      <c r="D72" t="s">
        <v>67</v>
      </c>
      <c r="E72" t="s">
        <v>81</v>
      </c>
      <c r="F72">
        <v>134</v>
      </c>
      <c r="G72">
        <f>J72-F72</f>
        <v>3004</v>
      </c>
      <c r="H72">
        <v>84</v>
      </c>
      <c r="I72">
        <f>K72-H72</f>
        <v>1416</v>
      </c>
      <c r="J72">
        <v>3138</v>
      </c>
      <c r="K72">
        <v>1500</v>
      </c>
      <c r="L72">
        <f>J72+K72</f>
        <v>4638</v>
      </c>
      <c r="M72">
        <f>(F72/G72)/(H72/I72)</f>
        <v>0.75194978124405554</v>
      </c>
      <c r="N72">
        <f>EXP(LN(M72)-1.96*SQRT(1/F72+1/G72+1/H72+1/I72))</f>
        <v>0.56831769841681401</v>
      </c>
      <c r="O72">
        <f>EXP(LN(M72)+1.96*SQRT(1/F72+1/G72+1/H72+1/I72))</f>
        <v>0.99491617996082171</v>
      </c>
      <c r="P72">
        <f>(F72/J72)/(H72/K72)</f>
        <v>0.76254211053446241</v>
      </c>
      <c r="Q72">
        <f>EXP(LN(P72)-1.96*(SQRT(1/F72+1/H72-1/J72-1/K72)))</f>
        <v>0.58459523233535182</v>
      </c>
      <c r="R72">
        <f>EXP(LN(P72)+1.96*(SQRT(1/F72+1/H72-1/J72-1/K72)))</f>
        <v>0.99465482812010531</v>
      </c>
      <c r="S72">
        <f>(H72/K72)-(F72/J72)</f>
        <v>1.3297641810070107E-2</v>
      </c>
      <c r="T72">
        <f>S72-(1.96*SQRT(((H72/K72*(1-H72/K72)/K72)+F72/J72*(1-F72/J72)/J72)))</f>
        <v>-3.1973399551567423E-4</v>
      </c>
      <c r="U72">
        <f>S72+(1.96*SQRT(((H72/K72*(1-H72/K72)/K72)+F72/J72*(1-F72/J72)/J72)))</f>
        <v>2.6915017615655887E-2</v>
      </c>
      <c r="V72">
        <f>1/S72</f>
        <v>75.201303680981596</v>
      </c>
    </row>
    <row r="73" spans="1:26" x14ac:dyDescent="0.25">
      <c r="A73">
        <v>63</v>
      </c>
      <c r="B73" t="s">
        <v>60</v>
      </c>
      <c r="C73">
        <v>2022</v>
      </c>
      <c r="D73" t="s">
        <v>67</v>
      </c>
      <c r="E73" t="s">
        <v>82</v>
      </c>
      <c r="F73">
        <v>143</v>
      </c>
      <c r="G73">
        <f>J73-F73</f>
        <v>2995</v>
      </c>
      <c r="H73">
        <v>50</v>
      </c>
      <c r="I73">
        <f>K73-H73</f>
        <v>1450</v>
      </c>
      <c r="J73">
        <v>3138</v>
      </c>
      <c r="K73">
        <v>1500</v>
      </c>
      <c r="L73">
        <f>J73+K73</f>
        <v>4638</v>
      </c>
      <c r="M73">
        <f>(F73/G73)/(H73/I73)</f>
        <v>1.3846410684474124</v>
      </c>
      <c r="N73">
        <f>EXP(LN(M73)-1.96*SQRT(1/F73+1/G73+1/H73+1/I73))</f>
        <v>0.99737674171793533</v>
      </c>
      <c r="O73">
        <f>EXP(LN(M73)+1.96*SQRT(1/F73+1/G73+1/H73+1/I73))</f>
        <v>1.9222735083323181</v>
      </c>
      <c r="P73">
        <f>(F73/J73)/(H73/K73)</f>
        <v>1.3671128107074568</v>
      </c>
      <c r="Q73">
        <f>EXP(LN(P73)-1.96*(SQRT(1/F73+1/H73-1/J73-1/K73)))</f>
        <v>0.99661971267500471</v>
      </c>
      <c r="R73">
        <f>EXP(LN(P73)+1.96*(SQRT(1/F73+1/H73-1/J73-1/K73)))</f>
        <v>1.8753366137861234</v>
      </c>
      <c r="S73">
        <f>(H73/K73)-(F73/J73)</f>
        <v>-1.2237093690248564E-2</v>
      </c>
      <c r="T73">
        <f>S73-(1.96*SQRT(((H73/K73*(1-H73/K73)/K73)+F73/J73*(1-F73/J73)/J73)))</f>
        <v>-2.3889096150728102E-2</v>
      </c>
      <c r="U73">
        <f>S73+(1.96*SQRT(((H73/K73*(1-H73/K73)/K73)+F73/J73*(1-F73/J73)/J73)))</f>
        <v>-5.8509122976902611E-4</v>
      </c>
      <c r="V73">
        <f>1/S73</f>
        <v>-81.718750000000014</v>
      </c>
    </row>
    <row r="74" spans="1:26" x14ac:dyDescent="0.25">
      <c r="A74">
        <v>63</v>
      </c>
      <c r="B74" t="s">
        <v>60</v>
      </c>
      <c r="C74">
        <v>2022</v>
      </c>
      <c r="D74" t="s">
        <v>67</v>
      </c>
      <c r="E74" t="s">
        <v>83</v>
      </c>
      <c r="J74">
        <v>3138</v>
      </c>
      <c r="K74">
        <v>1500</v>
      </c>
      <c r="L74">
        <f>J74+K74</f>
        <v>4638</v>
      </c>
      <c r="W74">
        <v>0.74</v>
      </c>
      <c r="X74">
        <v>0.01</v>
      </c>
    </row>
    <row r="75" spans="1:26" x14ac:dyDescent="0.25">
      <c r="A75">
        <v>63</v>
      </c>
      <c r="B75" t="s">
        <v>60</v>
      </c>
      <c r="C75">
        <v>2022</v>
      </c>
      <c r="D75" t="s">
        <v>67</v>
      </c>
      <c r="E75" t="s">
        <v>84</v>
      </c>
      <c r="F75">
        <v>808</v>
      </c>
      <c r="G75">
        <f>3138-29</f>
        <v>3109</v>
      </c>
      <c r="H75">
        <v>245</v>
      </c>
      <c r="I75">
        <f>1500-60</f>
        <v>1440</v>
      </c>
      <c r="J75">
        <v>3138</v>
      </c>
      <c r="K75">
        <v>1500</v>
      </c>
      <c r="L75">
        <f>J75+K75</f>
        <v>4638</v>
      </c>
      <c r="M75">
        <v>0.99</v>
      </c>
      <c r="N75">
        <v>0.98699999999999999</v>
      </c>
      <c r="O75">
        <v>0.99099999999999999</v>
      </c>
      <c r="P75">
        <f>(F75/J75)/(H75/K75)</f>
        <v>1.5764623248917158</v>
      </c>
      <c r="Q75">
        <f>EXP(LN(P75)-1.96*(SQRT(1/F75+1/H75-1/J75-1/K75)))</f>
        <v>1.3856254703116166</v>
      </c>
      <c r="R75">
        <f>EXP(LN(P75)+1.96*(SQRT(1/F75+1/H75-1/J75-1/K75)))</f>
        <v>1.7935824037963761</v>
      </c>
      <c r="S75">
        <f>(H75/K75)-(F75/J75)</f>
        <v>-9.4155513065646901E-2</v>
      </c>
      <c r="T75">
        <f>S75-(1.96*SQRT(((H75/K75*(1-H75/K75)/K75)+F75/J75*(1-F75/J75)/J75)))</f>
        <v>-0.11832244159245339</v>
      </c>
      <c r="U75">
        <f>S75+(1.96*SQRT(((H75/K75*(1-H75/K75)/K75)+F75/J75*(1-F75/J75)/J75)))</f>
        <v>-6.9988584538840409E-2</v>
      </c>
      <c r="V75">
        <f>1/S75</f>
        <v>-10.620727001963042</v>
      </c>
    </row>
    <row r="76" spans="1:26" x14ac:dyDescent="0.25">
      <c r="A76">
        <v>63</v>
      </c>
      <c r="B76" t="s">
        <v>60</v>
      </c>
      <c r="C76">
        <v>2022</v>
      </c>
      <c r="D76" t="s">
        <v>67</v>
      </c>
      <c r="E76" t="s">
        <v>85</v>
      </c>
      <c r="F76">
        <v>740</v>
      </c>
      <c r="G76">
        <f>J76-F76</f>
        <v>1235</v>
      </c>
      <c r="H76">
        <v>652</v>
      </c>
      <c r="I76">
        <f>K76-H76</f>
        <v>224</v>
      </c>
      <c r="J76">
        <v>1975</v>
      </c>
      <c r="K76">
        <v>876</v>
      </c>
      <c r="L76">
        <v>2851</v>
      </c>
      <c r="M76">
        <f>(F76/G76)/(H76/I76)</f>
        <v>0.2058567844812598</v>
      </c>
      <c r="N76">
        <f>EXP(LN(M76)-1.96*SQRT(1/F76+1/G76+1/H76+1/I76))</f>
        <v>0.17245535402783443</v>
      </c>
      <c r="O76">
        <f>EXP(LN(M76)+1.96*SQRT(1/F76+1/G76+1/H76+1/I76))</f>
        <v>0.24572745772870674</v>
      </c>
      <c r="P76">
        <f>(F76/J76)/(H76/K76)</f>
        <v>0.50340917915663586</v>
      </c>
      <c r="Q76">
        <f>EXP(LN(P76)-1.96*(SQRT(1/F76+1/H76-1/J76-1/K76)))</f>
        <v>0.4698728974742461</v>
      </c>
      <c r="R76">
        <f>EXP(LN(P76)+1.96*(SQRT(1/F76+1/H76-1/J76-1/K76)))</f>
        <v>0.53933904896706242</v>
      </c>
      <c r="S76">
        <f>(H76/K76)-(F76/J76)</f>
        <v>0.36960869313912492</v>
      </c>
      <c r="T76">
        <f>S76-1.96*SQRT(((H76/K76*(1-H76/K76))/K76+(F76/J76*(1-F76/J76))/J76))</f>
        <v>0.33368704539002114</v>
      </c>
      <c r="U76">
        <f>S76+(1.96*SQRT(((H76/K76*(1-H76/K76)/K76)+F76/J76*(1-F76/J76)/J76)))</f>
        <v>0.4055303408882287</v>
      </c>
      <c r="V76">
        <f>1/S76</f>
        <v>2.7055640696837955</v>
      </c>
    </row>
    <row r="77" spans="1:26" x14ac:dyDescent="0.25">
      <c r="A77">
        <v>64</v>
      </c>
      <c r="B77" t="s">
        <v>60</v>
      </c>
      <c r="C77">
        <v>2021</v>
      </c>
      <c r="D77" t="s">
        <v>131</v>
      </c>
      <c r="E77" t="s">
        <v>132</v>
      </c>
      <c r="J77">
        <v>14</v>
      </c>
      <c r="K77">
        <f>L77-J77</f>
        <v>298</v>
      </c>
      <c r="L77">
        <v>312</v>
      </c>
      <c r="Y77">
        <v>2</v>
      </c>
      <c r="Z77">
        <v>1</v>
      </c>
    </row>
    <row r="78" spans="1:26" x14ac:dyDescent="0.25">
      <c r="A78">
        <v>64</v>
      </c>
      <c r="B78" t="s">
        <v>60</v>
      </c>
      <c r="C78">
        <v>2021</v>
      </c>
      <c r="D78" t="s">
        <v>131</v>
      </c>
      <c r="E78" t="s">
        <v>133</v>
      </c>
      <c r="F78">
        <v>3</v>
      </c>
      <c r="G78">
        <f>J78-F78</f>
        <v>11</v>
      </c>
      <c r="H78">
        <v>4</v>
      </c>
      <c r="I78">
        <f>K78-H78</f>
        <v>294</v>
      </c>
      <c r="J78">
        <v>14</v>
      </c>
      <c r="K78">
        <f>L78-J78</f>
        <v>298</v>
      </c>
      <c r="L78">
        <v>312</v>
      </c>
      <c r="M78">
        <f>(F78/G78)/(H78/I78)</f>
        <v>20.045454545454543</v>
      </c>
      <c r="N78">
        <f>EXP(LN(M78)-1.96*SQRT(1/F78+1/G78+1/H78+1/I78))</f>
        <v>3.9930191771734345</v>
      </c>
      <c r="O78">
        <f>EXP(LN(M78)+1.96*SQRT(1/F78+1/G78+1/H78+1/I78))</f>
        <v>100.63068322610047</v>
      </c>
      <c r="P78">
        <f>(F78/J78)/(H78/K78)</f>
        <v>15.964285714285714</v>
      </c>
      <c r="Q78">
        <f>EXP(LN(P78)-1.96*(SQRT(1/F78+1/H78-1/J78-1/K78)))</f>
        <v>3.9457009628891533</v>
      </c>
      <c r="R78">
        <f>EXP(LN(P78)+1.96*(SQRT(1/F78+1/H78-1/J78-1/K78)))</f>
        <v>64.591417536298167</v>
      </c>
      <c r="S78">
        <f>(H78/K78)-(F78/J78)</f>
        <v>-0.20086289549376796</v>
      </c>
      <c r="T78">
        <f>S78-1.96*SQRT(((H78/K78*(1-H78/K78))/K78+(F78/J78*(1-F78/J78))/J78))</f>
        <v>-0.41620150002838363</v>
      </c>
      <c r="U78">
        <f>S78+(1.96*SQRT(((H78/K78*(1-H78/K78)/K78)+F78/J78*(1-F78/J78)/J78)))</f>
        <v>1.447570904084769E-2</v>
      </c>
      <c r="V78">
        <f>1/S78</f>
        <v>-4.9785202863961819</v>
      </c>
    </row>
    <row r="79" spans="1:26" x14ac:dyDescent="0.25">
      <c r="A79">
        <v>64</v>
      </c>
      <c r="B79" t="s">
        <v>60</v>
      </c>
      <c r="C79">
        <v>2021</v>
      </c>
      <c r="D79" t="s">
        <v>131</v>
      </c>
      <c r="E79" t="s">
        <v>134</v>
      </c>
      <c r="F79">
        <f>0.154*14</f>
        <v>2.1560000000000001</v>
      </c>
      <c r="G79">
        <f>J79-F79</f>
        <v>11.843999999999999</v>
      </c>
      <c r="H79">
        <f>0.018*298</f>
        <v>5.3639999999999999</v>
      </c>
      <c r="I79">
        <f>K79-H79</f>
        <v>292.63600000000002</v>
      </c>
      <c r="J79">
        <v>14</v>
      </c>
      <c r="K79">
        <f>L79-J79</f>
        <v>298</v>
      </c>
      <c r="L79">
        <v>312</v>
      </c>
      <c r="M79">
        <f>(F79/G79)/(H79/I79)</f>
        <v>9.9309167323351737</v>
      </c>
      <c r="N79">
        <f>EXP(LN(M79)-1.96*SQRT(1/F79+1/G79+1/H79+1/I79))</f>
        <v>1.8436829085726094</v>
      </c>
      <c r="O79">
        <f>EXP(LN(M79)+1.96*SQRT(1/F79+1/G79+1/H79+1/I79))</f>
        <v>53.492445303910394</v>
      </c>
      <c r="P79">
        <f>(F79/J79)/(H79/K79)</f>
        <v>8.5555555555555554</v>
      </c>
      <c r="Q79">
        <f>EXP(LN(P79)-1.96*(SQRT(1/F79+1/H79-1/J79-1/K79)))</f>
        <v>1.9342807913672986</v>
      </c>
      <c r="R79">
        <f>EXP(LN(P79)+1.96*(SQRT(1/F79+1/H79-1/J79-1/K79)))</f>
        <v>37.842246684596347</v>
      </c>
      <c r="S79">
        <f>(H79/K79)-(F79/J79)</f>
        <v>-0.13600000000000001</v>
      </c>
      <c r="T79">
        <f>S79-1.96*SQRT(((H79/K79*(1-H79/K79))/K79+(F79/J79*(1-F79/J79))/J79))</f>
        <v>-0.32567813732706719</v>
      </c>
      <c r="U79">
        <f>S79+(1.96*SQRT(((H79/K79*(1-H79/K79)/K79)+F79/J79*(1-F79/J79)/J79)))</f>
        <v>5.3678137327067194E-2</v>
      </c>
      <c r="V79">
        <f>1/S79</f>
        <v>-7.3529411764705879</v>
      </c>
    </row>
    <row r="80" spans="1:26" x14ac:dyDescent="0.25">
      <c r="A80">
        <v>64</v>
      </c>
      <c r="B80" t="s">
        <v>60</v>
      </c>
      <c r="C80">
        <v>2021</v>
      </c>
      <c r="D80" t="s">
        <v>131</v>
      </c>
      <c r="E80" t="s">
        <v>73</v>
      </c>
      <c r="F80">
        <f>0.714*14</f>
        <v>9.9959999999999987</v>
      </c>
      <c r="G80">
        <f>J80-F80</f>
        <v>4.0040000000000013</v>
      </c>
      <c r="H80">
        <f>0.924*298</f>
        <v>275.35200000000003</v>
      </c>
      <c r="I80">
        <f>K80-H80</f>
        <v>22.647999999999968</v>
      </c>
      <c r="J80">
        <v>14</v>
      </c>
      <c r="K80">
        <f>L80-J80</f>
        <v>298</v>
      </c>
      <c r="L80">
        <v>312</v>
      </c>
      <c r="M80">
        <f>(F80/G80)/(H80/I80)</f>
        <v>0.20534011443102312</v>
      </c>
      <c r="N80">
        <f>EXP(LN(M80)-1.96*SQRT(1/F80+1/G80+1/H80+1/I80))</f>
        <v>5.966923772055862E-2</v>
      </c>
      <c r="O80">
        <f>EXP(LN(M80)+1.96*SQRT(1/F80+1/G80+1/H80+1/I80))</f>
        <v>0.70663819759202617</v>
      </c>
      <c r="P80">
        <f>(F80/J80)/(H80/K80)</f>
        <v>0.77272727272727249</v>
      </c>
      <c r="Q80">
        <f>EXP(LN(P80)-1.96*(SQRT(1/F80+1/H80-1/J80-1/K80)))</f>
        <v>0.55379716758826592</v>
      </c>
      <c r="R80">
        <f>EXP(LN(P80)+1.96*(SQRT(1/F80+1/H80-1/J80-1/K80)))</f>
        <v>1.0782060165039753</v>
      </c>
      <c r="S80">
        <f>(H80/K80)-(F80/J80)</f>
        <v>0.2100000000000003</v>
      </c>
      <c r="T80">
        <f>S80-1.96*SQRT(((H80/K80*(1-H80/K80))/K80+(F80/J80*(1-F80/J80))/J80))</f>
        <v>-2.8618638222965342E-2</v>
      </c>
      <c r="U80">
        <f>S80+(1.96*SQRT(((H80/K80*(1-H80/K80)/K80)+F80/J80*(1-F80/J80)/J80)))</f>
        <v>0.44861863822296594</v>
      </c>
      <c r="V80">
        <f>1/S80</f>
        <v>4.7619047619047548</v>
      </c>
    </row>
    <row r="81" spans="1:22" x14ac:dyDescent="0.25">
      <c r="A81">
        <v>64</v>
      </c>
      <c r="B81" t="s">
        <v>60</v>
      </c>
      <c r="C81">
        <v>2021</v>
      </c>
      <c r="D81" t="s">
        <v>131</v>
      </c>
      <c r="E81" t="s">
        <v>136</v>
      </c>
      <c r="F81">
        <f>0.357*14</f>
        <v>4.9979999999999993</v>
      </c>
      <c r="G81">
        <f>J81-F81</f>
        <v>9.0020000000000007</v>
      </c>
      <c r="H81">
        <f>0.034*298</f>
        <v>10.132000000000001</v>
      </c>
      <c r="I81">
        <f>K81-H81</f>
        <v>287.86799999999999</v>
      </c>
      <c r="J81">
        <v>14</v>
      </c>
      <c r="K81">
        <f>L81-J81</f>
        <v>298</v>
      </c>
      <c r="L81">
        <v>312</v>
      </c>
      <c r="M81">
        <f>(F81/G81)/(H81/I81)</f>
        <v>15.774494556765156</v>
      </c>
      <c r="N81">
        <f>EXP(LN(M81)-1.96*SQRT(1/F81+1/G81+1/H81+1/I81))</f>
        <v>4.4740067160416457</v>
      </c>
      <c r="O81">
        <f>EXP(LN(M81)+1.96*SQRT(1/F81+1/G81+1/H81+1/I81))</f>
        <v>55.617859854615666</v>
      </c>
      <c r="P81">
        <f>(F81/J81)/(H81/K81)</f>
        <v>10.499999999999996</v>
      </c>
      <c r="Q81">
        <f>EXP(LN(P81)-1.96*(SQRT(1/F81+1/H81-1/J81-1/K81)))</f>
        <v>4.1526577013834522</v>
      </c>
      <c r="R81">
        <f>EXP(LN(P81)+1.96*(SQRT(1/F81+1/H81-1/J81-1/K81)))</f>
        <v>26.549262647694331</v>
      </c>
      <c r="S81">
        <f>(H81/K81)-(F81/J81)</f>
        <v>-0.32299999999999995</v>
      </c>
      <c r="T81">
        <f>S81-1.96*SQRT(((H81/K81*(1-H81/K81))/K81+(F81/J81*(1-F81/J81))/J81))</f>
        <v>-0.57481778221883117</v>
      </c>
      <c r="U81">
        <f>S81+(1.96*SQRT(((H81/K81*(1-H81/K81)/K81)+F81/J81*(1-F81/J81)/J81)))</f>
        <v>-7.1182217781168677E-2</v>
      </c>
      <c r="V81">
        <f>1/S81</f>
        <v>-3.0959752321981431</v>
      </c>
    </row>
    <row r="82" spans="1:22" x14ac:dyDescent="0.25">
      <c r="A82">
        <v>64</v>
      </c>
      <c r="B82" t="s">
        <v>60</v>
      </c>
      <c r="C82">
        <v>2021</v>
      </c>
      <c r="D82" t="s">
        <v>131</v>
      </c>
      <c r="E82" t="s">
        <v>137</v>
      </c>
      <c r="F82">
        <f>0.462*14</f>
        <v>6.468</v>
      </c>
      <c r="G82">
        <f>J82-F82</f>
        <v>7.532</v>
      </c>
      <c r="H82">
        <f>0.083*298</f>
        <v>24.734000000000002</v>
      </c>
      <c r="I82">
        <f>K82-H82</f>
        <v>273.26600000000002</v>
      </c>
      <c r="J82">
        <v>14</v>
      </c>
      <c r="K82">
        <f>L82-J82</f>
        <v>298</v>
      </c>
      <c r="L82">
        <v>312</v>
      </c>
      <c r="M82">
        <f>(F82/G82)/(H82/I82)</f>
        <v>9.4874815246114572</v>
      </c>
      <c r="N82">
        <f>EXP(LN(M82)-1.96*SQRT(1/F82+1/G82+1/H82+1/I82))</f>
        <v>3.0695916455418528</v>
      </c>
      <c r="O82">
        <f>EXP(LN(M82)+1.96*SQRT(1/F82+1/G82+1/H82+1/I82))</f>
        <v>29.323869776155359</v>
      </c>
      <c r="P82">
        <f>(F82/J82)/(H82/K82)</f>
        <v>5.5662650602409638</v>
      </c>
      <c r="Q82">
        <f>EXP(LN(P82)-1.96*(SQRT(1/F82+1/H82-1/J82-1/K82)))</f>
        <v>2.8208674434201151</v>
      </c>
      <c r="R82">
        <f>EXP(LN(P82)+1.96*(SQRT(1/F82+1/H82-1/J82-1/K82)))</f>
        <v>10.983609596094357</v>
      </c>
      <c r="S82">
        <f>(H82/K82)-(F82/J82)</f>
        <v>-0.379</v>
      </c>
      <c r="T82">
        <f>S82-1.96*SQRT(((H82/K82*(1-H82/K82))/K82+(F82/J82*(1-F82/J82))/J82))</f>
        <v>-0.64203029149566659</v>
      </c>
      <c r="U82">
        <f>S82+(1.96*SQRT(((H82/K82*(1-H82/K82)/K82)+F82/J82*(1-F82/J82)/J82)))</f>
        <v>-0.11596970850433347</v>
      </c>
      <c r="V82">
        <f>1/S82</f>
        <v>-2.6385224274406331</v>
      </c>
    </row>
    <row r="83" spans="1:22" x14ac:dyDescent="0.25">
      <c r="A83">
        <v>64</v>
      </c>
      <c r="B83" t="s">
        <v>60</v>
      </c>
      <c r="C83">
        <v>2021</v>
      </c>
      <c r="D83" t="s">
        <v>131</v>
      </c>
      <c r="E83" t="s">
        <v>138</v>
      </c>
      <c r="F83">
        <f>0.857*14</f>
        <v>11.997999999999999</v>
      </c>
      <c r="G83">
        <f>J83-F83</f>
        <v>2.0020000000000007</v>
      </c>
      <c r="H83">
        <f>0.986*298</f>
        <v>293.82799999999997</v>
      </c>
      <c r="I83">
        <f>K83-H83</f>
        <v>4.1720000000000255</v>
      </c>
      <c r="J83">
        <v>14</v>
      </c>
      <c r="K83">
        <f>L83-J83</f>
        <v>298</v>
      </c>
      <c r="L83">
        <v>312</v>
      </c>
      <c r="M83">
        <f>(F83/G83)/(H83/I83)</f>
        <v>8.5093405580221493E-2</v>
      </c>
      <c r="N83">
        <f>EXP(LN(M83)-1.96*SQRT(1/F83+1/G83+1/H83+1/I83))</f>
        <v>1.4331682017756E-2</v>
      </c>
      <c r="O83">
        <f>EXP(LN(M83)+1.96*SQRT(1/F83+1/G83+1/H83+1/I83))</f>
        <v>0.50523641707017297</v>
      </c>
      <c r="P83">
        <f>(F83/J83)/(H83/K83)</f>
        <v>0.86916835699797168</v>
      </c>
      <c r="Q83">
        <f>EXP(LN(P83)-1.96*(SQRT(1/F83+1/H83-1/J83-1/K83)))</f>
        <v>0.70143714654183564</v>
      </c>
      <c r="R83">
        <f>EXP(LN(P83)+1.96*(SQRT(1/F83+1/H83-1/J83-1/K83)))</f>
        <v>1.0770083057776814</v>
      </c>
      <c r="S83">
        <f>(H83/K83)-(F83/J83)</f>
        <v>0.12899999999999989</v>
      </c>
      <c r="T83">
        <f>S83-1.96*SQRT(((H83/K83*(1-H83/K83))/K83+(F83/J83*(1-F83/J83))/J83))</f>
        <v>-5.4863932195567233E-2</v>
      </c>
      <c r="U83">
        <f>S83+(1.96*SQRT(((H83/K83*(1-H83/K83)/K83)+F83/J83*(1-F83/J83)/J83)))</f>
        <v>0.31286393219556702</v>
      </c>
      <c r="V83">
        <f>1/S83</f>
        <v>7.7519379844961307</v>
      </c>
    </row>
    <row r="84" spans="1:22" x14ac:dyDescent="0.25">
      <c r="A84">
        <v>64</v>
      </c>
      <c r="B84" t="s">
        <v>60</v>
      </c>
      <c r="C84">
        <v>2021</v>
      </c>
      <c r="D84" t="s">
        <v>131</v>
      </c>
      <c r="E84" t="s">
        <v>139</v>
      </c>
      <c r="F84">
        <f>0.357*14</f>
        <v>4.9979999999999993</v>
      </c>
      <c r="G84">
        <f>J84-F84</f>
        <v>9.0020000000000007</v>
      </c>
      <c r="H84">
        <f>0.944*298</f>
        <v>281.31200000000001</v>
      </c>
      <c r="I84">
        <f>K84-H84</f>
        <v>16.687999999999988</v>
      </c>
      <c r="J84">
        <v>14</v>
      </c>
      <c r="K84">
        <f>L84-J84</f>
        <v>298</v>
      </c>
      <c r="L84">
        <v>312</v>
      </c>
      <c r="M84">
        <f>(F84/G84)/(H84/I84)</f>
        <v>3.2936183672931413E-2</v>
      </c>
      <c r="N84">
        <f>EXP(LN(M84)-1.96*SQRT(1/F84+1/G84+1/H84+1/I84))</f>
        <v>9.9233532829904134E-3</v>
      </c>
      <c r="O84">
        <f>EXP(LN(M84)+1.96*SQRT(1/F84+1/G84+1/H84+1/I84))</f>
        <v>0.10931709917014777</v>
      </c>
      <c r="P84">
        <f>(F84/J84)/(H84/K84)</f>
        <v>0.3781779661016948</v>
      </c>
      <c r="Q84">
        <f>EXP(LN(P84)-1.96*(SQRT(1/F84+1/H84-1/J84-1/K84)))</f>
        <v>0.18713084586233664</v>
      </c>
      <c r="R84">
        <f>EXP(LN(P84)+1.96*(SQRT(1/F84+1/H84-1/J84-1/K84)))</f>
        <v>0.76427044074832362</v>
      </c>
      <c r="S84">
        <f>(H84/K84)-(F84/J84)</f>
        <v>0.58700000000000019</v>
      </c>
      <c r="T84">
        <f>S84-1.96*SQRT(((H84/K84*(1-H84/K84))/K84+(F84/J84*(1-F84/J84))/J84))</f>
        <v>0.33467029748666194</v>
      </c>
      <c r="U84">
        <f>S84+(1.96*SQRT(((H84/K84*(1-H84/K84)/K84)+F84/J84*(1-F84/J84)/J84)))</f>
        <v>0.83932970251333838</v>
      </c>
      <c r="V84">
        <f>1/S84</f>
        <v>1.7035775127768309</v>
      </c>
    </row>
    <row r="85" spans="1:22" x14ac:dyDescent="0.25">
      <c r="A85">
        <v>64</v>
      </c>
      <c r="B85" t="s">
        <v>60</v>
      </c>
      <c r="C85">
        <v>2021</v>
      </c>
      <c r="D85" t="s">
        <v>131</v>
      </c>
      <c r="E85" t="s">
        <v>140</v>
      </c>
      <c r="F85">
        <f>0.429*14</f>
        <v>6.0060000000000002</v>
      </c>
      <c r="G85">
        <f>J85-F85</f>
        <v>7.9939999999999998</v>
      </c>
      <c r="H85">
        <f>0.09*298</f>
        <v>26.82</v>
      </c>
      <c r="I85">
        <f>K85-H85</f>
        <v>271.18</v>
      </c>
      <c r="J85">
        <v>14</v>
      </c>
      <c r="K85">
        <f>L85-J85</f>
        <v>298</v>
      </c>
      <c r="L85">
        <v>312</v>
      </c>
      <c r="M85">
        <f>(F85/G85)/(H85/I85)</f>
        <v>7.5966141272621144</v>
      </c>
      <c r="N85">
        <f>EXP(LN(M85)-1.96*SQRT(1/F85+1/G85+1/H85+1/I85))</f>
        <v>2.4532099026899195</v>
      </c>
      <c r="O85">
        <f>EXP(LN(M85)+1.96*SQRT(1/F85+1/G85+1/H85+1/I85))</f>
        <v>23.523688753759519</v>
      </c>
      <c r="P85">
        <f>(F85/J85)/(H85/K85)</f>
        <v>4.7666666666666666</v>
      </c>
      <c r="Q85">
        <f>EXP(LN(P85)-1.96*(SQRT(1/F85+1/H85-1/J85-1/K85)))</f>
        <v>2.3576807176112013</v>
      </c>
      <c r="R85">
        <f>EXP(LN(P85)+1.96*(SQRT(1/F85+1/H85-1/J85-1/K85)))</f>
        <v>9.6370602437348278</v>
      </c>
      <c r="S85">
        <f>(H85/K85)-(F85/J85)</f>
        <v>-0.33899999999999997</v>
      </c>
      <c r="T85">
        <f>S85-1.96*SQRT(((H85/K85*(1-H85/K85))/K85+(F85/J85*(1-F85/J85))/J85))</f>
        <v>-0.60029015487813853</v>
      </c>
      <c r="U85">
        <f>S85+(1.96*SQRT(((H85/K85*(1-H85/K85)/K85)+F85/J85*(1-F85/J85)/J85)))</f>
        <v>-7.7709845121861465E-2</v>
      </c>
      <c r="V85">
        <f>1/S85</f>
        <v>-2.9498525073746316</v>
      </c>
    </row>
    <row r="86" spans="1:22" x14ac:dyDescent="0.25">
      <c r="A86">
        <v>64</v>
      </c>
      <c r="B86" t="s">
        <v>60</v>
      </c>
      <c r="C86">
        <v>2021</v>
      </c>
      <c r="D86" t="s">
        <v>131</v>
      </c>
      <c r="E86" t="s">
        <v>141</v>
      </c>
      <c r="F86">
        <f>0.643*14</f>
        <v>9.0020000000000007</v>
      </c>
      <c r="G86">
        <f>J86-F86</f>
        <v>4.9979999999999993</v>
      </c>
      <c r="H86">
        <f>0.175*298</f>
        <v>52.15</v>
      </c>
      <c r="I86">
        <f>K86-H86</f>
        <v>245.85</v>
      </c>
      <c r="J86">
        <v>14</v>
      </c>
      <c r="K86">
        <f>L86-J86</f>
        <v>298</v>
      </c>
      <c r="L86">
        <v>312</v>
      </c>
      <c r="M86">
        <f>(F86/G86)/(H86/I86)</f>
        <v>8.4909963985594263</v>
      </c>
      <c r="N86">
        <f>EXP(LN(M86)-1.96*SQRT(1/F86+1/G86+1/H86+1/I86))</f>
        <v>2.7334777951453555</v>
      </c>
      <c r="O86">
        <f>EXP(LN(M86)+1.96*SQRT(1/F86+1/G86+1/H86+1/I86))</f>
        <v>26.375564479943154</v>
      </c>
      <c r="P86">
        <f>(F86/J86)/(H86/K86)</f>
        <v>3.6742857142857148</v>
      </c>
      <c r="Q86">
        <f>EXP(LN(P86)-1.96*(SQRT(1/F86+1/H86-1/J86-1/K86)))</f>
        <v>2.3156873097613229</v>
      </c>
      <c r="R86">
        <f>EXP(LN(P86)+1.96*(SQRT(1/F86+1/H86-1/J86-1/K86)))</f>
        <v>5.8299648028021389</v>
      </c>
      <c r="S86">
        <f>(H86/K86)-(F86/J86)</f>
        <v>-0.46800000000000003</v>
      </c>
      <c r="T86">
        <f>S86-1.96*SQRT(((H86/K86*(1-H86/K86))/K86+(F86/J86*(1-F86/J86))/J86))</f>
        <v>-0.72265657708441189</v>
      </c>
      <c r="U86">
        <f>S86+(1.96*SQRT(((H86/K86*(1-H86/K86)/K86)+F86/J86*(1-F86/J86)/J86)))</f>
        <v>-0.21334342291558817</v>
      </c>
      <c r="V86">
        <f>1/S86</f>
        <v>-2.1367521367521367</v>
      </c>
    </row>
    <row r="87" spans="1:22" x14ac:dyDescent="0.25">
      <c r="A87">
        <v>64</v>
      </c>
      <c r="B87" t="s">
        <v>60</v>
      </c>
      <c r="C87">
        <v>2021</v>
      </c>
      <c r="D87" t="s">
        <v>131</v>
      </c>
      <c r="E87" t="s">
        <v>142</v>
      </c>
      <c r="F87">
        <f>0.714*14</f>
        <v>9.9959999999999987</v>
      </c>
      <c r="G87">
        <f>J87-F87</f>
        <v>4.0040000000000013</v>
      </c>
      <c r="H87">
        <f>0.141*298</f>
        <v>42.017999999999994</v>
      </c>
      <c r="I87">
        <f>K87-H87</f>
        <v>255.982</v>
      </c>
      <c r="J87">
        <v>14</v>
      </c>
      <c r="K87">
        <f>L87-J87</f>
        <v>298</v>
      </c>
      <c r="L87">
        <v>312</v>
      </c>
      <c r="M87">
        <f>(F87/G87)/(H87/I87)</f>
        <v>15.209195060258887</v>
      </c>
      <c r="N87">
        <f>EXP(LN(M87)-1.96*SQRT(1/F87+1/G87+1/H87+1/I87))</f>
        <v>4.5615488195631233</v>
      </c>
      <c r="O87">
        <f>EXP(LN(M87)+1.96*SQRT(1/F87+1/G87+1/H87+1/I87))</f>
        <v>50.71076152664255</v>
      </c>
      <c r="P87">
        <f>(F87/J87)/(H87/K87)</f>
        <v>5.0638297872340416</v>
      </c>
      <c r="Q87">
        <f>EXP(LN(P87)-1.96*(SQRT(1/F87+1/H87-1/J87-1/K87)))</f>
        <v>3.2805623858774071</v>
      </c>
      <c r="R87">
        <f>EXP(LN(P87)+1.96*(SQRT(1/F87+1/H87-1/J87-1/K87)))</f>
        <v>7.8164561736327256</v>
      </c>
      <c r="S87">
        <f>(H87/K87)-(F87/J87)</f>
        <v>-0.57299999999999984</v>
      </c>
      <c r="T87">
        <f>S87-1.96*SQRT(((H87/K87*(1-H87/K87))/K87+(F87/J87*(1-F87/J87))/J87))</f>
        <v>-0.81298949134711485</v>
      </c>
      <c r="U87">
        <f>S87+(1.96*SQRT(((H87/K87*(1-H87/K87)/K87)+F87/J87*(1-F87/J87)/J87)))</f>
        <v>-0.33301050865288484</v>
      </c>
      <c r="V87">
        <f>1/S87</f>
        <v>-1.7452006980802797</v>
      </c>
    </row>
    <row r="88" spans="1:22" x14ac:dyDescent="0.25">
      <c r="A88">
        <v>64</v>
      </c>
      <c r="B88" t="s">
        <v>60</v>
      </c>
      <c r="C88">
        <v>2021</v>
      </c>
      <c r="D88" t="s">
        <v>131</v>
      </c>
      <c r="E88" t="s">
        <v>143</v>
      </c>
      <c r="F88">
        <f>0.583*14</f>
        <v>8.161999999999999</v>
      </c>
      <c r="G88">
        <f>J88-F88</f>
        <v>5.838000000000001</v>
      </c>
      <c r="H88">
        <f>0.107*298</f>
        <v>31.885999999999999</v>
      </c>
      <c r="I88">
        <f>K88-H88</f>
        <v>266.11399999999998</v>
      </c>
      <c r="J88">
        <v>14</v>
      </c>
      <c r="K88">
        <f>L88-J88</f>
        <v>298</v>
      </c>
      <c r="L88">
        <v>312</v>
      </c>
      <c r="M88">
        <f>(F88/G88)/(H88/I88)</f>
        <v>11.668101033192134</v>
      </c>
      <c r="N88">
        <f>EXP(LN(M88)-1.96*SQRT(1/F88+1/G88+1/H88+1/I88))</f>
        <v>3.7914601906255982</v>
      </c>
      <c r="O88">
        <f>EXP(LN(M88)+1.96*SQRT(1/F88+1/G88+1/H88+1/I88))</f>
        <v>35.908218700910389</v>
      </c>
      <c r="P88">
        <f>(F88/J88)/(H88/K88)</f>
        <v>5.4485981308411215</v>
      </c>
      <c r="Q88">
        <f>EXP(LN(P88)-1.96*(SQRT(1/F88+1/H88-1/J88-1/K88)))</f>
        <v>3.1396966897049783</v>
      </c>
      <c r="R88">
        <f>EXP(LN(P88)+1.96*(SQRT(1/F88+1/H88-1/J88-1/K88)))</f>
        <v>9.4554425237155417</v>
      </c>
      <c r="S88">
        <f>(H88/K88)-(F88/J88)</f>
        <v>-0.47599999999999998</v>
      </c>
      <c r="T88">
        <f>S88-1.96*SQRT(((H88/K88*(1-H88/K88))/K88+(F88/J88*(1-F88/J88))/J88))</f>
        <v>-0.73665577421871364</v>
      </c>
      <c r="U88">
        <f>S88+(1.96*SQRT(((H88/K88*(1-H88/K88)/K88)+F88/J88*(1-F88/J88)/J88)))</f>
        <v>-0.21534422578128631</v>
      </c>
      <c r="V88">
        <f>1/S88</f>
        <v>-2.1008403361344539</v>
      </c>
    </row>
    <row r="89" spans="1:22" x14ac:dyDescent="0.25">
      <c r="A89">
        <v>64</v>
      </c>
      <c r="B89" t="s">
        <v>60</v>
      </c>
      <c r="C89">
        <v>2021</v>
      </c>
      <c r="D89" t="s">
        <v>131</v>
      </c>
      <c r="E89" t="s">
        <v>144</v>
      </c>
      <c r="F89">
        <f>0.455*14</f>
        <v>6.37</v>
      </c>
      <c r="G89">
        <f>J89-F89</f>
        <v>7.63</v>
      </c>
      <c r="H89">
        <f>0.117*298</f>
        <v>34.866</v>
      </c>
      <c r="I89">
        <f>K89-H89</f>
        <v>263.13400000000001</v>
      </c>
      <c r="J89">
        <v>14</v>
      </c>
      <c r="K89">
        <f>L89-J89</f>
        <v>298</v>
      </c>
      <c r="L89">
        <v>312</v>
      </c>
      <c r="M89">
        <f>(F89/G89)/(H89/I89)</f>
        <v>6.3007135575942925</v>
      </c>
      <c r="N89">
        <f>EXP(LN(M89)-1.96*SQRT(1/F89+1/G89+1/H89+1/I89))</f>
        <v>2.0771635804328517</v>
      </c>
      <c r="O89">
        <f>EXP(LN(M89)+1.96*SQRT(1/F89+1/G89+1/H89+1/I89))</f>
        <v>19.112116016678769</v>
      </c>
      <c r="P89">
        <f>(F89/J89)/(H89/K89)</f>
        <v>3.8888888888888893</v>
      </c>
      <c r="Q89">
        <f>EXP(LN(P89)-1.96*(SQRT(1/F89+1/H89-1/J89-1/K89)))</f>
        <v>2.024781182775095</v>
      </c>
      <c r="R89">
        <f>EXP(LN(P89)+1.96*(SQRT(1/F89+1/H89-1/J89-1/K89)))</f>
        <v>7.4691808274293479</v>
      </c>
      <c r="S89">
        <f>(H89/K89)-(F89/J89)</f>
        <v>-0.33800000000000002</v>
      </c>
      <c r="T89">
        <f>S89-1.96*SQRT(((H89/K89*(1-H89/K89))/K89+(F89/J89*(1-F89/J89))/J89))</f>
        <v>-0.60139352787959521</v>
      </c>
      <c r="U89">
        <f>S89+(1.96*SQRT(((H89/K89*(1-H89/K89)/K89)+F89/J89*(1-F89/J89)/J89)))</f>
        <v>-7.4606472120404888E-2</v>
      </c>
      <c r="V89">
        <f>1/S89</f>
        <v>-2.9585798816568047</v>
      </c>
    </row>
    <row r="90" spans="1:22" x14ac:dyDescent="0.25">
      <c r="A90">
        <v>64</v>
      </c>
      <c r="B90" t="s">
        <v>60</v>
      </c>
      <c r="C90">
        <v>2021</v>
      </c>
      <c r="D90" t="s">
        <v>131</v>
      </c>
      <c r="E90" t="s">
        <v>145</v>
      </c>
      <c r="F90">
        <f>0.615*14</f>
        <v>8.61</v>
      </c>
      <c r="G90">
        <f>J90-F90</f>
        <v>5.3900000000000006</v>
      </c>
      <c r="H90">
        <f>0.126*298</f>
        <v>37.548000000000002</v>
      </c>
      <c r="I90">
        <f>K90-H90</f>
        <v>260.452</v>
      </c>
      <c r="J90">
        <v>14</v>
      </c>
      <c r="K90">
        <f>L90-J90</f>
        <v>298</v>
      </c>
      <c r="L90">
        <v>312</v>
      </c>
      <c r="M90">
        <f>(F90/G90)/(H90/I90)</f>
        <v>11.080395794681507</v>
      </c>
      <c r="N90">
        <f>EXP(LN(M90)-1.96*SQRT(1/F90+1/G90+1/H90+1/I90))</f>
        <v>3.5808136481095829</v>
      </c>
      <c r="O90">
        <f>EXP(LN(M90)+1.96*SQRT(1/F90+1/G90+1/H90+1/I90))</f>
        <v>34.286947892865719</v>
      </c>
      <c r="P90">
        <f>(F90/J90)/(H90/K90)</f>
        <v>4.8809523809523805</v>
      </c>
      <c r="Q90">
        <f>EXP(LN(P90)-1.96*(SQRT(1/F90+1/H90-1/J90-1/K90)))</f>
        <v>2.9278365097058203</v>
      </c>
      <c r="R90">
        <f>EXP(LN(P90)+1.96*(SQRT(1/F90+1/H90-1/J90-1/K90)))</f>
        <v>8.1369625886379975</v>
      </c>
      <c r="S90">
        <f>(H90/K90)-(F90/J90)</f>
        <v>-0.48899999999999999</v>
      </c>
      <c r="T90">
        <f>S90-1.96*SQRT(((H90/K90*(1-H90/K90))/K90+(F90/J90*(1-F90/J90))/J90))</f>
        <v>-0.74666392604820953</v>
      </c>
      <c r="U90">
        <f>S90+(1.96*SQRT(((H90/K90*(1-H90/K90)/K90)+F90/J90*(1-F90/J90)/J90)))</f>
        <v>-0.23133607395179046</v>
      </c>
      <c r="V90">
        <f>1/S90</f>
        <v>-2.0449897750511248</v>
      </c>
    </row>
    <row r="91" spans="1:22" x14ac:dyDescent="0.25">
      <c r="A91">
        <v>76</v>
      </c>
      <c r="B91" t="s">
        <v>86</v>
      </c>
      <c r="C91">
        <v>2022</v>
      </c>
      <c r="D91" t="s">
        <v>92</v>
      </c>
      <c r="E91" t="s">
        <v>93</v>
      </c>
      <c r="F91">
        <v>74</v>
      </c>
      <c r="G91">
        <f>J91-F91</f>
        <v>53</v>
      </c>
      <c r="H91">
        <v>15</v>
      </c>
      <c r="I91">
        <f>K91-H91</f>
        <v>134</v>
      </c>
      <c r="J91">
        <v>127</v>
      </c>
      <c r="K91">
        <v>149</v>
      </c>
      <c r="L91">
        <f>J91+K91</f>
        <v>276</v>
      </c>
      <c r="M91">
        <f>(F91/G91)/(H91/I91)</f>
        <v>12.472955974842765</v>
      </c>
      <c r="N91">
        <f>EXP(LN(M91)-1.96*SQRT(1/F91+1/G91+1/H91+1/I91))</f>
        <v>6.5790960247215073</v>
      </c>
      <c r="O91">
        <f>EXP(LN(M91)+1.96*SQRT(1/F91+1/G91+1/H91+1/I91))</f>
        <v>23.64680955647723</v>
      </c>
      <c r="P91">
        <f>(F91/J91)/(H91/K91)</f>
        <v>5.7879265091863514</v>
      </c>
      <c r="Q91">
        <f>EXP(LN(P91)-1.96*(SQRT(1/F91+1/H91-1/J91-1/K91)))</f>
        <v>3.5035937953011178</v>
      </c>
      <c r="R91">
        <f>EXP(LN(P91)+1.96*(SQRT(1/F91+1/H91-1/J91-1/K91)))</f>
        <v>9.5616373452513557</v>
      </c>
      <c r="S91">
        <f>(H91/K91)-(F91/J91)</f>
        <v>-0.48200602441473339</v>
      </c>
      <c r="T91">
        <f>S91-(1.96*SQRT(((H91/K91*(1-H91/K91)/K91)+F91/J91*(1-F91/J91)/J91)))</f>
        <v>-0.58044229520102031</v>
      </c>
      <c r="U91">
        <f>S91+(1.96*SQRT(((H91/K91*(1-H91/K91)/K91)+F91/J91*(1-F91/J91)/J91)))</f>
        <v>-0.38356975362844647</v>
      </c>
      <c r="V91">
        <f>1/S91</f>
        <v>-2.0746628659138251</v>
      </c>
    </row>
    <row r="92" spans="1:22" x14ac:dyDescent="0.25">
      <c r="A92">
        <v>76</v>
      </c>
      <c r="B92" t="s">
        <v>86</v>
      </c>
      <c r="C92">
        <v>2022</v>
      </c>
      <c r="D92" t="s">
        <v>92</v>
      </c>
      <c r="E92" t="s">
        <v>94</v>
      </c>
      <c r="F92">
        <v>75</v>
      </c>
      <c r="G92">
        <f>J92-F92</f>
        <v>52</v>
      </c>
      <c r="H92">
        <v>12</v>
      </c>
      <c r="I92">
        <f>K92-H92</f>
        <v>137</v>
      </c>
      <c r="J92">
        <v>127</v>
      </c>
      <c r="K92">
        <v>149</v>
      </c>
      <c r="L92">
        <f>J92+K92</f>
        <v>276</v>
      </c>
      <c r="M92">
        <f>(F92/G92)/(H92/I92)</f>
        <v>16.466346153846153</v>
      </c>
      <c r="N92">
        <f>EXP(LN(M92)-1.96*SQRT(1/F92+1/G92+1/H92+1/I92))</f>
        <v>8.2760902109160686</v>
      </c>
      <c r="O92">
        <f>EXP(LN(M92)+1.96*SQRT(1/F92+1/G92+1/H92+1/I92))</f>
        <v>32.761913989368168</v>
      </c>
      <c r="P92">
        <f>(F92/J92)/(H92/K92)</f>
        <v>7.3326771653543306</v>
      </c>
      <c r="Q92">
        <f>EXP(LN(P92)-1.96*(SQRT(1/F92+1/H92-1/J92-1/K92)))</f>
        <v>4.1820607725555732</v>
      </c>
      <c r="R92">
        <f>EXP(LN(P92)+1.96*(SQRT(1/F92+1/H92-1/J92-1/K92)))</f>
        <v>12.856856304948478</v>
      </c>
      <c r="S92">
        <f>(H92/K92)-(F92/J92)</f>
        <v>-0.51001426835068431</v>
      </c>
      <c r="T92">
        <f>S92-(1.96*SQRT(((H92/K92*(1-H92/K92)/K92)+F92/J92*(1-F92/J92)/J92)))</f>
        <v>-0.60605277840405281</v>
      </c>
      <c r="U92">
        <f>S92+(1.96*SQRT(((H92/K92*(1-H92/K92)/K92)+F92/J92*(1-F92/J92)/J92)))</f>
        <v>-0.41397575829731581</v>
      </c>
      <c r="V92">
        <f>1/S92</f>
        <v>-1.960729458087245</v>
      </c>
    </row>
    <row r="93" spans="1:22" x14ac:dyDescent="0.25">
      <c r="A93">
        <v>76</v>
      </c>
      <c r="B93" t="s">
        <v>86</v>
      </c>
      <c r="C93">
        <v>2022</v>
      </c>
      <c r="D93" t="s">
        <v>92</v>
      </c>
      <c r="E93" t="s">
        <v>95</v>
      </c>
      <c r="F93">
        <v>44</v>
      </c>
      <c r="G93">
        <f>J93-F93</f>
        <v>83</v>
      </c>
      <c r="H93">
        <v>1</v>
      </c>
      <c r="I93">
        <f>K93-H93</f>
        <v>148</v>
      </c>
      <c r="J93">
        <v>127</v>
      </c>
      <c r="K93">
        <v>149</v>
      </c>
      <c r="L93">
        <f>J93+K93</f>
        <v>276</v>
      </c>
      <c r="M93">
        <f>(F93/G93)/(H93/I93)</f>
        <v>78.4578313253012</v>
      </c>
      <c r="N93">
        <f>EXP(LN(M93)-1.96*SQRT(1/F93+1/G93+1/H93+1/I93))</f>
        <v>10.615060284289923</v>
      </c>
      <c r="O93">
        <f>EXP(LN(M93)+1.96*SQRT(1/F93+1/G93+1/H93+1/I93))</f>
        <v>579.89602804042704</v>
      </c>
      <c r="P93">
        <f>(F93/J93)/(H93/K93)</f>
        <v>51.622047244094489</v>
      </c>
      <c r="Q93">
        <f>EXP(LN(P93)-1.96*(SQRT(1/F93+1/H93-1/J93-1/K93)))</f>
        <v>7.2137290146645485</v>
      </c>
      <c r="R93">
        <f>EXP(LN(P93)+1.96*(SQRT(1/F93+1/H93-1/J93-1/K93)))</f>
        <v>369.41168101189641</v>
      </c>
      <c r="S93">
        <f>(H93/K93)-(F93/J93)</f>
        <v>-0.33974528351741268</v>
      </c>
      <c r="T93">
        <f>S93-(1.96*SQRT(((H93/K93*(1-H93/K93)/K93)+F93/J93*(1-F93/J93)/J93)))</f>
        <v>-0.42353638205996802</v>
      </c>
      <c r="U93">
        <f>S93+(1.96*SQRT(((H93/K93*(1-H93/K93)/K93)+F93/J93*(1-F93/J93)/J93)))</f>
        <v>-0.25595418497485733</v>
      </c>
      <c r="V93">
        <f>1/S93</f>
        <v>-2.9433815523409552</v>
      </c>
    </row>
    <row r="94" spans="1:22" x14ac:dyDescent="0.25">
      <c r="A94">
        <v>76</v>
      </c>
      <c r="B94" t="s">
        <v>86</v>
      </c>
      <c r="C94">
        <v>2022</v>
      </c>
      <c r="D94" t="s">
        <v>92</v>
      </c>
      <c r="E94" t="s">
        <v>96</v>
      </c>
      <c r="F94">
        <v>62</v>
      </c>
      <c r="G94">
        <f>J94-F94</f>
        <v>65</v>
      </c>
      <c r="H94">
        <v>7</v>
      </c>
      <c r="I94">
        <f>K94-H94</f>
        <v>142</v>
      </c>
      <c r="J94">
        <v>127</v>
      </c>
      <c r="K94">
        <v>149</v>
      </c>
      <c r="L94">
        <f>J94+K94</f>
        <v>276</v>
      </c>
      <c r="M94">
        <f>(F94/G94)/(H94/I94)</f>
        <v>19.349450549450552</v>
      </c>
      <c r="N94">
        <f>EXP(LN(M94)-1.96*SQRT(1/F94+1/G94+1/H94+1/I94))</f>
        <v>8.3967847487321681</v>
      </c>
      <c r="O94">
        <f>EXP(LN(M94)+1.96*SQRT(1/F94+1/G94+1/H94+1/I94))</f>
        <v>44.588642887643751</v>
      </c>
      <c r="P94">
        <f>(F94/J94)/(H94/K94)</f>
        <v>10.391451068616423</v>
      </c>
      <c r="Q94">
        <f>EXP(LN(P94)-1.96*(SQRT(1/F94+1/H94-1/J94-1/K94)))</f>
        <v>4.934155439413515</v>
      </c>
      <c r="R94">
        <f>EXP(LN(P94)+1.96*(SQRT(1/F94+1/H94-1/J94-1/K94)))</f>
        <v>21.884648069434235</v>
      </c>
      <c r="S94">
        <f>(H94/K94)-(F94/J94)</f>
        <v>-0.44120911060614071</v>
      </c>
      <c r="T94">
        <f>S94-(1.96*SQRT(((H94/K94*(1-H94/K94)/K94)+F94/J94*(1-F94/J94)/J94)))</f>
        <v>-0.53454903181949587</v>
      </c>
      <c r="U94">
        <f>S94+(1.96*SQRT(((H94/K94*(1-H94/K94)/K94)+F94/J94*(1-F94/J94)/J94)))</f>
        <v>-0.34786918939278555</v>
      </c>
      <c r="V94">
        <f>1/S94</f>
        <v>-2.2664989819140016</v>
      </c>
    </row>
    <row r="95" spans="1:22" x14ac:dyDescent="0.25">
      <c r="A95">
        <v>76</v>
      </c>
      <c r="B95" t="s">
        <v>86</v>
      </c>
      <c r="C95">
        <v>2022</v>
      </c>
      <c r="D95" t="s">
        <v>92</v>
      </c>
      <c r="E95" t="s">
        <v>97</v>
      </c>
      <c r="F95">
        <v>35</v>
      </c>
      <c r="G95">
        <f>J95-F95</f>
        <v>92</v>
      </c>
      <c r="H95">
        <v>5</v>
      </c>
      <c r="I95">
        <f>K95-H95</f>
        <v>144</v>
      </c>
      <c r="J95">
        <v>127</v>
      </c>
      <c r="K95">
        <v>149</v>
      </c>
      <c r="L95">
        <f>J95+K95</f>
        <v>276</v>
      </c>
      <c r="M95">
        <f>(F95/G95)/(H95/I95)</f>
        <v>10.956521739130435</v>
      </c>
      <c r="N95">
        <f>EXP(LN(M95)-1.96*SQRT(1/F95+1/G95+1/H95+1/I95))</f>
        <v>4.1414468479571394</v>
      </c>
      <c r="O95">
        <f>EXP(LN(M95)+1.96*SQRT(1/F95+1/G95+1/H95+1/I95))</f>
        <v>28.986335700348992</v>
      </c>
      <c r="P95">
        <f>(F95/J95)/(H95/K95)</f>
        <v>8.21259842519685</v>
      </c>
      <c r="Q95">
        <f>EXP(LN(P95)-1.96*(SQRT(1/F95+1/H95-1/J95-1/K95)))</f>
        <v>3.3167997696330831</v>
      </c>
      <c r="R95">
        <f>EXP(LN(P95)+1.96*(SQRT(1/F95+1/H95-1/J95-1/K95)))</f>
        <v>20.334894349382743</v>
      </c>
      <c r="S95">
        <f>(H95/K95)-(F95/J95)</f>
        <v>-0.24203350420123659</v>
      </c>
      <c r="T95">
        <f>S95-(1.96*SQRT(((H95/K95*(1-H95/K95)/K95)+F95/J95*(1-F95/J95)/J95)))</f>
        <v>-0.32494936178972522</v>
      </c>
      <c r="U95">
        <f>S95+(1.96*SQRT(((H95/K95*(1-H95/K95)/K95)+F95/J95*(1-F95/J95)/J95)))</f>
        <v>-0.15911764661274796</v>
      </c>
      <c r="V95">
        <f>1/S95</f>
        <v>-4.1316593886462885</v>
      </c>
    </row>
    <row r="96" spans="1:22" x14ac:dyDescent="0.25">
      <c r="A96">
        <v>76</v>
      </c>
      <c r="B96" t="s">
        <v>86</v>
      </c>
      <c r="C96">
        <v>2022</v>
      </c>
      <c r="D96" t="s">
        <v>92</v>
      </c>
      <c r="E96" t="s">
        <v>98</v>
      </c>
      <c r="F96">
        <v>68</v>
      </c>
      <c r="G96">
        <f>J96-F96</f>
        <v>59</v>
      </c>
      <c r="H96">
        <v>17</v>
      </c>
      <c r="I96">
        <f>K96-H96</f>
        <v>132</v>
      </c>
      <c r="J96">
        <v>127</v>
      </c>
      <c r="K96">
        <v>149</v>
      </c>
      <c r="L96">
        <f>J96+K96</f>
        <v>276</v>
      </c>
      <c r="M96">
        <f>(F96/G96)/(H96/I96)</f>
        <v>8.9491525423728824</v>
      </c>
      <c r="N96">
        <f>EXP(LN(M96)-1.96*SQRT(1/F96+1/G96+1/H96+1/I96))</f>
        <v>4.8443435983212586</v>
      </c>
      <c r="O96">
        <f>EXP(LN(M96)+1.96*SQRT(1/F96+1/G96+1/H96+1/I96))</f>
        <v>16.532132703058512</v>
      </c>
      <c r="P96">
        <f>(F96/J96)/(H96/K96)</f>
        <v>4.6929133858267722</v>
      </c>
      <c r="Q96">
        <f>EXP(LN(P96)-1.96*(SQRT(1/F96+1/H96-1/J96-1/K96)))</f>
        <v>2.9159547022449037</v>
      </c>
      <c r="R96">
        <f>EXP(LN(P96)+1.96*(SQRT(1/F96+1/H96-1/J96-1/K96)))</f>
        <v>7.5527359975506227</v>
      </c>
      <c r="S96">
        <f>(H96/K96)-(F96/J96)</f>
        <v>-0.42133911113459815</v>
      </c>
      <c r="T96">
        <f>S96-(1.96*SQRT(((H96/K96*(1-H96/K96)/K96)+F96/J96*(1-F96/J96)/J96)))</f>
        <v>-0.5219881942372635</v>
      </c>
      <c r="U96">
        <f>S96+(1.96*SQRT(((H96/K96*(1-H96/K96)/K96)+F96/J96*(1-F96/J96)/J96)))</f>
        <v>-0.32069002803193286</v>
      </c>
      <c r="V96">
        <f>1/S96</f>
        <v>-2.3733851749655082</v>
      </c>
    </row>
    <row r="97" spans="1:31" x14ac:dyDescent="0.25">
      <c r="A97">
        <v>88</v>
      </c>
      <c r="B97" t="s">
        <v>223</v>
      </c>
      <c r="C97">
        <v>2017</v>
      </c>
      <c r="D97" t="s">
        <v>229</v>
      </c>
      <c r="E97" t="s">
        <v>230</v>
      </c>
      <c r="J97">
        <v>5</v>
      </c>
      <c r="K97">
        <v>217</v>
      </c>
      <c r="L97">
        <v>222</v>
      </c>
      <c r="Y97">
        <v>-2.34</v>
      </c>
      <c r="Z97">
        <v>-0.36</v>
      </c>
      <c r="AD97">
        <v>0.87</v>
      </c>
      <c r="AE97">
        <v>0.65</v>
      </c>
    </row>
    <row r="98" spans="1:31" x14ac:dyDescent="0.25">
      <c r="A98">
        <v>99</v>
      </c>
      <c r="B98" t="s">
        <v>266</v>
      </c>
      <c r="C98">
        <v>2019</v>
      </c>
      <c r="D98" t="s">
        <v>156</v>
      </c>
      <c r="E98" t="s">
        <v>157</v>
      </c>
      <c r="F98">
        <v>22</v>
      </c>
      <c r="G98">
        <f>J98-F98</f>
        <v>267</v>
      </c>
      <c r="H98">
        <v>22</v>
      </c>
      <c r="I98">
        <f>K98-H98</f>
        <v>21609</v>
      </c>
      <c r="J98">
        <v>289</v>
      </c>
      <c r="K98">
        <f>L98-J98</f>
        <v>21631</v>
      </c>
      <c r="L98">
        <v>21920</v>
      </c>
      <c r="M98">
        <f>(F98/G98)/(H98/I98)</f>
        <v>80.932584269662911</v>
      </c>
      <c r="N98">
        <f>EXP(LN(M98)-1.96*SQRT(1/F98+1/G98+1/H98+1/I98))</f>
        <v>44.276602337015994</v>
      </c>
      <c r="O98">
        <f>EXP(LN(M98)+1.96*SQRT(1/F98+1/G98+1/H98+1/I98))</f>
        <v>147.93554272094883</v>
      </c>
      <c r="P98">
        <f>(F98/J98)/(H98/K98)</f>
        <v>74.847750865051893</v>
      </c>
      <c r="Q98">
        <f>EXP(LN(P98)-1.96*(SQRT(1/F98+1/H98-1/J98-1/K98)))</f>
        <v>41.930053736932493</v>
      </c>
      <c r="R98">
        <f>EXP(LN(P98)+1.96*(SQRT(1/F98+1/H98-1/J98-1/K98)))</f>
        <v>133.60788528211222</v>
      </c>
      <c r="S98">
        <f>(H98/K98)-(F98/J98)</f>
        <v>-7.5107508623324951E-2</v>
      </c>
      <c r="T98">
        <f>S98-1.96*SQRT(((H98/K98*(1-H98/K98))/K98+(F98/J98*(1-F98/J98))/J98))</f>
        <v>-0.10568615006824748</v>
      </c>
      <c r="U98">
        <f>S98+(1.96*SQRT(((H98/K98*(1-H98/K98)/K98)+F98/J98*(1-F98/J98)/J98)))</f>
        <v>-4.4528867178402418E-2</v>
      </c>
      <c r="V98">
        <f>1/S98</f>
        <v>-13.314248046958195</v>
      </c>
    </row>
  </sheetData>
  <sortState xmlns:xlrd2="http://schemas.microsoft.com/office/spreadsheetml/2017/richdata2" ref="A2:AE98">
    <sortCondition ref="B2:B98"/>
  </sortState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A3F48-DEF7-4BBB-AF71-25256EE044A2}">
  <dimension ref="A1:U15"/>
  <sheetViews>
    <sheetView zoomScale="74" zoomScaleNormal="100" workbookViewId="0">
      <selection activeCell="A16" sqref="A16"/>
    </sheetView>
  </sheetViews>
  <sheetFormatPr defaultRowHeight="15" x14ac:dyDescent="0.25"/>
  <cols>
    <col min="4" max="4" width="16.42578125" customWidth="1"/>
  </cols>
  <sheetData>
    <row r="1" spans="1:21" ht="60" x14ac:dyDescent="0.25">
      <c r="A1" s="1" t="s">
        <v>0</v>
      </c>
      <c r="B1" s="1" t="s">
        <v>1</v>
      </c>
      <c r="C1" s="2" t="s">
        <v>2</v>
      </c>
      <c r="D1" s="2" t="s">
        <v>259</v>
      </c>
      <c r="E1" s="3" t="s">
        <v>14</v>
      </c>
      <c r="F1" s="3" t="s">
        <v>15</v>
      </c>
      <c r="G1" s="4" t="s">
        <v>252</v>
      </c>
      <c r="H1" s="3" t="s">
        <v>253</v>
      </c>
      <c r="I1" s="4" t="s">
        <v>257</v>
      </c>
      <c r="J1" s="3" t="s">
        <v>256</v>
      </c>
      <c r="K1" s="3" t="s">
        <v>254</v>
      </c>
      <c r="L1" s="3" t="s">
        <v>258</v>
      </c>
      <c r="M1" s="3" t="s">
        <v>255</v>
      </c>
      <c r="N1" s="3" t="s">
        <v>24</v>
      </c>
      <c r="O1" s="3" t="s">
        <v>25</v>
      </c>
      <c r="P1" s="3" t="s">
        <v>26</v>
      </c>
      <c r="Q1" s="3" t="s">
        <v>27</v>
      </c>
      <c r="R1" s="3" t="s">
        <v>28</v>
      </c>
      <c r="S1" s="3" t="s">
        <v>29</v>
      </c>
      <c r="T1" s="3" t="s">
        <v>30</v>
      </c>
      <c r="U1" s="3" t="s">
        <v>246</v>
      </c>
    </row>
    <row r="2" spans="1:21" x14ac:dyDescent="0.25">
      <c r="A2">
        <v>61</v>
      </c>
      <c r="B2" t="s">
        <v>45</v>
      </c>
      <c r="C2">
        <v>2022</v>
      </c>
      <c r="D2" t="str">
        <f t="shared" ref="D2:D15" si="0">B2&amp;" "&amp;C2</f>
        <v>Moloney et al. 2022</v>
      </c>
      <c r="E2" t="s">
        <v>54</v>
      </c>
      <c r="F2" t="s">
        <v>58</v>
      </c>
      <c r="G2">
        <v>4</v>
      </c>
      <c r="H2">
        <v>11</v>
      </c>
      <c r="I2">
        <v>12</v>
      </c>
      <c r="J2">
        <v>23</v>
      </c>
      <c r="K2">
        <v>15</v>
      </c>
      <c r="L2">
        <v>35</v>
      </c>
      <c r="M2">
        <v>50</v>
      </c>
      <c r="N2">
        <v>0.77777777777777779</v>
      </c>
      <c r="O2">
        <v>0.29888496867358538</v>
      </c>
      <c r="P2">
        <v>2.023983589036209</v>
      </c>
      <c r="Q2">
        <v>7.6190476190476197E-2</v>
      </c>
      <c r="R2">
        <v>-0.19732859349476806</v>
      </c>
      <c r="S2">
        <v>0.34970954587572045</v>
      </c>
      <c r="T2">
        <v>13.124999999999998</v>
      </c>
      <c r="U2" t="s">
        <v>261</v>
      </c>
    </row>
    <row r="3" spans="1:21" x14ac:dyDescent="0.25">
      <c r="A3">
        <v>58</v>
      </c>
      <c r="B3" t="s">
        <v>116</v>
      </c>
      <c r="C3">
        <v>2021</v>
      </c>
      <c r="D3" t="str">
        <f t="shared" si="0"/>
        <v>McLoughlin et al.  2021</v>
      </c>
      <c r="E3" t="s">
        <v>123</v>
      </c>
      <c r="F3" t="s">
        <v>126</v>
      </c>
      <c r="G3">
        <v>14.1</v>
      </c>
      <c r="H3">
        <v>15.9</v>
      </c>
      <c r="I3">
        <v>30.810000000000002</v>
      </c>
      <c r="J3">
        <v>48.19</v>
      </c>
      <c r="K3">
        <v>30</v>
      </c>
      <c r="L3">
        <v>79</v>
      </c>
      <c r="M3">
        <v>109</v>
      </c>
      <c r="N3">
        <v>1.2051282051282051</v>
      </c>
      <c r="O3">
        <v>0.75356107929386806</v>
      </c>
      <c r="P3">
        <v>1.9272943238475815</v>
      </c>
      <c r="Q3">
        <v>-7.999999999999996E-2</v>
      </c>
      <c r="R3">
        <v>-0.28848657126209459</v>
      </c>
      <c r="S3">
        <v>0.12848657126209467</v>
      </c>
      <c r="T3">
        <v>-12.500000000000007</v>
      </c>
      <c r="U3" t="s">
        <v>261</v>
      </c>
    </row>
    <row r="4" spans="1:21" x14ac:dyDescent="0.25">
      <c r="A4">
        <v>58</v>
      </c>
      <c r="B4" t="s">
        <v>116</v>
      </c>
      <c r="C4">
        <v>2021</v>
      </c>
      <c r="D4" t="str">
        <f t="shared" si="0"/>
        <v>McLoughlin et al.  2021</v>
      </c>
      <c r="E4" t="s">
        <v>123</v>
      </c>
      <c r="F4" t="s">
        <v>125</v>
      </c>
      <c r="G4">
        <v>21.9</v>
      </c>
      <c r="H4">
        <v>8.1000000000000014</v>
      </c>
      <c r="I4">
        <v>41.870000000000005</v>
      </c>
      <c r="J4">
        <v>37.129999999999995</v>
      </c>
      <c r="K4">
        <v>30</v>
      </c>
      <c r="L4">
        <v>79</v>
      </c>
      <c r="M4">
        <v>109</v>
      </c>
      <c r="N4">
        <v>1.3773584905660377</v>
      </c>
      <c r="O4">
        <v>1.019548905081362</v>
      </c>
      <c r="P4">
        <v>1.8607409630663669</v>
      </c>
      <c r="Q4">
        <v>-0.19999999999999996</v>
      </c>
      <c r="R4">
        <v>-0.39326797189918794</v>
      </c>
      <c r="S4">
        <v>-6.7320281008119986E-3</v>
      </c>
      <c r="T4">
        <v>-5.0000000000000009</v>
      </c>
      <c r="U4" t="s">
        <v>262</v>
      </c>
    </row>
    <row r="5" spans="1:21" x14ac:dyDescent="0.25">
      <c r="A5">
        <v>61</v>
      </c>
      <c r="B5" t="s">
        <v>45</v>
      </c>
      <c r="C5">
        <v>2022</v>
      </c>
      <c r="D5" t="str">
        <f t="shared" si="0"/>
        <v>Moloney et al. 2022</v>
      </c>
      <c r="E5" t="s">
        <v>54</v>
      </c>
      <c r="F5" t="s">
        <v>59</v>
      </c>
      <c r="G5">
        <v>5</v>
      </c>
      <c r="H5">
        <v>10</v>
      </c>
      <c r="I5">
        <v>8</v>
      </c>
      <c r="J5">
        <v>27</v>
      </c>
      <c r="K5">
        <v>15</v>
      </c>
      <c r="L5">
        <v>35</v>
      </c>
      <c r="M5">
        <v>50</v>
      </c>
      <c r="N5">
        <v>1.4583333333333333</v>
      </c>
      <c r="O5">
        <v>0.56995259526413777</v>
      </c>
      <c r="P5">
        <v>3.7314263129646776</v>
      </c>
      <c r="Q5">
        <v>-0.10476190476190475</v>
      </c>
      <c r="R5">
        <v>-0.38092524880414469</v>
      </c>
      <c r="S5">
        <v>0.17140143928033522</v>
      </c>
      <c r="T5">
        <v>-9.5454545454545467</v>
      </c>
      <c r="U5" t="s">
        <v>262</v>
      </c>
    </row>
    <row r="6" spans="1:21" x14ac:dyDescent="0.25">
      <c r="A6">
        <v>76</v>
      </c>
      <c r="B6" t="s">
        <v>86</v>
      </c>
      <c r="C6">
        <v>2022</v>
      </c>
      <c r="D6" t="str">
        <f t="shared" si="0"/>
        <v>O'Donnell 2022</v>
      </c>
      <c r="E6" t="s">
        <v>92</v>
      </c>
      <c r="F6" t="s">
        <v>96</v>
      </c>
      <c r="G6">
        <v>62</v>
      </c>
      <c r="H6">
        <v>65</v>
      </c>
      <c r="I6">
        <v>7</v>
      </c>
      <c r="J6">
        <v>142</v>
      </c>
      <c r="K6">
        <v>127</v>
      </c>
      <c r="L6">
        <v>149</v>
      </c>
      <c r="M6">
        <v>276</v>
      </c>
      <c r="N6">
        <v>10.391451068616423</v>
      </c>
      <c r="O6">
        <v>4.934155439413515</v>
      </c>
      <c r="P6">
        <v>21.884648069434235</v>
      </c>
      <c r="Q6">
        <v>-0.44120911060614071</v>
      </c>
      <c r="R6">
        <v>-0.53454903181949587</v>
      </c>
      <c r="S6">
        <v>-0.34786918939278555</v>
      </c>
      <c r="T6">
        <v>-2.2664989819140016</v>
      </c>
      <c r="U6" t="s">
        <v>247</v>
      </c>
    </row>
    <row r="7" spans="1:21" x14ac:dyDescent="0.25">
      <c r="A7">
        <v>58</v>
      </c>
      <c r="B7" t="s">
        <v>116</v>
      </c>
      <c r="C7">
        <v>2021</v>
      </c>
      <c r="D7" t="str">
        <f t="shared" si="0"/>
        <v>McLoughlin et al.  2021</v>
      </c>
      <c r="E7" t="s">
        <v>121</v>
      </c>
      <c r="F7" t="s">
        <v>122</v>
      </c>
      <c r="G7">
        <v>30</v>
      </c>
      <c r="H7">
        <v>4285</v>
      </c>
      <c r="I7">
        <v>79</v>
      </c>
      <c r="J7">
        <v>132310</v>
      </c>
      <c r="K7">
        <v>4315</v>
      </c>
      <c r="L7">
        <v>132389</v>
      </c>
      <c r="M7">
        <v>136704</v>
      </c>
      <c r="N7">
        <v>11.651055341244115</v>
      </c>
      <c r="O7">
        <v>7.661111862249725</v>
      </c>
      <c r="P7">
        <v>17.718980352398905</v>
      </c>
      <c r="Q7">
        <v>-6.3557649952661098E-3</v>
      </c>
      <c r="R7">
        <v>-8.8385059085677471E-3</v>
      </c>
      <c r="S7">
        <v>-3.8730240819644726E-3</v>
      </c>
      <c r="T7">
        <v>-157.33747247496066</v>
      </c>
      <c r="U7" t="s">
        <v>247</v>
      </c>
    </row>
    <row r="8" spans="1:21" x14ac:dyDescent="0.25">
      <c r="A8">
        <v>49</v>
      </c>
      <c r="B8" t="s">
        <v>237</v>
      </c>
      <c r="C8">
        <v>2014</v>
      </c>
      <c r="D8" t="str">
        <f t="shared" si="0"/>
        <v>Larkin et al.  2014</v>
      </c>
      <c r="E8" t="s">
        <v>241</v>
      </c>
      <c r="F8" t="s">
        <v>242</v>
      </c>
      <c r="G8">
        <v>72</v>
      </c>
      <c r="H8">
        <v>208</v>
      </c>
      <c r="I8">
        <v>1596</v>
      </c>
      <c r="J8">
        <v>6870</v>
      </c>
      <c r="K8">
        <v>280</v>
      </c>
      <c r="L8">
        <v>8466</v>
      </c>
      <c r="M8">
        <v>8746</v>
      </c>
      <c r="N8">
        <v>1.364017185821697</v>
      </c>
      <c r="O8">
        <v>1.1123788430579071</v>
      </c>
      <c r="P8">
        <v>1.6725802498205975</v>
      </c>
      <c r="Q8">
        <v>-6.8624076136478668E-2</v>
      </c>
      <c r="R8">
        <v>-0.12049137972157592</v>
      </c>
      <c r="S8">
        <v>-1.6756772551381409E-2</v>
      </c>
      <c r="T8">
        <v>-14.572145175568018</v>
      </c>
      <c r="U8" t="s">
        <v>249</v>
      </c>
    </row>
    <row r="9" spans="1:21" x14ac:dyDescent="0.25">
      <c r="A9">
        <v>4</v>
      </c>
      <c r="B9" t="s">
        <v>178</v>
      </c>
      <c r="C9">
        <v>2017</v>
      </c>
      <c r="D9" t="str">
        <f t="shared" si="0"/>
        <v>Barrett et al. 2017</v>
      </c>
      <c r="E9" t="s">
        <v>181</v>
      </c>
      <c r="F9" t="s">
        <v>183</v>
      </c>
      <c r="G9">
        <v>508</v>
      </c>
      <c r="H9">
        <v>1354.6666666666667</v>
      </c>
      <c r="I9">
        <v>9234</v>
      </c>
      <c r="J9">
        <v>45264.705882352944</v>
      </c>
      <c r="K9">
        <v>1356</v>
      </c>
      <c r="L9">
        <v>43712</v>
      </c>
      <c r="M9">
        <v>45068</v>
      </c>
      <c r="N9">
        <v>1.7734331823586424</v>
      </c>
      <c r="O9">
        <v>1.651695860253557</v>
      </c>
      <c r="P9">
        <v>1.9041430858874304</v>
      </c>
      <c r="Q9">
        <v>-0.16338492875868652</v>
      </c>
      <c r="R9">
        <v>-0.18943056609026662</v>
      </c>
      <c r="S9">
        <v>-0.13733929142710641</v>
      </c>
      <c r="T9">
        <v>-6.1205155677300134</v>
      </c>
      <c r="U9" t="s">
        <v>249</v>
      </c>
    </row>
    <row r="10" spans="1:21" x14ac:dyDescent="0.25">
      <c r="A10">
        <v>9</v>
      </c>
      <c r="B10" t="s">
        <v>285</v>
      </c>
      <c r="C10">
        <v>2017</v>
      </c>
      <c r="D10" t="str">
        <f t="shared" si="0"/>
        <v>Ní Cheallaigh et al. 2017</v>
      </c>
      <c r="E10" t="s">
        <v>185</v>
      </c>
      <c r="F10" t="s">
        <v>189</v>
      </c>
      <c r="G10">
        <v>34</v>
      </c>
      <c r="H10">
        <v>2932</v>
      </c>
      <c r="I10">
        <v>48</v>
      </c>
      <c r="J10">
        <v>44160</v>
      </c>
      <c r="K10">
        <v>2966</v>
      </c>
      <c r="L10">
        <v>44208</v>
      </c>
      <c r="M10">
        <v>47174</v>
      </c>
      <c r="N10">
        <v>10.557653405259609</v>
      </c>
      <c r="O10">
        <v>6.8147173933956493</v>
      </c>
      <c r="P10">
        <v>16.356370923556273</v>
      </c>
      <c r="Q10">
        <v>-1.0377473838501204E-2</v>
      </c>
      <c r="R10">
        <v>-1.422083105584487E-2</v>
      </c>
      <c r="S10">
        <v>-6.5341166211575373E-3</v>
      </c>
      <c r="T10">
        <v>-96.362565260335828</v>
      </c>
      <c r="U10" t="s">
        <v>248</v>
      </c>
    </row>
    <row r="11" spans="1:21" x14ac:dyDescent="0.25">
      <c r="A11">
        <v>99</v>
      </c>
      <c r="B11" t="s">
        <v>265</v>
      </c>
      <c r="C11">
        <v>2019</v>
      </c>
      <c r="D11" t="str">
        <f t="shared" si="0"/>
        <v>Uí Bhroin, Kinahan, and Murphy  2019</v>
      </c>
      <c r="E11" t="s">
        <v>156</v>
      </c>
      <c r="F11" t="s">
        <v>157</v>
      </c>
      <c r="G11">
        <v>22</v>
      </c>
      <c r="H11">
        <v>267</v>
      </c>
      <c r="I11">
        <v>22</v>
      </c>
      <c r="J11">
        <v>21609</v>
      </c>
      <c r="K11">
        <v>289</v>
      </c>
      <c r="L11">
        <v>21631</v>
      </c>
      <c r="M11">
        <v>21920</v>
      </c>
      <c r="N11">
        <v>74.847750865051893</v>
      </c>
      <c r="O11">
        <v>41.930053736932493</v>
      </c>
      <c r="P11">
        <v>133.60788528211222</v>
      </c>
      <c r="Q11">
        <v>-7.5107508623324951E-2</v>
      </c>
      <c r="R11">
        <v>-0.10568615006824748</v>
      </c>
      <c r="S11">
        <v>-4.4528867178402418E-2</v>
      </c>
      <c r="T11">
        <v>-13.314248046958195</v>
      </c>
      <c r="U11" t="s">
        <v>248</v>
      </c>
    </row>
    <row r="12" spans="1:21" x14ac:dyDescent="0.25">
      <c r="A12">
        <v>63</v>
      </c>
      <c r="B12" t="s">
        <v>60</v>
      </c>
      <c r="C12">
        <v>2022</v>
      </c>
      <c r="D12" t="str">
        <f t="shared" si="0"/>
        <v>O'Brien et al. 2022</v>
      </c>
      <c r="E12" t="s">
        <v>67</v>
      </c>
      <c r="F12" t="s">
        <v>82</v>
      </c>
      <c r="G12">
        <v>143</v>
      </c>
      <c r="H12">
        <v>2995</v>
      </c>
      <c r="I12">
        <v>50</v>
      </c>
      <c r="J12">
        <v>1450</v>
      </c>
      <c r="K12">
        <v>3138</v>
      </c>
      <c r="L12">
        <v>1500</v>
      </c>
      <c r="M12">
        <v>4638</v>
      </c>
      <c r="N12">
        <v>1.3671128107074568</v>
      </c>
      <c r="O12">
        <v>0.99661971267500471</v>
      </c>
      <c r="P12">
        <v>1.8753366137861234</v>
      </c>
      <c r="Q12">
        <v>-1.2237093690248564E-2</v>
      </c>
      <c r="R12">
        <v>-2.3889096150728102E-2</v>
      </c>
      <c r="S12">
        <v>-5.8509122976902611E-4</v>
      </c>
      <c r="T12">
        <v>-81.718750000000014</v>
      </c>
      <c r="U12" t="s">
        <v>263</v>
      </c>
    </row>
    <row r="13" spans="1:21" x14ac:dyDescent="0.25">
      <c r="A13">
        <v>1</v>
      </c>
      <c r="B13" t="s">
        <v>158</v>
      </c>
      <c r="C13">
        <v>2018</v>
      </c>
      <c r="D13" t="str">
        <f t="shared" si="0"/>
        <v>Arensman et al. 2018</v>
      </c>
      <c r="E13" t="s">
        <v>160</v>
      </c>
      <c r="F13" t="s">
        <v>164</v>
      </c>
      <c r="G13">
        <v>798</v>
      </c>
      <c r="H13">
        <v>2247</v>
      </c>
      <c r="I13">
        <v>13445</v>
      </c>
      <c r="J13">
        <v>79936</v>
      </c>
      <c r="K13">
        <v>3045</v>
      </c>
      <c r="L13">
        <v>93381</v>
      </c>
      <c r="M13">
        <v>96426</v>
      </c>
      <c r="N13">
        <v>1.8201756838204179</v>
      </c>
      <c r="O13">
        <v>1.7114023307330144</v>
      </c>
      <c r="P13">
        <v>1.935862456464057</v>
      </c>
      <c r="Q13">
        <v>-0.11808892675132543</v>
      </c>
      <c r="R13">
        <v>-0.13387029199329051</v>
      </c>
      <c r="S13">
        <v>-0.10230756150936035</v>
      </c>
      <c r="T13">
        <v>-8.4681944997757892</v>
      </c>
      <c r="U13" t="s">
        <v>263</v>
      </c>
    </row>
    <row r="14" spans="1:21" x14ac:dyDescent="0.25">
      <c r="A14">
        <v>9</v>
      </c>
      <c r="B14" t="s">
        <v>264</v>
      </c>
      <c r="C14">
        <v>2017</v>
      </c>
      <c r="D14" t="str">
        <f t="shared" si="0"/>
        <v>Ní Cheallaigh 2017</v>
      </c>
      <c r="E14" t="s">
        <v>185</v>
      </c>
      <c r="F14" t="s">
        <v>187</v>
      </c>
      <c r="G14">
        <v>1207</v>
      </c>
      <c r="H14">
        <f>K14-G14</f>
        <v>1759</v>
      </c>
      <c r="I14">
        <v>6870</v>
      </c>
      <c r="J14">
        <f>L14-I14</f>
        <v>37338</v>
      </c>
      <c r="K14">
        <v>2966</v>
      </c>
      <c r="L14">
        <v>44208</v>
      </c>
      <c r="M14">
        <f>K14+L14</f>
        <v>47174</v>
      </c>
      <c r="N14">
        <f>(G14/H14)/(I14/J14)</f>
        <v>3.7293723359093969</v>
      </c>
      <c r="O14">
        <f>EXP(LN(N14)-1.96*SQRT(1/G14+1/H14+1/I14+1/J14))</f>
        <v>3.4507601841298614</v>
      </c>
      <c r="P14">
        <f>EXP(LN(N14)+1.96*SQRT(1/G14+1/H14+1/I14+1/J14))</f>
        <v>4.0304794531392183</v>
      </c>
      <c r="Q14">
        <f>(G14/K14)/(I14/L14)</f>
        <v>2.6186668708242173</v>
      </c>
      <c r="R14">
        <f>EXP(LN(Q14)-1.96*(SQRT(1/G14+1/I14-1/K14-1/L14)))</f>
        <v>2.4944971407072027</v>
      </c>
      <c r="S14">
        <f>EXP(LN(Q14)+1.96*(SQRT(1/G14+1/I14-1/K14-1/L14)))</f>
        <v>2.749017454639449</v>
      </c>
      <c r="T14">
        <f>(I14/L14)-(G14/K14)</f>
        <v>-0.25154364374236277</v>
      </c>
      <c r="U14" t="s">
        <v>263</v>
      </c>
    </row>
    <row r="15" spans="1:21" x14ac:dyDescent="0.25">
      <c r="A15">
        <v>9</v>
      </c>
      <c r="B15" t="s">
        <v>285</v>
      </c>
      <c r="C15">
        <v>2017</v>
      </c>
      <c r="D15" t="str">
        <f t="shared" si="0"/>
        <v>Ní Cheallaigh et al. 2017</v>
      </c>
      <c r="E15" t="s">
        <v>202</v>
      </c>
      <c r="F15" t="s">
        <v>210</v>
      </c>
      <c r="G15">
        <v>67</v>
      </c>
      <c r="H15">
        <v>392</v>
      </c>
      <c r="I15">
        <v>125</v>
      </c>
      <c r="J15">
        <v>6447</v>
      </c>
      <c r="K15">
        <v>459</v>
      </c>
      <c r="L15">
        <v>6572</v>
      </c>
      <c r="M15">
        <v>7031</v>
      </c>
      <c r="N15">
        <v>7.6744923747276692</v>
      </c>
      <c r="O15">
        <v>5.7928613285208517</v>
      </c>
      <c r="P15">
        <v>10.167312813060569</v>
      </c>
      <c r="Q15">
        <v>-0.12694941370069363</v>
      </c>
      <c r="R15">
        <v>-0.15941891325220442</v>
      </c>
      <c r="S15">
        <v>-9.4479914149182831E-2</v>
      </c>
      <c r="T15">
        <v>-7.8771533546242463</v>
      </c>
      <c r="U15" t="s">
        <v>263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Study Characteristics</vt:lpstr>
      <vt:lpstr>Quality Checklist</vt:lpstr>
      <vt:lpstr>Health Disparities</vt:lpstr>
      <vt:lpstr>Meta-Analysis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Carolyn</dc:creator>
  <cp:lastModifiedBy>Carolyn</cp:lastModifiedBy>
  <dcterms:created xsi:type="dcterms:W3CDTF">2022-12-13T15:02:12Z</dcterms:created>
  <dcterms:modified xsi:type="dcterms:W3CDTF">2023-02-14T10:55:40Z</dcterms:modified>
</cp:coreProperties>
</file>