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as\Desktop\Manuscritos provenientes de TesisDoctoral\journal BMC Health Services Research\"/>
    </mc:Choice>
  </mc:AlternateContent>
  <xr:revisionPtr revIDLastSave="0" documentId="13_ncr:1_{CC24C235-5C05-4B5E-B853-9EDFDB1D1DC2}" xr6:coauthVersionLast="47" xr6:coauthVersionMax="47" xr10:uidLastSave="{00000000-0000-0000-0000-000000000000}"/>
  <bookViews>
    <workbookView xWindow="23880" yWindow="-120" windowWidth="29040" windowHeight="15840" xr2:uid="{00000000-000D-0000-FFFF-FFFF00000000}"/>
  </bookViews>
  <sheets>
    <sheet name="Effects" sheetId="1" r:id="rId1"/>
    <sheet name="Observed payment mechanism" sheetId="2" r:id="rId2"/>
    <sheet name="Desired payment mechanism" sheetId="3" r:id="rId3"/>
  </sheets>
  <definedNames>
    <definedName name="_xlnm._FilterDatabase" localSheetId="0" hidden="1">Effects!$A$1:$J$682</definedName>
    <definedName name="_xlnm._FilterDatabase" localSheetId="1" hidden="1">'Observed payment mechanism'!$A$1:$I$1000</definedName>
    <definedName name="Z_C537AADB_B486_4F6B_AC41_900D493E9823_.wvu.FilterData" localSheetId="2" hidden="1">'Desired payment mechanism'!$A$1:$J$1000</definedName>
    <definedName name="Z_C537AADB_B486_4F6B_AC41_900D493E9823_.wvu.FilterData" localSheetId="1" hidden="1">'Observed payment mechanism'!$A$1:$J$1000</definedName>
  </definedNames>
  <calcPr calcId="191029"/>
  <customWorkbookViews>
    <customWorkbookView name="Filtro 1" guid="{C537AADB-B486-4F6B-AC41-900D493E982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i4EhazCgSaY06pE2oIClmsT6Kjw=="/>
    </ext>
  </extLst>
</workbook>
</file>

<file path=xl/calcChain.xml><?xml version="1.0" encoding="utf-8"?>
<calcChain xmlns="http://schemas.openxmlformats.org/spreadsheetml/2006/main">
  <c r="J98" i="3" l="1"/>
  <c r="F98" i="3"/>
  <c r="D98" i="3"/>
  <c r="J97" i="3"/>
  <c r="F97" i="3"/>
  <c r="D97" i="3"/>
  <c r="J96" i="3"/>
  <c r="F96" i="3"/>
  <c r="D96" i="3"/>
  <c r="J95" i="3"/>
  <c r="F95" i="3"/>
  <c r="D95" i="3"/>
  <c r="J94" i="3"/>
  <c r="F94" i="3"/>
  <c r="D94" i="3"/>
  <c r="J93" i="3"/>
  <c r="F93" i="3"/>
  <c r="D93" i="3"/>
  <c r="J92" i="3"/>
  <c r="F92" i="3"/>
  <c r="D92" i="3"/>
  <c r="J91" i="3"/>
  <c r="F91" i="3"/>
  <c r="D91" i="3"/>
  <c r="J90" i="3"/>
  <c r="F90" i="3"/>
  <c r="D90" i="3"/>
  <c r="J89" i="3"/>
  <c r="F89" i="3"/>
  <c r="D89" i="3"/>
  <c r="J88" i="3"/>
  <c r="F88" i="3"/>
  <c r="D88" i="3"/>
  <c r="J87" i="3"/>
  <c r="F87" i="3"/>
  <c r="D87" i="3"/>
  <c r="J86" i="3"/>
  <c r="F86" i="3"/>
  <c r="D86" i="3"/>
  <c r="J85" i="3"/>
  <c r="F85" i="3"/>
  <c r="D85" i="3"/>
  <c r="J84" i="3"/>
  <c r="F84" i="3"/>
  <c r="D84" i="3"/>
  <c r="J83" i="3"/>
  <c r="F83" i="3"/>
  <c r="D83" i="3"/>
  <c r="J82" i="3"/>
  <c r="F82" i="3"/>
  <c r="D82" i="3"/>
  <c r="J81" i="3"/>
  <c r="F81" i="3"/>
  <c r="D81" i="3"/>
  <c r="J80" i="3"/>
  <c r="F80" i="3"/>
  <c r="D80" i="3"/>
  <c r="J79" i="3"/>
  <c r="F79" i="3"/>
  <c r="D79" i="3"/>
  <c r="J78" i="3"/>
  <c r="F78" i="3"/>
  <c r="D78" i="3"/>
  <c r="J77" i="3"/>
  <c r="F77" i="3"/>
  <c r="D77" i="3"/>
  <c r="J76" i="3"/>
  <c r="F76" i="3"/>
  <c r="D76" i="3"/>
  <c r="J75" i="3"/>
  <c r="F75" i="3"/>
  <c r="D75" i="3"/>
  <c r="J74" i="3"/>
  <c r="F74" i="3"/>
  <c r="D74" i="3"/>
  <c r="J73" i="3"/>
  <c r="F73" i="3"/>
  <c r="D73" i="3"/>
  <c r="J72" i="3"/>
  <c r="F72" i="3"/>
  <c r="D72" i="3"/>
  <c r="J71" i="3"/>
  <c r="F71" i="3"/>
  <c r="D71" i="3"/>
  <c r="J70" i="3"/>
  <c r="F70" i="3"/>
  <c r="D70" i="3"/>
  <c r="J69" i="3"/>
  <c r="F69" i="3"/>
  <c r="D69" i="3"/>
  <c r="J68" i="3"/>
  <c r="F68" i="3"/>
  <c r="D68" i="3"/>
  <c r="J67" i="3"/>
  <c r="F67" i="3"/>
  <c r="D67" i="3"/>
  <c r="J66" i="3"/>
  <c r="F66" i="3"/>
  <c r="D66" i="3"/>
  <c r="J65" i="3"/>
  <c r="F65" i="3"/>
  <c r="D65" i="3"/>
  <c r="J64" i="3"/>
  <c r="F64" i="3"/>
  <c r="D64" i="3"/>
  <c r="J63" i="3"/>
  <c r="F63" i="3"/>
  <c r="D63" i="3"/>
  <c r="J62" i="3"/>
  <c r="F62" i="3"/>
  <c r="D62" i="3"/>
  <c r="J61" i="3"/>
  <c r="F61" i="3"/>
  <c r="D61" i="3"/>
  <c r="J60" i="3"/>
  <c r="F60" i="3"/>
  <c r="D60" i="3"/>
  <c r="J59" i="3"/>
  <c r="F59" i="3"/>
  <c r="D59" i="3"/>
  <c r="J58" i="3"/>
  <c r="F58" i="3"/>
  <c r="D58" i="3"/>
  <c r="J57" i="3"/>
  <c r="F57" i="3"/>
  <c r="D57" i="3"/>
  <c r="J56" i="3"/>
  <c r="F56" i="3"/>
  <c r="D56" i="3"/>
  <c r="J55" i="3"/>
  <c r="F55" i="3"/>
  <c r="D55" i="3"/>
  <c r="J54" i="3"/>
  <c r="F54" i="3"/>
  <c r="D54" i="3"/>
  <c r="J53" i="3"/>
  <c r="F53" i="3"/>
  <c r="D53" i="3"/>
  <c r="J52" i="3"/>
  <c r="F52" i="3"/>
  <c r="D52" i="3"/>
  <c r="J51" i="3"/>
  <c r="F51" i="3"/>
  <c r="D51" i="3"/>
  <c r="J50" i="3"/>
  <c r="F50" i="3"/>
  <c r="D50" i="3"/>
  <c r="J49" i="3"/>
  <c r="F49" i="3"/>
  <c r="D49" i="3"/>
  <c r="J48" i="3"/>
  <c r="F48" i="3"/>
  <c r="D48" i="3"/>
  <c r="J47" i="3"/>
  <c r="F47" i="3"/>
  <c r="D47" i="3"/>
  <c r="J46" i="3"/>
  <c r="F46" i="3"/>
  <c r="D46" i="3"/>
  <c r="J45" i="3"/>
  <c r="F45" i="3"/>
  <c r="D45" i="3"/>
  <c r="J44" i="3"/>
  <c r="F44" i="3"/>
  <c r="D44" i="3"/>
  <c r="J43" i="3"/>
  <c r="F43" i="3"/>
  <c r="D43" i="3"/>
  <c r="J42" i="3"/>
  <c r="F42" i="3"/>
  <c r="D42" i="3"/>
  <c r="J41" i="3"/>
  <c r="F41" i="3"/>
  <c r="D41" i="3"/>
  <c r="J40" i="3"/>
  <c r="F40" i="3"/>
  <c r="D40" i="3"/>
  <c r="J39" i="3"/>
  <c r="F39" i="3"/>
  <c r="D39" i="3"/>
  <c r="J38" i="3"/>
  <c r="F38" i="3"/>
  <c r="D38" i="3"/>
  <c r="J37" i="3"/>
  <c r="F37" i="3"/>
  <c r="D37" i="3"/>
  <c r="J36" i="3"/>
  <c r="F36" i="3"/>
  <c r="D36" i="3"/>
  <c r="J35" i="3"/>
  <c r="F35" i="3"/>
  <c r="D35" i="3"/>
  <c r="J34" i="3"/>
  <c r="F34" i="3"/>
  <c r="D34" i="3"/>
  <c r="J33" i="3"/>
  <c r="F33" i="3"/>
  <c r="D33" i="3"/>
  <c r="J32" i="3"/>
  <c r="F32" i="3"/>
  <c r="D32" i="3"/>
  <c r="J31" i="3"/>
  <c r="F31" i="3"/>
  <c r="D31" i="3"/>
  <c r="J30" i="3"/>
  <c r="F30" i="3"/>
  <c r="D30" i="3"/>
  <c r="J29" i="3"/>
  <c r="F29" i="3"/>
  <c r="D29" i="3"/>
  <c r="J28" i="3"/>
  <c r="F28" i="3"/>
  <c r="D28" i="3"/>
  <c r="J27" i="3"/>
  <c r="F27" i="3"/>
  <c r="D27" i="3"/>
  <c r="J26" i="3"/>
  <c r="F26" i="3"/>
  <c r="D26" i="3"/>
  <c r="J25" i="3"/>
  <c r="F25" i="3"/>
  <c r="D25" i="3"/>
  <c r="J24" i="3"/>
  <c r="F24" i="3"/>
  <c r="D24" i="3"/>
  <c r="J23" i="3"/>
  <c r="F23" i="3"/>
  <c r="D23" i="3"/>
  <c r="J22" i="3"/>
  <c r="F22" i="3"/>
  <c r="D22" i="3"/>
  <c r="J21" i="3"/>
  <c r="F21" i="3"/>
  <c r="D21" i="3"/>
  <c r="J20" i="3"/>
  <c r="F20" i="3"/>
  <c r="D20" i="3"/>
  <c r="J19" i="3"/>
  <c r="F19" i="3"/>
  <c r="D19" i="3"/>
  <c r="J18" i="3"/>
  <c r="F18" i="3"/>
  <c r="D18" i="3"/>
  <c r="J17" i="3"/>
  <c r="F17" i="3"/>
  <c r="D17" i="3"/>
  <c r="J16" i="3"/>
  <c r="F16" i="3"/>
  <c r="D16" i="3"/>
  <c r="J15" i="3"/>
  <c r="F15" i="3"/>
  <c r="D15" i="3"/>
  <c r="J14" i="3"/>
  <c r="F14" i="3"/>
  <c r="D14" i="3"/>
  <c r="J13" i="3"/>
  <c r="F13" i="3"/>
  <c r="D13" i="3"/>
  <c r="J12" i="3"/>
  <c r="F12" i="3"/>
  <c r="D12" i="3"/>
  <c r="J11" i="3"/>
  <c r="F11" i="3"/>
  <c r="D11" i="3"/>
  <c r="J10" i="3"/>
  <c r="F10" i="3"/>
  <c r="D10" i="3"/>
  <c r="J9" i="3"/>
  <c r="F9" i="3"/>
  <c r="D9" i="3"/>
  <c r="J8" i="3"/>
  <c r="F8" i="3"/>
  <c r="D8" i="3"/>
  <c r="J7" i="3"/>
  <c r="F7" i="3"/>
  <c r="D7" i="3"/>
  <c r="J6" i="3"/>
  <c r="F6" i="3"/>
  <c r="D6" i="3"/>
  <c r="J5" i="3"/>
  <c r="F5" i="3"/>
  <c r="D5" i="3"/>
  <c r="J4" i="3"/>
  <c r="F4" i="3"/>
  <c r="D4" i="3"/>
  <c r="J3" i="3"/>
  <c r="F3" i="3"/>
  <c r="D3" i="3"/>
  <c r="J2" i="3"/>
  <c r="F2" i="3"/>
  <c r="D2" i="3"/>
  <c r="J1" i="3"/>
  <c r="F1" i="3"/>
  <c r="D1" i="3"/>
  <c r="J171" i="2"/>
  <c r="F171" i="2"/>
  <c r="D171" i="2"/>
  <c r="J170" i="2"/>
  <c r="F170" i="2"/>
  <c r="D170" i="2"/>
  <c r="J169" i="2"/>
  <c r="F169" i="2"/>
  <c r="D169" i="2"/>
  <c r="J168" i="2"/>
  <c r="F168" i="2"/>
  <c r="D168" i="2"/>
  <c r="J167" i="2"/>
  <c r="F167" i="2"/>
  <c r="D167" i="2"/>
  <c r="J166" i="2"/>
  <c r="F166" i="2"/>
  <c r="D166" i="2"/>
  <c r="J165" i="2"/>
  <c r="F165" i="2"/>
  <c r="D165" i="2"/>
  <c r="J164" i="2"/>
  <c r="F164" i="2"/>
  <c r="D164" i="2"/>
  <c r="J163" i="2"/>
  <c r="F163" i="2"/>
  <c r="D163" i="2"/>
  <c r="J162" i="2"/>
  <c r="F162" i="2"/>
  <c r="D162" i="2"/>
  <c r="J161" i="2"/>
  <c r="F161" i="2"/>
  <c r="D161" i="2"/>
  <c r="J160" i="2"/>
  <c r="F160" i="2"/>
  <c r="D160" i="2"/>
  <c r="J159" i="2"/>
  <c r="F159" i="2"/>
  <c r="D159" i="2"/>
  <c r="J158" i="2"/>
  <c r="F158" i="2"/>
  <c r="D158" i="2"/>
  <c r="J157" i="2"/>
  <c r="F157" i="2"/>
  <c r="D157" i="2"/>
  <c r="J156" i="2"/>
  <c r="F156" i="2"/>
  <c r="D156" i="2"/>
  <c r="J155" i="2"/>
  <c r="F155" i="2"/>
  <c r="D155" i="2"/>
  <c r="J154" i="2"/>
  <c r="F154" i="2"/>
  <c r="D154" i="2"/>
  <c r="J153" i="2"/>
  <c r="F153" i="2"/>
  <c r="D153" i="2"/>
  <c r="J152" i="2"/>
  <c r="F152" i="2"/>
  <c r="D152" i="2"/>
  <c r="J151" i="2"/>
  <c r="F151" i="2"/>
  <c r="D151" i="2"/>
  <c r="J150" i="2"/>
  <c r="F150" i="2"/>
  <c r="D150" i="2"/>
  <c r="J149" i="2"/>
  <c r="F149" i="2"/>
  <c r="D149" i="2"/>
  <c r="J148" i="2"/>
  <c r="F148" i="2"/>
  <c r="D148" i="2"/>
  <c r="J147" i="2"/>
  <c r="F147" i="2"/>
  <c r="D147" i="2"/>
  <c r="J146" i="2"/>
  <c r="F146" i="2"/>
  <c r="D146" i="2"/>
  <c r="J145" i="2"/>
  <c r="F145" i="2"/>
  <c r="D145" i="2"/>
  <c r="J144" i="2"/>
  <c r="F144" i="2"/>
  <c r="D144" i="2"/>
  <c r="J143" i="2"/>
  <c r="F143" i="2"/>
  <c r="D143" i="2"/>
  <c r="J142" i="2"/>
  <c r="F142" i="2"/>
  <c r="D142" i="2"/>
  <c r="J141" i="2"/>
  <c r="F141" i="2"/>
  <c r="D141" i="2"/>
  <c r="J140" i="2"/>
  <c r="F140" i="2"/>
  <c r="D140" i="2"/>
  <c r="J139" i="2"/>
  <c r="F139" i="2"/>
  <c r="D139" i="2"/>
  <c r="J138" i="2"/>
  <c r="F138" i="2"/>
  <c r="D138" i="2"/>
  <c r="J137" i="2"/>
  <c r="F137" i="2"/>
  <c r="D137" i="2"/>
  <c r="J136" i="2"/>
  <c r="F136" i="2"/>
  <c r="D136" i="2"/>
  <c r="J135" i="2"/>
  <c r="F135" i="2"/>
  <c r="D135" i="2"/>
  <c r="J134" i="2"/>
  <c r="F134" i="2"/>
  <c r="D134" i="2"/>
  <c r="J133" i="2"/>
  <c r="F133" i="2"/>
  <c r="D133" i="2"/>
  <c r="J132" i="2"/>
  <c r="F132" i="2"/>
  <c r="D132" i="2"/>
  <c r="J131" i="2"/>
  <c r="F131" i="2"/>
  <c r="D131" i="2"/>
  <c r="J130" i="2"/>
  <c r="F130" i="2"/>
  <c r="D130" i="2"/>
  <c r="J129" i="2"/>
  <c r="F129" i="2"/>
  <c r="D129" i="2"/>
  <c r="J128" i="2"/>
  <c r="F128" i="2"/>
  <c r="D128" i="2"/>
  <c r="J127" i="2"/>
  <c r="F127" i="2"/>
  <c r="D127" i="2"/>
  <c r="J126" i="2"/>
  <c r="F126" i="2"/>
  <c r="D126" i="2"/>
  <c r="J125" i="2"/>
  <c r="F125" i="2"/>
  <c r="D125" i="2"/>
  <c r="J124" i="2"/>
  <c r="F124" i="2"/>
  <c r="D124" i="2"/>
  <c r="J123" i="2"/>
  <c r="F123" i="2"/>
  <c r="D123" i="2"/>
  <c r="J122" i="2"/>
  <c r="F122" i="2"/>
  <c r="D122" i="2"/>
  <c r="J121" i="2"/>
  <c r="F121" i="2"/>
  <c r="D121" i="2"/>
  <c r="J120" i="2"/>
  <c r="F120" i="2"/>
  <c r="D120" i="2"/>
  <c r="J119" i="2"/>
  <c r="F119" i="2"/>
  <c r="D119" i="2"/>
  <c r="J118" i="2"/>
  <c r="F118" i="2"/>
  <c r="D118" i="2"/>
  <c r="J117" i="2"/>
  <c r="F117" i="2"/>
  <c r="D117" i="2"/>
  <c r="J116" i="2"/>
  <c r="F116" i="2"/>
  <c r="D116" i="2"/>
  <c r="J115" i="2"/>
  <c r="F115" i="2"/>
  <c r="D115" i="2"/>
  <c r="J114" i="2"/>
  <c r="F114" i="2"/>
  <c r="D114" i="2"/>
  <c r="J113" i="2"/>
  <c r="F113" i="2"/>
  <c r="D113" i="2"/>
  <c r="J112" i="2"/>
  <c r="F112" i="2"/>
  <c r="D112" i="2"/>
  <c r="J111" i="2"/>
  <c r="F111" i="2"/>
  <c r="D111" i="2"/>
  <c r="J110" i="2"/>
  <c r="F110" i="2"/>
  <c r="D110" i="2"/>
  <c r="J109" i="2"/>
  <c r="F109" i="2"/>
  <c r="D109" i="2"/>
  <c r="J108" i="2"/>
  <c r="F108" i="2"/>
  <c r="D108" i="2"/>
  <c r="J107" i="2"/>
  <c r="F107" i="2"/>
  <c r="D107" i="2"/>
  <c r="J106" i="2"/>
  <c r="F106" i="2"/>
  <c r="D106" i="2"/>
  <c r="J105" i="2"/>
  <c r="F105" i="2"/>
  <c r="D105" i="2"/>
  <c r="J104" i="2"/>
  <c r="F104" i="2"/>
  <c r="D104" i="2"/>
  <c r="J103" i="2"/>
  <c r="F103" i="2"/>
  <c r="D103" i="2"/>
  <c r="J102" i="2"/>
  <c r="F102" i="2"/>
  <c r="D102" i="2"/>
  <c r="J101" i="2"/>
  <c r="F101" i="2"/>
  <c r="D101" i="2"/>
  <c r="J100" i="2"/>
  <c r="F100" i="2"/>
  <c r="D100" i="2"/>
  <c r="J99" i="2"/>
  <c r="F99" i="2"/>
  <c r="D99" i="2"/>
  <c r="J98" i="2"/>
  <c r="F98" i="2"/>
  <c r="D98" i="2"/>
  <c r="J97" i="2"/>
  <c r="F97" i="2"/>
  <c r="D97" i="2"/>
  <c r="J96" i="2"/>
  <c r="F96" i="2"/>
  <c r="D96" i="2"/>
  <c r="J95" i="2"/>
  <c r="F95" i="2"/>
  <c r="D95" i="2"/>
  <c r="J94" i="2"/>
  <c r="F94" i="2"/>
  <c r="D94" i="2"/>
  <c r="J93" i="2"/>
  <c r="F93" i="2"/>
  <c r="D93" i="2"/>
  <c r="J92" i="2"/>
  <c r="F92" i="2"/>
  <c r="D92" i="2"/>
  <c r="J91" i="2"/>
  <c r="F91" i="2"/>
  <c r="D91" i="2"/>
  <c r="J90" i="2"/>
  <c r="F90" i="2"/>
  <c r="D90" i="2"/>
  <c r="J89" i="2"/>
  <c r="F89" i="2"/>
  <c r="D89" i="2"/>
  <c r="J88" i="2"/>
  <c r="F88" i="2"/>
  <c r="D88" i="2"/>
  <c r="J87" i="2"/>
  <c r="F87" i="2"/>
  <c r="D87" i="2"/>
  <c r="J86" i="2"/>
  <c r="F86" i="2"/>
  <c r="D86" i="2"/>
  <c r="J85" i="2"/>
  <c r="F85" i="2"/>
  <c r="D85" i="2"/>
  <c r="J84" i="2"/>
  <c r="F84" i="2"/>
  <c r="D84" i="2"/>
  <c r="J83" i="2"/>
  <c r="F83" i="2"/>
  <c r="D83" i="2"/>
  <c r="J82" i="2"/>
  <c r="F82" i="2"/>
  <c r="D82" i="2"/>
  <c r="J81" i="2"/>
  <c r="F81" i="2"/>
  <c r="D81" i="2"/>
  <c r="J80" i="2"/>
  <c r="F80" i="2"/>
  <c r="D80" i="2"/>
  <c r="J79" i="2"/>
  <c r="F79" i="2"/>
  <c r="D79" i="2"/>
  <c r="J78" i="2"/>
  <c r="F78" i="2"/>
  <c r="D78" i="2"/>
  <c r="J77" i="2"/>
  <c r="F77" i="2"/>
  <c r="D77" i="2"/>
  <c r="J76" i="2"/>
  <c r="F76" i="2"/>
  <c r="D76" i="2"/>
  <c r="J75" i="2"/>
  <c r="F75" i="2"/>
  <c r="D75" i="2"/>
  <c r="J74" i="2"/>
  <c r="F74" i="2"/>
  <c r="D74" i="2"/>
  <c r="J73" i="2"/>
  <c r="F73" i="2"/>
  <c r="D73" i="2"/>
  <c r="J72" i="2"/>
  <c r="F72" i="2"/>
  <c r="D72" i="2"/>
  <c r="J71" i="2"/>
  <c r="F71" i="2"/>
  <c r="D71" i="2"/>
  <c r="J70" i="2"/>
  <c r="F70" i="2"/>
  <c r="D70" i="2"/>
  <c r="J69" i="2"/>
  <c r="F69" i="2"/>
  <c r="D69" i="2"/>
  <c r="J68" i="2"/>
  <c r="F68" i="2"/>
  <c r="D68" i="2"/>
  <c r="J67" i="2"/>
  <c r="F67" i="2"/>
  <c r="D67" i="2"/>
  <c r="J66" i="2"/>
  <c r="F66" i="2"/>
  <c r="D66" i="2"/>
  <c r="J65" i="2"/>
  <c r="F65" i="2"/>
  <c r="D65" i="2"/>
  <c r="J64" i="2"/>
  <c r="F64" i="2"/>
  <c r="D64" i="2"/>
  <c r="J63" i="2"/>
  <c r="F63" i="2"/>
  <c r="D63" i="2"/>
  <c r="J62" i="2"/>
  <c r="F62" i="2"/>
  <c r="D62" i="2"/>
  <c r="J61" i="2"/>
  <c r="F61" i="2"/>
  <c r="D61" i="2"/>
  <c r="J60" i="2"/>
  <c r="F60" i="2"/>
  <c r="D60" i="2"/>
  <c r="J59" i="2"/>
  <c r="F59" i="2"/>
  <c r="D59" i="2"/>
  <c r="J58" i="2"/>
  <c r="F58" i="2"/>
  <c r="D58" i="2"/>
  <c r="J57" i="2"/>
  <c r="F57" i="2"/>
  <c r="D57" i="2"/>
  <c r="J56" i="2"/>
  <c r="F56" i="2"/>
  <c r="D56" i="2"/>
  <c r="J55" i="2"/>
  <c r="F55" i="2"/>
  <c r="D55" i="2"/>
  <c r="J54" i="2"/>
  <c r="F54" i="2"/>
  <c r="D54" i="2"/>
  <c r="J53" i="2"/>
  <c r="F53" i="2"/>
  <c r="D53" i="2"/>
  <c r="J52" i="2"/>
  <c r="F52" i="2"/>
  <c r="D52" i="2"/>
  <c r="J51" i="2"/>
  <c r="F51" i="2"/>
  <c r="D51" i="2"/>
  <c r="J50" i="2"/>
  <c r="F50" i="2"/>
  <c r="D50" i="2"/>
  <c r="J49" i="2"/>
  <c r="F49" i="2"/>
  <c r="D49" i="2"/>
  <c r="J48" i="2"/>
  <c r="F48" i="2"/>
  <c r="D48" i="2"/>
  <c r="J47" i="2"/>
  <c r="F47" i="2"/>
  <c r="D47" i="2"/>
  <c r="J46" i="2"/>
  <c r="F46" i="2"/>
  <c r="D46" i="2"/>
  <c r="J45" i="2"/>
  <c r="F45" i="2"/>
  <c r="D45" i="2"/>
  <c r="J44" i="2"/>
  <c r="F44" i="2"/>
  <c r="D44" i="2"/>
  <c r="J43" i="2"/>
  <c r="F43" i="2"/>
  <c r="D43" i="2"/>
  <c r="J42" i="2"/>
  <c r="F42" i="2"/>
  <c r="D42" i="2"/>
  <c r="J41" i="2"/>
  <c r="F41" i="2"/>
  <c r="D41" i="2"/>
  <c r="J40" i="2"/>
  <c r="F40" i="2"/>
  <c r="D40" i="2"/>
  <c r="J39" i="2"/>
  <c r="F39" i="2"/>
  <c r="D39" i="2"/>
  <c r="J38" i="2"/>
  <c r="F38" i="2"/>
  <c r="D38" i="2"/>
  <c r="J37" i="2"/>
  <c r="F37" i="2"/>
  <c r="D37" i="2"/>
  <c r="J36" i="2"/>
  <c r="F36" i="2"/>
  <c r="D36" i="2"/>
  <c r="J35" i="2"/>
  <c r="F35" i="2"/>
  <c r="D35" i="2"/>
  <c r="J34" i="2"/>
  <c r="F34" i="2"/>
  <c r="D34" i="2"/>
  <c r="J33" i="2"/>
  <c r="F33" i="2"/>
  <c r="D33" i="2"/>
  <c r="J32" i="2"/>
  <c r="F32" i="2"/>
  <c r="D32" i="2"/>
  <c r="J31" i="2"/>
  <c r="F31" i="2"/>
  <c r="D31" i="2"/>
  <c r="J30" i="2"/>
  <c r="F30" i="2"/>
  <c r="D30" i="2"/>
  <c r="J29" i="2"/>
  <c r="F29" i="2"/>
  <c r="D29" i="2"/>
  <c r="J28" i="2"/>
  <c r="F28" i="2"/>
  <c r="D28" i="2"/>
  <c r="J27" i="2"/>
  <c r="F27" i="2"/>
  <c r="D27" i="2"/>
  <c r="J26" i="2"/>
  <c r="F26" i="2"/>
  <c r="D26" i="2"/>
  <c r="J25" i="2"/>
  <c r="F25" i="2"/>
  <c r="D25" i="2"/>
  <c r="J24" i="2"/>
  <c r="F24" i="2"/>
  <c r="D24" i="2"/>
  <c r="J23" i="2"/>
  <c r="F23" i="2"/>
  <c r="D23" i="2"/>
  <c r="J22" i="2"/>
  <c r="F22" i="2"/>
  <c r="D22" i="2"/>
  <c r="J21" i="2"/>
  <c r="F21" i="2"/>
  <c r="D21" i="2"/>
  <c r="J20" i="2"/>
  <c r="F20" i="2"/>
  <c r="D20" i="2"/>
  <c r="J19" i="2"/>
  <c r="F19" i="2"/>
  <c r="D19" i="2"/>
  <c r="J18" i="2"/>
  <c r="F18" i="2"/>
  <c r="D18" i="2"/>
  <c r="J17" i="2"/>
  <c r="F17" i="2"/>
  <c r="D17" i="2"/>
  <c r="J16" i="2"/>
  <c r="F16" i="2"/>
  <c r="D16" i="2"/>
  <c r="J15" i="2"/>
  <c r="F15" i="2"/>
  <c r="D15" i="2"/>
  <c r="J14" i="2"/>
  <c r="F14" i="2"/>
  <c r="D14" i="2"/>
  <c r="J13" i="2"/>
  <c r="F13" i="2"/>
  <c r="D13" i="2"/>
  <c r="J12" i="2"/>
  <c r="F12" i="2"/>
  <c r="D12" i="2"/>
  <c r="J11" i="2"/>
  <c r="F11" i="2"/>
  <c r="D11" i="2"/>
  <c r="J10" i="2"/>
  <c r="F10" i="2"/>
  <c r="D10" i="2"/>
  <c r="J9" i="2"/>
  <c r="F9" i="2"/>
  <c r="D9" i="2"/>
  <c r="J8" i="2"/>
  <c r="F8" i="2"/>
  <c r="D8" i="2"/>
  <c r="J7" i="2"/>
  <c r="F7" i="2"/>
  <c r="D7" i="2"/>
  <c r="J6" i="2"/>
  <c r="F6" i="2"/>
  <c r="D6" i="2"/>
  <c r="J5" i="2"/>
  <c r="F5" i="2"/>
  <c r="D5" i="2"/>
  <c r="J4" i="2"/>
  <c r="F4" i="2"/>
  <c r="D4" i="2"/>
  <c r="J3" i="2"/>
  <c r="F3" i="2"/>
  <c r="D3" i="2"/>
  <c r="J2" i="2"/>
  <c r="F2" i="2"/>
  <c r="D2" i="2"/>
  <c r="J1" i="2"/>
  <c r="F1" i="2"/>
  <c r="D1" i="2"/>
  <c r="J406" i="1"/>
  <c r="F406" i="1"/>
  <c r="D406" i="1"/>
  <c r="J405" i="1"/>
  <c r="F405" i="1"/>
  <c r="D405" i="1"/>
  <c r="J404" i="1"/>
  <c r="F404" i="1"/>
  <c r="D404" i="1"/>
  <c r="J403" i="1"/>
  <c r="F403" i="1"/>
  <c r="D403" i="1"/>
  <c r="J402" i="1"/>
  <c r="F402" i="1"/>
  <c r="D402" i="1"/>
  <c r="J401" i="1"/>
  <c r="F401" i="1"/>
  <c r="D401" i="1"/>
  <c r="J400" i="1"/>
  <c r="F400" i="1"/>
  <c r="D400" i="1"/>
  <c r="J399" i="1"/>
  <c r="F399" i="1"/>
  <c r="D399" i="1"/>
  <c r="J398" i="1"/>
  <c r="F398" i="1"/>
  <c r="D398" i="1"/>
  <c r="J397" i="1"/>
  <c r="F397" i="1"/>
  <c r="D397" i="1"/>
  <c r="J396" i="1"/>
  <c r="F396" i="1"/>
  <c r="D396" i="1"/>
  <c r="J395" i="1"/>
  <c r="F395" i="1"/>
  <c r="D395" i="1"/>
  <c r="J394" i="1"/>
  <c r="F394" i="1"/>
  <c r="D394" i="1"/>
  <c r="J393" i="1"/>
  <c r="F393" i="1"/>
  <c r="D393" i="1"/>
  <c r="J392" i="1"/>
  <c r="F392" i="1"/>
  <c r="D392" i="1"/>
  <c r="J391" i="1"/>
  <c r="F391" i="1"/>
  <c r="D391" i="1"/>
  <c r="J390" i="1"/>
  <c r="F390" i="1"/>
  <c r="D390" i="1"/>
  <c r="J389" i="1"/>
  <c r="F389" i="1"/>
  <c r="D389" i="1"/>
  <c r="J388" i="1"/>
  <c r="F388" i="1"/>
  <c r="D388" i="1"/>
  <c r="J387" i="1"/>
  <c r="F387" i="1"/>
  <c r="D387" i="1"/>
  <c r="J386" i="1"/>
  <c r="F386" i="1"/>
  <c r="D386" i="1"/>
  <c r="J385" i="1"/>
  <c r="F385" i="1"/>
  <c r="D385" i="1"/>
  <c r="J384" i="1"/>
  <c r="F384" i="1"/>
  <c r="D384" i="1"/>
  <c r="J383" i="1"/>
  <c r="F383" i="1"/>
  <c r="D383" i="1"/>
  <c r="J382" i="1"/>
  <c r="F382" i="1"/>
  <c r="D382" i="1"/>
  <c r="J381" i="1"/>
  <c r="F381" i="1"/>
  <c r="D381" i="1"/>
  <c r="J380" i="1"/>
  <c r="F380" i="1"/>
  <c r="D380" i="1"/>
  <c r="J379" i="1"/>
  <c r="F379" i="1"/>
  <c r="D379" i="1"/>
  <c r="J378" i="1"/>
  <c r="F378" i="1"/>
  <c r="D378" i="1"/>
  <c r="J377" i="1"/>
  <c r="F377" i="1"/>
  <c r="D377" i="1"/>
  <c r="J376" i="1"/>
  <c r="F376" i="1"/>
  <c r="D376" i="1"/>
  <c r="J375" i="1"/>
  <c r="F375" i="1"/>
  <c r="D375" i="1"/>
  <c r="J374" i="1"/>
  <c r="F374" i="1"/>
  <c r="D374" i="1"/>
  <c r="J373" i="1"/>
  <c r="F373" i="1"/>
  <c r="D373" i="1"/>
  <c r="J372" i="1"/>
  <c r="F372" i="1"/>
  <c r="D372" i="1"/>
  <c r="J371" i="1"/>
  <c r="F371" i="1"/>
  <c r="D371" i="1"/>
  <c r="J370" i="1"/>
  <c r="F370" i="1"/>
  <c r="D370" i="1"/>
  <c r="J369" i="1"/>
  <c r="F369" i="1"/>
  <c r="D369" i="1"/>
  <c r="J368" i="1"/>
  <c r="F368" i="1"/>
  <c r="D368" i="1"/>
  <c r="J367" i="1"/>
  <c r="F367" i="1"/>
  <c r="D367" i="1"/>
  <c r="J366" i="1"/>
  <c r="F366" i="1"/>
  <c r="D366" i="1"/>
  <c r="J365" i="1"/>
  <c r="F365" i="1"/>
  <c r="D365" i="1"/>
  <c r="J364" i="1"/>
  <c r="F364" i="1"/>
  <c r="D364" i="1"/>
  <c r="J363" i="1"/>
  <c r="F363" i="1"/>
  <c r="D363" i="1"/>
  <c r="J362" i="1"/>
  <c r="F362" i="1"/>
  <c r="D362" i="1"/>
  <c r="J361" i="1"/>
  <c r="F361" i="1"/>
  <c r="D361" i="1"/>
  <c r="J360" i="1"/>
  <c r="F360" i="1"/>
  <c r="D360" i="1"/>
  <c r="J359" i="1"/>
  <c r="F359" i="1"/>
  <c r="D359" i="1"/>
  <c r="J358" i="1"/>
  <c r="F358" i="1"/>
  <c r="D358" i="1"/>
  <c r="J357" i="1"/>
  <c r="F357" i="1"/>
  <c r="D357" i="1"/>
  <c r="J356" i="1"/>
  <c r="F356" i="1"/>
  <c r="D356" i="1"/>
  <c r="J355" i="1"/>
  <c r="F355" i="1"/>
  <c r="D355" i="1"/>
  <c r="J354" i="1"/>
  <c r="F354" i="1"/>
  <c r="D354" i="1"/>
  <c r="J353" i="1"/>
  <c r="F353" i="1"/>
  <c r="D353" i="1"/>
  <c r="J352" i="1"/>
  <c r="F352" i="1"/>
  <c r="D352" i="1"/>
  <c r="J351" i="1"/>
  <c r="F351" i="1"/>
  <c r="D351" i="1"/>
  <c r="J350" i="1"/>
  <c r="F350" i="1"/>
  <c r="D350" i="1"/>
  <c r="J349" i="1"/>
  <c r="F349" i="1"/>
  <c r="D349" i="1"/>
  <c r="J348" i="1"/>
  <c r="F348" i="1"/>
  <c r="D348" i="1"/>
  <c r="J347" i="1"/>
  <c r="F347" i="1"/>
  <c r="D347" i="1"/>
  <c r="J346" i="1"/>
  <c r="F346" i="1"/>
  <c r="D346" i="1"/>
  <c r="J345" i="1"/>
  <c r="F345" i="1"/>
  <c r="D345" i="1"/>
  <c r="J344" i="1"/>
  <c r="F344" i="1"/>
  <c r="D344" i="1"/>
  <c r="J343" i="1"/>
  <c r="F343" i="1"/>
  <c r="D343" i="1"/>
  <c r="J342" i="1"/>
  <c r="F342" i="1"/>
  <c r="D342" i="1"/>
  <c r="J341" i="1"/>
  <c r="F341" i="1"/>
  <c r="D341" i="1"/>
  <c r="J340" i="1"/>
  <c r="F340" i="1"/>
  <c r="D340" i="1"/>
  <c r="J339" i="1"/>
  <c r="F339" i="1"/>
  <c r="D339" i="1"/>
  <c r="J338" i="1"/>
  <c r="F338" i="1"/>
  <c r="D338" i="1"/>
  <c r="J337" i="1"/>
  <c r="F337" i="1"/>
  <c r="D337" i="1"/>
  <c r="J336" i="1"/>
  <c r="F336" i="1"/>
  <c r="D336" i="1"/>
  <c r="J335" i="1"/>
  <c r="F335" i="1"/>
  <c r="D335" i="1"/>
  <c r="J334" i="1"/>
  <c r="F334" i="1"/>
  <c r="D334" i="1"/>
  <c r="J333" i="1"/>
  <c r="F333" i="1"/>
  <c r="D333" i="1"/>
  <c r="J332" i="1"/>
  <c r="F332" i="1"/>
  <c r="D332" i="1"/>
  <c r="J331" i="1"/>
  <c r="F331" i="1"/>
  <c r="D331" i="1"/>
  <c r="J330" i="1"/>
  <c r="F330" i="1"/>
  <c r="D330" i="1"/>
  <c r="J329" i="1"/>
  <c r="F329" i="1"/>
  <c r="D329" i="1"/>
  <c r="J328" i="1"/>
  <c r="F328" i="1"/>
  <c r="D328" i="1"/>
  <c r="J327" i="1"/>
  <c r="F327" i="1"/>
  <c r="D327" i="1"/>
  <c r="J326" i="1"/>
  <c r="F326" i="1"/>
  <c r="D326" i="1"/>
  <c r="J325" i="1"/>
  <c r="F325" i="1"/>
  <c r="D325" i="1"/>
  <c r="J324" i="1"/>
  <c r="F324" i="1"/>
  <c r="D324" i="1"/>
  <c r="J323" i="1"/>
  <c r="F323" i="1"/>
  <c r="D323" i="1"/>
  <c r="J322" i="1"/>
  <c r="F322" i="1"/>
  <c r="D322" i="1"/>
  <c r="J321" i="1"/>
  <c r="F321" i="1"/>
  <c r="D321" i="1"/>
  <c r="J320" i="1"/>
  <c r="F320" i="1"/>
  <c r="D320" i="1"/>
  <c r="J319" i="1"/>
  <c r="F319" i="1"/>
  <c r="D319" i="1"/>
  <c r="J318" i="1"/>
  <c r="F318" i="1"/>
  <c r="D318" i="1"/>
  <c r="J317" i="1"/>
  <c r="F317" i="1"/>
  <c r="D317" i="1"/>
  <c r="J316" i="1"/>
  <c r="F316" i="1"/>
  <c r="D316" i="1"/>
  <c r="J315" i="1"/>
  <c r="F315" i="1"/>
  <c r="D315" i="1"/>
  <c r="J314" i="1"/>
  <c r="F314" i="1"/>
  <c r="D314" i="1"/>
  <c r="J313" i="1"/>
  <c r="F313" i="1"/>
  <c r="D313" i="1"/>
  <c r="J312" i="1"/>
  <c r="F312" i="1"/>
  <c r="D312" i="1"/>
  <c r="J311" i="1"/>
  <c r="F311" i="1"/>
  <c r="D311" i="1"/>
  <c r="J310" i="1"/>
  <c r="F310" i="1"/>
  <c r="D310" i="1"/>
  <c r="J309" i="1"/>
  <c r="F309" i="1"/>
  <c r="D309" i="1"/>
  <c r="J308" i="1"/>
  <c r="F308" i="1"/>
  <c r="D308" i="1"/>
  <c r="J307" i="1"/>
  <c r="F307" i="1"/>
  <c r="D307" i="1"/>
  <c r="J306" i="1"/>
  <c r="F306" i="1"/>
  <c r="D306" i="1"/>
  <c r="J305" i="1"/>
  <c r="F305" i="1"/>
  <c r="D305" i="1"/>
  <c r="J304" i="1"/>
  <c r="F304" i="1"/>
  <c r="D304" i="1"/>
  <c r="J303" i="1"/>
  <c r="F303" i="1"/>
  <c r="D303" i="1"/>
  <c r="J302" i="1"/>
  <c r="F302" i="1"/>
  <c r="D302" i="1"/>
  <c r="J301" i="1"/>
  <c r="F301" i="1"/>
  <c r="D301" i="1"/>
  <c r="J300" i="1"/>
  <c r="F300" i="1"/>
  <c r="D300" i="1"/>
  <c r="J299" i="1"/>
  <c r="F299" i="1"/>
  <c r="D299" i="1"/>
  <c r="J298" i="1"/>
  <c r="F298" i="1"/>
  <c r="D298" i="1"/>
  <c r="J297" i="1"/>
  <c r="F297" i="1"/>
  <c r="D297" i="1"/>
  <c r="J296" i="1"/>
  <c r="F296" i="1"/>
  <c r="D296" i="1"/>
  <c r="J295" i="1"/>
  <c r="F295" i="1"/>
  <c r="D295" i="1"/>
  <c r="J294" i="1"/>
  <c r="F294" i="1"/>
  <c r="D294" i="1"/>
  <c r="J293" i="1"/>
  <c r="F293" i="1"/>
  <c r="D293" i="1"/>
  <c r="J292" i="1"/>
  <c r="F292" i="1"/>
  <c r="D292" i="1"/>
  <c r="J291" i="1"/>
  <c r="F291" i="1"/>
  <c r="D291" i="1"/>
  <c r="J290" i="1"/>
  <c r="F290" i="1"/>
  <c r="D290" i="1"/>
  <c r="J289" i="1"/>
  <c r="F289" i="1"/>
  <c r="D289" i="1"/>
  <c r="J288" i="1"/>
  <c r="F288" i="1"/>
  <c r="D288" i="1"/>
  <c r="J287" i="1"/>
  <c r="F287" i="1"/>
  <c r="D287" i="1"/>
  <c r="J286" i="1"/>
  <c r="F286" i="1"/>
  <c r="D286" i="1"/>
  <c r="J285" i="1"/>
  <c r="F285" i="1"/>
  <c r="D285" i="1"/>
  <c r="J284" i="1"/>
  <c r="F284" i="1"/>
  <c r="D284" i="1"/>
  <c r="J283" i="1"/>
  <c r="F283" i="1"/>
  <c r="D283" i="1"/>
  <c r="J282" i="1"/>
  <c r="F282" i="1"/>
  <c r="D282" i="1"/>
  <c r="J281" i="1"/>
  <c r="F281" i="1"/>
  <c r="D281" i="1"/>
  <c r="J280" i="1"/>
  <c r="F280" i="1"/>
  <c r="D280" i="1"/>
  <c r="J279" i="1"/>
  <c r="F279" i="1"/>
  <c r="D279" i="1"/>
  <c r="J278" i="1"/>
  <c r="F278" i="1"/>
  <c r="D278" i="1"/>
  <c r="J277" i="1"/>
  <c r="F277" i="1"/>
  <c r="D277" i="1"/>
  <c r="J276" i="1"/>
  <c r="F276" i="1"/>
  <c r="D276" i="1"/>
  <c r="J275" i="1"/>
  <c r="F275" i="1"/>
  <c r="D275" i="1"/>
  <c r="J274" i="1"/>
  <c r="F274" i="1"/>
  <c r="D274" i="1"/>
  <c r="J273" i="1"/>
  <c r="F273" i="1"/>
  <c r="D273" i="1"/>
  <c r="J272" i="1"/>
  <c r="F272" i="1"/>
  <c r="D272" i="1"/>
  <c r="J271" i="1"/>
  <c r="F271" i="1"/>
  <c r="D271" i="1"/>
  <c r="J270" i="1"/>
  <c r="F270" i="1"/>
  <c r="D270" i="1"/>
  <c r="J269" i="1"/>
  <c r="F269" i="1"/>
  <c r="D269" i="1"/>
  <c r="J268" i="1"/>
  <c r="F268" i="1"/>
  <c r="D268" i="1"/>
  <c r="J267" i="1"/>
  <c r="F267" i="1"/>
  <c r="D267" i="1"/>
  <c r="J266" i="1"/>
  <c r="F266" i="1"/>
  <c r="D266" i="1"/>
  <c r="J265" i="1"/>
  <c r="F265" i="1"/>
  <c r="D265" i="1"/>
  <c r="J264" i="1"/>
  <c r="F264" i="1"/>
  <c r="D264" i="1"/>
  <c r="J263" i="1"/>
  <c r="F263" i="1"/>
  <c r="D263" i="1"/>
  <c r="J262" i="1"/>
  <c r="F262" i="1"/>
  <c r="D262" i="1"/>
  <c r="J261" i="1"/>
  <c r="F261" i="1"/>
  <c r="D261" i="1"/>
  <c r="J260" i="1"/>
  <c r="F260" i="1"/>
  <c r="D260" i="1"/>
  <c r="J259" i="1"/>
  <c r="F259" i="1"/>
  <c r="D259" i="1"/>
  <c r="J258" i="1"/>
  <c r="F258" i="1"/>
  <c r="D258" i="1"/>
  <c r="J257" i="1"/>
  <c r="F257" i="1"/>
  <c r="D257" i="1"/>
  <c r="J256" i="1"/>
  <c r="F256" i="1"/>
  <c r="D256" i="1"/>
  <c r="J255" i="1"/>
  <c r="F255" i="1"/>
  <c r="D255" i="1"/>
  <c r="J254" i="1"/>
  <c r="F254" i="1"/>
  <c r="D254" i="1"/>
  <c r="J253" i="1"/>
  <c r="F253" i="1"/>
  <c r="D253" i="1"/>
  <c r="J252" i="1"/>
  <c r="F252" i="1"/>
  <c r="D252" i="1"/>
  <c r="J251" i="1"/>
  <c r="F251" i="1"/>
  <c r="D251" i="1"/>
  <c r="J250" i="1"/>
  <c r="F250" i="1"/>
  <c r="D250" i="1"/>
  <c r="J249" i="1"/>
  <c r="F249" i="1"/>
  <c r="D249" i="1"/>
  <c r="J248" i="1"/>
  <c r="F248" i="1"/>
  <c r="D248" i="1"/>
  <c r="J247" i="1"/>
  <c r="F247" i="1"/>
  <c r="D247" i="1"/>
  <c r="J246" i="1"/>
  <c r="F246" i="1"/>
  <c r="D246" i="1"/>
  <c r="J245" i="1"/>
  <c r="F245" i="1"/>
  <c r="D245" i="1"/>
  <c r="J244" i="1"/>
  <c r="F244" i="1"/>
  <c r="D244" i="1"/>
  <c r="J243" i="1"/>
  <c r="F243" i="1"/>
  <c r="D243" i="1"/>
  <c r="J242" i="1"/>
  <c r="F242" i="1"/>
  <c r="D242" i="1"/>
  <c r="J241" i="1"/>
  <c r="F241" i="1"/>
  <c r="D241" i="1"/>
  <c r="J240" i="1"/>
  <c r="F240" i="1"/>
  <c r="D240" i="1"/>
  <c r="J239" i="1"/>
  <c r="F239" i="1"/>
  <c r="D239" i="1"/>
  <c r="J238" i="1"/>
  <c r="F238" i="1"/>
  <c r="D238" i="1"/>
  <c r="J237" i="1"/>
  <c r="F237" i="1"/>
  <c r="D237" i="1"/>
  <c r="J236" i="1"/>
  <c r="F236" i="1"/>
  <c r="D236" i="1"/>
  <c r="J235" i="1"/>
  <c r="F235" i="1"/>
  <c r="D235" i="1"/>
  <c r="J234" i="1"/>
  <c r="F234" i="1"/>
  <c r="D234" i="1"/>
  <c r="J233" i="1"/>
  <c r="F233" i="1"/>
  <c r="D233" i="1"/>
  <c r="J232" i="1"/>
  <c r="F232" i="1"/>
  <c r="D232" i="1"/>
  <c r="J231" i="1"/>
  <c r="F231" i="1"/>
  <c r="D231" i="1"/>
  <c r="J230" i="1"/>
  <c r="F230" i="1"/>
  <c r="D230" i="1"/>
  <c r="J229" i="1"/>
  <c r="F229" i="1"/>
  <c r="D229" i="1"/>
  <c r="J228" i="1"/>
  <c r="F228" i="1"/>
  <c r="D228" i="1"/>
  <c r="J227" i="1"/>
  <c r="F227" i="1"/>
  <c r="D227" i="1"/>
  <c r="J226" i="1"/>
  <c r="F226" i="1"/>
  <c r="D226" i="1"/>
  <c r="J225" i="1"/>
  <c r="F225" i="1"/>
  <c r="D225" i="1"/>
  <c r="J224" i="1"/>
  <c r="F224" i="1"/>
  <c r="D224" i="1"/>
  <c r="J223" i="1"/>
  <c r="F223" i="1"/>
  <c r="D223" i="1"/>
  <c r="J222" i="1"/>
  <c r="F222" i="1"/>
  <c r="D222" i="1"/>
  <c r="J221" i="1"/>
  <c r="F221" i="1"/>
  <c r="D221" i="1"/>
  <c r="J220" i="1"/>
  <c r="F220" i="1"/>
  <c r="D220" i="1"/>
  <c r="J219" i="1"/>
  <c r="F219" i="1"/>
  <c r="D219" i="1"/>
  <c r="J218" i="1"/>
  <c r="F218" i="1"/>
  <c r="D218" i="1"/>
  <c r="J217" i="1"/>
  <c r="F217" i="1"/>
  <c r="D217" i="1"/>
  <c r="J216" i="1"/>
  <c r="F216" i="1"/>
  <c r="D216" i="1"/>
  <c r="J215" i="1"/>
  <c r="F215" i="1"/>
  <c r="D215" i="1"/>
  <c r="J214" i="1"/>
  <c r="F214" i="1"/>
  <c r="D214" i="1"/>
  <c r="J213" i="1"/>
  <c r="F213" i="1"/>
  <c r="D213" i="1"/>
  <c r="J212" i="1"/>
  <c r="F212" i="1"/>
  <c r="D212" i="1"/>
  <c r="J211" i="1"/>
  <c r="F211" i="1"/>
  <c r="D211" i="1"/>
  <c r="J210" i="1"/>
  <c r="F210" i="1"/>
  <c r="D210" i="1"/>
  <c r="J209" i="1"/>
  <c r="F209" i="1"/>
  <c r="D209" i="1"/>
  <c r="J208" i="1"/>
  <c r="F208" i="1"/>
  <c r="D208" i="1"/>
  <c r="J207" i="1"/>
  <c r="F207" i="1"/>
  <c r="D207" i="1"/>
  <c r="J206" i="1"/>
  <c r="F206" i="1"/>
  <c r="D206" i="1"/>
  <c r="J205" i="1"/>
  <c r="F205" i="1"/>
  <c r="D205" i="1"/>
  <c r="J204" i="1"/>
  <c r="F204" i="1"/>
  <c r="D204" i="1"/>
  <c r="J203" i="1"/>
  <c r="F203" i="1"/>
  <c r="D203" i="1"/>
  <c r="J202" i="1"/>
  <c r="F202" i="1"/>
  <c r="D202" i="1"/>
  <c r="J201" i="1"/>
  <c r="F201" i="1"/>
  <c r="D201" i="1"/>
  <c r="J200" i="1"/>
  <c r="F200" i="1"/>
  <c r="D200" i="1"/>
  <c r="J199" i="1"/>
  <c r="F199" i="1"/>
  <c r="D199" i="1"/>
  <c r="J198" i="1"/>
  <c r="F198" i="1"/>
  <c r="D198" i="1"/>
  <c r="J197" i="1"/>
  <c r="F197" i="1"/>
  <c r="D197" i="1"/>
  <c r="J196" i="1"/>
  <c r="F196" i="1"/>
  <c r="D196" i="1"/>
  <c r="J195" i="1"/>
  <c r="F195" i="1"/>
  <c r="D195" i="1"/>
  <c r="J194" i="1"/>
  <c r="F194" i="1"/>
  <c r="D194" i="1"/>
  <c r="J193" i="1"/>
  <c r="F193" i="1"/>
  <c r="D193" i="1"/>
  <c r="J192" i="1"/>
  <c r="F192" i="1"/>
  <c r="D192" i="1"/>
  <c r="J191" i="1"/>
  <c r="F191" i="1"/>
  <c r="D191" i="1"/>
  <c r="J190" i="1"/>
  <c r="F190" i="1"/>
  <c r="D190" i="1"/>
  <c r="J189" i="1"/>
  <c r="F189" i="1"/>
  <c r="D189" i="1"/>
  <c r="J188" i="1"/>
  <c r="F188" i="1"/>
  <c r="D188" i="1"/>
  <c r="J187" i="1"/>
  <c r="F187" i="1"/>
  <c r="D187" i="1"/>
  <c r="J186" i="1"/>
  <c r="F186" i="1"/>
  <c r="D186" i="1"/>
  <c r="J185" i="1"/>
  <c r="F185" i="1"/>
  <c r="D185" i="1"/>
  <c r="J184" i="1"/>
  <c r="F184" i="1"/>
  <c r="D184" i="1"/>
  <c r="J183" i="1"/>
  <c r="F183" i="1"/>
  <c r="D183" i="1"/>
  <c r="J182" i="1"/>
  <c r="F182" i="1"/>
  <c r="D182" i="1"/>
  <c r="J181" i="1"/>
  <c r="F181" i="1"/>
  <c r="D181" i="1"/>
  <c r="J180" i="1"/>
  <c r="F180" i="1"/>
  <c r="D180" i="1"/>
  <c r="J179" i="1"/>
  <c r="F179" i="1"/>
  <c r="D179" i="1"/>
  <c r="J178" i="1"/>
  <c r="F178" i="1"/>
  <c r="D178" i="1"/>
  <c r="J177" i="1"/>
  <c r="F177" i="1"/>
  <c r="D177" i="1"/>
  <c r="J176" i="1"/>
  <c r="F176" i="1"/>
  <c r="D176" i="1"/>
  <c r="J175" i="1"/>
  <c r="F175" i="1"/>
  <c r="D175" i="1"/>
  <c r="J174" i="1"/>
  <c r="F174" i="1"/>
  <c r="D174" i="1"/>
  <c r="J173" i="1"/>
  <c r="F173" i="1"/>
  <c r="D173" i="1"/>
  <c r="J172" i="1"/>
  <c r="F172" i="1"/>
  <c r="D172" i="1"/>
  <c r="J171" i="1"/>
  <c r="F171" i="1"/>
  <c r="D171" i="1"/>
  <c r="J170" i="1"/>
  <c r="F170" i="1"/>
  <c r="D170" i="1"/>
  <c r="J169" i="1"/>
  <c r="F169" i="1"/>
  <c r="D169" i="1"/>
  <c r="J168" i="1"/>
  <c r="F168" i="1"/>
  <c r="D168" i="1"/>
  <c r="J167" i="1"/>
  <c r="F167" i="1"/>
  <c r="D167" i="1"/>
  <c r="J166" i="1"/>
  <c r="F166" i="1"/>
  <c r="D166" i="1"/>
  <c r="J165" i="1"/>
  <c r="F165" i="1"/>
  <c r="D165" i="1"/>
  <c r="J164" i="1"/>
  <c r="F164" i="1"/>
  <c r="D164" i="1"/>
  <c r="J163" i="1"/>
  <c r="F163" i="1"/>
  <c r="D163" i="1"/>
  <c r="J162" i="1"/>
  <c r="F162" i="1"/>
  <c r="D162" i="1"/>
  <c r="J161" i="1"/>
  <c r="F161" i="1"/>
  <c r="D161" i="1"/>
  <c r="J160" i="1"/>
  <c r="F160" i="1"/>
  <c r="D160" i="1"/>
  <c r="J159" i="1"/>
  <c r="F159" i="1"/>
  <c r="D159" i="1"/>
  <c r="J158" i="1"/>
  <c r="F158" i="1"/>
  <c r="D158" i="1"/>
  <c r="J157" i="1"/>
  <c r="F157" i="1"/>
  <c r="D157" i="1"/>
  <c r="J156" i="1"/>
  <c r="F156" i="1"/>
  <c r="D156" i="1"/>
  <c r="J155" i="1"/>
  <c r="F155" i="1"/>
  <c r="D155" i="1"/>
  <c r="J154" i="1"/>
  <c r="F154" i="1"/>
  <c r="D154" i="1"/>
  <c r="J153" i="1"/>
  <c r="F153" i="1"/>
  <c r="D153" i="1"/>
  <c r="J152" i="1"/>
  <c r="F152" i="1"/>
  <c r="D152" i="1"/>
  <c r="J151" i="1"/>
  <c r="F151" i="1"/>
  <c r="D151" i="1"/>
  <c r="J150" i="1"/>
  <c r="F150" i="1"/>
  <c r="D150" i="1"/>
  <c r="J149" i="1"/>
  <c r="F149" i="1"/>
  <c r="D149" i="1"/>
  <c r="J148" i="1"/>
  <c r="F148" i="1"/>
  <c r="D148" i="1"/>
  <c r="J147" i="1"/>
  <c r="F147" i="1"/>
  <c r="D147" i="1"/>
  <c r="J146" i="1"/>
  <c r="F146" i="1"/>
  <c r="D146" i="1"/>
  <c r="J145" i="1"/>
  <c r="F145" i="1"/>
  <c r="D145" i="1"/>
  <c r="J144" i="1"/>
  <c r="F144" i="1"/>
  <c r="D144" i="1"/>
  <c r="J143" i="1"/>
  <c r="F143" i="1"/>
  <c r="D143" i="1"/>
  <c r="J142" i="1"/>
  <c r="F142" i="1"/>
  <c r="D142" i="1"/>
  <c r="J141" i="1"/>
  <c r="F141" i="1"/>
  <c r="D141" i="1"/>
  <c r="J140" i="1"/>
  <c r="F140" i="1"/>
  <c r="D140" i="1"/>
  <c r="J139" i="1"/>
  <c r="F139" i="1"/>
  <c r="D139" i="1"/>
  <c r="J138" i="1"/>
  <c r="F138" i="1"/>
  <c r="D138" i="1"/>
  <c r="J137" i="1"/>
  <c r="F137" i="1"/>
  <c r="D137" i="1"/>
  <c r="J136" i="1"/>
  <c r="F136" i="1"/>
  <c r="D136" i="1"/>
  <c r="J135" i="1"/>
  <c r="F135" i="1"/>
  <c r="D135" i="1"/>
  <c r="J134" i="1"/>
  <c r="F134" i="1"/>
  <c r="D134" i="1"/>
  <c r="J133" i="1"/>
  <c r="F133" i="1"/>
  <c r="D133" i="1"/>
  <c r="J132" i="1"/>
  <c r="F132" i="1"/>
  <c r="D132" i="1"/>
  <c r="J131" i="1"/>
  <c r="F131" i="1"/>
  <c r="D131" i="1"/>
  <c r="J130" i="1"/>
  <c r="F130" i="1"/>
  <c r="D130" i="1"/>
  <c r="J129" i="1"/>
  <c r="F129" i="1"/>
  <c r="D129" i="1"/>
  <c r="J128" i="1"/>
  <c r="F128" i="1"/>
  <c r="D128" i="1"/>
  <c r="J127" i="1"/>
  <c r="F127" i="1"/>
  <c r="D127" i="1"/>
  <c r="J126" i="1"/>
  <c r="F126" i="1"/>
  <c r="D126" i="1"/>
  <c r="J125" i="1"/>
  <c r="F125" i="1"/>
  <c r="D125" i="1"/>
  <c r="J124" i="1"/>
  <c r="F124" i="1"/>
  <c r="D124" i="1"/>
  <c r="J123" i="1"/>
  <c r="F123" i="1"/>
  <c r="D123" i="1"/>
  <c r="J122" i="1"/>
  <c r="F122" i="1"/>
  <c r="D122" i="1"/>
  <c r="J121" i="1"/>
  <c r="F121" i="1"/>
  <c r="D121" i="1"/>
  <c r="J120" i="1"/>
  <c r="F120" i="1"/>
  <c r="D120" i="1"/>
  <c r="J119" i="1"/>
  <c r="F119" i="1"/>
  <c r="D119" i="1"/>
  <c r="J118" i="1"/>
  <c r="F118" i="1"/>
  <c r="D118" i="1"/>
  <c r="J117" i="1"/>
  <c r="F117" i="1"/>
  <c r="D117" i="1"/>
  <c r="J116" i="1"/>
  <c r="F116" i="1"/>
  <c r="D116" i="1"/>
  <c r="J115" i="1"/>
  <c r="F115" i="1"/>
  <c r="D115" i="1"/>
  <c r="J114" i="1"/>
  <c r="F114" i="1"/>
  <c r="D114" i="1"/>
  <c r="J113" i="1"/>
  <c r="F113" i="1"/>
  <c r="D113" i="1"/>
  <c r="J112" i="1"/>
  <c r="F112" i="1"/>
  <c r="D112" i="1"/>
  <c r="J111" i="1"/>
  <c r="F111" i="1"/>
  <c r="D111" i="1"/>
  <c r="J110" i="1"/>
  <c r="F110" i="1"/>
  <c r="D110" i="1"/>
  <c r="J109" i="1"/>
  <c r="F109" i="1"/>
  <c r="D109" i="1"/>
  <c r="J108" i="1"/>
  <c r="F108" i="1"/>
  <c r="D108" i="1"/>
  <c r="J107" i="1"/>
  <c r="F107" i="1"/>
  <c r="D107" i="1"/>
  <c r="J106" i="1"/>
  <c r="F106" i="1"/>
  <c r="D106" i="1"/>
  <c r="J105" i="1"/>
  <c r="F105" i="1"/>
  <c r="D105" i="1"/>
  <c r="J104" i="1"/>
  <c r="F104" i="1"/>
  <c r="D104" i="1"/>
  <c r="J103" i="1"/>
  <c r="F103" i="1"/>
  <c r="D103" i="1"/>
  <c r="J102" i="1"/>
  <c r="F102" i="1"/>
  <c r="D102" i="1"/>
  <c r="J101" i="1"/>
  <c r="F101" i="1"/>
  <c r="D101" i="1"/>
  <c r="J100" i="1"/>
  <c r="F100" i="1"/>
  <c r="D100" i="1"/>
  <c r="J99" i="1"/>
  <c r="F99" i="1"/>
  <c r="D99" i="1"/>
  <c r="J98" i="1"/>
  <c r="F98" i="1"/>
  <c r="D98" i="1"/>
  <c r="J97" i="1"/>
  <c r="F97" i="1"/>
  <c r="D97" i="1"/>
  <c r="J96" i="1"/>
  <c r="F96" i="1"/>
  <c r="D96" i="1"/>
  <c r="J95" i="1"/>
  <c r="F95" i="1"/>
  <c r="D95" i="1"/>
  <c r="J94" i="1"/>
  <c r="F94" i="1"/>
  <c r="D94" i="1"/>
  <c r="J93" i="1"/>
  <c r="F93" i="1"/>
  <c r="D93" i="1"/>
  <c r="J92" i="1"/>
  <c r="F92" i="1"/>
  <c r="D92" i="1"/>
  <c r="J91" i="1"/>
  <c r="F91" i="1"/>
  <c r="D91" i="1"/>
  <c r="J90" i="1"/>
  <c r="F90" i="1"/>
  <c r="D90" i="1"/>
  <c r="J89" i="1"/>
  <c r="F89" i="1"/>
  <c r="D89" i="1"/>
  <c r="J88" i="1"/>
  <c r="F88" i="1"/>
  <c r="D88" i="1"/>
  <c r="J87" i="1"/>
  <c r="F87" i="1"/>
  <c r="D87" i="1"/>
  <c r="J86" i="1"/>
  <c r="F86" i="1"/>
  <c r="D86" i="1"/>
  <c r="J85" i="1"/>
  <c r="F85" i="1"/>
  <c r="D85" i="1"/>
  <c r="J84" i="1"/>
  <c r="F84" i="1"/>
  <c r="D84" i="1"/>
  <c r="J83" i="1"/>
  <c r="F83" i="1"/>
  <c r="D83" i="1"/>
  <c r="J82" i="1"/>
  <c r="F82" i="1"/>
  <c r="D82" i="1"/>
  <c r="J81" i="1"/>
  <c r="F81" i="1"/>
  <c r="D81" i="1"/>
  <c r="J80" i="1"/>
  <c r="F80" i="1"/>
  <c r="D80" i="1"/>
  <c r="J79" i="1"/>
  <c r="F79" i="1"/>
  <c r="D79" i="1"/>
  <c r="J78" i="1"/>
  <c r="F78" i="1"/>
  <c r="D78" i="1"/>
  <c r="J77" i="1"/>
  <c r="F77" i="1"/>
  <c r="D77" i="1"/>
  <c r="J76" i="1"/>
  <c r="F76" i="1"/>
  <c r="D76" i="1"/>
  <c r="J75" i="1"/>
  <c r="F75" i="1"/>
  <c r="D75" i="1"/>
  <c r="J74" i="1"/>
  <c r="F74" i="1"/>
  <c r="D74" i="1"/>
  <c r="J73" i="1"/>
  <c r="F73" i="1"/>
  <c r="D73" i="1"/>
  <c r="J72" i="1"/>
  <c r="F72" i="1"/>
  <c r="D72" i="1"/>
  <c r="J71" i="1"/>
  <c r="F71" i="1"/>
  <c r="D71" i="1"/>
  <c r="J70" i="1"/>
  <c r="F70" i="1"/>
  <c r="D70" i="1"/>
  <c r="J69" i="1"/>
  <c r="F69" i="1"/>
  <c r="D69" i="1"/>
  <c r="J68" i="1"/>
  <c r="F68" i="1"/>
  <c r="D68" i="1"/>
  <c r="J67" i="1"/>
  <c r="F67" i="1"/>
  <c r="D67" i="1"/>
  <c r="J66" i="1"/>
  <c r="F66" i="1"/>
  <c r="D66" i="1"/>
  <c r="J65" i="1"/>
  <c r="F65" i="1"/>
  <c r="D65" i="1"/>
  <c r="J64" i="1"/>
  <c r="F64" i="1"/>
  <c r="D64" i="1"/>
  <c r="J63" i="1"/>
  <c r="F63" i="1"/>
  <c r="D63" i="1"/>
  <c r="J62" i="1"/>
  <c r="F62" i="1"/>
  <c r="D62" i="1"/>
  <c r="J61" i="1"/>
  <c r="F61" i="1"/>
  <c r="D61" i="1"/>
  <c r="J60" i="1"/>
  <c r="F60" i="1"/>
  <c r="D60" i="1"/>
  <c r="J59" i="1"/>
  <c r="F59" i="1"/>
  <c r="D59" i="1"/>
  <c r="J58" i="1"/>
  <c r="F58" i="1"/>
  <c r="D58" i="1"/>
  <c r="J57" i="1"/>
  <c r="F57" i="1"/>
  <c r="D57" i="1"/>
  <c r="J56" i="1"/>
  <c r="F56" i="1"/>
  <c r="D56" i="1"/>
  <c r="J55" i="1"/>
  <c r="F55" i="1"/>
  <c r="D55" i="1"/>
  <c r="J54" i="1"/>
  <c r="F54" i="1"/>
  <c r="D54" i="1"/>
  <c r="J53" i="1"/>
  <c r="F53" i="1"/>
  <c r="D53" i="1"/>
  <c r="J52" i="1"/>
  <c r="F52" i="1"/>
  <c r="D52" i="1"/>
  <c r="J51" i="1"/>
  <c r="F51" i="1"/>
  <c r="D51" i="1"/>
  <c r="J50" i="1"/>
  <c r="F50" i="1"/>
  <c r="D50" i="1"/>
  <c r="J49" i="1"/>
  <c r="F49" i="1"/>
  <c r="D49" i="1"/>
  <c r="J48" i="1"/>
  <c r="F48" i="1"/>
  <c r="D48" i="1"/>
  <c r="J47" i="1"/>
  <c r="F47" i="1"/>
  <c r="D47" i="1"/>
  <c r="J46" i="1"/>
  <c r="F46" i="1"/>
  <c r="D46" i="1"/>
  <c r="J45" i="1"/>
  <c r="F45" i="1"/>
  <c r="D45" i="1"/>
  <c r="J44" i="1"/>
  <c r="F44" i="1"/>
  <c r="D44" i="1"/>
  <c r="J43" i="1"/>
  <c r="F43" i="1"/>
  <c r="D43" i="1"/>
  <c r="J42" i="1"/>
  <c r="F42" i="1"/>
  <c r="D42" i="1"/>
  <c r="J41" i="1"/>
  <c r="F41" i="1"/>
  <c r="D41" i="1"/>
  <c r="J40" i="1"/>
  <c r="F40" i="1"/>
  <c r="D40" i="1"/>
  <c r="J39" i="1"/>
  <c r="F39" i="1"/>
  <c r="D39" i="1"/>
  <c r="J38" i="1"/>
  <c r="F38" i="1"/>
  <c r="D38" i="1"/>
  <c r="J37" i="1"/>
  <c r="F37" i="1"/>
  <c r="D37" i="1"/>
  <c r="J36" i="1"/>
  <c r="F36" i="1"/>
  <c r="D36" i="1"/>
  <c r="J35" i="1"/>
  <c r="F35" i="1"/>
  <c r="D35" i="1"/>
  <c r="J34" i="1"/>
  <c r="F34" i="1"/>
  <c r="D34" i="1"/>
  <c r="J33" i="1"/>
  <c r="F33" i="1"/>
  <c r="D33" i="1"/>
  <c r="J32" i="1"/>
  <c r="F32" i="1"/>
  <c r="D32" i="1"/>
  <c r="J31" i="1"/>
  <c r="F31" i="1"/>
  <c r="D31" i="1"/>
  <c r="J30" i="1"/>
  <c r="F30" i="1"/>
  <c r="D30" i="1"/>
  <c r="J29" i="1"/>
  <c r="F29" i="1"/>
  <c r="D29" i="1"/>
  <c r="J28" i="1"/>
  <c r="F28" i="1"/>
  <c r="D28" i="1"/>
  <c r="J27" i="1"/>
  <c r="F27" i="1"/>
  <c r="D27" i="1"/>
  <c r="J26" i="1"/>
  <c r="F26" i="1"/>
  <c r="D26" i="1"/>
  <c r="J25" i="1"/>
  <c r="F25" i="1"/>
  <c r="D25" i="1"/>
  <c r="J24" i="1"/>
  <c r="F24" i="1"/>
  <c r="D24" i="1"/>
  <c r="J23" i="1"/>
  <c r="F23" i="1"/>
  <c r="D23" i="1"/>
  <c r="J22" i="1"/>
  <c r="F22" i="1"/>
  <c r="D22" i="1"/>
  <c r="J21" i="1"/>
  <c r="F21" i="1"/>
  <c r="D21" i="1"/>
  <c r="J20" i="1"/>
  <c r="F20" i="1"/>
  <c r="D20" i="1"/>
  <c r="J19" i="1"/>
  <c r="F19" i="1"/>
  <c r="D19" i="1"/>
  <c r="J18" i="1"/>
  <c r="F18" i="1"/>
  <c r="D18" i="1"/>
  <c r="J17" i="1"/>
  <c r="F17" i="1"/>
  <c r="D17" i="1"/>
  <c r="J16" i="1"/>
  <c r="F16" i="1"/>
  <c r="D16" i="1"/>
  <c r="J15" i="1"/>
  <c r="F15" i="1"/>
  <c r="D15" i="1"/>
  <c r="J14" i="1"/>
  <c r="F14" i="1"/>
  <c r="D14" i="1"/>
  <c r="J13" i="1"/>
  <c r="F13" i="1"/>
  <c r="D13" i="1"/>
  <c r="J12" i="1"/>
  <c r="F12" i="1"/>
  <c r="D12" i="1"/>
  <c r="J11" i="1"/>
  <c r="F11" i="1"/>
  <c r="D11" i="1"/>
  <c r="J10" i="1"/>
  <c r="F10" i="1"/>
  <c r="D10" i="1"/>
  <c r="J9" i="1"/>
  <c r="F9" i="1"/>
  <c r="D9" i="1"/>
  <c r="J8" i="1"/>
  <c r="F8" i="1"/>
  <c r="D8" i="1"/>
  <c r="J7" i="1"/>
  <c r="F7" i="1"/>
  <c r="D7" i="1"/>
  <c r="J6" i="1"/>
  <c r="F6" i="1"/>
  <c r="D6" i="1"/>
  <c r="J5" i="1"/>
  <c r="F5" i="1"/>
  <c r="D5" i="1"/>
  <c r="J4" i="1"/>
  <c r="F4" i="1"/>
  <c r="D4" i="1"/>
  <c r="J3" i="1"/>
  <c r="F3" i="1"/>
  <c r="D3" i="1"/>
  <c r="J2" i="1"/>
  <c r="F2" i="1"/>
  <c r="D2" i="1"/>
  <c r="J1" i="1"/>
  <c r="F1" i="1"/>
  <c r="D1" i="1"/>
</calcChain>
</file>

<file path=xl/sharedStrings.xml><?xml version="1.0" encoding="utf-8"?>
<sst xmlns="http://schemas.openxmlformats.org/spreadsheetml/2006/main" count="3772" uniqueCount="1155">
  <si>
    <t>Color</t>
  </si>
  <si>
    <t>Código Id</t>
  </si>
  <si>
    <t>Código Codificación Abierta</t>
  </si>
  <si>
    <t>Segmento codificado</t>
  </si>
  <si>
    <t>Comentario Codificación Axial</t>
  </si>
  <si>
    <t>●</t>
  </si>
  <si>
    <t>U.M.RN.7</t>
  </si>
  <si>
    <t>RECURSOS HUMANOS\Resultado\Personal insuficiente frente a la demanda</t>
  </si>
  <si>
    <t>el personal que tiene excelente. Toda la gente que trabaja en psiquiatría son excelentes, pero dan poco abasto. O sea, ya no, no, no alcanzan las persona para atender tantos usuarios. Entonces ahí ya no hay seguimiento. Si el usuario no va, ya no hay una preocupación si va a volver o no volver, si se descompensó, entonces ya se está formando un círculo vicioso con los pacientes.</t>
  </si>
  <si>
    <t>381</t>
  </si>
  <si>
    <t>Efectos negativos: el personal no cubre la demanda de atención</t>
  </si>
  <si>
    <t>U.M.RM.8</t>
  </si>
  <si>
    <t>FINANCIACION\Resultado\Mala calidad de la atención</t>
  </si>
  <si>
    <t>En realidad yo no podría hablar de como muchos logros, porque en realidad veo, no es por ser pesimista, pero en comparación a lo vivido en Alsino veo falencias solamente, falencias que me han llevado a cuadros, cuadros de estrés, crisis inclusive producto de las malas atenciones</t>
  </si>
  <si>
    <t>279</t>
  </si>
  <si>
    <t>Efecto negativo: los mecanismos de financiación terminan generando problemas a los CSMC.</t>
  </si>
  <si>
    <t>el déficit de medicación, falta de explicación respecto a tratamientos, a diagnósticos, no hay seguimiento.</t>
  </si>
  <si>
    <t>107</t>
  </si>
  <si>
    <t>RECURSOS HUMANOS\Resultado\El paciente sufre muchos cambios de terapeuta</t>
  </si>
  <si>
    <t>Me han cambiado el psiquiatra chorrocientas miles de veces, entonces es como contar la historia de nuevo. Uno ya lo hace como sin ganas, como que ya da lo mismo, como que la resumo a tres o cuatro palabras</t>
  </si>
  <si>
    <t>205</t>
  </si>
  <si>
    <t>Efectos negativos: alta rotación de los y las profesionales</t>
  </si>
  <si>
    <t>entonces se va perdiendo ahí un contacto súper valioso que tiene que ver con el paciente-médico, que finalmente es el que crea la sanación, porque no es solamente el tomarte el medicamento al día y asistir a las terapias, sino que tiene que haber un contacto como afianzado entre el paciente y el doctor, o la psicóloga o quien sea que te que te atienda, para generar esta confianza y este volver a quererse uno mismo, para querer salir del cuadro en el que se encuentra y finalmente llegar a la superación.</t>
  </si>
  <si>
    <t>507</t>
  </si>
  <si>
    <t>RECURSOS HUMANOS\Resultado\Lógicas financieras en la organización de equipos</t>
  </si>
  <si>
    <t>yo no quiero ser criticona absolutamente, pero veo que existe como una cosa muy fría, muy como de de calzar en los números y no darle la importancia a las personas. Y en el caso nuestro, que es salud mental, es distinto el trato que debemos tener.</t>
  </si>
  <si>
    <t>247</t>
  </si>
  <si>
    <t>Efectos negativos: Un enfoque multidisciplinario no se ha logrado</t>
  </si>
  <si>
    <t>mi nuevo psiquiatra, que nuevamente me lo cambiaron. Pero estoy contenta con el nuevo, con el anterior también, pero se fue.</t>
  </si>
  <si>
    <t>124</t>
  </si>
  <si>
    <t>PERSONAS USUARIAS\Resultado\Personas que trabajan sin acceso a prestaciones</t>
  </si>
  <si>
    <t>mencionar también que no hay, yo ahora estoy sin trabajo, pero mientras trabajaba, trabajaba en un horario de oficina normal y las horas que existen, no existen para personas que trabajan.</t>
  </si>
  <si>
    <t>188</t>
  </si>
  <si>
    <t>Efectos negativos: falta de integración de la familia…</t>
  </si>
  <si>
    <t>O sea, entonces en que quedamos con la inclusión laboral para las personas con discapacidad si no nos dan esta flexibilidad.</t>
  </si>
  <si>
    <t>hay que entender que independiente de que existan leyes, no hay educación y conocimiento de los empleadores respecto de lo que significa ser una persona con discapacidad. Entonces, y más aún con una discapacidad psíquica.</t>
  </si>
  <si>
    <t>221</t>
  </si>
  <si>
    <t>Entonces que yo tuviese que todos los meses, es decir, no sé, tengo mi hora de psiquiatra, ¿me puedo ir temprano?. No, yo no lo hice. Lo hice una vez y el resto me salvó la pandemia, justo porque me hacía el horario ahí entremedio, o hablaba con el doctor de atenderme, acomodar los horarios</t>
  </si>
  <si>
    <t>291</t>
  </si>
  <si>
    <t>quieren que las personas se recuperen, pero ¿Cómo accedemos estas personas que nos estamos recuperando? ¿Cómo nos integramos a la sociedad si no podemos hacer una continuidad de tratamiento? Eso tiene que ir de la mano. Y la continuidad de tratamiento también tiene que ver con que exista la medicaciones en tiempo y forma cuando se se dan.</t>
  </si>
  <si>
    <t>340</t>
  </si>
  <si>
    <t>MEDICAMENTOS Y TECNOLOGIAS\Resultado\Médico que receta no sabe si hay stock en farmacia</t>
  </si>
  <si>
    <t>O sea, no es que el doctor tenga que estar adivinando si en la farmacia existe o no, la cantidad que le está recetando.</t>
  </si>
  <si>
    <t>119</t>
  </si>
  <si>
    <t>Efectos negativos: limitan la integralidad y continuidad de cuidados</t>
  </si>
  <si>
    <t>No puede el doctor no tener idea de que no está el remedio. Si, si, está todo en línea.</t>
  </si>
  <si>
    <t>87</t>
  </si>
  <si>
    <t>U.M.RM.6</t>
  </si>
  <si>
    <t>FINANCIACION\Resultado\Retrocesos en el modelo comunitario</t>
  </si>
  <si>
    <t>Anteriormente había una relación muy buena del COSAM con la comunidad.</t>
  </si>
  <si>
    <t>70</t>
  </si>
  <si>
    <t>Efecto negativo: Las lógicas de financiación a los CSMC no estimulan la implementación del modelo de salud mental comunitaria.</t>
  </si>
  <si>
    <t>Se hacían actividades terapéuticas, jornadas completas donde se hacía reiki, yoga, meditación, gimnasia bioenergética, comida saludable todo un día y eso se hacía cada tres meses con el dinero, con fondos municipales.</t>
  </si>
  <si>
    <t>217</t>
  </si>
  <si>
    <t>Pero eso también se debía a la buena voluntad y el trabajo de los funcionarios.</t>
  </si>
  <si>
    <t>79</t>
  </si>
  <si>
    <t>Los mismos chiquillos tenían un conjunto musical. Daban. Hacían peñas folclóricas para la gente. Era muy, muy acogedor el COSAM de esos años muy entretenido.</t>
  </si>
  <si>
    <t>157</t>
  </si>
  <si>
    <t>Llegaba mucho a la gente y no habían problemas de administración. Había bastante personal. No había lista de espera.</t>
  </si>
  <si>
    <t>116</t>
  </si>
  <si>
    <t>Durante esos años no hubo mayores problemas en la institución. Pero resulta que en el año 18 se iba a abrir un COSAM en Maipú. Y por cuestiones administrativas que yo desconozco, no se abrió el segundo COSAM de Maipú y ese personal quedó listo y lo trajeron al COSAM de Cerrillo para aumentar la dotación. Resulta que la nueva gente que venía del Servicio tuvo problemas con la administración municipal.</t>
  </si>
  <si>
    <t>403</t>
  </si>
  <si>
    <t>FINANCIACION\Resultado\Presupuesto a CSMC sin incremento</t>
  </si>
  <si>
    <t>Entonces empezaron distintos problemas, problemas de dineros, de presupuestos. El director exigía un presupuesto mayor. La Municipalidad no se lo entregaba.</t>
  </si>
  <si>
    <t>156</t>
  </si>
  <si>
    <t>Efecto negativo: Los actores no identifican un sistema de financiación de los CSMC</t>
  </si>
  <si>
    <t>RECURSOS HUMANOS\Resultado\Renuncia de profesionales experimentados</t>
  </si>
  <si>
    <t>Y luego otros psicólogos que habían empezaron a irse, porque vieron que COSAM no funcionaba ya.</t>
  </si>
  <si>
    <t>95</t>
  </si>
  <si>
    <t>Se fueron los terapeutas.</t>
  </si>
  <si>
    <t>25</t>
  </si>
  <si>
    <t>Se fue el fonoaudiólogo.</t>
  </si>
  <si>
    <t>24</t>
  </si>
  <si>
    <t>Los trabajadores sociales de tres que habían quedó uno.</t>
  </si>
  <si>
    <t>55</t>
  </si>
  <si>
    <t>Quedaron sin fonoaudiólogo, psicopedagogo tampoco, también se fueron y empezó la pandemia.</t>
  </si>
  <si>
    <t>90</t>
  </si>
  <si>
    <t>La enfermera se fue como préstamo a un CESFAM y al final quedaron tres psicólogos, dos terapeutas ocupacionales, un trabajador social y algunos administrativos. Seis administrativos quedaron. Y eso comenzó a repercutir en la población porque nos quedamos sin psiquiatra también.</t>
  </si>
  <si>
    <t>278</t>
  </si>
  <si>
    <t>RECURSOS HUMANOS\Resultado\Becada pisquiatría con licencia maternal no es reemplazada</t>
  </si>
  <si>
    <t>La psiquiatra se fue con licencia médica con un pre y posnatal de bastante tiempo. Y como era una beca no la podían reemplazar según en la municipalidad.</t>
  </si>
  <si>
    <t>153</t>
  </si>
  <si>
    <t>FINANCIACION\Resultado\Tensiones SS y Municipalidad</t>
  </si>
  <si>
    <t>nosotros como concejo ya organizados, fuimos a hablar a la Municipalidad, y  la Municipalidad, nos decían que tenía que solucionar los problemas el Servicio, íbamos al Servicio, nos decían que tenía que ser la municipalidad la que solucionara los problemas. Así que al final empezamos a mandar cartas y a reunirnos con las autoridades de la comuna para que se dieran cuenta qué era lo que estaba pasando en nuestro COSAM. La cosa es que nadie tenía idea de lo que pasaba. La Dideco, que era la dirección encargada de COSAM, no manifestaba ningún interés en solucionar los problemas de la entidad. Y así pasó más de un año.</t>
  </si>
  <si>
    <t>622</t>
  </si>
  <si>
    <t>RECURSOS HUMANOS\Resultado\Falta de especialistas</t>
  </si>
  <si>
    <t>Tuvimos muchos problemas con las recetas médicas porque nuestra psiquiatra recién esta reconocida como tal, ella es extranjera y no se le reconocía el título hasta hace poco tiempo. Entonces el médico que había en medicina general solamente se dedicaba a repetir las recetas. Bajo ningún seguimiento, como le hacían los medicamentos a los pacientes.</t>
  </si>
  <si>
    <t>349</t>
  </si>
  <si>
    <t>GOBERNANZA\Resultado\Instalación no exitosa de los CSMC</t>
  </si>
  <si>
    <t>A todo esto, cuando llegó la psiquiatra, empezó a diagnosticar a los pacientes para ayudar a adelantar en algo el trabajo. Y a dar recetas. Ella da sus recetas a nombre de ella. La licencia médica es también a nombre de ella. Por voluntad de ella.</t>
  </si>
  <si>
    <t>Efecto negativo: Cuestionamiento a la instalación del modelo de CSMC</t>
  </si>
  <si>
    <t>Y lo otro que nosotros nos hemos dado cuenta que el presupuesto que nos manda el Servicio de Salud es un presupuesto de 140 millones al año, que se repite ya desde el año 19 a esta parte.</t>
  </si>
  <si>
    <t>187</t>
  </si>
  <si>
    <t>MEDICAMENTOS Y TECNOLOGIAS\Resultado\No se realizan exámenes médicos</t>
  </si>
  <si>
    <t>Pero dentro de esos 140 millones están los PPI, que a nosotros siempre nos ha llamado la atención, porque se supone que esto es un programa de prestación institucional para que las personas, los pacientes de COSAM, se hagan exámenes y se les haga un seguimiento sobre de cómo les está afectando los medicamentos que están tomando. Lo que no se hace. En COSAM esto no se efectúa. Jamás se ha enviado a alguien a hacerse un examen de lo que sea. Y ese dinero aparentemente lo está usando la municipalidad. ¿Para qué? No lo sabemos.</t>
  </si>
  <si>
    <t>529</t>
  </si>
  <si>
    <t>aquí en Antofagasta por ejemplo, cuando el logro que se logró que se crearan los COSAM en un principio, que se dividió en tres sectores, eso ayudó mucho a atender al usuario de acuerdo a su lugar donde habitaba y había un orden con entrega de medicamentos, con el extracción de exámenes que se hace mensual. Pero eso duró muy poco y empezó primero que pues ya no, no, no, el servicio de, el Servicio de Salud ya no tenía para pagar el arriendo done funcionaba el COSAM, entonces lo trasladaron a otro lugar. Y así fue deteriorándose todo.</t>
  </si>
  <si>
    <t>538</t>
  </si>
  <si>
    <t>Y ya ahora como digo lo peor es como llama la atención del psiquiatra era, por lo menos antes era cada tres meses. Ahora después quedó el psiquiatra acá, cada seis meses en la atención de al usuario. Y ya al ya lo último, no había psiquiatras, ya no había atención. Entonces llegan los medicamentos de acuerdo a las sesiones que quedaron, o sea las indicaciones que quedaron.</t>
  </si>
  <si>
    <t>375</t>
  </si>
  <si>
    <t>Ahora seguimiento de los pacientes en los COSAM cuando son dados de alta de psiquiatría y los mandan al COSAM, no hay seguimiento y eso es porque no cuentan con vehículo, no cuentan con asistente social, tienen uno por COSAM y para poder hacer un seguimiento de ese paciente. Cuando falla, no viene, que pregunten donde está, porque no está. No, eso no existe. Y debiera de existir un seguimiento del usuario y no existe eso acá Antofagasta.</t>
  </si>
  <si>
    <t>441</t>
  </si>
  <si>
    <t>Entonces eso ha ido en aumento, entonces los tres COSAM que hay en Antofagasta, se hizo poco. Imagínense que Antofagasta atiende a las regiones, o sea la región que TalTal, Mejillones, Tocopilla, María Elena. No se da abasto para nada.</t>
  </si>
  <si>
    <t>235</t>
  </si>
  <si>
    <t>Entonces hacen falta más COSAM, y con más personal y con más psiquiatras.</t>
  </si>
  <si>
    <t>73</t>
  </si>
  <si>
    <t>MEDICAMENTOS Y TECNOLOGIAS\Resultado\Falta de medicamentos</t>
  </si>
  <si>
    <t>Ahora la falta de medicamento, hubo un tiempo que se daban bien los medicamentos y ahora ya, yo por ejemplo, yo le digo mi hijo cuando fue a retirar medicamento la otra vez le dieron una parte de los medicamento y dijeron que tenía que ir después porque faltaron. Y eso, imagínense. Entonces esa ausencia de medicamento también perjudica a los usuarios.</t>
  </si>
  <si>
    <t>353</t>
  </si>
  <si>
    <t>U.H.RM.9</t>
  </si>
  <si>
    <t>INFORMACION\Resultado\Mala calidad de registro clínico</t>
  </si>
  <si>
    <t>Por ejemplo, nosotros tuvimos eso de acercarnos un poco a los COSAM cuando hicimos una una especie de investigación referente a los hogares protegidos, a hogares protegidos y residencia protegida cuántas personas estaban vacunadas, porque había una campaña de vacunación, digamos grande, lo sabemos. Entonces resulta que los hogares protegidos que eran administrados por familiares de usuarios nos daban los datos y nosotros los entregamos al Ministerio. Pero cuánto queríamos, digamos, averiguar digamos, tener la información de las personas con tratamiento ambulatorio, que tenían que ver los COSAM con esto, los COSAM no tenían la información, no tenían la información.</t>
  </si>
  <si>
    <t>672</t>
  </si>
  <si>
    <t>Efecto negativo: Mala calidad del registro clínico.</t>
  </si>
  <si>
    <t>Porque por ejemplo, una compañera que no pudo venir de Puerto Montt, ella dice que realmente, primero que todo, ahora falta financiamiento.</t>
  </si>
  <si>
    <t>139</t>
  </si>
  <si>
    <t>cuando íbamos a visitar algunos lugares, en este caso Osorno y las demás regiones, siempre decían que la iniciativa era muy buena, pero de una forma u otra era, era para aliviar, digamos, el que las personas acudieran a los Servicios de Salud, a psiquiatría, que este era un, digamos, la reforma sanitaria habría tenido buen ojo en tratar de instalar estos COSAM. Un dispositivo cercano a la comunidad, con un equipo profesional que iba a dar respuesta a las personas, que iba a estar más cerca de las personas, porque eso es lo importante, que no se viera al doctor como "diostor", sino que como doctor, como una persona cercana. Y la verdad de las cosas que le conversábamos a los profesionales y decía mira la verdad de las cosas es que la idea es muy buena, pero acá estamos solamente con un asistente social, asistente social, no están, no están los demás profesionales. Bueno, hoy día Osorno está mejor, está mejor porque ya conversada que tiene tiene que ser realista. Pero faltan recursos. Y cuando faltan recursos, digamos, digamos indudablemente las cosas andan cojeando.</t>
  </si>
  <si>
    <t>1081</t>
  </si>
  <si>
    <t>PRESTACIONES\Resultado\Seguimiento o no de los pacientes</t>
  </si>
  <si>
    <t>Y que haya un seguimiento real de los pacientes. Yo por lo menos me he dado cuenta de que los pacientes se van, no vuelven más y nadie se preocupa ¿Qué pasa con ellos, eh?</t>
  </si>
  <si>
    <t>171</t>
  </si>
  <si>
    <t>PRESTACIONES\Resultado\No hay atención de crisis o urgencia</t>
  </si>
  <si>
    <t>Que haya un servicio de urgencia. Ojalá los COSAM pudieran atender urgencias porque ellos no están habilitados para eso. El COSAM recibe al paciente en crisis y lo deriva. Lo manda al psiquiátrico o acá en este caso Cerrillos el Hospital HEC, pero en el hospital HEC tampoco hay psiquiatría, por ejemplo, para internación de pacientes. Y me han dicho de que el San Borja recién como que va a habilitar un sector para pacientes de psiquiatría, pero aquí nosotros en este momento no tenemos para internación.</t>
  </si>
  <si>
    <t>506</t>
  </si>
  <si>
    <t>Bueno pasando a la prestación individuales, sería bueno el seguimiento que del paciente para que tenga una buena atención, una buena entrega de medicamentos y un seguimiento en todo su vida que tienen en la a atención del paciente.</t>
  </si>
  <si>
    <t>231</t>
  </si>
  <si>
    <t>Además respetarle sus horarios laborables. Por ejemplo, hay veces que tienen que trabajar y están citado para tal día y no pueden ir, como solución, no que después digan no, no le entrego el medicamento, no porque no vino, me entiende?</t>
  </si>
  <si>
    <t>Es increíble que si un paciente, un usuario se enferma de otra patología, la urgencia no lo atiende. No lo atiende porque va con el antecedente. Digo yo tuve súper mal a mi hijo, super mal y lo tuve que ir a urgencias y me lo rechazaron. Lo hicieron esperar. Después tuve que llamar un paciente o sea a un doctor particular a la casa y qué significa son más de 100.000 pesos llamar a un doctor. A eso voy yo, que debiera haber una buena atención de urgencia y que los lugares de urgencias sepan respetar a los usuarios pacientes de salud mental.</t>
  </si>
  <si>
    <t>545</t>
  </si>
  <si>
    <t>INFORMACION\Resultado\Registro clinico electrónico no dialogan entre niveles</t>
  </si>
  <si>
    <t>conseguimos de que los CESFAM y el COSAM tuvieran este servicio de lenguaje Rayen para su ficha y para que se comunicaran entre sí. Como los CESFAM son los que envían a los pacientes a COSAM para que ya vayan con su ficha y todo lo que les pasa, el diagnóstico que hicieron en el CESFAM, porque son enviados al COSAM, etcétera, etcétera lo que a ellos le interesa, porque había un problema de dualidad de medicamento, de recetas, se estaban dando las recetas en los CESFAM y también se estaban dando la misma receta en el COSAM. Pero el problema que tenemos que el hospital tiene otro sistema que se llama Florence. Entonces no se comunica con los CESFAM ni con el COSAM. El otro hospital también tiene otro, otro sistema computacional. Entonces eso dificulta la atención de los pacientes, porque ellos sí son derivados al hospital por una urgencia, allá tienen que revisar otra vez y si va con exámenes tienen que repetirle los exámenes. Y sí, porque allá no tiene ni idea de quién es ni por que lo mandan. Esa es una cuestión que debería preocuparse alguien de que todos tuvieran el mismo sistema computacional para que hablaran el mismo lenguaje y se pudieran comunicar entre sí las entidades, los hospitales con los CESFAM, los COSAM, los CESCOF para que la ficha de los usuarios estuvieran en línea en todas partes.</t>
  </si>
  <si>
    <t>1320</t>
  </si>
  <si>
    <t>Efecto negativo: Registro clínico no dialoga entre los niveles de atención</t>
  </si>
  <si>
    <t>GOBERNANZA\Resultado\Tensiones en la relación con los consejos de usuarios</t>
  </si>
  <si>
    <t>Nosotros acá hemos notado en Cerrillos, especialmente acá, que falta disponibilidad de los directivos de los CESFAM, por ejemplo. De que haya una cooperación con la comunidad civil porque no se solucionan los problemas que tiene la gente. Los problemas reales de la gente no se solucionan. Por ejemplo, la falta de médicos. En un CESFAM deberían haber 100 atenciones diarias y hay 40. La línea telefónica no funciona. La gente tiene que llegar a las 04:00 de la mañana a pedir hora para ser atendida ese día. Entonces yo me he fijado. Yo pertenezco al CdL también de mi CESFAM por eso lo hablo con conocimiento de causa. No hay esa facilidad de los directivos para solucionar los problemas que uno ve como usuario, que uno ve los problemas de la comunidad. Ellos siempre le van a buscar un resquicio o que ellos lo han intentado y no ha resultado.</t>
  </si>
  <si>
    <t>847</t>
  </si>
  <si>
    <t>Efecto negativo: Tensiones en la relación con organizaciones de usuarios</t>
  </si>
  <si>
    <t>En cuanto a COSAM, desde que empezaron los problemas con las directivas que hubo de reemplazo, tuvimos un buen acercamiento, una buena llegada. Ellos nos dieron muchas facilidades, números, cifras de presupuestos y todo tipo de dato. Porque en el fondo fuimos nosotros quienes visibilizamos los problemas que había en el COSAM ante la autoridad. Y por eso tuvimos una buena relación. Ahora yo noto que la nueva directiva está así como a la defensiva. Como que no confía mucho en nuestra buena voluntad. Pero yo creo que es una cuestión de voluntad por ambas partes. Uno como civil no puede llegar a encontrar todo malo al criticar inmediatamente uno tiene que buscar las razones del porque y tratar de conversar con la autoridad y ver como solucionar los problemas. Pero tiene que ser una cuestión mutua, no solamente una crítica negativa desde un principio. Tiene que haber voluntad por ambas partes.</t>
  </si>
  <si>
    <t>901</t>
  </si>
  <si>
    <t>estamos pobre, porque, por ejemplo, para hacer una buena difusión, una buena educación en lo que refiere a salud mental, ya sea en los colegios, en las universidades que hay carreras de salud, con las autoridades incluso con los estamentos fiscales e incluso justicia, porque justicia hoy una ignorancia pero grandota con respecto a la salud mental. Y ahí, de ahí parte la malo más la mala praxis que se hacen con pacientes que llegan a ser juzgado y no toman en cuenta su salud mental. Entonces falta esa educación.</t>
  </si>
  <si>
    <t>516</t>
  </si>
  <si>
    <t>Por ejemplo, nosotros como agrupaciones hemos hecho plazas ciudadanas para ir educando a las personas. De buena voluntad algunos personajes en ir a dar charlas a la universidad, charlas en algunos colegios, pero es muy poco. O sea lo importante que hubiera un buen financiamiento de los Servicios de Salud, del Ministerio de Salud, para poder ir educando a la población y que se llegue a un conocimiento total de lo que se refiere la salud mental y los beneficios y los no beneficios y todo ese tipo de cosas, porque si no hay educación, no vamos a lograr un conocimiento. Imagínense que en el mismo hospital, cuando no tienen ni idea de lo que un paciente es salud mental, simplemente no lo atienden no más y lo devuelven.</t>
  </si>
  <si>
    <t>723</t>
  </si>
  <si>
    <t>Entonces yo creo que debería ser más accesible. Y no solamente con derivaciones, porque ese problema es bien serio, porque los CESFAM tienen uno o dos psicólogos los que no dan abasto para atender a toda la población que ellos atienden, que pertenecen a ese CESFAM. Entonces hay ellos ya tienen una lista de personas que están en espera.</t>
  </si>
  <si>
    <t>337</t>
  </si>
  <si>
    <t>Y mientras no atiendan a esas personas que tal vez pueden haber casos graves con crisis, con intento suicida, uno no lo sabe.</t>
  </si>
  <si>
    <t>125</t>
  </si>
  <si>
    <t>Debería haber a lo mejor otro sistema que ayudara a llegar al COSAM en forma más, más expedita, más eficiente. Porque en realidad es ahora una burocracia. Porque yo como paciente de CESFAM yo me tengo que levantar a las 04:00 de partida para pedir hora al médico. Si el médico está de acuerdo, me manda al psicólogo del consultorio, del CESFAM. Pero si ese psicólogo tiene hora, me va a atender. Si no, voy a quedar en una lista de espera. ¿Y qué va a pasar conmigo? Si yo estoy mal. Entonces eso, eso debería solucionarse y debería llegar a una mayor población yo creo. Que eso hay que regularlo.</t>
  </si>
  <si>
    <t>597</t>
  </si>
  <si>
    <t>Y yo he estado observándolo cuando acompaño a alguien, hay niños chicos. No sé, no hay una separación y el psiquiatra, como digo, es un psiquiatra por COSAM y tiene que ver todos los problemas y un psicólogo, una enfermera y después viene la parte administrativa, entonces es bien poco lo que yo digo, la atención que debiera recibir por ejemplo un infante.</t>
  </si>
  <si>
    <t>357</t>
  </si>
  <si>
    <t>En mayo hice una visita al psiquiátrico del hospital y había una una niña de 15 años que estaba con las personas adultas en el mismo lugar. Entonces no hay una separación del adolescente, del de tipo de enfermedad, sino que está todo revuelto y que hay una escasez.</t>
  </si>
  <si>
    <t>265</t>
  </si>
  <si>
    <t>Entonces falta como digo, recursos, falta personal, falta recurso económico y de todo falta, para poder lograr algo más efectivo. En el inicio, como dijo en su inicio, los COSAM cumplían una buena labor en su inicio, pero ya después se echó todo a perder.</t>
  </si>
  <si>
    <t>255</t>
  </si>
  <si>
    <t>esulta que, por ejemplo, en Antofagasta hubo un tiempo que no tenían psiquiatra. Pero resulta que hay que ver de que también tiene que haber psiquiatra en el hospital. En el hospital no había psiquiatra, tiene que haber psiquiatras en los consultorios y además de eso está el COSAM. Entonces aquí hay una pobreza muy grande.</t>
  </si>
  <si>
    <t>324</t>
  </si>
  <si>
    <t>Aquí hay una falla muy grande, hay una falla muy grande y para que esto se mejore tiene que haber un estudio de una nueva administración, de una nueva norma, una nueva norma en donde, en donde, por ejemplo, no puede que una persona desaparecer y nadie sigue, nadie sabe cómo está, porque es pérdida de tiempo, se invirtió recursos en esa persona, esa persona se fue para el mundo y a lo mejor se murió. No puede, no puede haber.</t>
  </si>
  <si>
    <t>428</t>
  </si>
  <si>
    <t>o creo que tiene que haber una presión, pero con fundamento de la sociedad civil, porque la sociedad civil es la que puede digamos salirse del cuadro, digamos, en lo cual se regula, lo digamos los profesionales, los funcionarios, la autoridad, digamos que ven que la cosa está mala. La sociedad civil tiene que interiorizarse más de esto. Nosotros nos damos cuenta que hace falta un estudio a apoyar a los profesionales que están preocupados de eso. No muchas cosas.</t>
  </si>
  <si>
    <t>466</t>
  </si>
  <si>
    <t>Y una cosa que quiero agregar. El psiquiatra forense también es importante. Aquí en la región. Resulta de que ya aquí viene el juez, dice ya, que el que está condenado ya lo meten a un dispositivo especial de Gendarmería. Pero para que lo vea el psiquiatra forense hay que llevarlo a Arica. O sea, imagínese es como de aquí viajar a Santiago, para Arica para que lo vea un psiquiatra. Porque la región, la segunda región, que es la segunda región más rica de Chile, no tenemos psiquiatra forense. O sea es. Aquí está el dinero, todo y no, no pasa nada.</t>
  </si>
  <si>
    <t>552</t>
  </si>
  <si>
    <t>Y esa es una cuestión también de la relación, de la participación. Porque eso, eso es lo otro, que por ejemplo yo tengo hasta un grupo de WhatsApp con el Servicio de Salud Metropolitano Central, pero nosotros no nos llega ninguna información relevante. Lo único que nos mandan todos los días o los días lunes, una ficha donde están vacunando. Pero no hay nada importante. No. O se nos llama una clase que cómo se cura un pie diabético. Y realmente yo no quiero saber eso, porque para eso está la enfermera que me va a curar el pie a mí. Yo quiero saber otra cosa. Yo quiero saber qué pasa con los recursos, a dónde van. Porque siempre se habla de una cantidad exorbitante de dinero, pero a lo mejor con esa plata alcanza, pero se diluye, se pierde.</t>
  </si>
  <si>
    <t>748</t>
  </si>
  <si>
    <t>Por ejemplo, yo hace van a ser seis años, yo hice un curso de que se llama Agentes Comunitarios que le impartió la Escuela Psiquiatría de la Universidad de Chile, en el Barros Luco. Se hicieron varios cursos y yo participé en uno de ellos ese año. En mi clase habíamos más de 40. Y ese curso se hizo varias veces. No sé cuántas. Se pagó a profesores, a lo mejor se pagó el arriendo de la sala, se compró café y galletitas para el break. En algunas personas se les daba hasta el dinero de la locomoción. Esos son gastos, gastos que a lo mejor hizo el Servicio. Pero son gastos que se que no tienen, tuvieron una meta, pero no fue relevante. No sirvió para nada. Los agentes comunitarios nos diluimos y no servimos para nada. Nadie nos usó. Nosotros tenemos un conocimiento básico de psiquiatría, pero podemos ser acompañantes. Podemos hacer varias cosas que a lo mejor adquirimos un conocimiento más especial y no se usa. Y esos son recursos que se perdieron. Entonces eso me gustaría a mí saber, qué pasa con los recursos que se entregan. ¿A dónde van los dineros, si se usan bien o no?</t>
  </si>
  <si>
    <t>1086</t>
  </si>
  <si>
    <t>Ahí espero que hubiese una mayor fiscalización. Y para eso yo creo que también la participación ciudadana es súper importante y la gente tiene que conocer las leyes. La gente tiene que conocer lo que puede hacer y unirse. La población tiene que unirse y tiene que fiscalizar las entidades y eso falta.</t>
  </si>
  <si>
    <t>301</t>
  </si>
  <si>
    <t>U.M.RN.5</t>
  </si>
  <si>
    <t>FINANCIACION\Resultado\Hay listas de espera en los CSMC</t>
  </si>
  <si>
    <t>Entonces quisieran recibir, pero hay listas de espera, siempre hay listas de espera.</t>
  </si>
  <si>
    <t>84</t>
  </si>
  <si>
    <t>Y ahí es donde entramos nosotros a trabajar con los grupos de autoayuda mientras esté la lista de espera, somos ahí el soporte para mantener a esa familia mientras esperan su hora de atención.</t>
  </si>
  <si>
    <t>192</t>
  </si>
  <si>
    <t>PERSONAS USUARIAS\Resultado\Personas agradecidas del CSMC</t>
  </si>
  <si>
    <t>Yo a ver en general a la familia, que yo estoy constantemente con ellos, están muy agradecido de este centro. Del equipo de profesionales que hay. La. La. La acogida que tienen cierto. La preocupación que tienen los profesionales.</t>
  </si>
  <si>
    <t>230</t>
  </si>
  <si>
    <t>Efectos positivos: Nadie es excluido y Personas agradecidas del CSMC</t>
  </si>
  <si>
    <t>O sea, hablamos siempre cuando haya si reunión y la y las que ya dicen los profesionales dicen somos o todo terreno. O sea, vamos a todo. Y eso la familia está muy agradecida de haberlos conocido.</t>
  </si>
  <si>
    <t>196</t>
  </si>
  <si>
    <t>Yo una vez a la semana hago reuniones con ellos. Entonces ellos siempre ponen e están totalmente agradecida. Dice Si no fuera por ustedes, yo dónde estaría?</t>
  </si>
  <si>
    <t>Entonces es un agradecimiento que tienen hacia el centro de salud y ellos dicen Deberían haber más centros como estos. Y lo comparan mucho con APS. Entonces nosotros somos más cercanos. El los centros de los CESFAM se llaman acá son más cercanos.</t>
  </si>
  <si>
    <t>246</t>
  </si>
  <si>
    <t>las atenciones que hacen los médicos, psiquiatras, pero no dan abasto porque son muchos, muchas. Cada médico tiene muchos pacientes.</t>
  </si>
  <si>
    <t>132</t>
  </si>
  <si>
    <t>Pero yo encuentro a los chiquillos que le ponen mucho corazón a lo que hacen, sobre todo en terreno. Y así se ve también en la familia el agradecimiento que tienen hacia hacia el centro de salud.</t>
  </si>
  <si>
    <t>195</t>
  </si>
  <si>
    <t>principalmente el recurso monetario tiene que faltar siempre. Siempre falta. No! No! A veces nos rascamos con nuestras propias uñas, como se dice, pero falta harto.</t>
  </si>
  <si>
    <t>164</t>
  </si>
  <si>
    <t>Entonces, eh. Eh. Falta. Falta. Es como. Somos como el circo pobre digo yo, porque como que no los consideran a los centros de salud mental. Como que es un dispositivo aparte, que no es bien mirado. Siempre estamos como a la cola de todo. Y creo que la salud mental es lo primordial en este tiempo. Entonces tiene que estar ahí.</t>
  </si>
  <si>
    <t>328</t>
  </si>
  <si>
    <t>el otro día el doctor Prieto decía hemos conseguido una cama en el hospital de Ovalle para Infanto. Una cama. Entonces cuando hay chicos que se descompensan o tienen algo grave, o los problemas de suicidio que se presentan y necesitamos más recursos, entonces se necesita más.</t>
  </si>
  <si>
    <t>276</t>
  </si>
  <si>
    <t>Yo no sé cuál es el por 100 que tiene salud mental, eso lo ignoro, pero creo que es sumamente bajito el porcentaje en cuanto a a recursos destinados a salud mental. Y eso es lo que tiene que subir los recursos, los recursos para que sea mejor implementado estos centros.</t>
  </si>
  <si>
    <t>270</t>
  </si>
  <si>
    <t>O sea, y los profesionales ponen de todo de su parte, pero a veces hay que sacar la platita del bolsillo de uno para hacer una actividad o que salga algo bonito para la familia. Y eso a nadie se lo contamos. Lo hacemos igual porque tenemos un cariño especial y tenemos un compromiso y queremos que la gente lo pase bien. Eso es lo que queremos conseguir y no que la gente se esté enfermando sobre todo en salud mental.</t>
  </si>
  <si>
    <t>418</t>
  </si>
  <si>
    <t>No igual cuando hay un paciente, por ejemplo, que se va de alta, nunca se deja, se deja solo. Porque cuando parten ellos de alta yo siempre le digo tiene que estar feliz que va del centro de Salud Mental, le digo yo, y se va a Atención Primaria. Eso es puro mérito suyo, le digo yo.</t>
  </si>
  <si>
    <t>282</t>
  </si>
  <si>
    <t>hay un acompañamiento hasta que ellos ingresen nuevamente a Atención Primaria, que esté con sus horas, que esté con su medicamento. Entonces ese acompañamiento se hace también cuando ellos se van de alta para que no, no haya una descompensación o le falte algo en esa espera que está en Atención Primaria.</t>
  </si>
  <si>
    <t>305</t>
  </si>
  <si>
    <t>Lo primero es más recursos, más recursos, más fondos. Cierto, ese porcentaje tan chico que hay de fondo para salud mental que crezca un poquito más. Porque así se pueden conseguir grandes cosas, tanto como el recurso humano, como mejoren la infraestructura. Hay tantas cosas que se pueden hacer más</t>
  </si>
  <si>
    <t>298</t>
  </si>
  <si>
    <t>U.M.RC.1</t>
  </si>
  <si>
    <t>Primero, el tema de la falta de profesionales que hay en los centros de los COSAM agrava mucho el tema de las atenciones, el seguimiento, de repente cuesta mucho conseguir una hora y se hacen, se ponen entre comillas listas de espera para ingresar a esto.</t>
  </si>
  <si>
    <t>Y lo bueno es que la gente en lo que yo tengo entendido, lo que he visto y lo que hemos recabado tanto en las cosas que yo participo, es que la gente es muy amable, es humana, es cercana a la gente, me entiende</t>
  </si>
  <si>
    <t>210</t>
  </si>
  <si>
    <t>los grupos que son los si, le hacen un seguimiento a la gente y rescatan gente que no está yendo a los controles y es bien personalizada la atención, por lo menos acá en lo que yo conozco de la jurisdicción del servicio Salud Aconcagua.</t>
  </si>
  <si>
    <t>236</t>
  </si>
  <si>
    <t>FINANCIACION\Resultado\Principal logro de financiar los CSMC\Logro estar en la comunidad</t>
  </si>
  <si>
    <t>Últimamente, con la creación de los COSAM la salud mental se acercó a la comunidad porque antes nosotros teníamos los hospitales psiquiátricos que eran algo cerrado, era algo como una burbuja que no, no, no entraban, no tenía acercamiento con la comunidad. Incluso yo le puedo decir que el hospital psiquiátrico de acá es complejo el acercamiento a la comunidad, en cambio con COSAM no. Los COSAM trabajan con las comunidades.</t>
  </si>
  <si>
    <t>426</t>
  </si>
  <si>
    <t>Mejor cobertura, cercanía y contexto de la atención</t>
  </si>
  <si>
    <t>Mire, en los recursos siempre faltan recursos, en los diferentes COSAM. En las dos COSAM que tenemos acá en el Aconcagua faltan recursos</t>
  </si>
  <si>
    <t>136</t>
  </si>
  <si>
    <t>PRESTACIONES\Resultado\Prestación clínica intrabox predomina</t>
  </si>
  <si>
    <t>De repente faltan un salón o algún espacio donde poder juntar la gente para algún taller. Esta terapia ocupacional. Ellos siempre tienen falencia de cosas, me entiende? Ellos siempre están pidiendo.</t>
  </si>
  <si>
    <t>198</t>
  </si>
  <si>
    <t>yo creo que ampliar la canasta de medicamento en primer lugar, porque muchos pacientes que son de muy escasos recursos y no tienen para continuar un tratamiento y lo abandonan por no tener, porque como le decía anterior el medicamento que tiene el COSAM no, a lo mejor no es el idóneo y el psiquiatra o psicólogo le dice tiene que comprar o ver este otro porque nosotros no lo tenemos. Yo creo que en primer lugar el medicamento.</t>
  </si>
  <si>
    <t>429</t>
  </si>
  <si>
    <t>Financiamiento para más profesionales. Mejores lugares para atención. Yo creo que si empezamos por ahí donde el profesional esté contento en un lugar ameno para atender a las personas, va a ser el paciente tanto como profesional, va a ser espectacular la atención.</t>
  </si>
  <si>
    <t>264</t>
  </si>
  <si>
    <t>o creo que debería hacer un poco más de recurso para salud mental ya. Porque lo necesita pero urgente, no es el veremos el después, el mañana no. Lo necesita ahora para mejorar muchas cosas, traer profesionales, tanto psiquiatra y psicólogo que no, no están. Estamos en falencia en los temas de dispositivo de salud mental.</t>
  </si>
  <si>
    <t>323</t>
  </si>
  <si>
    <t>FINANCIACION\Resultado\Principal logro de financiar los CSMC\Logro clínico</t>
  </si>
  <si>
    <t>Si hace una política súper acertada, porque como le decía al principio, es otro el la atención que da el COSAM a la que da el establecimiento en si el hospital psiquiátrico. Entonces son otro, otro mecanismo, otra atención. La gente se siente más mejor. No le digo que en el establecimiento psiquiátrico del hospital atienden mal? No, pero la gente se siente más integrada en los COSAM que los hospitales psiquiátricos, porque el hospital psiquiátrico tenemos la atención y para la casa me entiende?</t>
  </si>
  <si>
    <t>499</t>
  </si>
  <si>
    <t>Logros clínicos</t>
  </si>
  <si>
    <t>Pero en el COSAM está la terapeuta ocupacional, está psicólogo o psiquiatra y asistente social que hace todo un trabajo con el paciente, es todo un equipo que está trabajando con el paciente, entonces es más personalizado y mucho mejor. Deberían instaurarse en todas las regiones del país, en todas las comunas deberían tener COSAM.</t>
  </si>
  <si>
    <t>332</t>
  </si>
  <si>
    <t>U.H.RS.2</t>
  </si>
  <si>
    <t>GOBERNANZA\Resultado\Subalternidad en la relación con los usuarios</t>
  </si>
  <si>
    <t>Bueno, había varias falencias, que ahora puedo decir que son falencias, porque mi experiencia me ha demostrado que ese COSAM ayuda bastante, como en la horizontalidad, pero también el autoritarismo, como que hay en la formación de las personas de distintas áreas o el espectro de personas que trabajan en un COSAM, de trabajadores, terapeuta ocupacional, psicólogo, psiquiatra, funcionario, siempre hay como una subalternidad independiente de que sea muy pro, muy comunitario. Se da una subalternidad aunque sea mínima.</t>
  </si>
  <si>
    <t>519</t>
  </si>
  <si>
    <t>Efecto negativo: Subalternidad en la relación con los usuarios</t>
  </si>
  <si>
    <t>Entonces, en ese sentido, el bueno me pasó algo que fue bastante fuerte, que al inicio del proyecto antes de comenzarlo, una persona del COSAM, no voy a decir quién ni cargo, me obligó a decir mi patología, mi etiqueta psiquiátrica. Y eso pasa a llevar los derechos y deberes del paciente. Pero bueno, eso fue un error mío, eso fue una parte fuerte, porque ahí la persona me dijo y cómo sabemos si va a terminar el proyecto o no. O sea diciendo oye, si tengo esquizofrenia no puedo terminar el proyecto. O sea fue como oye, y tu trabajas aquí en un COSAM deberías tener fe, por lo menos en que esto funcione.</t>
  </si>
  <si>
    <t>608</t>
  </si>
  <si>
    <t>Hay psiquiatra con que conversé en que ella, ella, ellas y ellos sabían mi condición o mi diagnóstico y sin embargo, pese a ello, mantuvimos relaciones horizontal. Entonces, eso quiere decir que sí se puede lograr una relación horizontal y que es posible. En ese sentido, si le damos más herramientas a la persona que se atiende en un COSAM, podemos lograr que establezcan relaciones horizontales y eso va a contribuir a su algún grado de mejora en su condición.</t>
  </si>
  <si>
    <t>462</t>
  </si>
  <si>
    <t>Hay un COSAM, no recuerdo cuándo ni dónde, pero no fue el de un Ñuñoa, en que el trato era bastante impositivo y autoritario, o sea, cualquier persona, o sea hasta la persona que atiende en el mesón para para decirte a qué hora y o en qué momento, o te o te tramita la hora, te pasaba a llevar.</t>
  </si>
  <si>
    <t>294</t>
  </si>
  <si>
    <t>Eso lo viví y también lo he visto que lo han vivido otras personas. A mí últimamente no me ha pasado porque creo que mi empoderamiento ayuda a que sepa enfrentarme a ese tipo de problemática. Pero hay personas que no él no tiene esa herramienta para poder sobrellevar esas situaciones. Entonces lo que hacen es como es irse para dentro mientras las siguen bombardeando.</t>
  </si>
  <si>
    <t>369</t>
  </si>
  <si>
    <t>Y en el COSAM me fijaba en las relaciones y si en algunos casos el terapeuta o la psicóloga con la que trabajaba tendían a ser muy autoritarios, sobre todo el terapeuta. Creo que la formación que tienen en la Academia en pregrado o en postgrado es necesario una adhesión de comprender y entender la diferencia y darse cuenta de que esa diferencia no implica una subalternidad, simplemente implica una diferencia que que no lo es y que lo que pasa es que hay un problema lógico y la persona cuando conversa con una persona con diagnóstico psiquiátrico, así como estereotipando, lo ve como alguien que tiene un grado de racionalidad menor, entonces al tener un grado de racionalidad menor lo infantiliza en algunos casos o en otro caso lo vuelve más autoritario.</t>
  </si>
  <si>
    <t>760</t>
  </si>
  <si>
    <t>Entonces esa, este autoritarismo no contribuye mucho a la mejora de las personas.</t>
  </si>
  <si>
    <t>81</t>
  </si>
  <si>
    <t>Hay un chiquillo con que todavía me comunico que tenemos una especie de apoyo mutuo de distancia virtual por teléfono, que me cuenta que con la psiquiatra se lleva super bien, pero con el terapeuta ocupacional no, porque el terapeuta le sobreexige cosas que él no puede hacer y es como que muy autoritario.</t>
  </si>
  <si>
    <t>306</t>
  </si>
  <si>
    <t>Ahora, por citar un último ejemplo, en un centro de rehabilitación diurno que hay acá en Higueras, en Talcahuano, que depende del Hospital Higueras, el Luz de Luna. Las relaciones son muy horizontales, de afecto, de cariño, de comprensión y de valoración de la diferencia. Esa diferencia por ser diferente, no es inferior ni superior, simplemente diferente, y se valida esa diferencia y se valora.</t>
  </si>
  <si>
    <t>397</t>
  </si>
  <si>
    <t>El primero es una cosa que pase con la mayoría de estudiantes y yo creo que tu te has dado cuenta cuando estés formando estudiantes, que los adolescentes quieren tener una certeza, que tiene una necesidad imperiosa de una certeza, un dogma que ya sea político, ya sea de conocimiento o de otro tipo. Eso hace que al querer lograr una certeza sobre oh, ya soy psicólogo, entonces yo tengo un cierto status y una cierta forma de ver el mundo, que es la verdad. Entonces ahí se forma un dogma que es yo o lo que yo te trato como psicólogo o a ti como como persona con diagnóstico que estoy estudiando la verdad de cómo tú debes ver las cosas. Eso es uno, la formación, en la formación que como es de adolescentes que están pasando a la adultez y la adolescencia, adolece de esencia. O sea, en el fondo lo adolescente está buscando una esencia. Esa esencia lo asume como un dogma en la formación académica</t>
  </si>
  <si>
    <t>por otro lado, algo que es más filosófico y que va relacionado con la ontología, que el pensamiento occidental es dicotómico, es blanco o negro, "all or nothing" como dicen en inglés, los papers en inglés. Entonces, cuando una persona está estudiando o trabaja en un dispositivo de salud y se piensa en profesional y racional, sano - enfermo, normal - anormal,  y así una cantidad enorme de blancos y negros. Sin embargo, la valoración de la diferencia es se puede ver mejor con que la escala de grises, donde entre blanco y negro hay una cantidad enorme de grises. Entonces, una persona que se atiende en el COSAM, que tiene un grado de racionalidad menor que lo común no está en el Polo Negro, sino que está en un gris más oscuro y ver, poder ver de esa forma no dicotómica ayudaría bastante, pero ese es un problema ontológico del ser humano que viene de la modernidad, con Descartes principalmente, y también por la herencia judeo cristiana del bien y del mal.</t>
  </si>
  <si>
    <t>964</t>
  </si>
  <si>
    <t>y lo último que es sobre la como reinstitucionalización de los dispositivos de salud. Sucede que obviamente una persona que entra a trabajar a cualquier trabajo, quiere mantener su trabajo para tener una estabilidad, porque la mayoría de las personas en el mundo quiere estabilidad, porque cuando se le mueve el piso entran en crisis. Entonces, si quieren mantener el trabajo, repiten pautas o repiten normas y lo dejan así y continúan estables. Entonces ahí mantiene la pega, mantiene el sueldo y se pueden proyectar a formar una familia o comprarse un departamento, o viajar o lo que sea, pero estabilidad. En cambio, si una persona se da cuenta de la diferencia y valora la diferencia y quiere hacer algo distinto, puede correr el riesgo su trabajo. Entonces eso hace que se perpetúe lo que ya está.</t>
  </si>
  <si>
    <t>802</t>
  </si>
  <si>
    <t>Y vi, vi que mucha, muchas personas estaban contenta con lo que le había pasado con el COSAM, que la guía de del o la orientación de la psicóloga o psiquiatra le habían ayudado bastante</t>
  </si>
  <si>
    <t>185</t>
  </si>
  <si>
    <t>lo que vi es que al conversar con mis aprendices de oficio de arte lo que vi fue que había un agradecimiento de lo que estaban recibiendo y secando los peros del camino sí, pero había mucha, mucha sensación de que estaban sintiéndose cómodos con eso. Y de hecho vi dentro de la escuela de arte hubieron tres personas que dieron de alta y eso fue algo muy bonito.</t>
  </si>
  <si>
    <t>362</t>
  </si>
  <si>
    <t>si tiene algún problema anda a urgencia. La urgencia del hospital, no del hospital psiquiátrico, sino del hospital. Y tiene que esperar y esperar, unas 4 o 5 o si es que más horas al único psiquiatra que llega como a las 17:00 de la tarde y hay como unas diez o 15 personas esperando. O sea, si hay una urgencia como de crisis o de descompensación, por eso lo que yo hago es traer medicamentos de emergencia y con eso es sobrellevar situaciones adversas.</t>
  </si>
  <si>
    <t>454</t>
  </si>
  <si>
    <t>Pero hay otras que por ejemplo el psiquiatra o la psiquiatra el problema lo que pasaba era que cambiaron de psiquiatra o que cambiaron de psicólogo porque se iba una persona, o cambian de puesto o se iba a otro cargo en otra parte.</t>
  </si>
  <si>
    <t>Lo que pasaba ahí era problemático porque se continuen con las dosis y había psiquiatras que aumentaban dosis por no conocer más específicamente a cabalidad la historia de vida de la persona</t>
  </si>
  <si>
    <t>190</t>
  </si>
  <si>
    <t>O sea, había un ejemplo específico de esta persona que estamos en el apoyo mutuo, es que él un medicamento que lo tenía muy mal. Entonces le pidió que se que le bajara la dosis y el psiquiatra le dijo que no y tampoco le dieron alternativa de medicamento. Y esta persona estuvo sufriendo como tres meses con ese medicamento sabiendo que con el medicamento anterior andaba bien.</t>
  </si>
  <si>
    <t>377</t>
  </si>
  <si>
    <t>Pero como este nuevo psiquiatra que tenía su dogma, sabía que el medicamento apropiado era el nuevo no le hizo caso. Entonces ahí hay una relación jerárquica de pasar a llevar la voluntad de otra persona.</t>
  </si>
  <si>
    <t>204</t>
  </si>
  <si>
    <t>í, el déficit siempre, siempre hay déficit. O sea, un ejemplo, por ejemplo el GES. El GES garantiza los medicamentos, pero a mí ya unas cinco o seis veces en estos últimos seis años el medicamento no está en ese, no está y no está en farmacia. Y eso está garantizado así que yo hago el reclamo a la OIRS y eso le llega al hospital. Pero eso no me sirve porque pasan 15 días y ese día no tengo el medicamento.</t>
  </si>
  <si>
    <t>408</t>
  </si>
  <si>
    <t>Porque no hay recursos, son mínimos. O sea, si revisamos que el presupuesto de la nación el 2% es de salud y de ese 2% el 2% en salud mental comunitaria, me parece que es menos incluso, uno se da cuenta que las posibilidades de acción son pocas y frente a eso claro mucha gente se agobia y se queda ahí.</t>
  </si>
  <si>
    <t>303</t>
  </si>
  <si>
    <t>U.M.RM.3</t>
  </si>
  <si>
    <t>PRESTACIONES\Resultado\Crítica a mala formación del psiquiatra</t>
  </si>
  <si>
    <t>del tiempo que ya llevamos conociendo el trastorno bipolar y conociendo mucho la farmacología, nos damos cuenta que muchos psiquiatras o no dan con el diagnóstico correcto. Bueno, sabemos que hay. Hay una demora de diez años a ser diagnosticada una persona con trastorno bipolar. Pero una vez que es diagnosticado tienen mucha medicación. Y nosotros sabemos y hemos comprobado que mientras menos medicación tienes, digamos, si te mantienes solo con tu estabilizador del ánimo en conjunto con estos cuidados que tienes que tener, yo hablo de la psicoeducación, puedes llevarlo muy bien.</t>
  </si>
  <si>
    <t>585</t>
  </si>
  <si>
    <t>Efectos negativos: centrado en diagnosticar</t>
  </si>
  <si>
    <t>Qué sucede? Que los psiquiatras, y acá hay un poco de crítica hacia los profesionales, los psiquiatras diagnostican a una persona con trastorno bipolar, le dan la medicación, a veces no la medicación adecuada y si, y si tiene la adecuada y entra en alguna crisis el doctor no le explica al paciente para qué es cada medicamento, por cuánto tiempo tiene que tomar, qué pasa si vuelve a entrar en una crisis? Qué pasa si ya sale de la fase? Obviamente, si sale una fase no puede seguir tomando la misma medicación que estaba tomando para una manía, por ejemplo, o una medicación que estaba tomando por una depresión si ya salió de la depresión.</t>
  </si>
  <si>
    <t>642</t>
  </si>
  <si>
    <t>RECURSOS HUMANOS\Resultado\Falta de atención multiprofesional especializado</t>
  </si>
  <si>
    <t>Por lo tanto son son pacientes que no tienen toda la información necesaria de parte del profesional en cuanto a lo que está viviendo en cada fase. Por otro lado, creemos que es súper necesario un equipo multidisciplinario con respecto al tratamiento. Esto quiere decir que también existe un psicólogo especialista en trastorno bipolar, que no es lo mismo una psicóloga, digamos, que no sea especialista en esta condición.</t>
  </si>
  <si>
    <t>421</t>
  </si>
  <si>
    <t>Porque la psicóloga puede ir acompañando en esa psicoeducación también. Puede ir dándose cuenta cuando el paciente está entrando en una fase y pararla a tiempo y no dejar que esto crezca como una bola de nieve.</t>
  </si>
  <si>
    <t>Por otro lado, creemos que los terapeutas ocupacionales son muy necesarios en el funcionamiento del trastorno bipolar en las personas ya que ellos que van enseñando rutinas, hábitos y poder desenvolverte mejor en el área donde tú quieres desarrollarte, ya sea en tu trabajo o socialmente, etcétera.</t>
  </si>
  <si>
    <t>Y por otro lado, creemos que es súper necesario también los grupos de apoyo mutuo, que ojalá se pudieran de alguna forma replicar en los COSAM, porque de verdad sentimos que desde esta mirada en donde se puede ir practicando la psicoeducación, vemos que hay un real rehabilitación del trastorno bipolar. Entonces creemos que es súper necesario.</t>
  </si>
  <si>
    <t>344</t>
  </si>
  <si>
    <t>Ojalá pudiera estar todo esta gente juntos y poder armar algo para los pacientes que tienen esta condición o cualquier paciente de cualquier otra patología o enfermedad psiquiátrica.</t>
  </si>
  <si>
    <t>182</t>
  </si>
  <si>
    <t>Ellos, por ejemplo, pueden estar pasando un episodio o entrando en un episodio que es muy necesario poder contar con tu psiquiatra en ese minuto. Porque si logras contactar a tu psiquiatra. El psiquiatra dice que mira como estás entrando en este episodio, toma esta pastilla o aumentemos esta dosis de medicamento que estás usando para frenarlo. Y eso no ocurre. Entonces ellos tienen hora en tres meses más, cuatro meses más y en cuatro meses más hay episodios que pueden ir cursando y lo hace muy complejo.</t>
  </si>
  <si>
    <t>508</t>
  </si>
  <si>
    <t>Entonces siento que la relación del paciente con el profesional dentro de las COSAM no es muy activa en el sentido de poder estar en constante revisión de tratamiento o consultas para saber como sigue el paciente o simplemente explicarles también eh, mira, si vas a entrar en este episodio, tengamos esto como SOS. A lo mejor no me puedes ubicar porque no te puedo dar mi correo electrónico. No tienes como venir acá a pedir una hora conmigo porque no hay. Entonces tal vez esta sería la forma de ayudarte. Si vas a entrar en un estudio de mania, toma este medicamento, o sea, dejarlo como preparado en caso de si no puede ver al psiquiatra, porque eso pasa muchas veces.</t>
  </si>
  <si>
    <t>671</t>
  </si>
  <si>
    <t>La mayoría de las personas del COSAM, que se atienden en el COSAM, no tienen acceso a la atención de urgencia, digamos, o de consulta con su psiquiatra. A no ser que pasen dos meses o cuando cuando haya hora. No es algo que uno pueda pedir rápidamente una hora de revisión. Y por otro lado, ir a la urgencia. Eso implica ir a la urgencia y que te den una pastilla para calmar algo. Pero los síntomas del episodio continúan por más tiempo y ahí no hay un tratamiento adecuado como ellos lo pueden hacer.</t>
  </si>
  <si>
    <t>502</t>
  </si>
  <si>
    <t>PERSONAS USUARIAS\Resultado\No hay inclusión familiar en el CSMC</t>
  </si>
  <si>
    <t>ninguno de las personas que están en el COSAM hay una inclusión familiar respecto al diagnóstico. Y también eso es básico.</t>
  </si>
  <si>
    <t>122</t>
  </si>
  <si>
    <t>Mira, una persona, un paciente que tenga trastorno bipolar, esté bien psico educado y que su familia o su acompañante más cercana, esa persona esté psico educada, es un paciente que va a tener menos hospitalización a lo largo de su vida, va a tener menos episodios a lo largo de su vida y va a ser un paciente que finalmente va a poder estar rehabilitado del trastorno bipolar. Por lo tanto, creemos que es súper necesario que a través del psicólogo o a través del mismo psiquiatra, una vez que se haga un diagnóstico, puedan incluir a la familia y decir mira, tu hijo, tu hermano, tu esposo tiene esta condición. Así funciona el trastorno bipolar. Estos son los cuidados.</t>
  </si>
  <si>
    <t>es súper necesario que pueda ocurrir esta información que se le tiene que dar a la familia, porque los jóvenes a muy temprana edad comienzan con el consumo de alcohol y drogas y desde ahí gatilla en alguna enfermedad que esté predispuesta con una condición genética como el tabaco.</t>
  </si>
  <si>
    <t>281</t>
  </si>
  <si>
    <t>Entonces siento que es muy necesario que la familia estén enterados del diagnóstico y saber qué hacer. Y eso no ocurre en los COSAM.</t>
  </si>
  <si>
    <t>Yo creo que tiene que ver con la falta de información, la falta de especialización en enfermedades como estas o en enfermedades como la esquizofrenia, que me imagino que debe pasar algo muy parecido. Yo te puedo hablar desde la experiencia como grupo, como agrupación de personas con trastorno bipolar y creo que tiene que ver un poco con la falta de información que ellos mismos no manejan.</t>
  </si>
  <si>
    <t>391</t>
  </si>
  <si>
    <t>Siento que sería muy bueno que lo que que los profesionales se especializaran un poco más, ahondarán un poco más en lo que es el trastorno bipolar. Hay instituciones como la SOCHITAB, la sociedad chilena de trastorno bipolar que imparten cursos para profesionales, que se hagan más expertos, digamos en esta condición, y yo creo que pasa un poco por ahí.</t>
  </si>
  <si>
    <t>354</t>
  </si>
  <si>
    <t>cuando saben que existe un trastorno bipolar, por ejemplo, los psicólogos no saben como decirle a su paciente,  sabes qué me estoy dando cuenta que estás entrando en una depresión, creo que sería bueno que hicieras esto de esta forma, hablemos con tus papás o hablemos con tu esposa o esposo y te vamos a acompañar en el proceso de lograr salir de esta depresión, pero con con el apoyo familiar.</t>
  </si>
  <si>
    <t>395</t>
  </si>
  <si>
    <t>Solo es muy difícil. Imagínate si a ellos mismos les cuesta salir de la cama en una depresión porque finalmente te lleva a estar postrado. En muchos casos son depresiones muy largas y la depresiones muy pantanosas. Por lo tanto, salir por sí solo de una depresión cuesta mucho. Cuesta mucho. Por eso es necesario el apoyo de quien vive contigo, para que te ayude a salir de la cama, para que te acompañe en el proceso de ducharte y todo eso cuesta.</t>
  </si>
  <si>
    <t>448</t>
  </si>
  <si>
    <t>Entonces yo creo que un poco pasa por la falta de información o de especialización de los profesionales en el COSAM. Yo creo que es eso.</t>
  </si>
  <si>
    <t>No sé si tendrá algo que ver con no sé cuánto demoran ellos en no preguntar específicamente los tiempos que demoran ellos en cada consulta. Pero lo que sí sé es que los ven y les dicen cómo te has sentido? Cómo ha estado? Ya sube la medicación, la bajan, listo, vaya a la casa, etcétera. Entonces siento que no hay una especialización y creo que es muy necesaria la psicoeducación de los profesionales hacia los pacientes.</t>
  </si>
  <si>
    <t>422</t>
  </si>
  <si>
    <t>creo que sería muy bueno que [El FONASA] pudieran entregar seminarios o charlas educativas respecto a la condición, a cualquiera, cualquier tipo de conducción en salud mental y hacer profesionales especialistas en cada área.</t>
  </si>
  <si>
    <t>224</t>
  </si>
  <si>
    <t>En cuanto a salud mental ha pasado incluso en muchos casos que le dan el medicamento para el mes y si se le acaba y no tiene hora, no puede seguir consumiendo, no puede seguir tomando su medicación.</t>
  </si>
  <si>
    <t>Entonces encuentro grave esta situación de que un paciente no tenga el derecho a tener sus consultas periódicas con el psiquiatra.</t>
  </si>
  <si>
    <t>130</t>
  </si>
  <si>
    <t>son especialistas que no, que digamos que son psiquiatras que no son especialista en el trastorno bipolar, por lo tanto pueden cambiar una medicación. Por lo tanto, también, no se toman el tiempo de conocer al paciente y psico educarlo en esto.</t>
  </si>
  <si>
    <t>244</t>
  </si>
  <si>
    <t>M.H.RM.1</t>
  </si>
  <si>
    <t>Probablemente uno de los grandes logros es que acerca la atención de especialidad de salud mental a los territorios de las personas y probablemente permite una mayor vinculación con las realidades probablemente territoriales y del diario vivir de las personas.</t>
  </si>
  <si>
    <t>260</t>
  </si>
  <si>
    <t>FINANCIACION\Resultado\Tensión entre modelos en la práctica</t>
  </si>
  <si>
    <t>Es un elemento que probablemente también ha sido a contracorriente, a lo mejor de alguna tendencia hospitalaria que ha primado probablemente al sector salud.</t>
  </si>
  <si>
    <t>FINANCIACION\Resultado\Implementación redes integradas señalado por OPS</t>
  </si>
  <si>
    <t>Yo creo que si uno lo hubiera, el punto de vista teórico también ha sido como la implementación práctica de la lógica de red integrada de servicios de salud que la OPS ha favorecido.</t>
  </si>
  <si>
    <t>En algún grado está los dispositivos especialidad fuera del contexto del hospital, pero acercando la atención de especialidad a las personas. Yo creo que esa es una gran ventaja.</t>
  </si>
  <si>
    <t>178</t>
  </si>
  <si>
    <t>FINANCIACION\Resultado\Implementación disímil de los CSMC</t>
  </si>
  <si>
    <t>Probablemente sí ha sido disímil su implementación y probablemente en base también a la realidad local que tiene tanto administración entre servicios de salud, como administraciones municipales, principalmente la región metropolitana y eso hace que probablemente puedan variar algunos elementos de gestión técnica de los servicios salud respecto a los centros.</t>
  </si>
  <si>
    <t>360</t>
  </si>
  <si>
    <t>FINANCIACION\Resultado\Selección patologías con rédito financiero</t>
  </si>
  <si>
    <t>Pero también tenían el incentivo de que potencialmente la atención se centraba en aquellas patologías que probablemente tenían mayor rédito financiero más que en las necesidades reales de la población.</t>
  </si>
  <si>
    <t>201</t>
  </si>
  <si>
    <t>De ahí probablemente, claro, los centros no tenían una lógica de equilibrio y los servicios de salud también de atender a todas las necesidades de especialidad de salud mental de la población.</t>
  </si>
  <si>
    <t>Y ahí entramos en una pelea que es mucho mayor respecto a el monto total de financiamiento que tiene salud mental, probablemente respecto a otras patologías y otros criterios que uno podría pensar que también que en el caso de enfermedades crónicas no siempre son tan exhaustivos o tan pertinentes como el tema de la complejidad probablemente, o la cronicidad que en general salud mental, rehabilitación son áreas que tienen trastornos crónicos y en la especialidad una resolución más bien limitada de los casos finales. En cuanto a recuperación final y eso hace que, claro que no siempre tengo una buena valoración.</t>
  </si>
  <si>
    <t>616</t>
  </si>
  <si>
    <t>yo desconozco cómo fue el proceso, pero claro, gran parte de la plata pasa hacia GRD, una mirada mucho más hospitalo céntrica, probablemente como que todo se resuelve en el hospital y a partir de eso el ingreso hospitalario de la cama es como si uno ve como la idea fuerza o el mensaje que quiere dar.</t>
  </si>
  <si>
    <t>PRESTACIONES\Resultado\Cronificación de los pacientes</t>
  </si>
  <si>
    <t>probablemente también estamos viviendo un proceso que dé cuenta de dificultades en el proceso de egreso de usuario y ahí probablemente ha sido un aspecto crítico que particularmente la atención especializada y también los COSAM lo hayan tenido. O sea, es decir, la concentración de muchos usuarios en control pero un bajo flujo de ingresos y egresos que hace que la atención se permanezca en el dial de especialidad de salud mental en los COSAM y no haya egreso.</t>
  </si>
  <si>
    <t xml:space="preserve">Efectos negativos: cronificación de las personas atendidas </t>
  </si>
  <si>
    <t>si uno lo pensara críticamente, el mecanismo de pago asociado PPV daba cuenta de una mantención crónica de usuario que a lo mejor no tenían que estar en ese nivel de atención y que podría haber tenido resuelta su cosas o que se mantenían solo por un medicamento o algo, el cariño por parte del equipo y pensar que su complejidad probablemente ya no tenía una situación aguda o grave que fuera dando cuenta de la atención en nivel especialidad, y podría estar en atención primaria.</t>
  </si>
  <si>
    <t>480</t>
  </si>
  <si>
    <t>eso hacía que por un lado yo tuviera usuarios entre comillas, los tenía controlado, estable y que claro, como tenía que asegurar cierto financieramente por PPV, los mantenía durante mucho tiempo y no favorecía su egreso.</t>
  </si>
  <si>
    <t>220</t>
  </si>
  <si>
    <t>uno va a pensar que hay una mayor incidencia de casos y esos casos probablemente van a tener que llegar en un momento a centro de especialidad, COSAM, CRS o CAE  y la lista espera va a ir aumentando y sin una capacidad de respuesta y va probablemente a aumentar la atención de urgencias que un poco lo que se está viendo actualmente.</t>
  </si>
  <si>
    <t>333</t>
  </si>
  <si>
    <t>hay una probablemente mayor cantidad de personas en control que al cumplir probablemente los criterios de entre comillas, de estar de alta clínica entre comillas, o que tengan que tener resuelta su situación de salud mental para mantenerse en el nivel de especialidad no están siendo derivada a atención primaria.</t>
  </si>
  <si>
    <t>313</t>
  </si>
  <si>
    <t>Ya sea porque APS en un contexto de pandemia reconvirtió funciones o porque aún no están las competencia de ese equipo APS o en algún grado también está la desconfianza de que ese equipo APS pueda continuar el proceso de atención.</t>
  </si>
  <si>
    <t>Y eso lo sumamos probablemente no solo a variables clínicas, sino que también a variables de vulnerabilidad social que hacen que los usuarios se permanezcan en el nivel de de COSAM, o de atención especializada de salud mental, no teniendo las variables clínicas para que puedan estar ahí.</t>
  </si>
  <si>
    <t>288</t>
  </si>
  <si>
    <t>si es complejo en torno a que dificulta la entrada de nuevo usuario que tiene una situación de mayor gravedad o de complejidad, que dé cuenta de una atención de ese nivel de especialidad. Y eso creo que está siendo un elemento crítico por parte de los equipo de especialidad, particularmente los COSAM.</t>
  </si>
  <si>
    <t>302</t>
  </si>
  <si>
    <t>tenemos usuarios que están cronificados, algunos sólo por el medicamento u otros, pero que ya estén en condición clínica, uno debería pensar también ir avanzando en mecanismos de incentivo que dieran cuenta de la resolución de casos más que solo de la permanencia.</t>
  </si>
  <si>
    <t>una resolución idealmente en términos clínicos si uno pensara si el año uno tiene un valor de 100, a lo mejor probablemente un año dos ese mismo usuario va a tener un menor valor pensando en que también tenemos que ir avanzando, como resolverlo en equipo la resolución de caso y no cronificando el tema.</t>
  </si>
  <si>
    <t>Probablemente no para todos los problemas de salud va a ser así. Tenemos problemas crónicos, como esquizofrenia y bipolar, que por ahora probablemente no pueden ser egresados del nivel de especialidad por temas del marco GES, pero uno debería ir pensando que debería ir cambiándose eso.</t>
  </si>
  <si>
    <t>286</t>
  </si>
  <si>
    <t>Pero uno debería pensar que el Centro Salud Mental Comunitaria debería atender una mayor cantidad de usuarios que tuvieron una complejidad y una consideración mucho más aguda a su problema más que más que tener usuario entre comillas bien estabilizado y no permitir el ingreso de nuevos, porque si no desborda a otras instancias de la red, como la urgencia.</t>
  </si>
  <si>
    <t>PRESTACIONES\Resultado\No hay plan de cuidado integral</t>
  </si>
  <si>
    <t>actualmente si uno hace una revisión de todo el usuario en control, no sé si el 100 por ciento tenga un plan de tratamiento o plan de cuidado integral. Que uno habría de esperar que es lo básico, y se definió por parte del Minsal que era con el usuario. Pero la realidad práctica eso no ocurre y eso si es consensuado con el usuario, a lo mejor con algunos pueden tener, pero no sé si el 100 por ciento sea consensuado con el usuario.</t>
  </si>
  <si>
    <t>434</t>
  </si>
  <si>
    <t>tenemos una falta de cargos, en génerico, brecha de recurso humano, particularmente de horas médicas o médicas infanto-adolescente.</t>
  </si>
  <si>
    <t>131</t>
  </si>
  <si>
    <t>Que si yo hago "A", y tengo un usuario que es B, tengo un delta que probablemente no me lo están pagando, entonces para que voy a hacer B. Si por nada me van a pagar A, para eso tengo puros usuarios A y el resto lo mando a otro lado.</t>
  </si>
  <si>
    <t>233</t>
  </si>
  <si>
    <t>Y lo otro dicen que a mi me pagan A prima no más, no me pagan B. Y eso yo creo que es un punto que, como equipos técnicos y probablemente con la Academia,  tenemos que ir avanzando en torno a introducir también en los entes aseguradores finalmente un concepto de complejidad de salud mental que dé cuenta de esas variables.</t>
  </si>
  <si>
    <t>Porque si seguimos pagando por todo lo mismo, más allá que sea el diagnóstico X, vamos a pagar 100 pesos y a un tipo "Y" voy a pagar 10. Si el diagnóstico "Y" tienen una situación de complejidad, me va a permitir 50 pesos no me a requerir 10. Y eso probablemente con los mecanismos actuales de financiamiento, no está recogido.</t>
  </si>
  <si>
    <t>327</t>
  </si>
  <si>
    <t>S.M.RS.3</t>
  </si>
  <si>
    <t>Si bien el nuevo modelo tiene una ventaja muy, muy superior a lo que era la antigua norma de COSAM, que nos define no financiamiento recurso humano, proyecto arquitectónico, el lineamiento bien en desarrollo del modelo, del proceso de atención, de cómo debería ser, cuáles son nuestras bases conceptuales, eh? Yo visualizo que pese eso de tener todo este este gran avance, todavía estamos bastante lejos de poder implementarlo como debería</t>
  </si>
  <si>
    <t>439</t>
  </si>
  <si>
    <t>Nosotros avanzamos en la implementación o en la apertura, cierto? de estos servicios, pero igual en un nivel no muy superior, por así decirlo, como que logramos avanzar a ampliar cobertura, pero no con las condiciones ideales.</t>
  </si>
  <si>
    <t>226</t>
  </si>
  <si>
    <t>acá nosotros tenemos hospitales que mantienen el modelo antiguo y eso ha sido un convivir entre la experiencia hospitalaria y la experiencia más territorial</t>
  </si>
  <si>
    <t>lo veo muy distinto a los hospitales, porque no están en la lógica territorial, no están en la lógica de poder hacer más cuidado con la comunidad o de que el usuario sea un poco más activo en su proceso</t>
  </si>
  <si>
    <t>202</t>
  </si>
  <si>
    <t>FINANCIACION\Resultado\Cobertura población No GES</t>
  </si>
  <si>
    <t>en este caso es que damos cobertura a una población que habitualmente queda en lista de espera, todo lo que es trastornos no GES habitualmente eso no ingresa y estos centros lo pueden abordar y de eso tenemos un montón de población.</t>
  </si>
  <si>
    <t>232</t>
  </si>
  <si>
    <t>hay un centro que tiene un superávit de población y solo no GES.</t>
  </si>
  <si>
    <t>64</t>
  </si>
  <si>
    <t>Entonces damos cobertura a una población que habitualmente podría no quedar cubierta, que son casos igual de grave cierto que un GES eh, pero que al tener la garantía de por medio no serían priorizado por lo que ocurre en los hospitales</t>
  </si>
  <si>
    <t>FINANCIACION\Resultado\Principal logro de financiar los CSMC\Mejora cobertura donde se necesita</t>
  </si>
  <si>
    <t>a nivel país yo creo que un logro es, dado a este modelo de gestión cierto en el 2017 2018, la posibilidad de entregar cobertura a regiones que no tenían un centro de salud mental, se fueron entregando y distribuyendo a nivel país, no en Aysén contar con especialistas como poder acercar al territorio de la salud mental. Yo creo que eso es un avance.</t>
  </si>
  <si>
    <t>351</t>
  </si>
  <si>
    <t>FINANCIACION\Resultado\Sistema está desfinanciado</t>
  </si>
  <si>
    <t>Por ejemplo, si son 150 millones que nos transfirieran e insuficiente para mantener cinco centros. Pese a que no todos pagamos arriendo, es insuficiente porque ya fármacos se nos va alrededor de 100 millones. Y ahí viene todos los otros ítems que son de mantención, arriendo e pago de servicios básicos cierto internet e internet y telefonía, luz, agua, gas.</t>
  </si>
  <si>
    <t>358</t>
  </si>
  <si>
    <t>Y entiendo que el resto del financiamiento se hace cargo el servicio como parte de su presupuesto institucional.</t>
  </si>
  <si>
    <t>112</t>
  </si>
  <si>
    <t>la primera como desventaja que nosotros acá los centros no están tal cual como lo describe el modelo. Nosotros solo tenemos coordinadores, por tanto no tenemos ni dirección ni sub direcciones. Ya el modelo de gestión para los centros plantea contar con una subdirección que vea los recursos administrativos.</t>
  </si>
  <si>
    <t>307</t>
  </si>
  <si>
    <t>FINANCIACION\Resultado\Dificultad / Complejidad para el gasto\Comprensión del tipo de gasto</t>
  </si>
  <si>
    <t>hay otra dificultad, por ejemplo, yo no sé si a nivel país lo hacen, pero por ejemplo, el que los centros no tengan una caja chica no permite por ejemplo, si tú ves un problema grave de transporte, movilización, acceso, tú no puedes pedir o gestionar cierto apoyo para el traslado</t>
  </si>
  <si>
    <t>280</t>
  </si>
  <si>
    <t>Yo creo que eso igual influye en la adherencia de algunos usuarios para acceder a algunos centros, el sistema económico de los usuarios y nosotros no tener posibilidades de volver o facilitar el acceso. Yo creo que eso sí es un punto.</t>
  </si>
  <si>
    <t>234</t>
  </si>
  <si>
    <t>Por ejemplo, si uno lo compara con Senda, cuando tú tienes posibilidad de hacer caja y rendir pasajes, o qué sé yo, efectivamente, lo usuarios mejoran la adherencia porque tienen un apoyo para poder acceder. Acá no ocurre eso, pero la gente va y accede por sus propios medios. Lo que muchas veces impacta también es la pérdida de horas de atención.</t>
  </si>
  <si>
    <t>348</t>
  </si>
  <si>
    <t>l problema de acá es que los grados para la especialidad es la dificultad. El servicio lo tiene definido que los centros funcionan en grados 15 y eso impacta más que en el financiamiento, porque el financiamiento llega para para un mejor grado o al menos lo último en la transformación interna que se hace acá del recurso y hace que los profesionales roten más seguido. Estén en un ciclo de dos o tres años, cuatro años máximo y después decidan buscar otras expectativas laborales con mejores ingresos. Yo creo que eso a nosotros nos influye bastante.</t>
  </si>
  <si>
    <t>551</t>
  </si>
  <si>
    <t>acá pierden igual los centros porque no podemos avanzar y mejoras mínimas que no se pueden concretar. Es complicado, por ejemplo, buscar un nuevo arriendo porque? Porque los arriendos suben, están tasado a UF cierto, entonces el valor es extremadamente caro</t>
  </si>
  <si>
    <t>257</t>
  </si>
  <si>
    <t>Entonces yo creo que pierde el funcionario y también pierde el usuario, dado que si no podemos ofrecer cierto un lugar con todas las condiciones óptimas como estoy pensando, como el símil de un Cesfam nuevo, efectivamente, los usuarios igual tienen una pérdida, pues. una pérdida si hay accesos inadecuados, los usuarios no adhieren, los funcionarios también se cansan y se agotan y se aburren si las condiciones no son las más óptimas o las mínimas de acuerdo a su criterio.</t>
  </si>
  <si>
    <t>475</t>
  </si>
  <si>
    <t>las condiciones de los sueldos no varían finalmente igual perdemos gente que se va formando con experiencia que se va. Entonces finalmente todos pierden, todos perdemos un poco, por así decirlo. La pérdida es para todos.</t>
  </si>
  <si>
    <t>porque un centro una necesita el recurso humano, otra necesitan las salas de atención, las salas grupales, cierto, que el acceso esté ubicado en un buen lugar para que la gente pueda acceder cierto, con la locomoción acorde y no tener que gastar dos o tres pasajes que en algunos lugares dentro de la misma ciudad nos ocurre</t>
  </si>
  <si>
    <t>S.M.RM.2</t>
  </si>
  <si>
    <t>Los principales logros de lo que uno podría observar tiene que ver con aumento de cobertura de atención a la población, o sea, en la medida que se descentraliza la atención y se acerca, digamos, a un lugar de origen de las personas.</t>
  </si>
  <si>
    <t>Uno observa muy fuertemente que se genera un aumento de cobertura, o sea, mejora muchísimo el acceso.</t>
  </si>
  <si>
    <t>101</t>
  </si>
  <si>
    <t>FINANCIACION\Resultado\Principal logro de financiar los CSMC\Atención secundaria con mayor estrategias de atención</t>
  </si>
  <si>
    <t>yo creo que también, aunque no necesariamente respecto de como además de la integralidad o la una oferta de atención más con mayor cantidad de estrategias, aunque uno puede ver que igual la atención ambulatoria localizada en hospitales ha mejorado en eso. O sea, no solo los COSAM, pero bueno, los cosa mira mucho más inherente desde el origen. Eso. Se hace de una forma bastante más como natural.</t>
  </si>
  <si>
    <t>Es el servicio de salud y del presupuesto del servicio es el cómo se va definiendo, cuánto recurso es posible asociar a estos convenios. Ahora, yo diría que durante los últimos tres o cuatro años el presupuesto se ha mantenido sin ningún tipo incremento.</t>
  </si>
  <si>
    <t>254</t>
  </si>
  <si>
    <t>Y bueno, y en otros momentos nosotros como tuvimos alguna posibilidad mayor de negociar al interior del servicio, ir incrementando este presupuesto. Pero eso hace rato que ya no ocurre.</t>
  </si>
  <si>
    <t>PERSONAS USUARIAS\Resultado\Recursos SENDA aumenta proporción de personas con TCD</t>
  </si>
  <si>
    <t>O sea, en este escenario donde te digo, por ejemplo, de que los recursos SENDA, en el caso de los que se han constituido en un porcentaje presupuestario muy relevante, eso hace que, efectivamente, la proporción de personas con trastornos asociados al consumo de sustancias sea muchísimo mayor que en un establecimiento o dependencia hospitalaria.</t>
  </si>
  <si>
    <t>346</t>
  </si>
  <si>
    <t>O sea, evidentemente, por ejemplo, ese elemento determina muy fuertemente las personas atendidas claramente. Claramente.</t>
  </si>
  <si>
    <t>120</t>
  </si>
  <si>
    <t>pero claramente, o sea siempre de todos modos el tema, por ejemplo de los presupuestos SENDA, que insisto que en el caso de los COSAM son importantes proporcionalmente van determinando ahí también, bueno, su oferta y por supuesto las personas que atienden.</t>
  </si>
  <si>
    <t>256</t>
  </si>
  <si>
    <t>PRESTACIONES\Resultado\Canastas no incentivan prestaciones del modelo</t>
  </si>
  <si>
    <t>O sea, porque como en el fondo el pago está asociado a cualquier prestación incluida en la canasta. Bueno, podría tener que ver con cómo se están establecidas las canastas, digamos que es lo que considera. Entonces, claro, basta con solo entregar un sobre de medicamento para que te paguen, no necesariamente esto estimula efectivamente una atención integral.</t>
  </si>
  <si>
    <t>359</t>
  </si>
  <si>
    <t>Es más bien al revés. Y yo diría que más que estimular un tipo de prestación respecto de otra, como que no estimula el que efectivamente se realiza una prestación como el modelo determina o esperaría que se realizara. No lo incentiva.</t>
  </si>
  <si>
    <t>PRESTACIONES\Resultado\Mantener la continuidad de cuidados</t>
  </si>
  <si>
    <t>O sea, lo que claramente no incentiva, claramente no incentiva es los cuidados compartidos.</t>
  </si>
  <si>
    <t>91</t>
  </si>
  <si>
    <t>muchas veces en situaciones muy complejas, por ejemplo de persona un poco que tienen situaciones bien difíciles, digamos sea intencionado, por ejemplo, la intervención simultánea por más de un equipo, por ejemplo, de dos establecimientos. Y eso no es posible.</t>
  </si>
  <si>
    <t>259</t>
  </si>
  <si>
    <t>O hacer una transición, no sé, más gradual, más acompañar el hospital de día y el ambulatorio. O sea, no, o sea, si eso está en distintos establecimientos, en el fondo, como que tú no puedes financiar la atención en dos partes. O sea, hay uno que no se va a pagar. Y. Eso. Entonces ahí se ha constituido como en una limitante.</t>
  </si>
  <si>
    <t>326</t>
  </si>
  <si>
    <t>Como de atender lo que te pagan mejor para justificar el presupuesto atendiendo a menos gente.</t>
  </si>
  <si>
    <t>94</t>
  </si>
  <si>
    <t>O sea, en ese medida también se establece cuando tú priorizas, por ejemplo, la atención de alcohol y droga que es mejor pagada y que no sé qué, de repente, claro, disponer de más recursos destinados a esos equipos respecto de otro en que en realidad te van a pagar igual, como te digo, sólo entregando medicamentos, no sé.</t>
  </si>
  <si>
    <t>322</t>
  </si>
  <si>
    <t>FINANCIACION\Resultado\Principal logro de financiar los CSMC\Logro equipo transdisciplinario</t>
  </si>
  <si>
    <t>Ahora también hemos visto que efectivamente, la medida, por ejemplo, en que uno va incorporando no sé, o que hemos ido incorporando atención GES, o sea, esto ha sido un estímulo para la diversificación profesional de COSAM. Hoy día todos los COSAM tienen, por ejemplo, personal de enfermería, que antes no tenían.</t>
  </si>
  <si>
    <t>O sea, los recursos profesionales, si uno lo mira así hacia atrás eran psicólogos, trabajadores sociales, terapeutas ocupacionales. Y eso yo creo que ha sido efectivamente, en la medida en que se ha ido como avanzando a través de este mecanismo, que el que existe, en definir una población más amplia. O sea, eso ha exigido como que vayan sumando unos profesionales al equipo que antes no eran parte del equipo.</t>
  </si>
  <si>
    <t>411</t>
  </si>
  <si>
    <t>FINANCIACION\Resultado\Mecanismos financiación no estimulan instalación del modelo</t>
  </si>
  <si>
    <t>O sea, en resumen, yo diría que no es, no han sido mecanismos que permitan como estimular o favorecer la instalación de un modelo. No? Sí, para nada</t>
  </si>
  <si>
    <t>148</t>
  </si>
  <si>
    <t>nosotros hacemos un esfuerzo, como bien importante diría yo, como por, bueno, trabajar los elementos del modelo, por un lado, intentando desmarcarlos de estos modalidades más bien administrativa y financiera.</t>
  </si>
  <si>
    <t>208</t>
  </si>
  <si>
    <t>Entonces, o sea, nosotros, por ejemplo, en este servicio hablamos siempre de programas de alcohol y droga, de equipos de alcohol y drogas, nunca, ni de equipo Senda ni programa Senda, por ejemplo, cosa que uno lo ve con una altísima pero altísima frecuencia en otros lugares, digamos a gente como que a partir del financiamiento de su contrato se identifique con una institución con la que no corresponde identificarse porque finalmente, claro, SENDA es un financiador de un programa de alcohol y droga instalado en un COSAM, y eres parte de un COSAM, y de un equipo del COSAM y eso, como que ha sido el discurso y el programa es del centro no es del Senda, por muchas lucas que ponga digamos</t>
  </si>
  <si>
    <t>692</t>
  </si>
  <si>
    <t>nos tocó revisar muchos currículum, muchas postulaciones y yo miraba los currículum de la gente y donde describían sus funciones, no sé mi función, yo trabajé en tal parte y mi función fue Atención de PPV, GES primer episodio, PPV de no sé qué. Qué es eso? Pucha que es eso, un psicólogo, o sea, ni siquiera atendía personas con esquizofrenia, entendía PPV, GES, atendía no sé qué otra cosa. Entonces esa cosa la encuentro, bueno, me imagino que en esos lugares la gente se organizará a través de esas lógicas digamos, que no sé, a mí me llama mucho, mucho la atención, no? Entonces sí, puede que sí determine la constitución de los equipos y eso elementos y la identidad de la gente. Eso lo encuentro muy loco. Lo encuentro muy loco eso.</t>
  </si>
  <si>
    <t>738</t>
  </si>
  <si>
    <t>Creo que igual muy intencionado fuertemente para que no ocurra tanto. Pero claro, como te marca desde la identidad de los profesionales y por supuesto las prácticas. Donde las personas, igual como que su práctica se reduce o se focaliza en cosas ultra específicas a partir de dónde vienen los grupos que financian su contrato o sus sueldos, que ni siquiera a veces hay contrato.</t>
  </si>
  <si>
    <t>378</t>
  </si>
  <si>
    <t>F.M.RM.4</t>
  </si>
  <si>
    <t>también hay que destacar que los recursos que hay para salud mental históricamente ha sido muy muy bajo. Es bajo para salud y ya para salud mental todos sabemos y es noticia, no es cierto, que esto es bajísimo.</t>
  </si>
  <si>
    <t>siempre hay falencia de especialistas.</t>
  </si>
  <si>
    <t>38</t>
  </si>
  <si>
    <t>Hay falencia de los mismos, no es un tema a lo mejor decirlo, pero recordando que hay sólo 30 o 33 psiquiatras inscritos en el Fonasa, entonces todo el resto de la gente tiene que acceder a privado, cierto, particular y eso pues el mercado libre cualquier cualquier valor de consulta.</t>
  </si>
  <si>
    <t>284</t>
  </si>
  <si>
    <t>F.H.RM.2</t>
  </si>
  <si>
    <t>FINANCIACION\Resultado\Los CSMC son difusos desde el financiamiento</t>
  </si>
  <si>
    <t>Pueden explicar parte del déficit que tienen los servicios de salud todos lo años y como están metidos en un bolsón, no están claramente cuánto son, porque sin conocerlo en la realidad me imagino que es una copia y a lo mejor hasta amplificado de la problemática de gestión y de trazabilidad de la información que yo tengo del los hospitales, que es un hospital grande, no sabe su costo. Estos hospitales chico con el que están o centros chicos que están trabajando a full capacidad el problema de dato y de gestión debe ser el doble, por lo menos. No sé si me explico, porque no tienen nada, no tienen capacidad para hacer gestión.</t>
  </si>
  <si>
    <t>632</t>
  </si>
  <si>
    <t>S.H.RC.1</t>
  </si>
  <si>
    <t>A ver, yo creo que uno de los logros importantes ha sido acercar la atención de salud mental a las comunidades, a las personas, comprendiendo la dinámica de lo particular que tienen los distintos territorios en nuestro país. Es decir, quizás logrando identificar que los territorios alimentan a las personas y las personas alimentan a los territorios en sus particularidades. Por lo tanto, generando distintos problemas de salud de acuerdo a esta distinta realidad. Yo creo que eso ha sido un tremendo, un tremendo logro.</t>
  </si>
  <si>
    <t>521</t>
  </si>
  <si>
    <t>FINANCIACION\Resultado\Principal logro de financiar los CSMC\Mayor articulación de la red</t>
  </si>
  <si>
    <t>Yo también tengo la sensación de que se ha podido articular mejor la red, es decir, tener menos fragmentación. Particularmente en lo que respecta a la relación de estos nodos con la atención primaria, lo que propende a tener una mejor continuidad de cuidados y digamos la mejor, una mejor relación de cuidados compartidos quizás, o de equipos en función de los de los usuarios y los resultados de salud mental.</t>
  </si>
  <si>
    <t>410</t>
  </si>
  <si>
    <t>Las más clínicas, que son las que en general se afectan, tienen menos afectación o están quizás menos o menos tocadas por los vaivenes del presupuesto. Entonces son son las clínicas, las intra box en general, las que se ven menos afectadas.</t>
  </si>
  <si>
    <t>240</t>
  </si>
  <si>
    <t>PRESTACIONES\Resultado\Prestaciones comunitarias las más afectadas</t>
  </si>
  <si>
    <t>Y las que requieren mayores recursos, mayor despliegue de recursos que son en general la más comunitaria, son las que más se afectan. A veces también, porque por ejemplo, cuando generamos actividades, por ejemplo en la comunidad, es bueno también aparecer con, no sé, con un jugo o con un café. Y a veces esas cosas también son súper difíciles de adquirir. Y eso también por supuesto que afecta, porque la gente no llega o la gente siente que no, que no nos ha dado el tiempo suficiente para armar el espacio como un espacio acogedor.</t>
  </si>
  <si>
    <t>534</t>
  </si>
  <si>
    <t>Efectos negativos: Actividades comunitarias son las más afectadas negativamente</t>
  </si>
  <si>
    <t>por ejemplo nuestro hospital psiquiátrico hoy día está absolutamente fragmentado de la red. Es un psiquiátrico primero y mantiene algunas características de monovalencia, pero por otro lado también tiene una, este limbo ministerial entre los hospitales psiquiátricos, que es una cuestión tremenda, porque nosotros. Yo insisto harto con el ministerio que nosotros tenemos, la gente viaja ahí y yo quisiera más que nadie que estuvieran en hospitales generales, pero eso no pase la gente está ahí y pasan frío. Y si de repente esperan una persona hospitalizada en una semana, no, no conversa con un psicólogo, como bien tremendo. Y esa falta recursos también hace que esa tensión esté súper fragmentada el resto de la red.</t>
  </si>
  <si>
    <t>719</t>
  </si>
  <si>
    <t>Por ejemplo, cuando generamos hospitalizaciones no voluntarias, hospitalizaciones administrativas, porque a veces el resto de la red no tiene ni la menor soberana idea de que su usuario volvió a su comunidad, ya sea al dispositivo COSAM o en el fondo el nodo de atención primaria, pero no muchas veces que no sabemos por qué el hospital nunca informó, básicamente porque no tiene, no tiene como hacerlo. De ahí la fragmentación es profunda y claro, en el fondo no podemos generar continuidad de cuidados.</t>
  </si>
  <si>
    <t>504</t>
  </si>
  <si>
    <t>por ejemplo, nosotros hace poco, en uno de los dispositivos de salud mental ambulatorio de San Antonio, que a mi no me gusta decir que son COSAM porque soy un enemigo de los eufemismos y las cosas que se llaman pero no son. Entonces ahí, por ejemplo, ante la falta de recursos, o ante el cambio de ya no tener algunas cosas como en seguridad, se tomó la decisión, por ejemplo, de suspender las consultorías de salud mental hacia las comunas aledañas durante seis o siete meses. Eso significa que durante seis o siete meses la atención primaria hizo el aguante con casos de una complejidad que no les corresponde resolver. Entonces, eso afecta tremendamente al equipo y además porque se da como una cosa de que hay responsabilización entre equipo y en realidad la responsabilidad es de los tomadores de decisiones.</t>
  </si>
  <si>
    <t>813</t>
  </si>
  <si>
    <t>Dentro de los lineamientos de acción, la participación comunitaria como marco, como un eje demasiado relevante, está poco incorporado en los presupuestos, está poco incorporado también en los bienes, en los servicios a los cuales se les da, se les da compra.</t>
  </si>
  <si>
    <t>258</t>
  </si>
  <si>
    <t>Por ejemplo, acá en el COSAM "Domingo Asún", hemos tenido una experiencia recontra interesante y donde hemos podido hacer hartas cosas con los usuarios con recursos, pero pero te diría que es como una experiencia bien particular y en general la participación de los usuarios queda relegada, no tiene presupuesto concursables.</t>
  </si>
  <si>
    <t>325</t>
  </si>
  <si>
    <t>Por ejemplo, los fondos centros de alcoholismo y salud mental, que para nosotros son seis millones de pesos en el año, pero bastante, bastante poco y que en general tratamos de distribuir entre la mayor cantidad de organizaciones posible. Entonces son proyectos de 500 lucas, son proyectos chiquititos, pero que a la gente le hacen mucho sentido.</t>
  </si>
  <si>
    <t>Ahora también justamente con esos proyectos que son, que son fondos que tienen más bien libre disposición muchas veces hemos tenido que resolver brechas en el sistema, por ejemplo, en San Antonio los profesionales se morían de frío porque no tenían estufas. Entonces los equipos conversaron con las organizaciones de usuario para que los usuarios concursaran para obtener estos fondos, para comprar la estufa y para que no pasaran frío. Sí, porque no había financiamiento asociado a subtitulo 29 para darle compra a la estufa y tampoco había mucha disponibilidad para hacer una compra de servicio del sistema de climatización.</t>
  </si>
  <si>
    <t>626</t>
  </si>
  <si>
    <t>GOBERNANZA\Resultado\Lo comunitario termina siendo irrelevante</t>
  </si>
  <si>
    <t>yo te diría que la fuente de la participación comunitaria o participación de los usuarios, quizá lo que segundo tiene mayores prestaciones es justamente la participación o la relación intersectorial.</t>
  </si>
  <si>
    <t>199</t>
  </si>
  <si>
    <t>Efecto negativo: Participación termina siendo menos relevante</t>
  </si>
  <si>
    <t>Pero yo también creo que hay algo que no solamente es de presupuesto, sino que también es como más bien de un modelo de pensamiento y es como que en el fondo, que a los centros les pasa que en vez de sentirse parte de la comunidad, se sienten un ente interventor de la comunidad y del intersector. Entonces, en el fondo, muchas veces hay una actuación que más bien tienden a hacer, como de modelar o de modular la acción de otro sector, más bien más que tratar de generar actividades conjuntas.</t>
  </si>
  <si>
    <t>494</t>
  </si>
  <si>
    <t>Y eso también se afecta, porque la verdad es que la, este tipo, las actividades, por ejemplo, que nosotros tenemos con el intersector son en general en contextos de camaradería, de relaciones de trabajo, de reuniones de trabajo. Eso también son de las que se quedan bien abajo del presupuesto.</t>
  </si>
  <si>
    <t>293</t>
  </si>
  <si>
    <t>yo creo que cuando trabajamos en salud mental no podemos, necesitamos, no podemos ser agencia de empleo en sistema público, partiendo por eso, no podemos generar formación de profesionales y después que esos profesionales salgan hacia la privada o hacia otro sistema que les puedan remunerar mejor.</t>
  </si>
  <si>
    <t>Mucho más, mucho más asertivo, mucho más enfocado en la recuperación. Pero eso con lo que hoy día hay es absolutamente imposible. Entonces terminamos como en un bucle en donde estamos en lo mismo, en el fondo. Y no, no podemos avanzar porque no tenemos los recursos suficientes para avanzar.</t>
  </si>
  <si>
    <t>F.H.RM.1</t>
  </si>
  <si>
    <t>Son difusos, son difusos, se sabe que existen. Pero creo que no, no toman, no toman, no forman parte de una estrategia mucho más global, a mi juicio. Y visto esto me refiero, quiero referirme exclusivamente al juicio del financiamiento.</t>
  </si>
  <si>
    <t>Una estrategia más global, más de mediano y largo plazo, no cierto, y más y más evolutiva. Me refiero, no cierto a como partimos.</t>
  </si>
  <si>
    <t>129</t>
  </si>
  <si>
    <t>Mira, yo partí y me recuerdo toda esta historia de 43 años. Yo me recuerdo, estaba en la Chile, era director de Finanzas de la Chile, cuando un grupo de alumnos de la FECH y de la Escuela de Psicología de la Chile fueron a plantear un proyecto de un COSAM en Pudahuel. Y bueno, no tenían nada. Tenían algunas ideas y tenían algunas cosas y lo que hicimos ahí, bueno, como siempre, no cierto, esta cuestión de mirar y decir acá hay algo que se puede hacer. Hicimos este esfuerzo. Te estoy hablando del año 93, 92, y ahí se hizo este esfuerzo. Y ahí empecé yo desde mi contacto personal, a entender el siempre de que aquí había un problema, que había una población súper, súper vulnerable y me tocó ir viendo el desarrollo de esto, desarrollo de esto y mucho tiempo después ya estando en el ministerio. Ahora, desde el Ministerio de Salud, no cierto y siendo subsecretario el Álvaro Erazo, me acuerdo, estoy hablando otra vez del 97 98, me tocó otra vez familiarizarnos con la estrategia y el desarrollo que yo había visto nacer el 92, cómo estaban evolucionando</t>
  </si>
  <si>
    <t>1060</t>
  </si>
  <si>
    <t>¿Qué yo vi ahí? Vi un centro de salud muy asociado y muy cercano a la comunidad, muy pobre y muy pobre en recursos, con mucha dificultad de estrategias de financiamiento permanentes que le dieran sustentabilidad a esto. Pero con una con una diversidad de problemas que reflejaban ese contacto con la población, donde habían talleres de mujeres afectadas por violencia intrafamiliar taller en concepto de de de de adicción y obviamente atención de salud. Esa relación comunitaria, no cierto, de inserción, yo creo que es difusa, es difusa desde el punto de vista de la estrategia de salud primero nacional, con mirada poblacional, es decir, con mirada de las poblaciones específicas.</t>
  </si>
  <si>
    <t>682</t>
  </si>
  <si>
    <t>Entonces esas miradas no están discutida en ninguna parte. Ah, se habla de darle visibilidad, prioridad a esto, pero mi, mi, mi, mi, mi primera relación con esto fue ir descubriendo que había un programa presupuestario que iba teniendo todos los años discusiones y que se presentaban y una estrategia de crecer, pero creo que es una estrategia difusa.</t>
  </si>
  <si>
    <t>el Cosam no se expresa de esta manera que te digo yo el punto de vista de la comprensión, pero también de para dónde va esto. Hasta tú le das plata o asignas recursos a un programa que tiene tal estructura o tiene tal cobertura, pero cuando tú quieres medir cómo te imagina este programa y cómo evoluciona esta estrategia en 10 años más</t>
  </si>
  <si>
    <t>336</t>
  </si>
  <si>
    <t>Me acuerdo, de Minoletti y Pem Jean, y toda esa gente que estuvo en ese tiempo cuando yo estaba en el ministerio, cuando empezamos con el programa de salud y que siguen todavía en este pensamiento, pensando en ese minuto, cuál era el Plan Nacional de Salud Mental y cuál iba a ser la estrategia de mediano y largo plazo sobre esto. Yo creo que como yo veo la historia, me pareció a mí Olga que otra vez se produce un estanco como bien planito, con una curva de crecimiento más bien, suave. No, no, no hay un crecimiento exponencial, sino la discusión de la salud mental en Chile ya no estaría en el nivel que está, ni tampoco estaríamos en el porcentaje de recursos que hoy en día ocupa la salud mental</t>
  </si>
  <si>
    <t>702</t>
  </si>
  <si>
    <t>Y creo que, se sigue insistiendo que que que mientras no esté en presente y salga de este ambiente difuso, esta neblina en la que está a mi juicio, como muy bajo</t>
  </si>
  <si>
    <t>161</t>
  </si>
  <si>
    <t>Yo le dije tiene que ser cáncer, salud mental, infancia. Entiendo, tiene que quedar expresa,tiene que leerse salud mental. Una porque va a ser una preocupación en la discusión presupuestaria. Muchos parlamentarios van a levantar la mano y decir que la salud mental,  queremos saber, y la plata? Y la cuestión?. Eh, hay un programa, se acaba de firmar la Ley de Salud Mental. Hace poco una ley. Bueno, está el programa saludablemente como expresión de gobierno. Entonces no podemos poner dentro una lista de otros la salud mental. Mira, te lo cuento nomás porque eso ya que no está, no está en la discusión. Si tu hablai de cáncer está, los tipos que hacen los paquetes, las drogas de alto costos, si tu vieras la salud mental, no está, no está en la conversa.</t>
  </si>
  <si>
    <t>759</t>
  </si>
  <si>
    <t>C.H.RS.8</t>
  </si>
  <si>
    <t>Yo siento que en realidad, el principal logro del centro de Salud Mental Comunitario tiene que ver con eso mismo, con con su nombre. Es llevar, acercar la especialidad a las comunidades, a la familia y las personas, estando un poco más incluida dentro del territorio mismo.</t>
  </si>
  <si>
    <t>273</t>
  </si>
  <si>
    <t>C.M.RN.1</t>
  </si>
  <si>
    <t>FINANCIACION\Resultado\Principal logro de financiar los CSMC\Logros en la relación de los usuarios con el CSMC</t>
  </si>
  <si>
    <t>Es como esta horizontalidad o este respeto, respeto hacia las personas. Y sentir que son parte de que son parte de este centro, no como alguien externo que viene,</t>
  </si>
  <si>
    <t>162</t>
  </si>
  <si>
    <t>Mayor posibilidad de participación usuaria</t>
  </si>
  <si>
    <t>no es que estén terriblemente involucrados, no están no, y muy poco involucrados en las decisiones que se toman, porque no está la estructura para eso, pero en términos en términos de, yo diría como que de la identidad que que tenemos con nuestros usuarios</t>
  </si>
  <si>
    <t>son parte de este centro de su historia, porque son personas que están tratándose con nosotros por mucho tiempo la mayoría.</t>
  </si>
  <si>
    <t>123</t>
  </si>
  <si>
    <t>FINANCIACION\Resultado\Principal logro de financiar los CSMC\Logro menos hospitalización</t>
  </si>
  <si>
    <t>Lo otro que, que es importante es haber salido del hospital como como centro, haber salido del hospital creo que le da hasta esta distancia de lo más biomédico que hace que lo que las relaciones sean distintas.</t>
  </si>
  <si>
    <t>hacer notar que los centros de salud mental comunitario no solamente trataban como el diagnóstico y esas cosas, sino algo mucho más integral en relación.</t>
  </si>
  <si>
    <t>Y ahora parece como bien superficial, pero no sé cómo explicarlo.</t>
  </si>
  <si>
    <t>65</t>
  </si>
  <si>
    <t>nosotros teníamos actividades en este centro que eran como esperadas por los usuarios. Eran esperadas porque yo yo creo que era como de los pocos espacios que ellos tenían para celebrar o para compartir, para relacionarse de otra manera con nosotros, así como nosotros podíamos jugar, competir, hacíamos esas cosas y eso habíamos logrado. Y últimamente ha sido como un retroceso en ese sentido.</t>
  </si>
  <si>
    <t>394</t>
  </si>
  <si>
    <t>Entonces yo diría que habíamos logrado como posicionarnos como en ese ámbito, pero estos años, no sé si con la pandemia o un poco antes, no sé, como una cosa atroz. Nada de eso, nada.</t>
  </si>
  <si>
    <t>183</t>
  </si>
  <si>
    <t>Eso creo que habíamos logrado hacer cierta equidad en términos de cercanía de la salud a las personas con discapacidades psíquicas. En términos de facilitar, si ellos les costaba mucho venir, nosotros íbamos.</t>
  </si>
  <si>
    <t>había incluso más colaboración, había más colaboración, en término económico o facilidades económicas que ya no se dan. Eso se había logrado, y ya no está</t>
  </si>
  <si>
    <t>154</t>
  </si>
  <si>
    <t>ya se había logrado como posicionar la salud mental y psiquiatría comunitaria. Yo en un momento sentí que podíamos hacer muchas cosas porque se entendía, se entendía lo que era. Pero como que eso se acabó. Como que siento que ha habido un retroceso.</t>
  </si>
  <si>
    <t>249</t>
  </si>
  <si>
    <t>Lo logramos en algún momento. No fue completamente. No fue totalidad el modelo si bien es cierto, pero había como una visión más cercana al modelo, que ahora no la veo para nada.</t>
  </si>
  <si>
    <t>Si tú tienes que hacer tantas consultas mensuales y tienes que, ha sido un cambio tan difícil de llevar porque es tan como como que se contrapone en cierta manera a la forma de lo es un centro comunitario, digo yo, porque ya te evalúan, te evalúan y en por producción</t>
  </si>
  <si>
    <t>267</t>
  </si>
  <si>
    <t>uno antes podía ser tenemos esta dificultad, vamos a conversarlo, vamos a ver qué podemos hacer. Pero ahora tú tienes que programar las horas de comité. Tienes que hacer esa cantidad de comité sin pensando que tiene que haber problemas. Digamos, no sé cómo decirlo, pero una cuestión no programable. La verdad que eso no se puede programar y tenemos que programarlo.</t>
  </si>
  <si>
    <t>366</t>
  </si>
  <si>
    <t>Bueno, antes de la pandemia incluso, no se nos autorizó recursos para hacer una actividad comunitaria, asó que eran como tradicionales, no se autorizó</t>
  </si>
  <si>
    <t>150</t>
  </si>
  <si>
    <t>o y un grupo igual no entusiasmado porque dijimos cómo no vamos a hacer nada, la gente va a preguntar como no. Yo tengo la sensación de que la gente de muy escasos recursos tiene muy pocas posibilidades de recreación. Entonces estos eventos eran esperados y yo creo que todavía son esperados. Eso no nos da pena decir pucha, cómo no vamos a hacer nada.
Speaker2: [00:19:46] Y un grupo nos motivamos y había una doctora también en ese tiempo que se movió, hagámoslo igual que sé yo, y tomando el nombre de una organización que hay, porque nosotros como servicio podemos pedir colaboración en nada. Se armó la fiesta y se hizo y todo. Pero en general ya no se autorizó ese tipo de actividades, no hay plata para eso, o sea.</t>
  </si>
  <si>
    <t>722</t>
  </si>
  <si>
    <t>a nosotros, por ejemplo, ahora se nos van dos psicólogas, formadas hace mucho acá en el centro, hace mucho tiempo acá en el centro. Excelentes profesionales. Como te digo, formadas,  porque es una escuela, yo creo que no, el centro de Salud Mental Comunitario no se aprende en ninguna parte más que acá, digo yo. Y se van y se van a la atención primaria.</t>
  </si>
  <si>
    <t>Aquí deberían estar las personas que se han especializado, que tienen más herramienta, que han tenido más trayectoria, pero los sueldos son un desincentivo horroroso. La carrera funcionaria es un horror, o sea, no hay. O sea, si logras entrar a planta, después hay que pelearse un grado. Es horrible.</t>
  </si>
  <si>
    <t>300</t>
  </si>
  <si>
    <t>los chiquillos nos decían no nos vamos porque nos queramos ir si nos gusta trabajar acá, pero pensando en el futuro, en sus hijos, ellos necesitan mejorar su ingreso y acá no lo van a obtener. No, la verdad es que no lo van a obtener. Y eso sí es un desincentivo grande.</t>
  </si>
  <si>
    <t>Operativos que van a los, son profesionales que vienen a las provincias, a las comunas, que se yo, a las regiones y, vienen a las regiones como a liberar listas de espera y nosotros no tenemos lista espera. Nosotros no sé, habrán dos o tres en la lista de espera. Pero no sé qué visión tiene la directora, que había que llenar treinta y, Treinta y dos cupos para que fueran atendidos por estos psiquiatras que iban a venir una vez. Una vez. No sé, em a mí, a mi y al resto del equipo le parecía que era, que no tenía ningún sentido, ningún fruto hacer eso. Que Además era una como una violación a la persona, porque para qué las ibas a ser ir para allá si ya estaba acá, nosotros ya sabíamos su historia para que se la contara a otro psiquiatra y después volviera para acá, va a seguir con nosotros. O sea ni pies, ni cabeza. Ni incluso los nuevos, porque de nuevo uno, dos o tres que estaban esperando ser atendidos van, los atiende el psiquiatra y después vuelven con nosotros de nuevo a repetir la historia, porque obvio, la psiquiatra tiene que evaluarlo. Y bueno,  y la plata para donde se va?, Porque los pacientes Fonasa C y D igual tenían que pagar su atención al hospital, al hospital se iba la plata. Para nosotros un trabajo sin sentido para empezar, de llamar a la gente, explicarle que fuera, y que fuera porque teníamos así como si o si llenar los treinta y tantos cupos para que el operativo fuera exitoso.</t>
  </si>
  <si>
    <t>1421</t>
  </si>
  <si>
    <t>El sistema hace, yo conversaba con una colega, yo le decía que este sistema dificulta el trabajo para nosotros, lo dificulta, lo imposibilita. Digo que lo dificulta porque comprar algo es lento y borroso, entonces si uno quiere hacer algo, tiene que pensar como varios meses antes, porque si es que lo aprueban, la cuestión te va a llegar no sé cuando.</t>
  </si>
  <si>
    <t>352</t>
  </si>
  <si>
    <t>Se privilegia el subdirector, bueno, no sé si, es entendible con la cuestión de la pandemia, que para él era más importante comprar mascarilla o guantes que, no sé, que pastilleros o que otra cuestión o colaciones. Porque obviamente que colaciones para qué pues, ¿colaciones para los usuarios?, no pues, olvídalo. Y para nosotros es tan importante la colación, porque es una motivación, porque hace que el ambiente sea más rico, porque no sé pues, le da otra calidez. Si uno quiere ser un taller de algo, cómo no vas a tener algo? Es como fome pues. O sea, yo lo veo así. No sé si será muy concreta mi mirada. Mi experiencia, se dice que la gente espera que uno tenga algo más que la pura palabra.</t>
  </si>
  <si>
    <t>697</t>
  </si>
  <si>
    <t>Nosotros tenemos dos impresoras, hay una impresora. Eso es el otro el sistema de compra es caro, es carísimo. Si uno compara lo que está en el convenio marco, el famoso convenio, con lo que se vende en el mercado, o sea sale más barato ir a comprarlo a la tienda que adquirirlo por este convenio. O sea se gasta mucho más plata y las cosas de la calidad que uno quiere, no, no son de la calidad que uno necesita y más encima son mucho más caros. Eso no se explica, quien hizo ese arreglin. Hay una impresora cannon allí que te cobra el arriendo de la máquina y cobra por hoja impresa. Cada hoja que te imprimes tiene un valor y que es más barato comprar una impresora que sea del centro? La cosa es que tenemos otra impresora que es del centro, pero no ahora hay dos. La que se cobra el arriendo y las impresiones de hojas, más la otra. Entonces no sé a quién se le ocurrió, cómo se llega a eso, quién pidió la impresora, quién pidió esa impresora, no sé.</t>
  </si>
  <si>
    <t>955</t>
  </si>
  <si>
    <t>C.M.RM.3</t>
  </si>
  <si>
    <t>en términos generales, lo que da el Servicio [Servicio de Salud] no alcanza a la magnitud de la cobertura que hoy en día se está entregando. Está absolutamente desfinanciado el sistema.</t>
  </si>
  <si>
    <t>Entonces si tú sumas y restas no alcanza el financiamiento a dar el ancho que corresponde a las prestaciones que estás entregando.</t>
  </si>
  <si>
    <t>O sea que también como que se te va achicando la canasta.</t>
  </si>
  <si>
    <t>57</t>
  </si>
  <si>
    <t>RECURSOS HUMANOS\Resultado\Costo en la vida personal</t>
  </si>
  <si>
    <t>Nosotros en Macul no tuvimos dispositivos, no tuvimos plata y finalmente se financió exclusivamente con los dineros propios y la gente decía sí, pero no gastan en bencina. Pero lo que tú gastas en bencina o en micro es bastante menor al costo que eso significó, porque se multiplicó.</t>
  </si>
  <si>
    <t>283</t>
  </si>
  <si>
    <t>Además, hubo un costo particular porque los pacientes te llamaban a las diez, a las once, a las doce de la noche y más, se quedaban con tu número telefónico. Ese costo no está reflejado en ningún lado. Finalmente, que es un costo bastante importante.</t>
  </si>
  <si>
    <t>250</t>
  </si>
  <si>
    <t>RECURSOS HUMANOS\Resultado\Sobrecarga laboral</t>
  </si>
  <si>
    <t>son los funcionarios los que finalmente son sobre demandados en un sistema que no, no tiene como la retribución económica propiamente tal.</t>
  </si>
  <si>
    <t>138</t>
  </si>
  <si>
    <t>Porque finalmente la retribución es el placer de seguir trabajando, de decir lo estamos haciendo bien y mirar hacia atrás y decir hemos atendido mucha más población que la que corresponde a un costo mucho más alto personal finalmente</t>
  </si>
  <si>
    <t>RECURSOS HUMANOS\Resultado\Aumento dotación de personal</t>
  </si>
  <si>
    <t>Ahora en general se han expandido en cuanto a número de zonas que están trabajando</t>
  </si>
  <si>
    <t>82</t>
  </si>
  <si>
    <t>Yo ingresé al COSAM, éramos 18, incluido la lo el personal de SOME, secretaría, personal de aseo. Por lo tanto, éramos 15. Hoy en día eso se ha expandido. Somos 50, en 12 años.</t>
  </si>
  <si>
    <t>176</t>
  </si>
  <si>
    <t>e ha triplicado la planta, entonces antes a lo mejor si convenía cuando recién se hicieron las canastas, si convenía este sistema, porque era un sistema que daba para la cobertura y también daba para el personal.</t>
  </si>
  <si>
    <t>212</t>
  </si>
  <si>
    <t>Pero con la demanda poblacional empezó a expandirse y tener necesidad de contratar más personas para poder dar el ancho a la demanda. Pero no, eso no se vio reflejado en el aumento de la canasta ni el número N que teníamos que ingresar a los AUGE.</t>
  </si>
  <si>
    <t>PRESTACIONES\Resultado\Diagnóstico inducido en el registro</t>
  </si>
  <si>
    <t>Y entonces también el sistema te hace encasillar a personas con un determinado diagnóstico para que te paguen esa determinada canasta.</t>
  </si>
  <si>
    <t>134</t>
  </si>
  <si>
    <t>Pero finalmente no, no es lo correcto, porque nosotros tenemos mucho más demanda de trastornos ansiosos que depresión pura, porque la depresión pura son bastante menores. Acá viene depresión, trastorno de pánico, trastorno de personalidad y otras cosas asociadas no son depresiones puras, violencia intrafamiliar, que hoy en día está como una determinante social. Pero generalmente los abusos y las historias de trauma y el estrés postraumático es una bolsa de gatos. Es mucho más amplia.</t>
  </si>
  <si>
    <t>488</t>
  </si>
  <si>
    <t>FINANCIACION\Resultado\Principal logro de financiar los CSMC\Ordenar la gestión</t>
  </si>
  <si>
    <t>Ha contribuido [el mecanismo de Canastas] a que uno, de una u otra manera, ordene la gestión y desde ahí bien.</t>
  </si>
  <si>
    <t>110</t>
  </si>
  <si>
    <t>Pero también ha entorpecido [el mecanismo de Canastas] porque has tenido que poner diagnósticos que no corresponden. Hay canastas que no existen y el presupuesto es limitado, como te digo, porque nadie podría tener un presupuesto ilimitado.</t>
  </si>
  <si>
    <t>FINANCIACION\Resultado\Dificultad / Complejidad para el gasto\Pago de prestaciones contrario al modelo de gestión</t>
  </si>
  <si>
    <t>El financiamiento no cubre las determinantes sociales,</t>
  </si>
  <si>
    <t>54</t>
  </si>
  <si>
    <t>tampoco cubre el trabajo comunitario.</t>
  </si>
  <si>
    <t>37</t>
  </si>
  <si>
    <t>de hecho no hay indicadores comunitarios canasteado, por así decirlo, porque no, no, no hay.</t>
  </si>
  <si>
    <t>92</t>
  </si>
  <si>
    <t>yo creo que son equipos sobre exigidos</t>
  </si>
  <si>
    <t>no ha existido, porque tampoco ha habido espacio de la recepción de lo que significa esto en la vida individual de cada uno y en la vida laboral de cada uno.</t>
  </si>
  <si>
    <t>Yo creo que uno así como que ya nos dicen que hay que hacer esto y lo hacemos sin detenerse a la reflexión final de lo que del impacto que va a generar tanto en las familias de los usuarios como en las familias personal y la vida individual de cada uno.</t>
  </si>
  <si>
    <t>253</t>
  </si>
  <si>
    <t>o he tenido psicólogos y psiquiatras que han venido del mundo privado y no soportan la presión asistencial de los centros, porque finalmente acá tienes rendimiento.</t>
  </si>
  <si>
    <t>PRESTACIONES\Resultado\No vas a lograr a hacer mil cosas</t>
  </si>
  <si>
    <t>El financiamiento, claro, te afecta, porque a lo mejor podría querer hacer mil cosas que no, no, no vas a lograr, porque tampoco están dentro de las posibilidades de hacerlo.</t>
  </si>
  <si>
    <t>174</t>
  </si>
  <si>
    <t>Pero y lo comunitario deja de ser realmente importante, porque como no es pagado da lo mismo si lo haces, no lo haces. Y desde ahí lo de desincentiva. Pero hay gente que sí quiere hacer cosas comunitaria y ahí entonces vamos, vamos exigiéndole al equipo, vamos haciendo reuniones en horario que no corresponde para preguntar a la gente, en fin.</t>
  </si>
  <si>
    <t>yo creo que el COSAM de Macul en general tiene hartas actividades comunitarias, pero sí trabaja con la comunidad, yo diría que bastante poco, con la comunidad en conversaciones, en conversatorio, en que vamos a la población y hacemos una reunión de la junta de vecinos para ver en qué están, que es lo que quieren, que como, como ellos visualizan la salud mental, como ellos sienten que están siendo atendidas sus necesidades, en este COSAM pasa poco.</t>
  </si>
  <si>
    <t>451</t>
  </si>
  <si>
    <t>Yo creo que nosotros, como como centro comunitario, hemos tenido súper poca voz en las políticas de lo que significa un centro de salud mental, y por qué digo esto? Porque así como los programas cardiovasculares se instalaron en una atención primaria y son un éxito, así como no sé, el programa EPOC y otros miles de programas que hay en la atención primaria y todos con éxito, con buenos indicadores antes de la pandemia, porque después de la pandemia no hablemos</t>
  </si>
  <si>
    <t>464</t>
  </si>
  <si>
    <t>C.M.RS.7</t>
  </si>
  <si>
    <t>el logro principal es que tú te acercas a la comunidad</t>
  </si>
  <si>
    <t>FINANCIACION\Resultado\Principal logro de financiar los CSMC\Logro más alla de lo clínico</t>
  </si>
  <si>
    <t>O sea es un trabajo más allá de lo clínico</t>
  </si>
  <si>
    <t>42</t>
  </si>
  <si>
    <t>es un trabajo pensado en el territorial,</t>
  </si>
  <si>
    <t>40</t>
  </si>
  <si>
    <t>FINANCIACION\Resultado\Principal logro de financiar los CSMC\Incorporación del paciente</t>
  </si>
  <si>
    <t>donde la participación del paciente es súper novedosa e inclusiva.</t>
  </si>
  <si>
    <t>66</t>
  </si>
  <si>
    <t>o creo que la apertura de lo que son estos centros comunitarios en la comunidad, no adosados a estos hospitales, que generalmente amplió la posibilidad de la incorporación del paciente</t>
  </si>
  <si>
    <t>184</t>
  </si>
  <si>
    <t>de llegar como salud pública donde se requiere, donde se necesita.</t>
  </si>
  <si>
    <t>En eso de cómo ha sido, como a pesar de todo lo que estaba comentando, de las dificultades económicas de los centros, pero ha sido una apuesta a tener una participación de los pacientes con los pacientes, incluidos los pacientes</t>
  </si>
  <si>
    <t>228</t>
  </si>
  <si>
    <t>tener el grupo humano de alguna forma los talentos humanos incorporados en lo que es la necesidad del usuario.</t>
  </si>
  <si>
    <t>RECURSOS HUMANOS\Resultado\Estabilidad laboral</t>
  </si>
  <si>
    <t>Mira el financiamiento como nosotros estamos adosados a un hospital, nunca hemos tenido grandes problemas, por ejemplo, en términos de la continuidad del recurso humano.</t>
  </si>
  <si>
    <t>169</t>
  </si>
  <si>
    <t>El recurso humano es constante, o sea, yo diría que ha ido en aumento y y en rigor nunca he tenido la dificultad de decir no continúa más la gente porque no tengo dinero, y desde ahí eso pudiera provocar que directamente podemos continuar con él con los controles y el seguimiento de los usuarios. Pero es más que nada porque estamos adosados a un buque grande.</t>
  </si>
  <si>
    <t>361</t>
  </si>
  <si>
    <t>Ya tú sabes que el Hospital Regional es uno de los más grandes del país. Entonces, dentro de esa comunidad es como el respaldo que tenemos. Pero si fuéramos a lo mejor un híbrido entre municipio y hospital o entre servicio y hospital, yo no sé si eso se podría hacer, porque he conocido experiencias locales que también se han tenido que reestructurar.</t>
  </si>
  <si>
    <t>RECURSOS HUMANOS\Resultado\Inestabilidad laboral</t>
  </si>
  <si>
    <t>En el caso de COSAM San Pedro, que también pertenece al Regional ahora, que en algún minuto tuvo que despedir varios funcionarios porque se acabó en esos años el convenio que tenía con el municipio con la DAS, entonces eso provocó que se redujera el recurso humano y por lo tanto, obviamente la calidad de atención</t>
  </si>
  <si>
    <t>314</t>
  </si>
  <si>
    <t>RECURSOS HUMANOS\Resultado\Prestadores de servicios y no funcionarios públicos</t>
  </si>
  <si>
    <t>no habido una respuesta de parte de la del hospital regional como centro, como establecimiento del cual dependemos, ni tampoco del Servicio de Salud, ni tampoco del ministerio. Yo hice hace poco, digamos, una solicitud formal de que incorporara al grupo del recurso humano que tengo acá, que lo incorporarán dentro de las posibilidades que los hospitales tienen todos los años de transitar desde los honorarios hasta los contratos. Y tampoco hubo resultados positivos para nosotros.</t>
  </si>
  <si>
    <t>482</t>
  </si>
  <si>
    <t>GOBERNANZA\Resultado\Posibilidad limitada de trabajar con agrupaciones</t>
  </si>
  <si>
    <t>Nuestro COSAM surgió de la independencia de una unidad, que era una unidad hospitalaria del servicio de psiquiatría. Y así empezamos, digamos, a trabajar. Así que yo creo que está en directa relación con las posibilidades de crecer y de trabajar de forma más coordinada y con las agrupaciones, con los usuarios, con mayor participación.</t>
  </si>
  <si>
    <t>FINANCIACION\Resultado\Imposible trabajo territorializado</t>
  </si>
  <si>
    <t>Entonces yo como tengo el convenio SENDA, veo mucho territorios, muchas comunas, como el Gran Santiago que eras tú, no sé por Maipú, Florida, qué se yo. Yo veo varias comunas que consideran gran Concepción, Chiguayante, Florida, que es una comunidad o una localidad un poco más rural y Hualqui, que también es rural. Ya por lo tanto, igual eso es un impacto en términos de la accesibilidad a los pacientes. Yo me tengo que mover con el equipo, digamos a todos estos territorios, ya no cumpliendo como el objetivo comunitario.</t>
  </si>
  <si>
    <t>525</t>
  </si>
  <si>
    <t>O sea yo debería estar territorializado, a lo mejor aquí en Concepción con los Cesfam que tengo adosado de acuerdo a la cantidad de recursos humanos que tengo, que se yo.</t>
  </si>
  <si>
    <t>170</t>
  </si>
  <si>
    <t>Entonces, de todas las maneras si tu ves en la lógica se contrapone a lo que establece el modelo de gestión de un COSAM, que es territorialidad, que es estar donde tú atiendes a los pacientes, estar ahí mismo, porque se produce este tema, digamos de tener adosados estos convenios, que son convenios que de alguna forma nos facilitan el recurso, pero que el que, en fin, digamos de alguna forma también no nos da la posibilidad de trabajar territorialmente.</t>
  </si>
  <si>
    <t>457</t>
  </si>
  <si>
    <t>PERSONAS USUARIAS\Resultado\Se interrumpe dinámica de atención</t>
  </si>
  <si>
    <t>Entonces es un tema para nosotros en general no lo vivimos acá porque generalmente nuestros pacientes son como te decía yo tramos A y B. Pero nos puede ocurrir que tenga pacientes que no sepamos. Entonces, de alguna forma igual se interrumpe un poco la dinámica de atención.</t>
  </si>
  <si>
    <t>274</t>
  </si>
  <si>
    <t>C.H.RM.4</t>
  </si>
  <si>
    <t>FINANCIACION\Resultado\Principal logro de financiar los CSMC\Logro es tener un centro de salud mental</t>
  </si>
  <si>
    <t>como primer lugar, me parece que es un logro que exista para partir y que exista un centro de salud mental comunitario. Ojalá en el corazón del territorio que tenga vinculación con atención primaria, que tenga vinculación con con los propios vecinos, no necesariamente usuario. Y también con el resto de la red no vamos a decir terciaria o secundaria</t>
  </si>
  <si>
    <t>350</t>
  </si>
  <si>
    <t>más bien con las camas y hospitales de día que debiesen existir, porque algo así como una atención terciaria ya poco y nada queda, sería el programa de clozapina cama hospital de día y con que eso funcione ya debiéramos estar más o menos satisfechos desde el punto de vista de cómo las cosas han ido evolucionando en los años. Partir desde la. Como de esta migración o vuelta territorial de los antiguos manicomios a tener atenciones en el territorio. Dotadas de buena calidad, con profesionales preparados. Yo creo que es un logro histórico muy importante.</t>
  </si>
  <si>
    <t>557</t>
  </si>
  <si>
    <t>las demanda no se cubren o satisfacen con el mero hecho de que exista el dispositivo. Porque así como a nosotros en los centros de salud mental comunitario hemos ido avanzando, también las necesidades son cada vez más acuciante y más complejas.</t>
  </si>
  <si>
    <t>Por otro lado, mucha gente enormemente agradecida de su existencia, porque encuentran una salida a una situación y un problema y una enfermedad y a una condición.</t>
  </si>
  <si>
    <t>ambién en algunos casos no depende de cada situación donde sino no se podría financiar. Si no, no hubiera encontrado una vuelta. Como para poder rearmar su proyecto, su vida, su familia, su comunidad. Entonces, qué me parece, los posamos que su sola existencia es un logro.</t>
  </si>
  <si>
    <t>Muchos de nuestros pacientes no se quieren ir porque se sienten cómodos y bien atendidos y entendidos acá.</t>
  </si>
  <si>
    <t>106</t>
  </si>
  <si>
    <t>FINANCIACION\Resultado\Principal logro de financiar los CSMC\Valoración de servicios sociales municipales</t>
  </si>
  <si>
    <t>ambién hay una demanda como de los servicios sociales y y de los del resto de departamentos municipales, donde nos ven como una alternativa. A veces, quizás demasiado pronto, incluso es como que hay algo levemente que tenga que ver con algo que sale de la norma, se pasa de una demanda así. A mí me parece que es una muy buena invitación, yo si me lo tomo como para educar también al resto de los dispositivos. Eh? Y también me da a entender de que nos tienen presente que es algo que es un recurso con el que los demás departamentos cuentan y necesitan.</t>
  </si>
  <si>
    <t>554</t>
  </si>
  <si>
    <t>La clínica no sólo ocurre dentro del box. La clínica no sólo ocurre cuando es realizada por el médico. También ocurre afuera, no solo con redes, sino en el territorio, cuando uno entiende lo comunitario como la instalación de capacidades en otros que ojalá no sean pacientes, para que ayuden, o sea personas que ayuden a personas. Pero en un segundo nivel, y más desde el punto de vista de una salud pública integral, uno piensa en. En otras cuestiones, como no solo la infraestructura del recinto, sino de, por ejemplo, el mejoramiento del barrio alrededor. Por ejemplo, hay una plaza cerca donde se pueden juntar los usuarios o entusiastas de la salud mental. Hay una junta de vecinos que no tenga que tener problemas porque no se hace un poco de frío. Nos llega el calefactor, se corta la luz. La gente no sólo quiere o necesita piscina, está esperar cuando dicen a propósito del Mides o que me piden una piscina temperada.</t>
  </si>
  <si>
    <t>926</t>
  </si>
  <si>
    <t>ueno, también pensar cómo se van a financiar de aquí al futuro estos centro de salud mental comunitario desde una apertura clínica y también una apertura ciudadana como. Yo en realidad no quiero tener pacientes dependientes. Es un signo de progreso el tener que contra derivarlo, no lo estoy castigando. No es signo de progreso o también de sana delimitación y asistencia en los propios límites técnicos.</t>
  </si>
  <si>
    <t>404</t>
  </si>
  <si>
    <t>ero en este sistema que no es solamente me va a ir a atender, tengo hora médico como dice nuestro querido, tengo hora médico viene feliz porque lo a, el psiquiatra lo atiende un ratito, o sea, va a la casa bien a los dos meses busca los remedios de qué se nos está financiando, que estamos incentivando y en particular que estamos desincentivando.</t>
  </si>
  <si>
    <t>347</t>
  </si>
  <si>
    <t>Entonces, qué se está eteniendo por salud y qué se está financiando, que se está incentivando y que hemos dejado de ver? Tenemos que entender que cuando uno financia algo, no sólo está financiando como un producto, no como el no sé, el momento y espacio en el que un psiquiatra te atiende, un médico te atiende, sino más bien estamos generando o tratando de gestionar un cambio en la sociedad. No, eso es un centro de salud mental y comunitario. Es una especie de última oportunidad para los excluidos.</t>
  </si>
  <si>
    <t>Hay pacientes que van a hacer bienes inmuebles, pacientes, si lo hay. No siempre vamos a tener. De hecho yo revisaba unas fotos viejas, hay un paciente que lleva más de diez años. Son piedras fundacionales. Y sí, puede ser. No digo que no estoy contra eso. Pero deben ser excepciones.</t>
  </si>
  <si>
    <t>Un sistema de financiamiento que solo promueve la atención. Intra mural en ciertos horarios, con cierta frecuencia máxima, es de menor calidad.</t>
  </si>
  <si>
    <t>143</t>
  </si>
  <si>
    <t>Cuál es la calidad de atención? Yo soy de una escuela donde la calidad de atención está puesta en si yo y tú somos capaces de conectarnos en un espacio transferencial en donde aparezca el dolor, el sufrimiento que es a lo que nos acomete y poder hacer alguna tramitación de esa para mí una relación de calidad. Si yo le doy un fármaco o un consejo o una interpretación, es porque en ese espacio, contexto único e irrepetible, no es lo que desde mi formación técnica considero lo más pertinente también.</t>
  </si>
  <si>
    <t>hay también un apremio por el rendir el profesional? Que es complejo cuando tiene de bueno y malo esto de tener que registrarlo todo y en el tiempo real y no hay tiempo para hacerlo después que nosotros buscamos ajustes y después editamos la ficha.</t>
  </si>
  <si>
    <t>248</t>
  </si>
  <si>
    <t>El registro está pobre, pero el registro tavor y fue la mejor sesión que que que pudo tener ese profesional y esa y ese paciente. Quizás fue la sesión definitiva y el registro pésimo.</t>
  </si>
  <si>
    <t>INFORMACION\Resultado\Importancia del registro</t>
  </si>
  <si>
    <t>Creo que ha incentivado algo importante este sistema de financiamiento, que es poder cuantificar lo que se hace, que es eso también a nosotros nos cuesta mucho, no? Que de repente un café, uno tiene una conversación maravillosa, pero no queda registro en ninguna parte. Un poco no nos importa.</t>
  </si>
  <si>
    <t>Efecto positivo: importancia del registro</t>
  </si>
  <si>
    <t>Hemos aprendido que eso tiene que no para poder generar política, para poder generar financiamiento. Si nos tiene que importar si hay que encontrar una forma y hay que también no tener una posición intransigente desde el otro lado. También vemos y yo, por ejemplo, veo y valoro y promuevo el adecuado registro, el oportuno cierre de ficha.</t>
  </si>
  <si>
    <t>339</t>
  </si>
  <si>
    <t>PRESTACIONES\Resultado\Centrados en diagnosticar</t>
  </si>
  <si>
    <t>Hemos afinado el ojo de tal manera que somos muy buenos como diagnosticados ahora, no necesariamente buenos tratante. He. Yo creo que se ha incentivado muy y eso es bueno. Se ha incentivado un diagnóstico precoz. Eso es muy importante, sobre todo en esquizofrenia, primer brote y en todo el resto de la enfermedad mental. Qué maravilla que ya no va a demorarte. Cuántos años imponiendo, comprando. De saber que tengo, que ya es un avance. Pero. Pero insisto, es un avance que. Que tiene un lugar muy importante, pero no suficiente. Qué pasa después? Cómo seguimos?</t>
  </si>
  <si>
    <t>564</t>
  </si>
  <si>
    <t>Entonces avanzamos en un diagnóstico precoz que es una maravilla y un avance muy grande. Pero en el tratamiento no sé, creo que nos quedamos. Creo que lo redujimos a ese afán, como ya premio también de una lógica sanitaria estándar</t>
  </si>
  <si>
    <t>Entonces, la valoración de un paciente que hace un médico extranjero respecto de uno local o de provincia respecto del padecer. Hay cierto acuerdo, pero también entonces uno dice ya, mira, quédate con un diagnóstico y mételo. Trata de meterlo de uno dentro de esa cajita porque son los que te lo pagan.</t>
  </si>
  <si>
    <t>Creo que hay en Chile una especie como de fantasía, de calidad, que a ratos se vuelve un poco graciosa y un poco con fundente. Cuando uno cree que todo tiene que estar parametrizar en cierta escala, en cierto registro y le da poco espacio a la artesanía de la clínica. La clínica no la va a lograr resolver un algoritmo? No sé, pero cumpliendo los mínimos entonces también de súper importante, no? Pero, pero, pero, pero tiene que poder asistir a su límite en algún momento. Y el sistema que los financia también lo tiene que entender. No, mira, pongamos ciertos rangos, pero ya adentro tiene que ocurrir la clínica y la clínica es algo que yo creo que se escapa y que creo que va siempre necesitar escapar de esa aprehensión métrica, no?</t>
  </si>
  <si>
    <t>RECURSOS HUMANOS\Resultado\Estrategias de retención de psiquiatras</t>
  </si>
  <si>
    <t>Tengo que hacer una serie de estrategias de seducción que no son financiera, no clima, acepto beneficio. En esta comuna tienes naturalmente ciertos atractivos, no es segura. Todo lo que te he dicho es segura. Es bonito. El centro no tiene rejas, son más o menos todo, más o menos educado o paciente. Hay algunos que no, pero la mayoría sí. De adulto mayor tendrá lo suyo, pero nos ayuda.</t>
  </si>
  <si>
    <t>387</t>
  </si>
  <si>
    <t>tiene la posibilidad de tener una contratación más segura, tiene menos rotación, menos rotación, es mejor calidad de atención para los pacientes que no tienen que estar reviviendo sus penurias con distintas personas. Hay más continuidad. Y también permite, por ejemplo, acá en esta comuna, podemos hacer carrera funcionaria. Los profesionales van progresando en bien y en capacitación y les va aumentando el sueldo. No es mucho. Sigue no siendo tan competitivo. Un muy buen psiquiatra puede ganar dos y hasta tres veces más afuera que acá</t>
  </si>
  <si>
    <t>Esto te cuesta tener talentos y cuando tú no tienes talentos es difícil que la gente te elija como lo que le queda, entonces ahí hay un tema ahí que es como decir ya sólo será subir el sueldo a los profesionales. Algo de eso hay, algo de eso hay, de cuál es el sueldo que tienen los profesionales o a qué asignaciones pueden aportar o cómo se les mide su producción.</t>
  </si>
  <si>
    <t>pero insisto, seguimos en la lógica de continuar con un buen diagnóstico, pero no hemos avanzado tanto en la terapéutica como en la clínica integral</t>
  </si>
  <si>
    <t>con este alimento financiero, no vamos a llegar a ninguna parte. Y que no va para allá la cosa, estamos, estamos básicamente desviándonos. No da la sensación de que estuviésemos como, como a campo traviesa o casi como porfiando al sistema cuando entramos en esta área más participativa, más participativa, deliberativa</t>
  </si>
  <si>
    <t>318</t>
  </si>
  <si>
    <t>RECURSOS HUMANOS\Resultado\Personal se niega a las actividades comunitarias</t>
  </si>
  <si>
    <t>También es difícil con los propios profesionales, los propios profesionales quieren, saben y se les paga por hacer ciertas cosas, no otra.</t>
  </si>
  <si>
    <t>No me mandibulas hablar con los vecinos. Si tengo que atender a una paciente es que no puedo ir al colegio.</t>
  </si>
  <si>
    <t>No sé qué hacer la charla porque como tengo la agenda no tengo espacio. Entonces poco te demuestra, así como por donde pecas, pagas. Bueno, también hay algo anidado ya como en el interior, como en el corazón de los propios servicios respecto de un modelo de incentivo perpetuado en el tiempo, que va a requerir también vencer resistencias no sólo extra rurales, también interna. Y eso también es algo que yo creo que hay que considerar en el diseño política</t>
  </si>
  <si>
    <t>Que no basta solo con poner plata para hacer otras cosas o poner la plata afuera. Cómo vamos a incorporar eso? Y cómo vamos a hacer el esfuerzo de cambio todos?</t>
  </si>
  <si>
    <t>160</t>
  </si>
  <si>
    <t>No, ni nosotros ni ellos estamos en realidad cierto en este nivel de análisis, como realmente lo que necesitamos o queremos o nuestros anhelos, porque uno es más miope, uno es más proximal. Ya está esto y lo otro. Dame hora médico, dame los remedios. No tengo agenda.</t>
  </si>
  <si>
    <t>O sea, si mañana se nos empieza a financiar, mañana. Y los listados de charla o la persona que están en una charla que no son usuaria, lo hace desde mañana y se paga igual que una redacción de en el box. Cuál sería la primera reacción de los profesionales? No, no hay que ver con lo que estaba esperando. Algunos sí, pero no necesito. Bueno, esto es lo que yo estaba esperando, que me pagaran lo que yo sé que sé hacer y que el otro necesite, que me ha estado pidiendo tanto tiempo. Yo no sé. Yo creo que somos menos ágiles de lo que creemos y lo que nos y menos inteligentes de lo que decimos que somos para poder leer la necesidad y leer cómo convertirnos.</t>
  </si>
  <si>
    <t>658</t>
  </si>
  <si>
    <t>Yo lo encuentro todo el sentido del mundo que pongo una canasta y ponga excepto indicadores y le permita ordenar la torta, porque si no sería como no hay manera de que alguien pueda tener. Creo yo no sé. Quizá el avance de la ciencia, los computadores cuánticos, no tengo idea, digamos, pero esta cantidad de variables. En toda su complejidad es tal que creo que permite ordenar de alguna manera a quien le sirve. Creo que poco nos sirve a todos, a gestores, a paciente, a los servicios, a la misma academia</t>
  </si>
  <si>
    <t>FINANCIACION\Resultado\No hemos estado perdiendo el tiempo</t>
  </si>
  <si>
    <t>creo que nos acomodamos mucho sobre cómo se financia, que se financia porque de alguna manera funciona. Hay una mecánica, hay grandes sistemas involucrados y enormes esfuerzos personales y de grandes sectores, no en que se yo que yo que se me pague algo de una vuelta larguísima. Yo después atiendo a la persona y lo registro en la ficha, se va al rehén, sube al. Es un circuito pero extraordinario que ha permitido generar investigación, que permitió tener un sistema confiable, un sistema seguro, donde afortunadamente hay muchos pacientes que sí salen adelante, donde no todo está perdido, donde no es que se la están financiando con causa de caos.</t>
  </si>
  <si>
    <t>651</t>
  </si>
  <si>
    <t>se han estado también financiando cosas muy importantes y que han permitido también, como decirlo, ver otras necesidades insatisfechas. Yo no creo que este sistema haya que satanizar o de financiamiento. Creo que hay que ser justos con eso. No creo que hayamos estado perdiendo el tiempo. Creo que hay que seguir avanzando, como que en un momento fue un. Es una tremenda presión encontrar un modelo. Pero no hay que conformarse en este modelo, hay que seguir explorando.</t>
  </si>
  <si>
    <t>470</t>
  </si>
  <si>
    <t>Pero desde la gestión de un centro donde hay personas involucradas, hay pacientes donde hay toda una maquinaria funcionando. También hay que ser práctico y las ideas como ideales tienen que encontrar un correlato también en posibilidades de realización, sin ser demasiado como como esta fantasía exacerba y ajena a la realidad. Te diría que nos ha permitido ciertos arreglos, ciertos acuerdo o cierta ciertos pisos de ciertas estructuras. De entendimiento. Y también de nuestras limitaciones. Y ahora, entonces sería bueno agregarle más que votar todo eso. Agregar.</t>
  </si>
  <si>
    <t>565</t>
  </si>
  <si>
    <t>C.M.RN.2</t>
  </si>
  <si>
    <t>Bueno, el primer logro es tener un centro de salud mental, lo que es la comuna</t>
  </si>
  <si>
    <t>78</t>
  </si>
  <si>
    <t>El principal logro es que se haya creado un centro, no es cierto? Para que las personas puedan atenderse lo más cercano, en la comuna donde reside.</t>
  </si>
  <si>
    <t>147</t>
  </si>
  <si>
    <t>Ese es uno de los primeros logros que yo rescato en el año 2016, cuando se crea la expansión del centro en el 2018.</t>
  </si>
  <si>
    <t>115</t>
  </si>
  <si>
    <t>MEDICAMENTOS Y TECNOLOGIAS\Resultado\Equipo móvil</t>
  </si>
  <si>
    <t>El segundo logro importante que puedo destacar es que esta expansión viene con un equipo móvil, un equipo que se traslada a entregar salud mental de especialidad a otros sectores. Es decir, nosotros tenemos rondas donde sale el psiquiatra con su equipo, no es cierto que va a los niños y los van a Salamanca, van a Canela y también van a las postas rurales donde tenemos más gente, no es cierto? Bajo control. Y eso también nos permite que la atención y el acceso a la salud mental en los sectores que están más aislados de las personas no tenían el acceso, lo puedan tener ahora. Eso yo creo que uno de los principales logros que nosotros tenemos y que hasta el momento este es el único centro que tiene a nivel regional y desconozco si hay a nivel nacional que tiene un equipo de salud mental que se traslada, no es cierto? Tal como se trasladan los equipos de GPS a la de los departamentos de salud, a ser atenciones. Nosotros tenemos un equipo que se traslada a hacer controles, a realizar atenciones, porque sale no solamente el médico, sino que sale el psicólogo, la enfermera, la psicopedagoga, la terapeuta ocupacional, cierto, el asistente social. Salen a entregar las atenciones acercando la atención de los usuarios a la comuna donde reciben.</t>
  </si>
  <si>
    <t>1253</t>
  </si>
  <si>
    <t>Bueno, yo creo que para mí es una deficiencia como el tipo de pago que se hacen, porque el hospital ellos trabajan y lo que paga Fonasa son consultas de salud mental y consultas que el modelo de gestión cada vez ha ido reduciendo más.</t>
  </si>
  <si>
    <t>Estoy tratando de responder al hospital para generar recursos que solo sabemos, pero por otro lado estamos también intentando acercarnos lo que más se puede y al modelo de gestión. Y eso es súper complejo, porque ambos modelos no creo, no dialogan entre ellos, son súper distintos.</t>
  </si>
  <si>
    <t>Aquí es una atención muy individual a lo que tiene el modelo biomédico, con qué funcionan actualmente los hospitales y el enfoque del modelo de gestión es comunitario, es el del trabajo en equipo.</t>
  </si>
  <si>
    <t>Logrando mantener la continuidad de cuidados en el sentido de hacer estar instancias que vienen dentro del modelo de gestión, la derivación asistida no cierto en participar entre los comités articulador de cuidados que se tienen activos. Estamos trabajando en generar un espacio para hacer los planes de egreso. Eso nos ha permitido dialogar con los otros niveles de atención. No creo que las distancias se han ido formando paulatinamente de lo que empezamos al 2016, a lo que estamos en el 2021 y yo creo que hemos avanzado significativamente en lograr tener esos espacios, pero sin embargo sabemos que tenemos que tener un cierto porcentaje de consultas, lo cierto que es por lo que el hospital los mide y eso es lo que se programa</t>
  </si>
  <si>
    <t>733</t>
  </si>
  <si>
    <t>PERSONAS USUARIAS\Resultado\Personas terminan descartando los tratamientos</t>
  </si>
  <si>
    <t>Y yo creo que ahí también genera esta dificultad a veces de que personas terminan descartando los tratamientos cuando no tienen por ejemplo esas facilidades, porque tienen que venir para acá y nosotros también tenemos que cumplir con la normativa que está vigente en este momento.</t>
  </si>
  <si>
    <t>Yo pongo un ejemplo, una persona que esté mayormente depresiva y por ejemplo que esté, no va a querer viajar y apellidos y se demora una hora y que va a ser que esta carretera y a veces la gente termina desertando, termina desertando de lo de los tratamientos o a veces acuden ya los que tienen algunos más recursos o una consulta particular, pero que se quedan solamente en el control médico y no hay mayor intervenciones de otros profesionales. Eso creo que a veces podría ser uno de los efectos que que puede llevar a un abandono o un desertar un tratamiento, o que tal vez el tratamiento no sea tan continuo como se debería hacer. Es decir, que dependiendo de la gravedad del cuadro clínico, si tienen fiebre y semanal, quincenal o mensual, porque un centro secundario de la persona mínimo debería venir cada 15 días a acceder a su tratamiento. Y eso a veces en la práctica no. No ocurre.</t>
  </si>
  <si>
    <t>892</t>
  </si>
  <si>
    <t>Ese fue un tema de conversación, de que si el diagnóstico no era una app, tenía que ponerse el diagnóstico, que era nada más ideal que fuera así una app. Pero nosotros también los dejamos registrados para que el compañero, si hay alguna duda donde se acerca, baja el diagnóstico ideal que se acerque a una app porque esa PPD tiene un copago. Ahora no todos lo saben, a veces hay que estar induciendo ahí porque viene marcado en negrita. Estos son los bebederos PPDO. Las que se pagan esa y después vienen las cazadoras. Viene asociado un costo y todo eso.</t>
  </si>
  <si>
    <t>555</t>
  </si>
  <si>
    <t>GOBERNANZA\Resultado\Termina logrando conseguir fondos</t>
  </si>
  <si>
    <t>con la antigua dirección del hospital, con quien había harta cercanía con el tema de salud mental, logré conseguir dos fondos que antes no lo teníamos un fondo para movilización, para traslados y hay que moverse dentro de la comuna, pagar colectivo taxi, así que hacer un traslado, moverse en bus.</t>
  </si>
  <si>
    <t>297</t>
  </si>
  <si>
    <t>Otros fondos que tienen que ver con gastos, varios cosas que puedan salir en el momento donde nosotros podamos disponer de ese dinero. Eso no lo teníamos antes, solo se consiguió solo por gestión y por la voluntad de la directora que estuvo en ese momento que accedió a otorgarlo. Subió los montos. Antes no era un monto como de 100 mil pesos, pues me dieron 980 y uno de 100 y lo he ido manteniendo y fue el sucesor directo, no me lo quitó, quedó estipulado y hasta el momento lo sigo manteniendo. Eso creo que ha generado cierta autonomía para algunas cosas.</t>
  </si>
  <si>
    <t>560</t>
  </si>
  <si>
    <t>Eso es para nosotros bastante significativo en relación a otros que trabajan con honorarios y eso genera no es cierto que puede ser sino una falta de estabilidad, el profesional que quiere trabajar.</t>
  </si>
  <si>
    <t>En este caso nosotros contamos los profesionales, al menos todos con la ley dieciocho mil ocho, tres o cuatro y eso genera una estabilidad.</t>
  </si>
  <si>
    <t>RECURSOS HUMANOS\Resultado\Pérdida de cargos</t>
  </si>
  <si>
    <t>me ha pasado que estamos en eso, que en los cargos que tenía, por ejemplo, el médico que está por la ley médica, se lo llevó, se lo llevó al hospital y lo ocuparon en otro médico.
Speaker2: [00:18:27] Y ese cargo no nos regresó.</t>
  </si>
  <si>
    <t>229</t>
  </si>
  <si>
    <t>También nos pasó con cuando pasó la pandemia, nos quitaron algunos cargos. Y estoy ahora en eso, en que me devuelvan. Ya me han devuelto uno de tres que se llevaron, ahora deberían devolverme otro y así sucesivamente. Eso también ha generado ciertas dificultades en el recurso humano de que al ser parte del presupuesto del hospital, el hospital determina</t>
  </si>
  <si>
    <t>355</t>
  </si>
  <si>
    <t>Vamos, tomamos el cargo y nos llevamos a otro servicio y cuesta tomarlos de vuelta. Y eso justo ocurrió en el periódico. Me fui de prenatal. Cuando llegué ya se habían llevado estos carros y ahora estoy pidiendo que me los devuelvan y haciendo todas las gestiones que me devuelvan los cargos, porque quedaron descubiertas las áreas y todos los cargos eran a contrata. Por lo tanto, nosotros no teníamos porque tener ninguna compra de servicios, porque como sí venía con ley de 18 para todos los profesionales que iban a trabajar en el centro.</t>
  </si>
  <si>
    <t>542</t>
  </si>
  <si>
    <t>pero hay una deficiencia, una deficiencia yo creo que es bastante grande y que tanto el sistema si que ocupa el nivel de hospital a nivel secundario como nosotros, no dialoga con el sistema Habis que ocupa toda la atención primaria y eso por ejemplo, yo creo que es fatal en el sentido de que no sabe</t>
  </si>
  <si>
    <t>No podemos acceder a información de los docentes cuando son contra referido a la atención primaria y tampoco la atención primaria. Puede acceder información con pacientes contra referido a la atención secundaria</t>
  </si>
  <si>
    <t>211</t>
  </si>
  <si>
    <t>Yo creo que ahí es una gran falencia que hay porque no nos accede oportunamente a la información. Esto se hace mediante correo electrónico o las mismas reuniones por la red y ahí uno se va traspasando información.</t>
  </si>
  <si>
    <t>213</t>
  </si>
  <si>
    <t>Pero los sistemas informáticos no dialogan y al no dialogar la información. Por ejemplo, si quieren saber el tratamiento que está tomando una persona, no es cierto que está ahora con nosotros, que sigue siendo bastante la PC. No pueden ver porque los sistemas meter a los del no, no, no concuerdan.</t>
  </si>
  <si>
    <t>Son sistemas distintos y yo creo que ahí es difícil.</t>
  </si>
  <si>
    <t>52</t>
  </si>
  <si>
    <t>No entiendo porque no, no hay un solo sistema de registro a nivel de salud. Por qué los hospitales ocupan un sistema en la atención primaria Cuba otro sistema cuando debería ser el mismo? Ahí hay cosas que a veces no se entienden, esas decisiones que a nivel se puede decir más central o regional, que dificulta a la gente que está o la gente que está en el día a día, o la gente que opera en terreno que necesita.</t>
  </si>
  <si>
    <t>414</t>
  </si>
  <si>
    <t>Mira, yo creo que en este momento dialogamos porque logramos cumplir lo que nos pide el hospital en primera instancia</t>
  </si>
  <si>
    <t>117</t>
  </si>
  <si>
    <t>yo creo que si no lográramos cumplir todo tendríamos más problemas y estarían mayormente como encima diciendo ya que pasó lo que pasó, pero lo logramos con al hospital.</t>
  </si>
  <si>
    <t>168</t>
  </si>
  <si>
    <t>RECURSOS HUMANOS\Resultado\Los pacientes no quieren volver al CESFAM</t>
  </si>
  <si>
    <t>Otra cosa que estamos trabajando fuertemente, que la gente no se quiere ir de secundaria, no quieren irse, que no quieren volver a los stand, pero por una cosa, principalmente porque no hay psiquiatra, pero la gente está bien, ya está estable y estamos trabajando en esto de educar a la gente.</t>
  </si>
  <si>
    <t>C.M.RC.5</t>
  </si>
  <si>
    <t>En mi experiencia, Olga, yo creo que el principal logro o cambio que podríamos ver en relación al modelo antiguo tiene que ver con la adherencia, con las altas también, la mayor incidencia de altas, y la adherencia del usuario a este modelo de atención. Creo que eso es como los elementos más importante en cuanto a lo clínico.</t>
  </si>
  <si>
    <t>Y en cuanto al vínculo con el territorio, con la comunidad, el vínculo que se genera con la atención primaria y con las instituciones, con los grupos de la comunidad, permitiendo que la salud mental tenga un mayor desarrollo o un mayor entendimiento por parte del entorno.</t>
  </si>
  <si>
    <t>272</t>
  </si>
  <si>
    <t>FINANCIACION\Resultado\Principal logro de financiar los CSMC\Logro con APS</t>
  </si>
  <si>
    <t>Y creo que el trabajo que se hace en consultoría con los equipos de APS es muy importante en relación a mejorar la resolutividad y la especificidad del trabajo que ellos pueden lograr con sus equipos de APS. Yo creo que de lo que yo he visto en todos los lugares que he estado es la permanente, es una constante en todos los lugares. El poder, eso, reforzar y entregar, hacer esta transferencia de conocimiento a los equipos de APS y mejorar su resolutividad.</t>
  </si>
  <si>
    <t>459</t>
  </si>
  <si>
    <t>El vínculo con la comunidad que se fortalece, que hace que la salud mental también sea un elemento más cercano y más comprensible para la comunidad</t>
  </si>
  <si>
    <t>una mejoría también en otros usuarios respecto de mantener adherencia y mejores tasas de alta.</t>
  </si>
  <si>
    <t>la oportunidad de poder llegar más a tiempo en los casos nuevos, en los casos GES, a la resolución de sus problemas. O sea los tiempos de espera son mucho más acotados</t>
  </si>
  <si>
    <t>167</t>
  </si>
  <si>
    <t>las tasas de hospitalización también son bastante más bajas. Y la cantidad de gente que se requiere hospitalizar por descompensaciones para nosotros, no sé, podría ser una persona al mes. Si es que. De una población bajo control de 700 y a veces ninguna. Entonces es un elemento también bien importante como dato duro a considerar.</t>
  </si>
  <si>
    <t>331</t>
  </si>
  <si>
    <t>la oportunidad que hoy tiene el usuario de llegar a un equipo transdisciplinario que lo recibe</t>
  </si>
  <si>
    <t>Que genera un plan de cuidado integral</t>
  </si>
  <si>
    <t>que además existe educación para la familia, la comunidad, los colegios</t>
  </si>
  <si>
    <t>71</t>
  </si>
  <si>
    <t>Entonces, integrar el ambiente donde se desenvuelve el usuario, eso es importantísimo. Yo creo que eso es lo que he visto en estos tres años y he estado ahí y lo encuentro súper interesante. De hecho, los usuarios lo agradecen, su familia también.</t>
  </si>
  <si>
    <t>INFORMACION\Resultado\La estadística no refleja cercanía con el usuario</t>
  </si>
  <si>
    <t>Y que nos permite a nosotros, como equipo también, tener esa cercanía con el usuario y poder dedicar parte de nuestro trabajo a algo que muchas veces no es tan visible, porque a veces cuesta reflejarlo en los registros o en la estadística, pero que si se refleja los resultados.</t>
  </si>
  <si>
    <t>C.M.RC.6</t>
  </si>
  <si>
    <t>Había que justificar a un sistema que trabaja más bien en un área administrativa y no clínica y que además cuesta mucho entender cierto tipo de gasto que se genera en el centro comunitario.</t>
  </si>
  <si>
    <t>189</t>
  </si>
  <si>
    <t>Había que hacer un trabajo como de educación, por así decirlo, con la parte administrativa, para que ellos entendieran cuál era el tipo de gasto y la oportunidad de esos gastos que se requería</t>
  </si>
  <si>
    <t>FINANCIACION\Resultado\Dificultad / Complejidad para el gasto\Diferentes instrumentos administrativos para lograr gastar</t>
  </si>
  <si>
    <t>la mayoría de las cosas o se financiaban a través de fondos fijos y de anticipo</t>
  </si>
  <si>
    <t>había que hacer proyectos para poder hacerse todo gasto también.</t>
  </si>
  <si>
    <t>lo demás era todo por órdenes de compra, a través de convenios.</t>
  </si>
  <si>
    <t>63</t>
  </si>
  <si>
    <t>También el caso de los fármacos que eran muy importante en la serie de convenio marco también.</t>
  </si>
  <si>
    <t>FINANCIACION\Resultado\Dificultad / Complejidad para el gasto\Oportunidad de los fondos</t>
  </si>
  <si>
    <t>Así que en general el tema de los gastos para nosotros siempre son temas complejos, el poder disponer de los fondos para lo que se requiere y sobre todo en el momento en el que se requiere.</t>
  </si>
  <si>
    <t>Ya para poder justificar el tipo de gasto es un tema, después que lo autoricen y después que la plata esté disponible, es más complejo todavía.</t>
  </si>
  <si>
    <t>FINANCIACION\Resultado\Dificultad / Complejidad para el gasto</t>
  </si>
  <si>
    <t>Entonces, lamentablemente el tema económico como dices tu mas allá del presupuesto que se nos asigne, el poder ejecutar esos gastos siempre es complejo.</t>
  </si>
  <si>
    <t>152</t>
  </si>
  <si>
    <t>pero tenemos ese tope que finalmente entramos en los tiempos del servicio de salud. Entonces, generalmente tenemos retraso en el pago de las facturas, retrasos con los proveedores y eso nos ha generado problemas del tipo que, por ejemplo, a veces no hemos podido lograr comprar el mismo proveedor por la lentitud.</t>
  </si>
  <si>
    <t>también los plazos, tenemos plazos de compra, plazos de ejecución que nos limitan, aún cuando tenemos presupuesto.</t>
  </si>
  <si>
    <t>114</t>
  </si>
  <si>
    <t>programa que es PASAM en el centro y se sigue generando los problemas de tema financiero y presupuestario por compra y pago, por qué, efectivamente, seguimos dependiendo de finanzas, de logística, del servicio.</t>
  </si>
  <si>
    <t>PERSONAS USUARIAS\Resultado\Nadie es excluido</t>
  </si>
  <si>
    <t>Se atiende o se reciben por igual, porque en el fondo nuestro filtro tiene que ver con algunos criterios clínicos, nada más. No queda ninguna población excluida. De hecho tenemos personas migrantes, tenemos el ciclo de vida completo derivado, entonces no incide, hasta donde yo sé, que tengamos alguna limitación.</t>
  </si>
  <si>
    <t>U.M.RN.4</t>
  </si>
  <si>
    <t>es la primera vez que este centro tiene trabajo comunitario. Entonces la experiencia mía acá ha sido un poco difícil al comienzo, porque el trabajo comunitario acá se trabaja más con lo biomédico. Entonces no tenía por ejemplo, un lugar donde estar. Estaba en un box y después no tenía donde recibir a las personas, nada que hacer. El grupo los hacía en el patio. (CoquimboORG_revisado, Pos. 4)</t>
  </si>
  <si>
    <t>Bueno, al principio fue difícil, como le iba diciendo, porque no había un lugar. Un lugar estable donde estar bien. Trabajábamos en un comedor y los grupos se realizaban en el patio. Y ahora que nos cambiamos de lugar, nos cambiaron a un lugar más amplio en un salón. Yo estoy trabajando como todas mis cosas las tengo acá en el salón, pero en este salón lo ocupan varias personas. Entonces igual hay que compartir el espacio con todo el que venga. (CoquimboORG_revisado, Pos. 14)</t>
  </si>
  <si>
    <t>Los profesionales igual cuesta un poco para que entiendan el trabajo comunitario, porque siempre al principio escuchaba y que me decían usted, usted es como nosotros, no tiene que acercarse tanto a la gente, usted no es, ellos no son sus amigos. Me decían cosas así. La formación de nosotros no es la misma, porque nosotros somos un puente entre la comunidad y los profesionales. Nosotros creemos que para generar vínculos tenemos que ser más cercanos. Aparte yo pertenezco a la comunidad. Entonces yo en la reunión he tratado muchas veces de explicarle y a veces de a uno por uno explicarle que el trabajo comunitario y el del trabajador comunitario de salud mental, es porque tenemos otra mirada y no tenemos, que es cercana a la comunidad. Que nosotros vivimos una experiencia parecida. De alguna forma todos los que vienen acá. Sabemos y podemos ponernos en el lugar de ellos. Saber cómo se sienten y así poder apoyar a cada uno de ellos. (CoquimboORG_revisado, Pos. 14)</t>
  </si>
  <si>
    <t>Entonces falta esa cercanía, falta y todo eso lo hacía a pie porque no había para trabajo comunitario, de movilización en todo el pueblo, en todo el pueblo a pie. Entonces nos hacía falta, falta más que haya más recursos, más cosas para poder trabajar con la comunidad. Y que el profesional también, que vaya, que se vaya integrando con ese trabajo comunitario. Que vaya aceptando también a los trabajadores comunitarios y y apoyar, apoyar el trabajo y no solo apoyarlos a ellos. Porque al final nosotros somos el puente que hay entre la comunidad y ellos. Pero he visto que como experiencia es que el trabajador comunitario es el que más, el vínculo, el vínculo con la familia (CoquimboORG_revisado, Pos. 20)</t>
  </si>
  <si>
    <t>Entonces cuando estamos solos son capaces hasta de contar lo que no le han contado al médico. Y nosotros cuando descubrimos que algo está mal, que ellos necesitan más apoyo, lo dirigimos al médico, le contamos y esperamos que ellos se acerquen de igual manera con ellos. También creo que que los médicos deberían para hacer el trabajo comunitario como, como, como se indica en la integración, cierto, comunitaria deberían de ser más cercano con los, con los pacientes, con la familia que se atiende, porque aquí, por ejemplo, dicen que tienen que ir a visita, está estructurado, pero ningún médico acá va a visita, entonces y los psicólogo ninguno va a visitas, va una psicóloga y un asistente social que es casi siempre la que sale a visita y al médico casi nunca se acerca. (CoquimboORG_revisado, Pos. 15)</t>
  </si>
  <si>
    <t>Entonces falta esa cercanía, falta y todo eso lo hacía a pie porque no había para trabajo comunitario, de movilización en todo el pueblo, en todo el pueblo a pie. Entonces nos hacía falta, falta más que haya más recursos, más cosas para poder trabajar con la comunidad. (CoquimboORG_revisado, Pos. 20)</t>
  </si>
  <si>
    <t>Los recursos son insuficiente. Por ejemplo, acá se lo entregan al hospital cierto los recursos y el hospital los reparte, los reparte a quien lo necesita más. Acá hace mucho tiempo que están trabajando teletrabajo, que es lo que estamos en un lugar que es grande, pero aún así faltan box para los grupos. Yo misma estoy atendiendo, yo atiendo y hago grupos, tengo mi cosas en un salón. En un salón donde todos hacen talleres, entonces uno cuando entra tiene que. Um. Hacer algo. Las platas van desde el hospital, la dirigen más hacia otras cosas, a la digitalización porque...Porque hay más gente trabajando allá, pero no acá. (CoquimboORG_revisado, Pos. 30)</t>
  </si>
  <si>
    <t>Pero el hecho es que la plata llega al hospital y del hospital ahí hay que ver a quién, quiénes son los que más necesitan. Y es como que siempre salud mental es como que necesita poco, no? No necesita mucho. Hasta para la movilización. La movilización tenemos nosotros, el hospital llega a ese recurso allá y lo reparte entre CESAM de las compañías, CESAM de La Serena, infanto juvenil, el hospital de día.  (CoquimboORG_revisado, Pos. 30)</t>
  </si>
  <si>
    <t>Entonces yo creo que está mala esa parte, muy mala porque como en un día y medio vamos a poder ir a algunas partes rurales, como en un día y medio vamos a poder ir a hacer o hacer visita a la gente que más lo necesita, a los que no pueden moverse y hay que ir a ponerles los inyectables a sus casas. Entonces la salud mental está muy alejada de que hay que tener mucho apoyo. No, no, no hay mucho apoyo para para la salud mental, aunque se trata yo creo que el servicio de salud yo no tengo nada que decir porque ellos igual, yo pienso que ellos tratan, tratan, tratan y no. Yo, por ejemplo yo por ejemplo yo, yo vengo ya con un, yo soy honorario y yo vengo con un proyecto, entonces las placas van a hospital. Y la plata, ellos me la tienen que repartir a mi. Entonces pero ahí no va incluido, no va incluido para las horas extra, no va incluido nada. Entonces no hay. (CoquimboORG_revisado, Pos. 31)</t>
  </si>
  <si>
    <t>Pero nosotros acá no llega muchos recursos, estamos trabajamos con lo que se tiene. Como hicieron ayer en la reunión, estamos trabajando de forma precaria. (CoquimboORG_revisado, Pos. 32)</t>
  </si>
  <si>
    <t>Yo como que no sé, no sé que pasa, en realidad no sé qué pasa, pero acá igual uno le pone el mayor empeño para que las cosas de una u otra manera funcionen, pero si está en lo que se refiere a eso, yo pienso que falta mucho mucho recurso, mucho recurso faltan. Trabajamos con lo que hay. (CoquimboORG_revisado, Pos. 32)</t>
  </si>
  <si>
    <t>porque nosotros sin proyecto no hacemos nada y como trabajamos la autogestión, nosotros hacemos la feria, vendemos cosas. Ahora tenemos planeado hacer subasta para ver la subasta, nos organizamos para juntar dinero, ya que a fin de año nosotros tenemos el programa, tiene varios segmentos y entre ese segmento está la celebración del día de la Familia, que es a fin de año y nosotros yo alcancé a generar algunos recursos, unas donaciones por aquí y por allá, y ellos por primera vez, algunos de ellos por primera vez fueron a un camping (CoquimboORG_revisado, Pos. 17)</t>
  </si>
  <si>
    <t>Entonces por eso te cuento que igual falta mucho, mucha más atención que pongan a nivel de gobierno, creo yo, en la salud mental, porque la salud mental lo requiere. He ido a lugares muy lejos, he ido de acá a rurales, donde la gente está prácticamente abandonada, donde se le ve una vez en su control y nunca más nadie le va a hacer una visita. He visto gente que vive sola, encerrada en una casa, adentro de una casa, otra casa y viven aquí. (CoquimboORG_revisado, Pos. 19)</t>
  </si>
  <si>
    <t>Lo malo es cuando por ejemplo vienen ellos siempre, casi siempre tienen problemas con los medicamentos, porque van a la farmacia mis compañeras acá a buscarlas y en la farmacia las hacen esperar, esperar y después dicen que no hay. Y si no hay medicamento, se atrasan los medicamentos, se descompensan (CoquimboORG_revisado, Pos. 26)</t>
  </si>
  <si>
    <t>FINANCIACION\Intervención\Convenios con intersector\Servicio Nacional de Drogas SENDA</t>
  </si>
  <si>
    <t>Le entrega SENDA 53 millones más.</t>
  </si>
  <si>
    <t>Convenios con organismos gubernamentales del intersector</t>
  </si>
  <si>
    <t>FINANCIACION\Intervención\Plan de garantía universal GES</t>
  </si>
  <si>
    <t>Yo estaba viendo que Fonasa. Bueno, los COSAM, las persona que llegan a COSAM son las inscritas en Fonasa. Pero tiene una lista de atenciones AUGE, así que a mi me llama la atención porque por ejemplo, la depresión es para mayores de 15 años. Si yo tengo 12 años y tengo depresión, ¿no me van a atender?¿O me van a dejar para el último de la lista? En lista de espera.</t>
  </si>
  <si>
    <t>Plan de Garantía Universal en Salud (GES)</t>
  </si>
  <si>
    <t>El consumo de alcohol y drogas es para menores de 20 años. La atención. La bipolaridad es para mayores de 15 años. Y el Alzheimer para cualquier edad. Y yo no sé. Yo creo que se ha hecho algún estudio. ¿Por qué fijaron esta edad, estos límites?</t>
  </si>
  <si>
    <t>Yo creo que sería una observación para Fonasa que ellos se dieran cuenta de que para estas enfermedades realmente no hay un límite de edad. Yo no puedo pensar que una persona la voy a atender porque ya cumplió los 15 años o no la puedo atender porque ya tiene 21. Y es una cuestión, son restricciones que no deberían existir para mi entender. Yo creo que esta es una de la observación importante que le podríamos dar a Fonasa.</t>
  </si>
  <si>
    <t>PERSONAS USUARIAS\Intervencion\Afiliado al seguro público</t>
  </si>
  <si>
    <t>generalmente cuando hay Fonasa A, cierto o cuando hay Fonasa B, lo que es Fonasa en general se atienden en estos centros de salud mental.</t>
  </si>
  <si>
    <t>Factores confundentes, intervinientes o mediadores del mecanismo de pago</t>
  </si>
  <si>
    <t>o nuevo que está haciendo que tiene de financiamiento de los COSAM, es que el COSAM evalúa la, le pone como un "X" a la atención, pero eso se lo se lo paga Fonasa al COSAM para las personas A y B.</t>
  </si>
  <si>
    <t>PERSONAS USUARIAS\Intervencion\Afiliado al seguro público\Tramos C y D copagan</t>
  </si>
  <si>
    <t>Los C igual tienen que reembolsar un tanto por 100 y los D igual. Pero por lo que yo tengo entendido y lo que he estudiado últimamente, el COSAM dice la consulta una suposición cuesta 10.000 $ y le dice a Fonasa esto cuesta la consulta del de la paciente María Salina y Fonasa le le paga eso siendo A o B pero siendo C y D tienen que pagar un porcentaje la persona que que cuánto se llama que quiere la atención de salud.</t>
  </si>
  <si>
    <t>PERSONAS USUARIAS\Intervencion\Población específica</t>
  </si>
  <si>
    <t>La gente PRAIS tiene su atención gratuita.</t>
  </si>
  <si>
    <t>GOBERNANZA\Intervencion\Políticas públicas a favor de la actividad comunitaria</t>
  </si>
  <si>
    <t>Yo creo que en este aspecto del tema de salud mental, como le decía al principio, yo creo que nosotros como comunidad y tanto como gobierno y los profesionales yo creo que deberían hacer una unidad y trabajar en conjunto, porque es complejo el tema de salud mental.</t>
  </si>
  <si>
    <t>PRESTACIONES\Intervencion\Prestaciones no valoradas por FONASA</t>
  </si>
  <si>
    <t>lo otro es que la mayoría de las personas llegaban a pie, no tomaban micro. Había una persona que tenía movilidad reducida, que se tomaba colectivo y eso no lo cubría el COSAM.</t>
  </si>
  <si>
    <t>Pago asociado a una canasta de prestaciones</t>
  </si>
  <si>
    <t>GOBERNANZA\Intervencion\Proyectos para organizaciones sociales</t>
  </si>
  <si>
    <t>te contaba recién que en el centro, en el Luz de Luna, un centro CRD, voy a trabajar un proyecto, y te contaba también de la Escuela de Arte, que fue un proyecto FONAPI del Senadis. Lo que dice Carlos Pérez y que comparto con él. O sea, en el fondo yo comparto eso mismo porque es lo que he venido haciendo hace diez años que es si no hay fondos, si no hay recursos, bueno, hay que buscar fondos a otros lados y hacer proyecto y con eso contribuir a mejorar la condición. Porque hay muy pocos recursos y los recursos, y ahí viene la cita con más acorde con Carlos Pérez es que la sociedad civil o la activista a través de proyectos están logrando mantener un poco a flote el estado de salud de las personas.</t>
  </si>
  <si>
    <t>Entonces postulo a FONAPI, postulo a CERCOTEC, postulo a, por ejemplo, postulé a un CERCOTEC para crear una productora de relación inclusiva. O sea, trabajo con mis pares de mente en producciones audiovisuales. Eso le da trabajo a mis pares de mente y por otro lado, ayuda a mejorar sus condiciones de vida y por ende, eso repercute en una mayor estabilidad en su sufrimiento síquico.</t>
  </si>
  <si>
    <t>Entonces, por el momento, ya que los recursos son mínimos y que la psiquiatría biomédica o biologicista es demasiado hegemónica, bueno, tenemos que hacer como lo hace el Centro Amores en Osorno que lo que hacen es postular a proyecto, proyecto todos los años, proyecto y con eso levantar iniciativas que empoderen a la población, y ayuden a la mejora sustantiva y en diversos grados de personas con diagnóstico psiquiátrico.</t>
  </si>
  <si>
    <t>Resumiendo, el presupuesto mínimo y no da para hacer casi nada. Y en ese sentido, lo que nos queda es esperar que más personas que sean activistas o que hagan cosas y que hagan proyectos donde participen estas personas con diagnóstico psiquiátrico para que de algún modo mejore su estabilidad y mejore su condición.</t>
  </si>
  <si>
    <t>Lo que sí tengo más o menos claro es que con respecto al COSAM, ellos no pagan, no pagan las personas. Digamos que los pacientes no pagan ni por los remedios ni por las consultas y están dentro del, digamos, del COSAM. Eso es lo que esté, digamos, en cuanto al financiamiento. No, no es una carga monetaria para ellos, digamos, para el usuario atenderse dentro del COSAM.</t>
  </si>
  <si>
    <t>PERSONAS USUARIAS\Intervencion\Afiliado al seguro público\Modalidad Libre Elección MLE de FONASA</t>
  </si>
  <si>
    <t>Sí, si es que lo quieren hacer de forma particular. Incluso en estos centros especiales que se paga menos, es mucho más barato y que a veces algunos de ellos optan por ir a estos lugares justamente porque no tienen el acceso libre de poder contactar a su psiquiatra, a su médico tratante, cuando están pasando un episodio.</t>
  </si>
  <si>
    <t>yo creo que sí, poco, pero sí he ido avanzando con el tema del GES. Si los pacientes pueden acceder de forma más económica también a psiquiatras particulares, también a optar a medicaciones mucho más económicas o gratuitas.</t>
  </si>
  <si>
    <t>Pero sigue habiendo el mismo problema que te mencionaba recién siendo Fonasa o siendo parte del GES de la Isapre. Cierto, se llama GES. Por qué? Porque finalmente volvemos a lo mismo. Tiene la impresión de que ir a ver a un médico particular es como que el médico se va a dedicar más a ti, va a ser mejor, de mejor calidad la atención, cosa que tampoco ocurre, cosa que tampoco el especialista está, digamos, especializado en la condición. Y por otro lado, los medicamentos también los van cambiando dentro de la canasta.</t>
  </si>
  <si>
    <t>En el caso nuestro, a pesar de que tengo Isapre, nunca nos hemos atendido por el GES, por lo mismo, porque sé que nos van a mandar a algún especialista donde la Isapre dice</t>
  </si>
  <si>
    <t>FINANCIACION\Intervención\Gasto de bolsillo</t>
  </si>
  <si>
    <t>Y nosotros decidimos hacerlo todo de forma particular. Pagamos muy claro, podemos hacerlo, pero pagamos un médico que la consulta vale 95.000 $, pero más seguro de que está una hora, en donde está una hora conociendo al paciente. Conoce todo el trayecto, desde cuando gatilló con el trastorno bipolar y fue quien finalmente diagnosticó por ejemplo a mi hijo así, y pudimos aprender con él.</t>
  </si>
  <si>
    <t>El gasto de bolsillo</t>
  </si>
  <si>
    <t>FINANCIACION\Intervención\Por canastas en algunos diagnósticos</t>
  </si>
  <si>
    <t>no sé si su origen en el tiempo, pero probablemente así fue hasta el 2019. En este caso gran parte de la donde el nivel de especialidad incluyó los los centros se levanta el comentario se financiaban bajo el mecanismo PPV y esa era la gran vía de financiamiento que tenía asociado a la canasta de un problema de salud específico creado por una comisión técnica de expertos validada por Fonasa y que entregaba un arancel a la prestación con ciertas prestaciones trazadoras probablemente que definían el pago o no de cierta canasta previo registro por cada centro en SIGGES de cada usuario.</t>
  </si>
  <si>
    <t>Misma lógica se ocupaban para patologías GES como las como las no GES finalmente.</t>
  </si>
  <si>
    <t>Y que probablemente era un mecanismo bastante conocido y aceptado por la red que tenía como todos elementos positivos y elementos negativos. Dentro de los elementos positivos probablemente permitía un seguimiento mucho más exhaustivo de las platas que se entregaban a salud mental y entre comillas marcada me ayudaban a definir probablemente cuál era la lógica de financiamiento. El presupuesto de financiamiento asignado a salud mental.</t>
  </si>
  <si>
    <t>Y que yo creo que la gran ventaja de este mecanismo era que permitía más o menos tener un registro más o menos claro de lo que se producía y cuánto costaba esa producción. Uno podría alegar que probablemente el financiamiento de nuestras canastas en general era bastante bajo, dado que las prestaciones están valoradas muy bajamente o muy baja cuantía por parte Fonasa.</t>
  </si>
  <si>
    <t>En general el 2019 y probablemente esto es una vuelta que se empezó a trabajar desde Fonasa. No sé si tan directamente bajo el Ministerio de Hacienda a través de la DIPRES, pero sí claramente desde Fonasa en torno a la entrecomillas eliminación del PPI, perdón del PPV, asociado a la creación de dos grandes programas, en este caso la glosa 4 y la glosa 5 respecto a lo que era PPI y el GRD de financiamiento de los Hospitales de Alta Complejidad. Entonces, gran parte del sistema sanitario se empezó a financiar bajo esos dos vías principalmente, y en algún grado también quedaba un porcentaje por DFL 36 muy menor, y que también habían esfuerzos probablemente en cuanto a reducir finalmente el monto de los DFL 36.</t>
  </si>
  <si>
    <t>FINANCIACION\Intervención\Presupuesto anual prospectivo del SS</t>
  </si>
  <si>
    <t>Entonces, dado esa figura, gran parte de la atención especializada, incluido los COSAM, por ejemplo, no entran dentro de lógica de hospital de alta complejidad y por lo tanto entra a lo que es el financiamiento por el PPI de los servicios de salud. Y eso probablemente marcó una gran dificultad, dado que Fonasa tampoco ha querido marcar las platas y entre comillas, le entrega una libertad a cada servicio de salud de administrar su presupuesto PPI y GRD en el caso de los hospitales de Alta Complejidad</t>
  </si>
  <si>
    <t>Presupuesto anual prospectivo histórico</t>
  </si>
  <si>
    <t>pero que finalmente no permite en este caso ya tener claridad respecto a las platas que tenía salud mental y potencialmente en la práctica ha obligado a tener una defensa mucho más férrea por parte de los servicios de salud o los encargados salud mental y hasta nuestra por parte de aquellos recursos que entre comillas eran entre comillas preferentes de salud mental, asociado a lo que era el PPV.</t>
  </si>
  <si>
    <t>Y eso ha sido gran, tenido una gran complejidad en líneas particulares, como por ejemplo hogares o residencias protegidas que genérico ya presentaban su financiamiento y con esto ha sido mucho más difícil poder asegurar un monto específico.</t>
  </si>
  <si>
    <t>Y a partir de eso ha sido mucho más complejo, probablemente desde el punto de vista de gestión, asegurar las PPV de salud mental, probablemente, y como ya lo sabía antes uno hacía la programación de los PPV y más o menos sabía la población que tenía atendida, pero también de la ejecución presupuestaria por parte por parte de los centros. Y ahí ha sido probablemente aplicar como una lógica del presupuesto que había en 2019, más inflactores en este caso y depender dentro mío de la buena voluntad por parte de la Subdirección de Finanzas de los Servicios Salud vamos a poder mantener. Para nosotros como equipo mensual también ha sido complejo y los mismos equipos nos decían mándenme un ordinario que diga Oiga, usted tiene tanto monto de plata respecto a la línea de COSAM,</t>
  </si>
  <si>
    <t>Yo como técnico del punto de vista de red, de gestión de red, ha un poco más complicado todo ese proceso y tampoco permite saber cuánto el presupuesto total que tenemos de salud mental actualmente, o sea, lo más cercana como las expansiones que hemos tenido el último año. Pero claro, si uno pensara cuál es el PPI total? Siempre el PPI era una bolsa que uno sabía cuánto era. Y era PPV uno decía es un monto de equis plata y eso se estimaba, así como teóricamente, que el PPI en su momento era el doble y era igual a eso, más la expansión. Y uno decia claro ejemplo, ciento veinte mil millones pesos es el presupuesto de salud mental. Actualmente no sé si se habrán clara llegar a esa cifra y eso sí ha sido un dificultad.</t>
  </si>
  <si>
    <t>Por un lado, el financiamiento del modelo uno podría dar cuenta de que debería existir una mayor valorización de ciertas prestaciones de intervención como con la comunidad o articulación entre los niveles de atención, que dieran cuenta de una cualidad probablemente que debería ser mejor financiada y que no sólo va en la resolución clínica de un usuario. Y probablemente eso debería de tener una mayor valorización que actualmente no tiene.</t>
  </si>
  <si>
    <t>En general si uno ve la financiación de algunas prestaciones que tienen más bien de gestión comunitaria u otras que son parte importante del modelo, a FONASA en general no le importa mucho. Y eso si tiene un valor muy bajo respecto a la consulta del médico psiquiatra.</t>
  </si>
  <si>
    <t>FONASA hasta ahora no ha privilegiado un financiamiento adecuado del modelo, dado que no incorpora prestaciones de ese tipo o la resolución integral de su usuario con distintas características en base a su territorio.</t>
  </si>
  <si>
    <t>MEDICAMENTOS Y TECNOLOGIAS\Intervencion\Compra a través de CENABAST</t>
  </si>
  <si>
    <t>es más fácil al servicio de salud poder hacer una compra centralizada y tener mejores precios de mercado, a que cada municipio lo compre en una licitación propia.</t>
  </si>
  <si>
    <t>nosotros acá no atendemos GES. Entonces, por un tema local, cierto de definición local, eh? Dado que como los centros todavía no están acreditados, no hay pauta, acá se mantiene la atención de GES en los recintos acreditados, que son los hospitalarios.</t>
  </si>
  <si>
    <t>RECURSOS HUMANOS\Intervencion\Dotación de cargos autorizada</t>
  </si>
  <si>
    <t>el recurso humano como ya llega a la partida cierto de la glosa del subtítulo 21 ya no se considera como un gasto extra, pues ya son parte de la dotación</t>
  </si>
  <si>
    <t>de hecho nosotros teníamos un PAI en Talca, el cual se va a cerrar cierto, porque eran 8 cupos y se va a devolver cierto para que sea administrado por otra institución que es el Hospital de Talca, que tiene un PAI que funciona como PAI, dado que nosotros con la cantidad de horas no funcionaba como un programa externo, funcionaba en un horario vespertino con una cantidad muy baja de horas y no tenemos otra vía de financiamiento por la línea intersectorial.</t>
  </si>
  <si>
    <t>acá se compran los medicamentos, nosotros programamos, hacemos la evaluación por cada centro, lo trabajamos con nosotros, no tenemos químicos en los centros, tenemos una una unidad acá en el servicio que es unidades de apoyo, que tiene un área de farmacia que nos asesora y hay alguien que compra que es un químico, eh? Y siempre me preguntan cuál es tu financiamiento? No, si está lo deberían llegar, cierto, pero finalmente el servicio asume nomás, compra lo que hay que comprar en ese sentido por CENABAST, cierto? Y el resto de lo que no esté en CENABAST que sea un poco más específico se licita. Entonces, finalmente, si nos pasamos del presupuesto, el servicio igual lo compra.</t>
  </si>
  <si>
    <t>ero los fármacos se programan anualmente en CENABAST y las compras de fármacos que no son CENABAST, por ejemplo modafinil o o anfetamina, se licitan, también para la programación anual.</t>
  </si>
  <si>
    <t>FINANCIACION\Intervención\Pago por GRD al hospital</t>
  </si>
  <si>
    <t>Mira, yo sé que hay un sistema que para los hospitales se utiliza, yo no lo he estudiado mucho, pero lo menciono, pero no lo conozco mayormente, que es algo del GRD. Yo no trabajo como asesor para hospitales, pero sí he escuchado ese tema que financian habitualmente los GES para allá.</t>
  </si>
  <si>
    <t>Presupuesto proveniente indirectamente del pago por GRD al hospital</t>
  </si>
  <si>
    <t>Entonces, finalmente, mantener un sistema, un PPI institucional histórico no nos permite realizar las mejoras rápidas, cierto? Para, para la, para los centros. Yo creo que eso es como una brecha que yo observo de nuestra situación actual. No, no tener una cosa más diferenciada y con mayor ingreso. Eso yo lo veo como, como complicado</t>
  </si>
  <si>
    <t>FINANCIACION\Intervención\Convenios con intersector\Gobierno Regional postulación a proyectos de inversión</t>
  </si>
  <si>
    <t>Y lo otro es que efectivamente, con alianzas con otros, no sé. El Gobierno regional son a largo plazo, no, no se concretan rápidamente porque nosotros acá hemos presentado por lo menos dos proyectos para construir y todavía estamos esperando.</t>
  </si>
  <si>
    <t>Entonces también yo siento que cuando el modelo sea validado por la división de presupuesto, es cierto el Ministerio de Desarrollo Social, eso podría darnos avances importantes, en ese sentido para resolver la patita infraestructura, que yo creo que para mi gusto acá es la más, la más complicada.</t>
  </si>
  <si>
    <t>Y me imagino que a nivel país también, porque eso también te genera una heterogeneidad. Dado que si tienes un espacio chico no puedes tener la cantidad de profesionales. La población que puede abarcar es menor. Eso incluye las horas de atención. No sé, por ahí yo creo que eso sería súper importante, lograr que el modelo lleve validado y que se le asigne presupuesto aparte para construir, que eso sí que sería un super avance.</t>
  </si>
  <si>
    <t>Y yo creo que eso es como la merma a nivel país para todos, porque si seguimos pagando arriendo, si seguimos dependiendo solo de convenios con los municipios, comodato, buscando, no nos podemos progresar, pues no genera un estándar único, eh? Entonces eso es lo que yo visualizo, porque ya tener la plata solo para construir como un camino distinto, o sea, un subtítulo que te entrega todos los millones tal como se hace en hospital y Cesfam, alinea bastante el trabajo para después.</t>
  </si>
  <si>
    <t>Porque a lo que nosotros nos llega es como un presupuesto histórico para habilitación y que se queda de ejecución. Pero no te permite con eso hacer mejoras sustanciales, no nos permite construir, no nos permite hacer prácticamente nada, arrendar y arrendar en cosas que no son sanitarias, que hay que hacer un montón de adecuación y no puedes invertir tampoco en esa adecuación.</t>
  </si>
  <si>
    <t>En un origen, lo que yo conocí era una asignación presupuestaria desde el servicio de salud mínima. O sea, era casi nominal, digamos, a través de lo que en ese entonces se llamaba como el presupuesto de, no me acuerdo, el desarrollo de la salud mental, no sé, tenía un nombre genérico previo a lo que fue toda la era de las prestaciones valorada.</t>
  </si>
  <si>
    <t>FINANCIACION\Intervención\Recursos municipales de APS reasignados</t>
  </si>
  <si>
    <t>Y el principal mecanismo de financiamiento en el caso de lo que más conozco de la Región Metropolitana tenía que ver con recursos municipales, mayoritariamente recursos asignados a la atención primaria. Era como sacarle recursos de atención primaria para financiar los COSAM.</t>
  </si>
  <si>
    <t>Recursos municipales reasignados</t>
  </si>
  <si>
    <t>ahora con el cambio del mecanismo de financiamiento de atención de especialidad hacia prestaciones valoradas y se incorpora este mecanismo hacia los COSAM.</t>
  </si>
  <si>
    <t>Estoy hablando en este caso de COSAM municipales, en lo cual también es una realidad hoy día uno puede decir particular, propia de la Región Metropolitana, que no es como la realidad de lo que ha venido ocurriendo en otras regiones del país. Y esto permite, este nuevo mecanismo un poco poder ir incrementando el presupuesto más bien asociado a la atención de personas con cierto diagnóstico, que es como la lógica que ha estado instalada.</t>
  </si>
  <si>
    <t>Ahora, en un contexto del presupuesto que también es acotado, entonces eso no es ilimitado. Por tanto, no necesariamente implica que todas las personas atendidas van a tener entre comillas el financiamiento a través de este mecanismo. Pero bueno, como fuera, digamos, este ha permitido, digamos, ir incrementando el presupuesto.</t>
  </si>
  <si>
    <t>otra modalidad de financiamiento que yo creo que ha sido muy, muy relevante, tiene que ver con todos los recursos aportados desde el SENDA, que en el caso de los COSAM han constituido como una parte bien significativa y el cual tiene también la lógica de personas atendidas. La misma lógica del PPV.</t>
  </si>
  <si>
    <t>Y bueno, eso se mantiene un poco de esa forma hasta un par de años atrás en que se supone que desaparece este mecanismo de financiamiento PPV. Desaparece entre comillas, porque tampoco queda tan claro cuál va a ser como el mecanismo de financiamiento.</t>
  </si>
  <si>
    <t>Entiendo que el año pasado hubo una tendencia más bien a retroceder esto que habían dicho que iba a desaparecer para lo ambulatorio. Y bueno, hoy día yo creo que es un tema mucho más nebuloso, cuál es de verdad el mecanismo de pago, excepto para lo que es en los temas GES que sigue siendo esta lógica de la canasta asociada.</t>
  </si>
  <si>
    <t>Ahora, yo diría que prácticamente todos los establecimientos municipales de nuestro servicio siguen requiriendo de este aporte municipal.</t>
  </si>
  <si>
    <t>En mucho menos medida que en un comienzo, digamos, pero igual siguen requiriendo de recursos que finalmente son recursos que desde la lógica del sistema debieran estar orientados al financiamiento de la atención primaria. O sea es cómo sacarle una parte.</t>
  </si>
  <si>
    <t>La otra limitante está dada también, bueno, pero eso es más que por el mecanismo de pago, es por otro tipo de definiciones, digamos en este tema. No sé, de la esquizofrenia se tiene que atender a nivel de especialidad independientemente de la complejidad. Porque ahí es donde está, pero eso tiene que ver más bien como los flujos o las en cómo se ha establecido desde el GES, más que con el mecanismo de pago.</t>
  </si>
  <si>
    <t>Estaba pensando en que además hoy día, en que ya no existe este como son nuestros convenios, ya no tienen como asociados metas, por decirlo como eran antes, de atención de personas con un diagnóstico establecido.</t>
  </si>
  <si>
    <t>FINANCIACION\Intervención\Convenios con intersector\Sistema intersectorial para población penal</t>
  </si>
  <si>
    <t>se han ido progresivamente entregando mucho financiamiento, los servicios y entre eso muchos cargos a los servicios. Y nosotros, bueno, decidimos reforzar toda la red de atención de especialidad, esos cargos que llegaron al servicio de salud de ley dieciocho mil ocho tres cuatro. Que no podían ser transferidos para los centros municipales. Teníamos que contratar a la gente desde acá e instalarla a trabajar en el COSAM como comisión de servicios.</t>
  </si>
  <si>
    <t>F.M.RM.3</t>
  </si>
  <si>
    <t>para mi gusto el principal logro es lo que se ha podido incorporar en el ámbito de salud mental en el GES</t>
  </si>
  <si>
    <t>nosotros tenemos, por ejemplo, todo en lo que respecta a salud mental, por ejemplo, en el problema de salud treinta y cuatro, depresión en persona de 15 años y más, tenemos todo el tratamiento que se hace para en forma ambulatoria (GES) y lo tenemos valorizado para la refractariedad, por ejemplo, de fase mantenimiento, la depresión grave y el alto riego suicida.</t>
  </si>
  <si>
    <t>Entonces no es tanto, pero que son algunos problemas de salud que son de salud mental, pero que esa intervención sanitaria se hace en nivel ambulatorio y eso si lo tenemos en ese arancel que te comentaba Verónica. Y eso como decía, no son prestaciones solas, son canasta, o sea es paquetizado o le pueden llevar la consulta, le puede llevar fármaco, el control de psicólogo o de otro profesional, claro, pero así se llama ambulatorio. Y esa intervención sanitaria del GES, por ejemplo, es un problema de salud mental, va a ir por ese arancel ambulatorio.</t>
  </si>
  <si>
    <t>tiene que estar un parte del GES, en este caso de la depresión, también la epilepsia y otro esto es, pero que no se van a pagar por GRD. Porque no es hospitalización, ¿te fijas?</t>
  </si>
  <si>
    <t>todo lo que está relacionado con un evento o un episodio hospitalizado, eso deberá seguir pagándose por medio del GRD, ya.</t>
  </si>
  <si>
    <t>En general, el mecanismo de pago, digamos más, más clásico o que siempre tuvimos fue el PPV, es decir, pago por prestación valorada, que nos permitía quizás tener como un un buen manejo del presupuesto era de alguna forma un pago por producción. Sin embargo, el PPV se acabó desde hace algún tiempo atrás.</t>
  </si>
  <si>
    <t>Y en el caso de los PPV, nosotros que principalmente tenemos producción de PPV en el hospital psiquiátrico, lo que tuvimos que hacer en el fondo es que cuando creamos el centro el COSAM "Domingo Asún" acá en Valparaíso, lo que hicimos fue generar un recorte de ese PPV de la producción en base a un, en el fondo una estimativa de población, de población que iba a asumir el centro. En base a eso hicimos un recorte de PPV o una movilización de PPV desde el hospital psiquiátrico a este nuevo centro, pero era muy marginal porque solamente tenía no lo nuevo, sino que lo que pudimos recortar o redistribuir suena mejor que recortar.</t>
  </si>
  <si>
    <t>tenemos harto, harto, harto convenio o línea de desarrollo extra presupuestaria, convenios por ejemplo con con el Ministerio del Interior a través del convenio Senda-Minsal, que también es un pago de un pago facturado por prestaciones, pero diferente, no es como el PPV, sino que es por plan de tratamiento ejecutado y eso genera un pago y eso nos ha permitido obtener básicamente la línea temático de tratamiento de consumo problemático de alcohol y drogas en nuestra red, casi íntegramente, porque la verdad es que lo que lo que generamos nosotros como salud o planes Fonasa en el fondo son bien, bien marginales con respecto a lo que a lo que nos financia Senda.</t>
  </si>
  <si>
    <t>FINANCIACION\Intervención\Convenios con intersector\Ministerio de Desarrollo Social y Familia\Personas de calle</t>
  </si>
  <si>
    <t>Tenemos dos, uno para tratar personas en situación de calle, personas en situación de calle, específicamente personas que no, que no acceden al sistema regular, digamos, y que nosotros salimos, salimos a buscar a la calle o tratamos de acercarles la atención a su a su contexto de vida, su ruco, a su ruta, a su ruta de día, qué se yo.</t>
  </si>
  <si>
    <t>FINANCIACION\Intervención\Convenios con intersector\Ministerio de Desarrollo Social y Familia\Niños y adolescentes con adulto privado de libertad</t>
  </si>
  <si>
    <t>Y uno distinto que es para niños y adolescentes que tienen a su adulto principal privado de libertad.</t>
  </si>
  <si>
    <t>Era perfecto y en ese caso el mecanismo es por persona tratada.</t>
  </si>
  <si>
    <t>es en realidad es un poco un poco distinto porque es un convenio y y el pago en realidad no se genera por, se genera más bien en base a informes técnicos que a número de usuarios, que número de usuarios atendido. Es decir, se nos asegura un monto independiente, que igual hay un hay un número de usuarios a tratar ideal, pero no siempre, no siempre se logra y el pago igual se hace íntegramente.</t>
  </si>
  <si>
    <t>A Pesar de que la diferencia entre los planes SENDA y los planes Fonasa es bastante marginal, no es una diferencia muy, muy grande. Sin embargo, yo creo que es lo que tú dices es más fácil, es más fácil el pago, se hace un pago contra facturación, ese pago es tremendamente regular. Uno también tiene la posibilidad de algunos márgenes de sobre o sub ejecución, acomodándose en otros meses.</t>
  </si>
  <si>
    <t>La verdad es que bien, tiene dificultades si, tiene dificultades, por ejemplo, en relación a la suscripción de contratos bianual. Entonces, cuando un convenio vía anualmente, siempre hay un tiempo de brecha o de GAP entre la firma de un convenio y otro y ahí el financiamiento se vuelve súper complejo, súper complejo. Son dos meses porque la Contraloría objeta que se cargue a pago prestaciones de un año, o sea, perdón, prestaciones claro de un año nuevo a un convenio vencido. Entonces ahí se generan algunas cosas. Pero más allá de eso, el pago es tremendamente regular.</t>
  </si>
  <si>
    <t>Bueno, este probablemente una de las cosas que seguramente las otras personas que te  toque entrevistar van a concordar conmigo en el desafío más grande que tenemos en la de la mesogestión hoy día, porque son unos presupuestos que hoy día tenemos, tenemos que salir a salir a pelear un poco.</t>
  </si>
  <si>
    <t>Está dentro del presupuesto del servicio, no está, no es un presupuesto que quede marcado, sino que está basado en la ejecución del año 2018, que fue el último año que tuvo cierta normalidad, porque el año 2019 no es para nada normal. Entonces, en base a la ejecución 2018 presupuestaria en base a PPV, más lo que tenían de PPI los centros, se establece el presupuesto que debieran tener a partir del 2020 2021 los centros. Pero insisto, hay un presupuesto que hay que salir, hay que salir a a pelear y que no tiene ningún tipo de identificación en el presupuesto.</t>
  </si>
  <si>
    <t>Yo creo que es complejo, porque en la ejecución de recursos o la ejecución de las platas en el fondo asociadas a salud mental es tremendamente restrictiva.</t>
  </si>
  <si>
    <t>Por ejemplo, en general no suele conversar mucho con lo que genera cada cierto tiempo Hacienda o Dipres. Por ejemplo, en función a las políticas de austeridad. Entonces. Donde en el fondo nosotros, por ejemplo queremos tener vehículos para salir a la comunidad, vehículos que no están financiados a propósito. Por lo menos nuestro centro venía sin vehículo, sin subtítulo 29, a pesar de ser un centro de salud mental comunitarios. En que tienen que acercarse a su población. Entonces, por ejemplo, establecen la circular de austeridad que para poder arrendar un vehículo o arrendar servicios de movilización hay que pedir autorización de Dipres, que un trámite burocrático que tenga por lo menos seis. Entonces, en en ese tipo de situaciones es tremendamente entorpecedor diría yo.</t>
  </si>
  <si>
    <t>Y quizá hay una parte que fue enriquecedora, por lo menos en cuanto el pago se hacía vía PPV, era que uno era capaz como de organizar su su gasto. Entonces, en el fondo yo sabía cuánto, cuántos días, por ejemplo, de Hogar Protegido teníamos, cuántos días de centros de rehabilitación, cuántos día, cuántos planes de rehabilitación, consumo de drogas.</t>
  </si>
  <si>
    <t>Entonces hoy día eso entra como en un, entra como en un todo en el fondo. Que es un todo peligrosa porque depende al final de la disponibilidad de cómo se instale el ámbito salud mental o el área temática con el gestor de la red. Ver cómo efectivamente se ejecutan estos recursos. Yo creo que estamos están súper a la deriva.</t>
  </si>
  <si>
    <t>Claro, lo que pasa es que yo creo que, por ejemplo, en el pago PPV donde nosotros, o quizás el usuario que más beneficiado se veía de ese pago es el usuario con situaciones de mayor complejidad o mayor afectación de tipo psicosocial.</t>
  </si>
  <si>
    <t>Es decir, desde ese pago nosotros logramos externalizar los servicios de rehabilitación psicosocial de hogares y residencia protegidas.</t>
  </si>
  <si>
    <t>Entonces es ese perfil de usuario que probablemente el perfil de usuario de una mayor, no quiero decir gravedad, sino que quiero decir complejidad, el que se ve mayormente afectado. Es decir, si yo cierro un hogar, en mi caso de mi red, eso implica dos posibles salidas o tres, la más improbable son la familia. La que viene después es el hospital psiquiátrico y la que viene después es la calle. Entonces el impacto es muy grande. Es muy grande.</t>
  </si>
  <si>
    <t>Pensemos que una hospitalización psiquiátrica de 30 días debe estar cercano a los 12 millones de pesos más o menos. Entonces ese para mi es el funcionamiento de tres o cuatro meses de un hogar. Entonces eso es como al final tratamos de que sean decisiones colegiadas, pero la última palabra siempre tiene el gestor de red.</t>
  </si>
  <si>
    <t>MEDICAMENTOS Y TECNOLOGIAS\Intervencion\Compra directa</t>
  </si>
  <si>
    <t>Nosotros afortunadamente nunca hemos tenido problemas con el financiamiento de fármacos, como que en el fondo siempre, siempre ha sido un estándar que se ha tratado de mantener de manera intocable.</t>
  </si>
  <si>
    <t>Como que eso siempre ha sido defendido y ha sido escuchado, y en eso nunca, la verdad, nunca hemos tenido dificultades con la compra y la provisión de fármacos. La verdad es que no, estaría estaría siendo poco honesto si dijera que si. Nunca hemos tenido problemas con comprar medicamentos.</t>
  </si>
  <si>
    <t>PRESTACIONES\Intervencion\Sin recursos para prestaciones telemáticas o a distancia</t>
  </si>
  <si>
    <t>hora, además, hay que considerar que en estos tiempos como contexto pandemia, bien nos hubiese gustado tener los recursos tanto para que nuestros usuarios como para que nuestros propios funcionarios pudiesen conectarse tecnológicamente con los demás.</t>
  </si>
  <si>
    <t>Sin embargo, no hay presupuesto o no hay pago para poder hacer, por ejemplo, adquisición de teléfonos móviles, de planes de telefonía, de notebook, por ejemplo, para que puedan, para que puedan no sé.</t>
  </si>
  <si>
    <t>Con duras penas logramos comprar cuenta de zoom, por ejemplo, de Zoom premiun, para que se pudieran hacer algunas atenciones clínicas en ese contexto. Pero la verdad que es súper difícil, sobre todo porque hay una brecha, hay una brecha material que es tremenda y hay otra brecha que es tecnológica. Y en esa brecha tecnológica que a nosotros también nos gustaría resolver, por ejemplo, capacitando a nuestros usuarios en una alfabetización tecnológica, también. Es súper complejo tener obtener recursos para poder financiar una acción dirigida a los usuarios, es recomplejo.</t>
  </si>
  <si>
    <t>la producción la vemos desde acá y nosotros lo que tratamos después es pedirle, pedirle a Fonasa que no. Varias veces, sobre todo cuando con el PPV era más claro y más activo, lo que hacíamos era tener como algunos riesgos y decir ya hagamos producción por acá y después informemos a Fonasa para que empiece a pagar. Pero a mí la verdad es que siempre me fue bien, pero por ejemplo, alguna vez informamos 70 y nos pagaron 20 ya, pero las pagaron</t>
  </si>
  <si>
    <t>no siempre pudimos gestionar toda la producción PPV que tuviera un efecto que es el pago asociado a esas PPV se invirtieran todas en salud o se quedaron todas en la red de salud mental, la verdad que eso no fue así. Voy a decir que no fue así o sino probablemente tendríamos una red bastante más, más rica.</t>
  </si>
  <si>
    <t>o creo que ese logro tiene que ver con a nivel macro, o creo, con ver o entender procesos de cómo funcionan las familias, como funcionan las personas, de que necesitamos tenerlos cerca de la gente desde un lazo en el micro con la, cómo se establece la alianza terapéutica médico paciente al estar más cerca, al generar también instancias como la visita domiciliaria,</t>
  </si>
  <si>
    <t>pero también tiene que ver probablemente con políticas públicas de descentralizar ciertas atenciones y sacarla de cierto nodo y sacarlo del modelo como duro, hospitalario y entendiendo de que hay cosas fuera de la puerta del hospital hacia afuera que está con esto que son estas, esta cosa intermedia que no es hospitalario, pero tampoco es atención primaria, sino que está entre medio y que de cierta manera lo acerca más a la gente.</t>
  </si>
  <si>
    <t>También lo administra el hospital. Llega directamente a la subdirección del Hospital Administrativa y ahí efectivamente hay un fondo del que, un poco lo mismo, no manejo el número exacto, pero efectivamente para compras, para gestión de cosas. El Subtítulo 21 y Subtítulo 22 de Senda viene asociada a dinero. Por lo tanto, muchas veces para comprar una impresora, habilitar cosas, reparar cosas acá en el mismo centro, nosotros accedemos a esos fondos. Yo me comunico directamente con el subdirector administrativo y el rápidamente aprueba porque están está ese ítem que es los dineros Senda.</t>
  </si>
  <si>
    <t>la única diferencia ahí es que, por ejemplo, en el programa Senda ellos tienen libre acceso, o sea, pueden llegar a un paciente de ventanilla a solicitar tratamiento para el programa de adicciones y ellos van a tener hora de evaluación para ver si son candidatos o no para para el centro.</t>
  </si>
  <si>
    <t>PRESTACIONES\Intervencion\Prestaciones que FONASA paga</t>
  </si>
  <si>
    <t>Yo creo que sí influye un poco porque de hecho en el hospital en este momento estaba haciendo un orden un poco en en en evaluar todas las prestaciones, porque nosotros acá trabajamos, tenemos por ejemplo una población de alrededor de 900 usuarios activos, cercano a los cien en Infanto y 800 en adulto. Y habían muchas prestaciones que el centro de costo lo ve igual, el hospital, no nosotros mismos y estaban haciendo una revisión no solo en nuestros centros, sino que a nivel de todo el hospital</t>
  </si>
  <si>
    <t>Entonces la gestión o el seguimiento de un caso el, el, no se cuenta.</t>
  </si>
  <si>
    <t>FINANCIACION\Intervención\Pago de FONASA por las prestaciones</t>
  </si>
  <si>
    <t>Para empezar Fonasa paga una miseria por las prestaciones, encuentro que es vergonzoso. No sé asó como mil quinientos pesos, no se, una cuestión así horror. Un valor, realmente debería ser un valor realmente de mercado. Y si no tan. No sé, un valor real para empezar.</t>
  </si>
  <si>
    <t>No se si la mejor forma de tener un Fonasa que este ahí viendo que se paga o no se pagaba. No tengo idea yo de finanzas, pero lo que sí es que muy poco, es chistoso ver los valores, chistoso.</t>
  </si>
  <si>
    <t>Hay como una visión, como restringida de qué es pagable y que no, o sea que que es la, no sé,  no sé qué porcentaje decir, pero es una parte más de lo que es la atención comunitaria. Debería no se, abrirse, estudiar, saber que otras cosas se hacen como que son tan valiosas como la atención directa.</t>
  </si>
  <si>
    <t>El servicio a mi me da 500 millones de pesos, 500 y algo y el COSAM gasta mil millones de pesos anuales y en la comuna Macul, porque en otros pasan y lo vas a ir viendo en la medida de las entrevistas, hay financiamiento externo.</t>
  </si>
  <si>
    <t>Por algunas canastas.</t>
  </si>
  <si>
    <t>Los medicamentos son mucho más caro de lo que dice ahí o de lo que pueda finalmente comprar.</t>
  </si>
  <si>
    <t>La compra no siempre están en la CENABAST.</t>
  </si>
  <si>
    <t>Uno calcula como que la CENABAST puedes comprar el 70 por ciento de los fármacos de una canasta anualmente</t>
  </si>
  <si>
    <t>y tenía también un delta que los compras mucho más altos, que son un 30 por ciento.</t>
  </si>
  <si>
    <t>Por ejemplo, hay canastas que tienen que ver con depresión, con esquizofrenia, con trastornos mentales y del comportamiento, pero por ejemplo, no existe la la canasta de trastornos de la Alimentación, de trastornos de la personalidad u otros trastornos que finalmente tienen otros diagnósticos.</t>
  </si>
  <si>
    <t>Y lo que entiendo, digamos que cómo, cómo, cómo se paga esto es a través de lo que de los convenios que tenemos nosotros tenemos el convenio de SENDA ya, con lo cual digamos, tenemos la posibilidad de la contratación de horas de funcionarios para ese programa</t>
  </si>
  <si>
    <t>y también en lo demás que es de salud mental general, ya adulto y niño, lo tenemos a través del pago que Fonasa hace por las prestaciones.</t>
  </si>
  <si>
    <t>hace un tiempo atrás yo diría antes de la pandemia. Uno de los programas que teníamos era a través de ese, facilitar el pago a través de las PPV, de las prestaciones VALORAS</t>
  </si>
  <si>
    <t>pero desde yo diría 2020 en adelante, hay un cambio ya de gestión en términos de lo que ahora se hace con GRD. Y eso lo lleva una unidad aparte que la unidad de gestión GRD donde se organiza de tal manera con los diagnósticos, se formaliza el diagnóstico cierto y se revisan los pagos desde el diagnóstico. Eso es lo que yo entiendo.</t>
  </si>
  <si>
    <t>Se me avisó a mí como jefatura, ya lo llamé jefe, digamos directo, que desde el 2020, marzo de 2020 en adelante todo iba a ser GRD.</t>
  </si>
  <si>
    <t>La única diferencia que tenemos ahora es que el convenio SENDA no pasa por GRD.</t>
  </si>
  <si>
    <t>Convenio directamente son pagos que hace el SENDA al Servicio Salud y hacia nosotros Hospital Regional.</t>
  </si>
  <si>
    <t>Ya se me ha ido apoyando el recurso humano a mí con este tema digamos que hemos estado trabajando para temas de salud mental, digamos de los funcionarios o de los pacientes. Entonces me han llegado horas, pero no sé si eso haya sido un impacto de GRD. No te podría decir porque no tengo, digamos, como los datos objetivos para poder comentar.</t>
  </si>
  <si>
    <t>PRESTACIONES\Intervencion\Prestaciones de mayor arancel para el Hospital</t>
  </si>
  <si>
    <t>Pero mira, sabe que nosotros hemos tenido que continuar con el programa, en términos de lo comunitario, insistir en el trabajo, visitas domiciliarias, trabajo en red, trabajo con la comunidad, porque visualmente eso no es un aporte tan grande económico para el hospital.</t>
  </si>
  <si>
    <t>O sea, el hospital le interesa entre comillas. Desde lo económico se paga más, por ejemplo, una intervención clínica intrahospitalaria de un psiquiatra en desmedro de a lo mejor una visita que ese mismo psiquiatra puede hacer o desarrollar.</t>
  </si>
  <si>
    <t>pero es como una cosa, una diferencia muy grande entre pagar una visita de 10 mil pesos y pagar la intervención de 80, por ejemplo. Ya entonces eso va a ir siempre en desmedro, porque lamentablemente tú lo conoces. Tú sabes que en términos de las intervenciones de salud mental no son tan remuneradas, por así decirlo, o no nos llega tanto, tantos fondos así o incluso desde el desconocimiento no sabemos cuántos realmente podría llegar.</t>
  </si>
  <si>
    <t>FINANCIACION\Intervención\Mecanismo de pago es desconocido</t>
  </si>
  <si>
    <t>Por ejemplo, yo no te podría decir hoy día mira, tengo 400 pacientes por decir algo y por estos pacientes me llevo una cantidad, digamos mi flujo de caja es de no ser el cuarto millón, de 260 millones anuales. No te lo puedo señalar porque en realidad no sé cómo se está pagando hoy día.</t>
  </si>
  <si>
    <t>El mecanismo de pago es desconocido.</t>
  </si>
  <si>
    <t>Lo único que tengo más claro dentro de los recursos que ingresan, de lo que nosotros hacemos es a través del convenio SENDA, que en lo más básico. Yo sé cuánto me paga SENDA a través de los convenios que tengo.</t>
  </si>
  <si>
    <t>El resto, digamos, cae en un saco grande que es salud mental y de ahí se distribuye.</t>
  </si>
  <si>
    <t>Ellos [SENDA] mantienen esa lógica muy, muy parecida a las PPV. Ya tenemos convenio básico e intensivo de intervención que se hace con con los pacientes con consumo y dependencia de las drogas. Entonces un plan básico tiene actividades asociadas a este que mínimo cuatro intervenciones mensuales, un plan intensivo mínimo 10. Te estoy hablando todo lo económico, no, no de la calidad de la atención. Mínimo diez intervenciones mensuales y por eso te pagan un monto, digamos, de dinero.</t>
  </si>
  <si>
    <t>GOBERNANZA\Intervencion\Falta de politica sobre prestaciones a financiar</t>
  </si>
  <si>
    <t>Entonces, en ese minuto, claro, se veía muy bonita la idea de tener un modelo de gestión que incorporara todo un tema económico. Digamos que eso sustentara lo que uno tiene que hacer en salud mental. Pero han pasado siete años y todavía no hemos visto, por lo menos localmente te hablo. Quizás a lo mejor a nivel nacional han habido otros avances, pero localmente nosotros hemos estado casi en las mismas. Tanto uno cuenta con los mismos fondos, con la misma administración</t>
  </si>
  <si>
    <t>con lo que se paga Fonasa por salud mental es muy baja. Porque si yo pienso así, yo hoy día, con la cantidad de actividades que tengo comunitarias me solventaran con el pago que me hacen, de eso no podría existir. Entonces yo existo porque me da un piso, un buque que es un hospital regional. Pero lo que me paga Fonasa no alcanzaría quizá.</t>
  </si>
  <si>
    <t>Pero eso tiene que ver con la con la conceptualización de la de lo que de alguna forma, a nivel central Ministerio de Salud destina a lo que es salud. O sea, estamos hablando que una operación por supuesto que va a costar mucho más. Fonasa va a pagar mucho más la intervención hospitalaria ya, porque tiene que ver con una serie de otras cosas, pero está muy subvalorada lo que es la intervención de salud mental.</t>
  </si>
  <si>
    <t>el convenio SENDA, que es solamente por la posibilidad de ser Fonasa, tiene la gratuidad de la atención</t>
  </si>
  <si>
    <t>objetivamente te lo digo nuestros pacientes no pagan nada, no tienen este tema porque generalmente son tramo A y B.</t>
  </si>
  <si>
    <t>Es que quizás yo creo que a eso le falta el modelo [definir el mecanismo de pago]. Definir bien y definir en términos como yo te decía, darle la importancia que tiene la salud mental en términos económicos</t>
  </si>
  <si>
    <t>los incentivos han estado puestos en atender justamente la sintomatología expresada en dar una serie de coberturas de una pseudo canasta que se entiende desde el punto de vista de como confección clínico financiero, que hay que poder no patentizar de alguna manera para poder generar ciertos índices de cobertura de calidad. De especificidad. Pero que han sido ejercicios muy reduccionista respecto de lo que se ha entendido como la necesidad de la población objetivo</t>
  </si>
  <si>
    <t>INFORMACION\Intervencion\Registros de las acciones intrabox</t>
  </si>
  <si>
    <t>enemos cómo registrarlo, tenemos como validarlo, tenemos a quien le interese esto, porque para la producción de consulta médica, psicólogos, etc. inbox en donde están todos los mecanismos dispuestos. Pero si uno quiere hacer de hecho, por ejemplo, un grupo de autoayuda, es hasta difícil, como registrarlo, como registra sostener una actividad comunitaria. Pero bueno, tiene que tener ciertos requisitos, será dentro o fuera? Dónde? Dónde? Creo que por ahí hay todavía desafíos.</t>
  </si>
  <si>
    <t>hoy un mecanismo que ha ido progresando, donde se nos paga por una serie de actividades trazadores que no son todas las que hacemos</t>
  </si>
  <si>
    <t>entonces tenemos algo así como un piso mínimo de cobertura, que es un logro. Que bueno que nos paguen por ciertas cosas, pero ya llevamos como 15 años en la misma. Entonces, qué pasó? Que nos quedamos estancados, como que no se hubiera resuelto un problema que en realidad apenas se comenzaba a entender.</t>
  </si>
  <si>
    <t>No me pagan por actividades comunitarias, o sea, de hecho lo más comunitario que existe a nivel de registros es algo así como las consultorías, la consultoría de comunitario tienen re poco. Es como trabajo en red. Entonces también como conceptualmente si es que el financista cree que además consultoría hecha por psiquiatra, porque sino está el psiquiatra haciendo la consultoría tampoco te la pagan.</t>
  </si>
  <si>
    <t>Entonces, qué recurso tenemos también para hacer como reinserción socio comunitaria o socio laboral?</t>
  </si>
  <si>
    <t>no nos financia las reuniones clínica. Eso me parece de locos, que no hayan espacios de reunión clínica, de debate, de disenso.</t>
  </si>
  <si>
    <t>el incentivo va a juntarse con alguien que no sea de tu sector, de tu red, de tu mapa de derivación. No hay ninguno y de hecho hay puro obstáculo. No me los pagan, no sé cómo registrarlo, no tiene ningún valor clínico como demostrable a otros y para uno en realidad donde. Más puede avanzar y construir.</t>
  </si>
  <si>
    <t>El Mauricio Jackets está haciendo un taller en la junta de vecinos 16:16 Allá, maravilloso. Ahí sí, ocho señoras y hablan de lo humano y lo divino. Eso es Acosta, eso es latín. No hay cómo financiarlos y el valor que tiene para nosotros y para y para la asistente, porque lo hemos hecho, algunas preguntas y encuestas de impacto es enorme. No, no es tan sola. O sea, el no estoy solo con esto o voy a poder. O pensar en que es posible otras maneras de vincularse, o de asociarnos, o de capacitar a otros, porque lo que hacemos en estos talleres es como entre la conversación y como mostrando ciertas técnicas. No es nada muy sofisticado, más bien como ciertas pautas de conversación que pueden ayudar a aliviar una situación. Donde ellas puedan replicar, no ellas, porque en general las mujeres son más organizadas, por lo menos en este territorio, seguramente la vida en general no pasa como de organizar y de organizarse entre varios, como los colectivos en esta comuna, las dirigente son dirigentes todas.</t>
  </si>
  <si>
    <t>conversar y a ver cómo nos podemos ayudar y cómo podemos ayudar a los demás. Una institución como ésta. Más allá de que por ahí hay algo de preventivo promocional, es muy poco. Es muy poco y está absolutamente fuera de la canasta y del financiamiento. Y es donde es la vía por donde se avanza. O sea, si yo no soy capaz de poder tener tiempo y ocasión de hablar con actores no sanitarios, no voy a poder avanzar en salud mental comunitaria, salud mental y comunitaria.</t>
  </si>
  <si>
    <t>FINANCIACION\Intervención\Convenios con intersector\Servicio nacional del menor SENAME</t>
  </si>
  <si>
    <t>Sename también para poder atender que tengan privada atención a los niños que son de la red de Sename en su momento, pero frente a todos los demás gastos que vienen, no hay una diferenciación que sea como exclusivo para salud mental.</t>
  </si>
  <si>
    <t>Pero nosotros como centro atendemos solo los usuarios que sean de Fonasa, ya partiendo de desde ahí ya los tipos de pago</t>
  </si>
  <si>
    <t>en realidad la gente que tiene tramo se tienen que pasar por el sistema de recaudación del hospital y los que tienen tramo aide se atienden sin necesariamente pasar por el sistema de recaudación.</t>
  </si>
  <si>
    <t>Y venían los cargos dados desde el Ministerio cuando se formó el Shantanu. Entonces no, no hubo por donde.</t>
  </si>
  <si>
    <t>nosotros tenemos una agrupación que se armó el año 2016 con esta agrupación, al tener personalidad jurídica hemos logrado recursos, pero por proyectos, por proyectos muy sacado y hemos adquirido cosas tanto para el centro como para la misma agrupación, para poder trabajar y acceder a la comunidad. Por ejemplo, computadores, teléfonos, no es cierto, toldos para poder salir a hacer actividades con la comunidad, mesa plegable y todo.</t>
  </si>
  <si>
    <t>la visita domiciliaria no está</t>
  </si>
  <si>
    <t>o está valorada la visita al establecimiento educacional</t>
  </si>
  <si>
    <t>la visita al lugar de trabajo</t>
  </si>
  <si>
    <t>isita integral de salud mental. Yo creo que una de las prestaciones que sí debería estar valorada tiene rendimiento, pero no está considerada y es uno de los trabajos en terreno súper importantes para poder trabajar con con el usuario.</t>
  </si>
  <si>
    <t>Y lo otro también, que creo que son importantes, que espero que en algún momento se haga. Por ejemplo, en la gestión terapéutica los PCI que son súper importante también que involucran tiempo de del del usuario, no es cierto, de tanto con el equipo, con el usuario, que también creo que deberían considerarlos en su momento, porque también son acciones que van en beneficio del usuario y también invierten un tiempo de trabajo, hacer un análisis y organizar como cuáles van a ser los objetivos terapéuticos. También es un tiempo que sí debería ser, considero yo valorado y asociado un pago</t>
  </si>
  <si>
    <t>tal como decía Fonasa, solamente paga la consulta, pero de esa consulta hay un montón de acciones que se podrían también se tienen que hacer y entre ellos está el trabajo de terreno, que es más fácil de medir.</t>
  </si>
  <si>
    <t>Por ejemplo, una visita a domicilio distinto a una actividad comunitaria, que es un poquito más difícil poder medir en una visita domiciliaria si la pueden medir. Tiene rendimientos agendar las visitas domiciliarias. La gestión terapéutica también se podría medir porque también tiene rendimiento y está súper claro qué es lo que hace una persona cuando es gestor terapéutico y por ejemplo, la elaboración de un pesadito.</t>
  </si>
  <si>
    <t>no está asociada un pago, entonces la hacemos como corresponde porque está asociado a un que súper importante, pero no tiene pago, a lo mejor si tuviera pago.</t>
  </si>
  <si>
    <t>Bueno, yo creo que el mecanismo es insuficiente porque no considera todas las acciones que se pueden hacer en salud mental.</t>
  </si>
  <si>
    <t>Tal vez si fuera más amplia la glosa de las prestaciones que nosotros hacemos y que estén valoradas con un código.</t>
  </si>
  <si>
    <t>Creo que debéis hacer más amplia la glosa de salud mental, porque en salud mental yo creo que una de las áreas de la salud donde más prestaciones tu puedes hacer, a diferencia de otras especialidades, donde es más concreta es la atención más del médico.</t>
  </si>
  <si>
    <t>A veces los exámenes y alguna algún procedimiento de salud mental es súper amplio, donde tú puedes entregar un abanico de prestaciones. No es cierto que van relacionadas cierto con recuperar la salud mental de sus usuarios, pero eso no está considerado como tal.</t>
  </si>
  <si>
    <t>Yo creo que no está concientizado. No hay política pública tampoco como tal de que la salud mental no es solamente una atención de box que creo que todavía está muy a pesar que tenemos un modelo, creo que todavía y seguimos como seguimos dependiendo de los hospitales, todavía estamos en esto, en la atención de box y salud mental.</t>
  </si>
  <si>
    <t>La salud mental tiene que ver con los estilos de vida, con las salidas comunitarias, es cierto. Y todas esas acciones deberían estar en una glosa para que se puedan considerar como tal y poder ser valoradas.</t>
  </si>
  <si>
    <t>Y yo creo que siendo valoradas también nos pueden medir, no solamente por hacer la consulta, nos pueden medir por hacer visitas a domicilio, nos pueden medir por hacer gestión.</t>
  </si>
  <si>
    <t>Y ahí tú puedes ver que si hay producción en un centro, por ejemplo, no nos pasa a ustedes. Produce súper poco, claro, porque no estás midiendo solamente la consulta, pero no estás midiendo el otro abanico de prestaciones que nosotros sí realizamos y que vienen dentro de nuestro modelo y que van enfocado no a generar, no es cierto? Este espacio de recuperación, generar el recovery que estamos trabajando nosotros en el centro. Pero no, no, no dialoga. No, no hay, no hay diálogo, hay.</t>
  </si>
  <si>
    <t>Por qué tiene que volver a su centro de origen tratando de hacer buenos encuadres al principio del ingreso? Y eso también requiere tiempo. También requiere tiempo de educación a la población. No se basa solamente en consultar el motivo clínico de la persona, sino que también educar a la gente de cómo se pasa por los niveles de salud.</t>
  </si>
  <si>
    <t>FINANCIACION\Intervención\Convenios con intersector\Ministerio de Desarrollo Social y Familia\Servicio Nacional de la Discapacidad</t>
  </si>
  <si>
    <t>En los últimos años hemos tenido proyectos tanto de Senadis</t>
  </si>
  <si>
    <t>y ahora estamos con un proyecto del Ministerio de Desarrollo Social, con un programa que es PASAM en el centro</t>
  </si>
  <si>
    <t>no está ligado a nuestra producción. Exacto. Yo pregunté también por el tema de las PPV, me llamó la atención porque como se reprograman y hay que ajustarla y es una fuente de ingreso para los equipos,  aparte del PPI no acá no, nunca se ha se ha comprometido PPV para el centro. Pregunté yo por qué no? La verdad es que nadie me dio respuesta. No sé si será muy ínfimo la incidencia de nuestra PPV en relación al Hospital Salvador, que lo tenemos acá al lado y que me imagino que debe consumir todos esos recursos o esos compromisos. Pero no está ligado, no tenemos PPV ni tampoco se nos ha exigido una cierta producción.</t>
  </si>
  <si>
    <t>la producción tiene que ver con la meta sanitaria, por lo que nos compromete la programación, pero hasta donde yo sé no va ligado al tema económico o al presupuesto del centro.</t>
  </si>
  <si>
    <t>la verdad es que en mi experiencia, independiente del financiamiento, no varía porque siempre siendo servicio público, de todas formas se atiende a cualquier usuario que sea Fonasa. Ahí nuestras limitaciones que la persona pertenezca a una Isapre. Pero eso es en todo ámbito de cosas, al no tener un centro de costo propio donde la persona pueda pagar su atención acá, eso limita a quien no se le pueda dar atención a gente que pertenece a alguna Isapre.</t>
  </si>
  <si>
    <t>no sé si acá pasa de que nuestros usuarios con letra C o D, que deberían hacer algún copago por algunas prestaciones, a ellos les llega un cobro igual a su o a su domicilio. Yo, yo sólo tienen que cancelar en Fonasa. No se hace un pago directo en los centros de los servicios. No sé si acá eso sucede, pero yo sé de que en otros centros, la gente que tenía Fonasa C y D igual tenía que hacer un pago por la prestación, le llegaban los cobros y ellos tenían que pagar en FONASA.</t>
  </si>
  <si>
    <t>Nosotros atendemos a todos los usuarios Fonasa, indistinto a su letra. Como no tenemos caja recaudadora, que ha sido un tema que no se ha resuelto a nivel de servicio de salud desde que yo estoy en el centro el año 2018, la intención es habilitar caja recaudadora, pero no contamos ni con el personal adecuado ni la instalación adecuada para poder echar a andar este proyecto. Por lo tanto, todas las letras Fonasa que se atienden con nosotros hay gratuidad. No hay un cobro posterior.</t>
  </si>
  <si>
    <t>en el caso del tema GES, estamos asociados con metas sanitarias GES. Atención 100% el cumplimiento de garantía. Pero tampoco nosotros tenemos un incentivo con eso más allá, digamos, de cumplir con la meta. Pero, digamos, se atiende obviamente dentro de los plazos, pero como cualquier otro usuario que llega una interconsulta desde todos los lugares de derivación.</t>
  </si>
  <si>
    <t>como nosotros tenemos un presupuesto base, digamos, de funcionamiento, eso no incide en el tipo de prestaciones que se entrega. Yo diría que más bien la disponibilidad de ciertos recursos podría limitar el tipo de prestación, pero me refiero a cantidad de horas de disponibilidad de profesionales. Pero no, no digamos algún tipo de pago o de incentivo.</t>
  </si>
  <si>
    <t>nos da la cobertura de un área o tipo de prestaciones que nosotros no están considerado dentro del centro, como el poder dar atención a las personas con vida de calle, en este caso en particular, que era el programa de la Mideso.</t>
  </si>
  <si>
    <t>Código</t>
  </si>
  <si>
    <t xml:space="preserve">FINANCIACION\Intervención\Forma de pago deseada </t>
  </si>
  <si>
    <t>por supuesto Infanto juvenil es súper importante. Sobre todo, debería haber una prevención de salud mental que debería empezar en la gestación. A las embarazadas que están con problemas, ya sea alcohol y drogas o problemas psiquiátricos, deberían tratarse en un COSAM para prevenir la futura enfermedad mental del bebé, o sea debería partir por ahí y todos los COSAM deberían tener un psiquiatra infanto juvenil y atender a todo tipo de edad y condición social. Sin una discriminación</t>
  </si>
  <si>
    <t>Acciones concordantes con el modelo comunitario: Preventivas</t>
  </si>
  <si>
    <t>Y los niños deberían tratarse en el COSAM en forma directa con un psiquiatra infanto juvenil que los atendiera y con especialistas en psicología también infantil. Eso es primordial.</t>
  </si>
  <si>
    <t>Incentivos a la retención de los profesionales</t>
  </si>
  <si>
    <t>yo creo que hay una cosa importante que lo han dicho repetidas veces. Resulta que aquí no se está respetando la orientaciones de la Organización Mundial de la Salud. Irene lo mencionó recién de que por tantos habitantes por un psiquiatra, resulta que tendríamos que acercarnos un poquitito a las, digamos, a las recomendaciones de la OMS,</t>
  </si>
  <si>
    <t>Lo que de acuerdo a lo que usted decía de FONASA y todo. Lo correcto sería que se atendiera a todos los pacientes en los COSAM y en todos los lugares. Los pacientes ya sea por bono, porque depende del trato que tenga la persona y que sea atendida en salud mental.</t>
  </si>
  <si>
    <t>No se trata sólo de más presupuesto</t>
  </si>
  <si>
    <t>Yo creo que el gobierno debería hacer algo para incentivar a que estos profesionales trabajen en estos dispositivos de salud.</t>
  </si>
  <si>
    <t>Creo que ahí hay que, yo apostaría a largo plazo por la cultura y la cultura, que para mí es algo imprescindible y que sería muy, inmediato no es el efecto, pero si apostamos por más lectura de clásicos, por cine, por ciclos de cine, por música, por festivales, por poesía. Al largo plazo vamos a tener un mejor país con una salud mental mucho más linda, más bella.</t>
  </si>
  <si>
    <t>é que lo mío es utópico y que mis pretensiones deberían ir más bien por recurso económico. Pero creo que la cultura es fundamental, no por nada es la escuela de arte y no la escuela de arte, porque el arte contribuye a mejorar a la persona</t>
  </si>
  <si>
    <t>La cultura es muy importante y sé que mucha gente va a decir que no existen los recursos, pero para mí es primordial la cultura, porque estamos en un clima muy adverso, hay mucha violencia y mucho trauma y la cultura ayuda a desarrollar la empatía y conocer otros mundos. Eso haría de este país un país más humano y más habitable.</t>
  </si>
  <si>
    <t>Eso es lo que te decía recién tener como este equipo multidisciplinario con personas que tienen alguna enfermedad psiquiátrica, así como lo hay para la diabetes, en donde te entregan toda la información al respecto, qué tienes que comer, qué no tienes que comer, ir al nutricionista, la medicación, etcétera.</t>
  </si>
  <si>
    <t>Acciones concordantes con el modelo comunitario: Plan integral de cuidados</t>
  </si>
  <si>
    <t>Yo yo siento que en cuanto a salud mental en general estamos al debe socialmente y en el sistema de salud también. Creo que esas son las cosas que hay que mejorar. Tenemos que tener el libre acceso de poder vernos de forma de con mayor calidad y con tener todas las condiciones mínimas que necesitamos para poder tener un buen tratamiento psiquiátrico.</t>
  </si>
  <si>
    <t>yo creo que una de las cosas que les serviría mucho a los COSAM y ya te lo mencioné, pero quiero recalcarlo porque lo hemos visto desde nuestra propia experiencia, lo bien que han funcionado estos grupos de apoyo, que se pudiera implementar esos grupos dentro de los COSAM, creo que sería de mucha ayuda.</t>
  </si>
  <si>
    <t>Acciones concordantes con el modelo comunitario: Grupos de Apoyo</t>
  </si>
  <si>
    <t>Porque nosotros como fundación actualmente tenemos 17 GAM. Nos encantaría poder tener más y poder acoger a todas las personas que necesitan esto, porque una vez que encuentran estos grupos de apoyo, ellos dicen cómo no supe antes de esto, qué ganas de haber sabido, Llevo cinco años en tratamiento, no tenía idea de lo que era el trastorno bipolar, solo lo vivo desde mis cambios de ánimo, etcétera. Pero si hubiera encontrado agrupaciones como esta o si hubiera encontrado un médico que me hubieran explicado bien esto, la vida de ellos hubiera cambiado. O Sea durante cinco años con un tratamiento, no siendo el más óptimo, en donde no ha podido seguir trabajando y no ha podido seguir estudiando, porque esto obviamente afecta estos cambios en ellos. Si hubieran encontrado antes un grupo de apoyo, claramente sabrían o se hubieran podido aprender mucho antes y ya haber llevado mucho mejor el trastorno bipolar en sus vidas. Entonces creo que sería algo muy bueno de hacer implementar estos grupos dentro de los COSAM.</t>
  </si>
  <si>
    <t>Entonces uno podría decir, claro, falta un incentivo a lo mejor que pudiera dar cuenta de una mayor valorización de aquellas prestaciones con la comunidad. Y ahí uno podría pensar que que a futuro uno debería, entre comillas, a lo mejor idear algún mecanismo que diera cuenta de una mayor valorización de eso y ahí uno podría decir OK, si el centro "A" tiene tales condiciones o tiene tal práctica que uno podría pensar que tiene un elemento presupuestario distinto a que el que no lo hace y viceversa.</t>
  </si>
  <si>
    <t>Acciones concordantes con el modelo comunitario: En la comunidad</t>
  </si>
  <si>
    <t>No sé si el mecanismo actual va a favorecer más o menos que se financie la intervención con la comunidad, la institución del intersector, sino que también es, por así decirlo, que el modelo de atención se financie de buena manera y que entre comillas tenga la libertad de poder hacer un plan de cuidado respecto a la ansiedad de esa persona en distintos ámbitos.</t>
  </si>
  <si>
    <t>lo básico probablemente sería la resolutividad de atención del personal.</t>
  </si>
  <si>
    <t>Mecanismos de pago: Por los resultados clínicos</t>
  </si>
  <si>
    <t>Un segundo elemento es la calidad de la intervención y la integralidad de la intervención que fuera por parte de un equipo realmente transdisciplinario, tal como plantea el modelo de gestión.</t>
  </si>
  <si>
    <t>Y un tercer elemento que también incorpora lo que hemos ido hablando en el transcurso de las reuniones como elementos mucho más de intervención con la comunidad, de gestión con el intersector y que probablemente eso también tenga una ponderación probablemente más definida en torno a ese mecanismo de financiamiento, sino uno pensara en un análisis factorial de cualidad, probablemente por parte de un equipo. Y claro, si un equipo cumple tal condición, probablemente yo pueda financiar bajo un monto X o X+1 versus otros que no lo hace, que sólo pondría un x-1.</t>
  </si>
  <si>
    <t>Un punto crítico si diría que hay yo creo con la resolutividad, o sea, uno debería pensar que todos aquellos elementos que den cuenta de una mayor resolutividad por parte del nivel de especialidad, particularmente los COSAM.</t>
  </si>
  <si>
    <t>Y eso implica que el centro trabaje articuladamente con la oferta intersectorial, con la oferta sectorial, con su comunidad, a modo que el usuario pueda egresar y volver más rápido a su comunidad y que la comunidad pueda sostener a ese usuario debería ser mejor pagado que el que no lo hace. Yo creo que esos son puntos vitales, probablemente del éxito o no de un centro de salud mental comunitario. Porque hasta ahora probablemente no sé si va a marcar una gran diferencia si yo le pago los mismos 100 pesos por hacer atención clínica o atención clínica comunitaria por así decirlo, sí se siguen dando los mismos 100 pesos.</t>
  </si>
  <si>
    <t>Uno debería pensar que deberían mejorarse los indicadores de resultados y de alta clínica de aquellos usuarios que están en centros de salud mental comunitaria debido a la integralidad de la atención.</t>
  </si>
  <si>
    <t>Pero hasta ahora eso no sé si sea tan así, los números en general no tienen una definición tan clara respecto a eso. Y eso probablemente puede ir en contra del modelo si uno lo compara, no sé, cuánto  resuelve un hospital o un CRS que lo que resuelve un COSAM. Y por lo tanto, uno debería esperar que, bajo modelo comunitario debería haber mayor resolución de casos y una menor reincidencia o menor reingreso de usuarios, pensando que se hicieron bien todo esto elementos de articulación con la comunidad, articulación con el sector que por modelo debe ser parte de un centro de salud mental comunitario.</t>
  </si>
  <si>
    <t>Probablemente cómo ir definiendo también el financiamiento en base a la complejidad, que es una vuelta más amplia, que a lo mejor se escapa de la pregunta inicial del estudio, pero uno debería pensar que el financiamiento de la salud mental en general debería ir avanzando en una definición adecuada a la salud mental de lo que es la complejidad que tiene definida por FONASA con los GRD por ejemplo.</t>
  </si>
  <si>
    <t>Mecanismo de pago: Por la intensidad/complejidad  del plan de cuidados</t>
  </si>
  <si>
    <t>Donde las variables social probablemente o de complejidad social o vulnerabilidad de este tipo no es tomada y si uno pensara en esa vuelta, particularmente en el tema salud mental, es crítico cómo definir cuáles son los niveles de atención y cuánto se financian no me acuerdo a cada nivel de atención o a cada situación particular de un usuario. No va a ser lo mismo una esquizofrenia compensada en una familia de Las Condes a lo mejor a una con menor red social que vive una situación no sé en La Pintana, dado que va a requerir por parte del equipo un mayor financiamiento, o sea, una mayor cantidad de acción. Ergo debería ser más costosa que un usuario que tiene una red más compensada y que requiere una intervención de menor intensidad probablemente.</t>
  </si>
  <si>
    <t>Uno debería pensar que la complejidad debería ir asociada a una mayor intensidad de intervención y eso probablemente a una mayor valorización. Y eso probablemente yo creo que es un elemento fundamental no solo para los centros de de salud mental o los COSAM, sino que para toda la red finalmente</t>
  </si>
  <si>
    <t>Yo creo que debería generarse independiente del lugar donde estén, cierto, si es de dependencia servicio, dependencia municipal, lo que sea, generar una glosa dentro de o como marcado que es para funcionamiento el centro salud mental comunitaria cuando se hace las transferencias.</t>
  </si>
  <si>
    <t>Incorporarlos, pero para que quede como marcado como programa ministerial de no sé qué cosa es lo mismo programa de salud mental Centro salud mental comunitaria como una vía específica y que se ajuste como a las necesidades de cada centro.</t>
  </si>
  <si>
    <t>En la atención primaria se utiliza el per cápita. Yo no sé si el per cápita es lo mejor para nosotros, pero pero una forma de poder poner un mínimo de financiamiento en valorar las prestaciones de acuerdo a los códigos que tiene Fonasa y desde ahí poder transferir un poco más recursos y que lleguen para los centros.</t>
  </si>
  <si>
    <t>Mecanismo de pago: Per cápita</t>
  </si>
  <si>
    <t>independiente de que no seamos todos igual a nivel país. Que se sepa que no sé la prestación tanto tener tal valor y ese valor se va transfiriendo de acuerdo a la cantidad de usuarios, por ejemplo.</t>
  </si>
  <si>
    <t>Mecanismo de pago: Canastas/Paquetes</t>
  </si>
  <si>
    <t>Pero no solamente valorar una prestación, porque acá nosotros entregamos la cartera de prestaciones bastante amplia o generar un mínimo cierto del valor de la cartera de prestaciones y poder transferir un poco en base a eso, haciendo la cierta prorrateo de lo que significa todas las variables que nosotros tenemos que contemplar fármacos, insumos de enfermería, otros insumos clínicos, otros insumos de oficina, movilización, servicios básicos y en base a eso, generar un piso mínimo de transferencia.</t>
  </si>
  <si>
    <t>hay que buscar como un sistema paralelo, porque si todos los servicios tienen centros dependientes y no todos probablemente van a poder poder tener su subdirección hay que buscar una forma de transferir mayor cantidad de recursos que te permita mejorar distintas condiciones</t>
  </si>
  <si>
    <t>Primero, yo siempre me he imaginado un sistema que más que asociado un diagnóstico que muchas veces no da cuenta de lo que son la necesidades de atención de las personas y pudiera ser más asociado efectivamente como a requerimientos como de intensidad del tratamiento.</t>
  </si>
  <si>
    <t>Eso en una lógica de entender que más allá del diagnóstico, en su proceso salud-enfermedad, las personas van requiriendo de mayor o menor intensidad o frecuencia en la intervención y que el mecanismo de pago tuviera más bien asociado a esos elementos que al diagnóstico propiamente tal como es ahora.</t>
  </si>
  <si>
    <t>Tal vez algunas acciones específicas que pudieran que no estar tan vinculadas a la atención de una persona determinada, digamos, sino que más bien vinculadas como al modelo. Y claro que tiene que ver en esto de como no sé, esto que tú decías, la vinculación con organizaciones o elementos más bien asociados a la recuperación también de las personas, no sé eso como se podría pensar.</t>
  </si>
  <si>
    <t>Acciones concordantes con el modelo comunitario: Plan integral de cuidados: Recuperación</t>
  </si>
  <si>
    <t>Hoy día a lo mejor se está tomando algo que yo no sé si va a llevar a puerto o no, que es la rehabilitación en COVID, es para meterlo, para incorporarlo a GES y ahí está desde casi el diagnóstico está un poco e incorpora algo de salud mental, control de psiquiatra, control de psicólogo, pero eso está por verse como una intención, no? Eso tiene que pasar por el recurso de GES y todo eso, pero que hay poco, es muy poco en salud mental</t>
  </si>
  <si>
    <t>Mecanismo de pago: nuevas incorporaciones en el GES</t>
  </si>
  <si>
    <t>Entonces a veces cuesta construir un poco eso y se va viendo entonces la prioridad y la canasta tiene toda una, para llegar a la valorización, porque hay que recordar que la canasta, el objetivo que tienen es eso, proyectar cuánto te va a costar esa prestación. No es ni gestión, ni es guía clínica, ni es protocolo que la gente confunde en todo los programas, sea GES sea el plan de salud. Nosotros, PPV, Ex-PPV, GRD, todo es una especie de paquete, paquete para valorizar cómo te cuesta la intervención, cuántos resulta y cómo. Y si lo hiciéramos más a profundidad, tendría que ser como un estudio de costo, te fijas, para llegar a ese valor total.</t>
  </si>
  <si>
    <t>Yo por lo que he visto ahora con esto de COVID y todo lo que viene del año pasado, que lo estamos tratando de hacer algo de rehabilitación COVID y que tiene mucho que ver con salud mental, yo creo que lo fundamental es el refuerzo en la atención primaria. Er er, porque en la atención cerrada de alguna manera hay alguna relación con o con el especialista o el psicólogo. Hospitales tienen psicólogo tienen alguna salud mental. Pero donde acude la gente también, por ejemplo en este caso que estamos trabajando ahora con su secuela es Atención Primaria. Y ahí es que tendrán que tener algún nivel de atención como para para, digamos, prestar la atención correspondiente, porque tu atención primaria en este momento te dice que prácticamente no puede hacerlo, no puede hacerlo, no puede hacerlo porque no tiene recursos, no tiene recursos financieros, recurso humano. No tiene. Entonces esa parte reforzarla. Si de ahí se va para arriba. la atención primaria, tanto ya sea que el paciente haya llegado de la hospitalización, como vaya a a una primera consulta, yo lo veo eso. El refuerzo en todo sentido, en todo sentido. Atención primaria.</t>
  </si>
  <si>
    <t>vas  tener una población potencial que se va a ir instalar. Si tengo ha cargado dos millones población, no la voy a pagar 8 lucas por persona, pero le voy a decir mensualmente yo te voy a pagar a lo mejor por la atención mental el 0,5 de lo que yo le pago en la secundaria, en atención primaria. Entonces el valor basal se va a ir directamente a la atención secundaria y eso va a generar que en cada hospital o centro de de ah se me olvidó la cifra de estos centros se auto financies y los realice. Y esto mismo pasa con los centros, los consultorios municipales que son atendidos, que están, que son financiados por el servicio de salud, que eso también deberían entrar a la lógica per cápita.</t>
  </si>
  <si>
    <t>En cuanto al mecanismo de pago, yo creo que debiésemos avanzar hacia un mecanismo quizás similar al mecanismo que tiene, que tiene Senda en algunos aspectos.</t>
  </si>
  <si>
    <t>No quiero decir que en el fondo que algunas prestaciones pudiesen o algunos, o quizá dejar de pagar por una prestación individual y pagar por planes, o por canasta, y que esa canasta de prestaciones apunten a un mejor resultado salud. Y que esa canasta esté valorada, valorada y regularmente pagada. Porque yo creo que eso no ocurre.</t>
  </si>
  <si>
    <t>Y tampoco ocurre que haya alguien que ve si esta canasta efectivamente, bueno eso pasa en todos lados en salud digamos, pero en esa canasta efectivamente otorgada y que cumpla con una, con una, con una calidad que apunte a que el usuario tenga mejores mejoras en su situación de salud. Entonces yo haría eso, canastaría. Y esas canastas también le aplicaría a varios infractores, porque las poblaciones hay poblaciones que son mucho más complejas que que otras.</t>
  </si>
  <si>
    <t>Yo creo que ahí hay condiciones de ruralidad, ailamiento, tasa de suicidio, tasa de violencia intrafamiliar que por supuesto pudiesen generar algún nivel de infractor distinto.</t>
  </si>
  <si>
    <t>Mecanismo de pago: Riesgos e Inflactores</t>
  </si>
  <si>
    <t>Porque, porque claro, la verdad es que para mi no es lo mismo, no es lo mismo, por ejemplo, atender a un usuario que tiene un consumo problemático de alcohol y drogas en Valparaíso donde hay una serie de otros dispositivos que pueden generar apoyo de la red intersectorial, como hacerlo en San Antonio o las comunas del litoral central, donde la red es mucho menor y mucho más pequeña y los traslados son más costosos.</t>
  </si>
  <si>
    <t>Pero, pero claro, en el fondo financiar canasta, canasta de prestaciones y con un buen financiamiento adecuado, adecuado a los tiempos. Y que esa canasta consideran quizás un amplio espectro de prestaciones desde clínicas individuales hasta comunitarias, y el tema de la participación del usuario en su comunidad.</t>
  </si>
  <si>
    <t>estimular ciertas cosas, también estimular ciertas ciertas actividades, el involucramiento de los equipos en las actividades preventivas promocionales de la comunidad que está alrededor.</t>
  </si>
  <si>
    <t>Por ejemplo, a mí me gustaría que que los Cosam también fueran mucho más open door, en el sentido de que las personas pudiesen llegar, pues en llegar y no necesariamente ingresar, sino que en el fondo llegar al dispositivo y tener orientación, ser enviadas asistidamente a la atención primaria, en caso de o si el caso amerita que pudiesen ingresar.</t>
  </si>
  <si>
    <t>Pero claro, yo creo que habría que estimular uno las remuneraciones y dos las actividades que terminan siendo claves para para el modelo.</t>
  </si>
  <si>
    <t>Actividades de cuidados compartidos en relación con la atención primaria</t>
  </si>
  <si>
    <t>Acciones concordantes con el modelo comunitario: Plan integral de cuidados: Cuidados compartidos</t>
  </si>
  <si>
    <t>satisfacción de los usuarios. A los usuarios de salud mental muy pocas veces se les pregunta. Nosotros tenemos aquí un bono al trato usuario en salud pública que nunca he visto donde lo miden el bono del trato al usuario y nunca he visto que alguien de salud mental en el COSAM le pregunten como se siente tratado. La verdad que nunca, nunca lo he visto y yo creo que salud mental, tiene particularidades que son bien notorias.</t>
  </si>
  <si>
    <t>Acciones concordantes con el modelo comunitario</t>
  </si>
  <si>
    <t>creo que la tecnología salud venido colaborando en términos de medicamentos, yo creo que lo ambulatorio hay que definir un mecanismo que sea muy parecido a la paquetización por decirlo en español, los gringos hablan mucho del xxx-Payment. No es cierto, que una forma de empaquetar y empaquetar pero con un empaquetamiento con cierto riesgo incorporado. O sea el valor que yo pago incorpora, no cierto una resolución integral o resolución, por decirlo así, con cierto nivel de riesgo. O sea, hay poblaciones más riesgosas que otras y por lo tanto yo debo incorporar el riesgo de esa población en ese precio, en ese paquete.</t>
  </si>
  <si>
    <t>O sea, no puede ser que esto quede al arbitrio de una discusión presupuestaria o una actualización de precio. Yo creo que es una cuestión que es mucho más amplio. Tiene que ver con un juicio técnico, académico, de evidencia y de mucha bibliografía, por decirlo así desde un punto de vista de conocer. Yo me paro ahí y lo acepto porque creo que es un mecanismo que esté explícito, es fácil de comprender y permite definir en algún minuto el paquete 1 paquete 2, paquete 3, paquete 4 o lo que fuera. Pero insisto con este concepto de cómo introduce riesgo.</t>
  </si>
  <si>
    <t>El GRD te valoriza el riesgo, porque en el fondo define e identifica la complejidad, pero también tiende a pensar que recursos están asociados a esa complejidad. Y el paquete más o menos debería ser el dominio de seguridad social, los recursos que yo debo consumir para esto, en términos de número de consulta, la droga incorporada, las terapias grupales o los seguimientos, implican de alguna manera recursos humanos y demás se ha asociado a ese. Y yo prefiero pensar así porque creo que es más fácil comprenderlo del punto de vista no cierto del Mecanismo y que ser más explícito lo más simple posible.</t>
  </si>
  <si>
    <t>Yo creo que ahí tiene que ver un poco con el per cápita, o sea, con el centro está instalado en qué población, qué número de población se proyecta atender o evaluar.</t>
  </si>
  <si>
    <t>tiene que ver con la localidad, probablemente centros urbanos son distintos acentos con una alta tasa de población rural, como el caso de nosotros, la distancia geográfica, porque por ejemplo, nosotros estamos insertos en algo que se llama el nuevo costero, o sea toda la zona costera como de la Araucanía Sur.</t>
  </si>
  <si>
    <t>Por tanto, probablemente lo que decía per cápita, cuánta población va va a tener, la ubicación, la dimensión geográfica o el territorio que va a cubrir y probablemente elementos un poco más específicos que tienen que ver probablemente con el tipo de población con el que se va a trabajar. Nosotros acá tenemos alta prevalencia de, por ejemplo, consumo de alcohol.</t>
  </si>
  <si>
    <t>Por lo tanto, probablemente cada centro debería ser distinto y debería ser pensado de manera única con la realidades locales. Por lo tanto, nosotros deberíamos tener un enfoque más, un poco hacia los consumos y por lo tanto deberíamos recibir un poco, quizá más dinero respecto a eso.</t>
  </si>
  <si>
    <t>La misma interculturalidad que hemos hablado acá, que el hospital efectivamente es intercultural, que tiene un módulo y nosotros hemos tratado de trabajar cerca de ellos. Pero nosotros como centro mismo, por ejemplo, no tenemos un facilitador intercultural, pero sí nosotros trabajamos con atención primaria, donde la atención primaria en su programa de salud mental, si hay facilitador intercultural, pero nosotros, pese a que somos especialidad, nosotros no tenemos uno propio. Por tanto, quizá eso sí debería ser también incluido, pensado, dentros de los presupuestos para contar con ese recurso acá dentro del centro.</t>
  </si>
  <si>
    <t>Habría que tener personas ahí que supieran de salud mental comunitaria. Que supieran de lo que se hace, de lo qué es importante que, que, que si hay que hacer un sistema de cobro, de valor, de asignación de recursos, supiera en qué es necesario gastar la plata, en qué se tiene que gastar. Como te digo, no sólo la MAI tendrían que financiar, pero da la impresión de que se trata la salud mental como si fuera cualquier otra patología. Y eso dista mucho. No es lo mismo.</t>
  </si>
  <si>
    <t>Y como te digo yo, si uno a uno le pagaran por lo que uno realmente hace, yo creo que a lo mejor estaríamos en una balanza, no más o menos equilibrada de lo que la población bajo control que tiene versus lo que realmente debería entregarse el sistema, o sea, Fonasa</t>
  </si>
  <si>
    <t>Si pagará [FONASA] por lo que realmente produces a lo mejor no tendrías un desfinanciamiento tan grande, tendría un desfinanciamiento igual, porque las prestaciones son mucho más que las que hace que lo que te pagan.</t>
  </si>
  <si>
    <t>Yo creo que existiría menos brechas financieras si esto fuera pagado como corresponde. Igual faltarían recursos, igual faltaría financiamiento, pero acercaría un poco más la brecha.</t>
  </si>
  <si>
    <t>a mí me gustaría que alguien hiciera así como dos indicadores comunitarios y dijera mira, vamos a a financiar el que los psicólogos o los psiquiatras y todos vayan a hacer un diagnóstico a la casa de la persona que está cursando o iniciando una demencia o cursando el inicio de una crianza.</t>
  </si>
  <si>
    <t>Que sería maravilloso que si vamos a la casa de una mujer embarazada y hablamos del apego y hablamos de todo lo que viene desde el ciclo vital, todas las crisis que pueda tener una persona. Pucha, sería maravilloso, porque a lo mejor estamos haciendo un montón de prevención. Pero no existe eso en ningún lado.</t>
  </si>
  <si>
    <t>o creo que si uno pudiese mirar así como el financiamiento en detalle, cuánto cuestan las canastas reales, cuáles son todas las prestaciones que se hacen en los COSAM, sería bastante más fácil, porque en general a lo largo del país está bastante ordenado lo que es salud mental en las COSAM, diría yo.</t>
  </si>
  <si>
    <t>así como pensando así como del pelo ideal y desde lo utópico y desde las ganas de que en este país se visibilice la salud mental como corresponde, mirando la pobreza, la situación económica, la falta de reconocimiento de lo que es la salud mental, la falta de no sé si de política propiamente tal, pero, pero si de políticas de prevención y promoción en lo secundario más que en lo primario, porque lo primario existe, no sé yo, así como sistemas mixtos, así como que ya haber yo le sacaría una colita al 7 por ciento de FONASA y yo diría ya mira el 7 por ciento que le contamos a todos los chilenos por zonas hasta el cero coma dos por ciento, el cero coma cuatro por ciento, no sé cuánta plata está destinado a salud mental específicamente. Yo estaría tan contenta porque de verdad que ya he sacado los cálculos, sacando así como que la población solo gana cuatrocientas lucas en todo el país y es mucha plata, mucha, mucha plata, que de verdad sería muy bueno para la salud mental de estar ahí.</t>
  </si>
  <si>
    <t>o digo soñar no cuesta nada. Eso sería para mí ideal sacarle una cola de Fonasa, del de lo que son las cotizaciones particulares individuales, verdad?</t>
  </si>
  <si>
    <t>Después yo digo ya. Que nos paguen por lo que producimos realmente. Porque yo creo que igual acortaría la brecha.</t>
  </si>
  <si>
    <t>Pero hay algunos que sí pagan. Yo me he enterado que en el área norte pagan por la producción y negociaron con Fonasa que tenían que pagar la producción.</t>
  </si>
  <si>
    <t>yo creo que yo alguna vez hice el ejercicio de canastear realmente lo que se hacía y todas las canastas. Entonces tenía la canasta de ansiedad, tenía la canasta de los trastornos generalizados del desarrollo, así como se canastearon el programa de alcohol y drogas y como canasteaba la depresión. Entonces le puse los distintos trastorno y los fui canasteando. Si fuese así, de verdad que sería una maravilla y no tendríamos esta conversación que estamos teniendo hoy en día porque el financiamiento lo tendría.</t>
  </si>
  <si>
    <t>yo creo que si se logra a futuro cercano una postura política en términos de entregarle a la salud mental lo que corresponde y la importancia que tiene, vamos a ver frutos nuevos en términos de la intervención, porque se va a poder trabajar en forma territorial, con independencia, con participación social de los pacientes, con las agrupaciones.</t>
  </si>
  <si>
    <t>ojalá una persona que pueda elegirnos y ojalá una persona que quiera atenderse en este sistema</t>
  </si>
  <si>
    <t>quizá los COSAM debieran tener un presupuesto abierto o una caja chica para hacer actividades. Con otros, con otros, ni siquiera con usuarios ni usuarios, otros con otros no, con gente como con personas. Cuando uno quiere hacer grupos de autoayuda, si es que puede rendir antes. Ahora con la pandemia no, pero me voy a rendir el café. Pero no es café nomás, porque si no la Contraloría te va a mirar que está comprando cosas que no corresponden porque no? Y en el fondo hay una serie como de obstáculos o de no entender, de que en realidad estamos todos muy solo y que necesitamos asociarnos y que juntos podemos salir.</t>
  </si>
  <si>
    <t>otro sistema de financiamiento donde si tú tienes un paciente compensado que cumple cierta meta de compensación y de atención, quizá debería ganar más que alguien que está con la mitad de su población y ahí más o menos descompensada, sin atenciones.</t>
  </si>
  <si>
    <t>yo pensaría y avanzaría en que un profesional que es capaz de. Mantener a su población más compensada o hacer actividades comunitarias que instalen capacidades de la población debiese tener ahí un incentivo eventualmente metas de X cumplimiento con X indicador, que yo creo que aquí en Chile, digamos, tenemos suficientes cerebros, como va a avanzar en un indicador razonable, que si bien todo indicador tiene el riesgo de ser un poco perverso, a la larga o a la corta, digamos, podemos hacer algo que sea más o menos interesante.</t>
  </si>
  <si>
    <t>Por ejemplo, no sé, fijemos ciertas metas o índices de compensación, cualquiera que sea que lo pensemos entre todos. Creo que eso también es importante entre todo, entre comunidades científicas y también tus usuarios, no solo entre todos los dos ingenieros comerciales que ven el presupuesto ahí en las alturas por cuatro años.</t>
  </si>
  <si>
    <t>el incentivo es un arma poderosa.
Speaker2: [01:20:43] El financiamiento más poderosa del que se cree. No sólo para otros, como para nuestro quehacer para con otros, sino también respecto de la asistencia de nuestras propias prácticas. Cuando se dice y esto es una cosa que yo he conversado, no sabía si estudiar filosofía o psicología, me parece que ya se terminó. Cuando el presupuesto de salud está en el 2 por ciento, hay que subir el presupuesto, hay que subir el presupuesto, ya vamos 100 por ciento, 10 por ciento. Qué vamos a hacer con ese 10 por ciento? Vamos a hacer 8 veces más que lo que hacemos ahora, igual que lo que hacemos ahora. Es sólo una necesidad de crecimiento orgánico? Yo creo que no. Yo creo que no. Yo creo que no es solo más plata para lo mismo.</t>
  </si>
  <si>
    <t>No es que Salud Mental tenga poco presupuesto solamente para lo nuestro que hacer, que efectivamente voy a hacer la actualización de que sí creo que hay poco financiamiento. Pero además de eso, creo que más financiamiento. Pero también para hacer otras cosas, que se incentiven otras cosas o que se financien otras maneras de hacer clínica, otras prácticas. Porque si no, no creo que resolvamos la brecha con las necesidades que hay en la población</t>
  </si>
  <si>
    <t>más flexible o algunos articulados en el financiamiento que fuesen más susceptibles de una adecuación local, por ejemplo, o que tuviesen incentivos distintos respecto de participación deliberativa, de construcción de política local, de.
Speaker2: [01:30:43] Espacios como de apertura y no sólo de. Como emisión de conocimiento, como de la receta, en el amplio sentido, como de usted tiene que hacer esto, usted tiene que hacer lo otro como espacios más horizontales de diálogo. Y con que eso se tenga un espacio, aunque sea acotado y nos permita. Como ser, como? Como crítico respecto de algunas cosas que hemos considerado mucho tiempo inamovible, creo que sería un avance.</t>
  </si>
  <si>
    <t>Acciones concordantes con el modelo comunitario: Adecuación local</t>
  </si>
  <si>
    <t>Me imagino al hombre de Hacienda pensando en estas cosas. La verdad no me lo imagino. Bueno, ya no entra en el Excel variable como variable error de fórmula. Entonces tendremos que tener la astucia suficiente para traducir algo de esto. He. De alguna manera no creo que seamos mucho más los pensantes que los no pensantes en en decir bueno, por qué no le introducimos esta variable o este campo, o déjame un presupuesto del tanto por ciento que tenga una así posibilidad de una caja chica.</t>
  </si>
  <si>
    <t>dame espacio para probar con las personas otras formas. Otras terapéuticas. Creo que esa es la gran lección de estos tiempos, de que de que tenemos que construir juntos y a tientas y caminando por la sombra. Cómo? Cómo avanzar?</t>
  </si>
  <si>
    <t>Pero cuando no sólo contadores ni ingenieros se ponen a pensar en presupuesto, yo creo que se pueden contar o sistemas de financiamiento, se pueden encontrar fórmulas en las que uno pueda ir innovando sin tener esa anticipación ansiosa, negativa, de que no te va a cuadrar, de que no va a funcionar</t>
  </si>
  <si>
    <t>Creo que hay algo de la escala humana que tiene que volver a tener lugar en los sistemas de financiamiento, que la complejización de los sistemas o la industrialización</t>
  </si>
  <si>
    <t>Dale un espacio a ellos para innovar. No, porque tienen los conocimientos. Y así debería incentivar la investigación local y todos los que se van a formar afuera van a querer volver y eventualmente uno y otro no nos van a querer quedar afuera.
Speaker2: [01:36:28] O va a haber algún tipo de incentivo para volver y pa probar. No, creo que ahí Chile está muy temeroso y está muy anestesiado, con un modelo que nos dio una una manera. Nos mostró una forma que hoy encontramos a Rato bastante anticuada y bastante desconfiada. Pongan todos los mecanismos de control que quieran, pero pensemos en que que uno está incentivando varias cosas donde pone la plata, no? No sólo la práctica y la atención final al usuario, también la práctica de los profesionales y las soluciones del futuro.</t>
  </si>
  <si>
    <t>Estas son las preguntas que hay que hacerse hoy día, sino cómo y probar, probar hoy día hipótesis de trabajo distinta con la gente. Si ya dejamos cerrado de ser los que saben versus los que vienen a aprender de nosotros. Pero eso lo tiene que entender alguien que tenga la visión y la convicción y las lucas en el momento oportuno. O sea, ahora, si no ocurre ahora, eso ahora que están pasando todas estas cosas, cuando. Eso no es un pensamiento de izquierda a derecha, un pensamiento que tiene que ver con una tradición de elite y me imagino que desde el principio de los tiempos las personas quieren estar. Tenés tus necesidades satisfechas? Poder alcanzar tus proyectos no tiene que ver con un abanderado presidencial. Que no son necesidades muy humana. Por qué la gestión se desprende de eso? Las gestiones son personas atendiendo personas.</t>
  </si>
  <si>
    <t>Yo creo que a mi parecer, nosotros como centro y de lo que se proyecta dentro de los modelos, deberíamos tener esta autonomía de tener como un ítem de un presupuesto para para saber cuáles son los principales gastos que tenemos como centro. Si dentro de las gestiones conseguir tener fondos fijos que sean propios del centro</t>
  </si>
  <si>
    <t>Pero si tal vez tuviéramos un presupuesto destinado a salud mental con los ítems de lo que uno va gastando durante el año o para las actividades que se requieren, porque el modelo comunitario y habla de altas actividades con la comunidad y hacer actividades con la comunidad también significa invertir gasto.</t>
  </si>
  <si>
    <t>Y si no la pueden tener por X motivos administrativo, al menos que se cuente con un presupuesto distinto. En qué sentido? Donde se paga? Es cierto.</t>
  </si>
  <si>
    <t>Cuánto nos asigna el ministerio para trabajar en ciertas cosas y uno no se va a ajustar a ese presupuesto y ver dónde puede programar ciertas actividades que podamos cumplir. Tal vez si tuviéramos un presupuesto que fuera solo de nosotros, de salud mental, pudiésemos hacer muchas más cosas de la que hacemos actualmente. Podríamos generar las prestaciones.</t>
  </si>
  <si>
    <t>la periodicidad que se requiere y también está quitando necesidades que a veces se van teniendo pero que no las podemos suplir porque no contamos con un presupuesto, tal vez puede ser que la política pública, un cierto a salud mental, vea esto.</t>
  </si>
  <si>
    <t>Creo yo que el concepto de canasta de prestaciones me parece que sería más cercano siempre que fuera una canasta más real, si no. No la que conocemos por las PPV, pero si nosotros la recogieran la norma técnica de la frecuencia, de cuánto debiera durar el tratamiento de un usuario, de la cantidad de prestaciones que requiere por cada profesional, podríamos tener un estimado del costo que eso tiene, que eso tendría dentro del centro y eso asociarlo a un pago. En relación a la cantidad de usuarios que se atiende. Eso cubriría por lo menos la parte clínica, no la parte comunitaria.</t>
  </si>
  <si>
    <t>yo creo que la parte comunitaria debiera ser cubierta por el servicio que nos entrega un piso de de funcionamiento para esos otros elemento que en el fondo no son de los que se pueden reportar a través de un RUT de una persona.</t>
  </si>
  <si>
    <t>nosotros sabemos más o menos en promedio, cuántas atenciones tiene una persona en el centro al mes. Y con qué tipo de profesionales, y eso sacará un cálculo más real del costo que eso implica y que eso significa en relación al pago de recurso humano, a los gastos básicos del lugar.</t>
  </si>
  <si>
    <t>creo yo que debiera estar asociado a la cobertura del territorio de que uno debe manejar para poder con eso cubrir la actividad comunitaria con APS, la consultoría, la promoción, la prevención, esos otros elementos, los vínculos colateral con las agrupaciones comunitarias.</t>
  </si>
  <si>
    <t>yo desconozco si GRD está trabajando también en las canastas de los centros de salud mental comunitaria, porque por ejemplo yo lo veía y lo veo hace años en los hospitales que trabajan los grupos relacionados diagnóstico para poder canastear valores más reales de las prestaciones. Desconozco si el GRD también contempla el modelo.</t>
  </si>
  <si>
    <t>lo importante es que Fonasa reconozca las prestaciones, porque nosotros realizamos varias prestaciones que no están valoradas, porque como mensualmente tenemos que enviar el REM y también la serie BS, que es quien valora, por ejemplo, las visitas domiciliarias de otros profesionales o de un médico y un profesional, eso no está valorada. Los procedimientos de enfermería tampoco están valorados. Hay una prestación que en general que hacen los psicólogos tampoco está valorada. Entonces, si bien es cierto la informamos por un lado en el REM, en la planilla BS no van informadas porque no tienen código FONASA y ahí en la cartera de prestaciones nos damos cuenta todas las que no tienen código</t>
  </si>
  <si>
    <t>No dejar fuera. La primera sería no dejar fuera que no faltará nunca los medicamentos, la farmacia, para  la familia que se atienden, para que no se descompensen. (CoquimboORG_revisado, Pos. 34)</t>
  </si>
  <si>
    <t>Si hubiera más movilización para hacer las visitas. Para hacer la visita a la gente que necesitan que se atiendan en su casa. (CoquimboORG_revisado, Pos. 34)</t>
  </si>
  <si>
    <t>U.M.RN.6</t>
  </si>
  <si>
    <t>Que haya más psicoeducación para que ellos, para que igual ellos sepan cuáles son sus derechos, cómo funciona Fonasa, cómo funciona en el AUGE, cómo funciona para conocer más sobre el GES. Más información. Más educación. (CoquimboORG_revisado, Pos. 34)</t>
  </si>
  <si>
    <t>Area</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</si>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</sst>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scheme val="minor"/>
    </font>
    <font>
      <sz val="10"/>
      <color rgb="FF000000"/>
      <name val="Calibri"/>
    </font>
    <font>
      <sz val="11"/>
      <color theme="1"/>
      <name val="Calibri"/>
      <scheme val="minor"/>
    </font>
    <font>
      <sz val="12"/>
      <color rgb="FFEA7915"/>
      <name val="Calibri"/>
    </font>
    <font>
      <sz val="12"/>
      <color rgb="FF2364A2"/>
      <name val="Calibri"/>
    </font>
    <font>
      <sz val="12"/>
      <color rgb="FF0CBFCC"/>
      <name val="Calibri"/>
    </font>
    <font>
      <sz val="12"/>
      <color rgb="FFEFC917"/>
      <name val="Calibri"/>
    </font>
    <font>
      <sz val="10"/>
      <color theme="1"/>
      <name val="Calibri"/>
    </font>
    <font>
      <sz val="12"/>
      <color rgb="FF8B4513"/>
      <name val="Calibri"/>
    </font>
    <font>
      <sz val="12"/>
      <color rgb="FF6DA529"/>
      <name val="Calibri"/>
    </font>
    <font>
      <sz val="12"/>
      <color rgb="FFDC3C26"/>
      <name val="Calibri"/>
    </font>
    <font>
      <sz val="11"/>
      <color theme="1"/>
      <name val="Calibri"/>
    </font>
    <font>
      <sz val="10"/>
      <color rgb="FF000000"/>
      <name val="Arial"/>
    </font>
    <font>
      <sz val="10"/>
      <color theme="1"/>
      <name val="Arial"/>
    </font>
    <font>
      <b/>
      <sz val="11"/>
      <color theme="1"/>
      <name val="Calibri"/>
      <family val="2"/>
      <scheme val="minor"/>
    </font>
    <font>
      <b/>
      <sz val="10"/>
      <color theme="1"/>
      <name val="Calibri"/>
      <family val="2"/>
    </font>
    <font>
      <b/>
      <sz val="10"/>
      <color rgb="FF000000"/>
      <name val="Calibri"/>
      <family val="2"/>
    </font>
    <font>
      <b/>
      <sz val="11"/>
      <color rgb="FF000000"/>
      <name val="Calibri"/>
      <family val="2"/>
      <scheme val="minor"/>
    </font>
    <font>
      <sz val="12"/>
      <color rgb="FFEA7915"/>
      <name val="Calibri"/>
      <family val="2"/>
    </font>
    <font>
      <b/>
      <sz val="10"/>
      <color theme="1"/>
      <name val="Arial"/>
      <family val="2"/>
    </font>
    <font>
      <b/>
      <sz val="10"/>
      <color rgb="FF000000"/>
      <name val="Arial"/>
      <family val="2"/>
    </font>
  </fonts>
  <fills count="4">
    <fill>
      <patternFill patternType="none"/>
    </fill>
    <fill>
      <patternFill patternType="gray125"/>
    </fill>
    <fill>
      <patternFill patternType="solid">
        <fgColor rgb="FFB3CBE3"/>
        <bgColor rgb="FFB3CBE3"/>
      </patternFill>
    </fill>
    <fill>
      <patternFill patternType="solid">
        <fgColor theme="0"/>
        <bgColor theme="0"/>
      </patternFill>
    </fill>
  </fills>
  <borders count="3">
    <border>
      <left/>
      <right/>
      <top/>
      <bottom/>
      <diagonal/>
    </border>
    <border>
      <left/>
      <right/>
      <top/>
      <bottom style="thin">
        <color rgb="FFBFBFBF"/>
      </bottom>
      <diagonal/>
    </border>
    <border>
      <left/>
      <right/>
      <top/>
      <bottom/>
      <diagonal/>
    </border>
  </borders>
  <cellStyleXfs count="1">
    <xf numFmtId="0" fontId="0" fillId="0" borderId="0"/>
  </cellStyleXfs>
  <cellXfs count="36">
    <xf numFmtId="0" fontId="0" fillId="0" borderId="0" xfId="0"/>
    <xf numFmtId="0" fontId="2" fillId="3" borderId="0" xfId="0" applyFont="1" applyFill="1"/>
    <xf numFmtId="49" fontId="3" fillId="3" borderId="1" xfId="0" applyNumberFormat="1" applyFont="1" applyFill="1" applyBorder="1" applyAlignment="1">
      <alignment horizontal="center" vertical="top"/>
    </xf>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xf>
    <xf numFmtId="2" fontId="1" fillId="3" borderId="1" xfId="0" applyNumberFormat="1" applyFont="1" applyFill="1" applyBorder="1" applyAlignment="1">
      <alignment horizontal="left" vertical="top"/>
    </xf>
    <xf numFmtId="49" fontId="4" fillId="3" borderId="1"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6" fillId="3" borderId="1" xfId="0" applyNumberFormat="1" applyFont="1" applyFill="1" applyBorder="1" applyAlignment="1">
      <alignment horizontal="center" vertical="top"/>
    </xf>
    <xf numFmtId="49" fontId="7" fillId="3" borderId="1" xfId="0" applyNumberFormat="1" applyFont="1" applyFill="1" applyBorder="1" applyAlignment="1">
      <alignment horizontal="left" vertical="top" wrapText="1"/>
    </xf>
    <xf numFmtId="49" fontId="8" fillId="3" borderId="1" xfId="0" applyNumberFormat="1" applyFont="1" applyFill="1" applyBorder="1" applyAlignment="1">
      <alignment horizontal="center" vertical="top"/>
    </xf>
    <xf numFmtId="49" fontId="9" fillId="3" borderId="1" xfId="0" applyNumberFormat="1" applyFont="1" applyFill="1" applyBorder="1" applyAlignment="1">
      <alignment horizontal="center" vertical="top"/>
    </xf>
    <xf numFmtId="49" fontId="10" fillId="3" borderId="1" xfId="0" applyNumberFormat="1" applyFont="1" applyFill="1" applyBorder="1" applyAlignment="1">
      <alignment horizontal="center" vertical="top"/>
    </xf>
    <xf numFmtId="0" fontId="11" fillId="3" borderId="0" xfId="0" applyFont="1" applyFill="1" applyAlignment="1">
      <alignment vertical="top"/>
    </xf>
    <xf numFmtId="49" fontId="1" fillId="3" borderId="2" xfId="0" applyNumberFormat="1" applyFont="1" applyFill="1" applyBorder="1" applyAlignment="1">
      <alignment horizontal="left" vertical="top" wrapText="1"/>
    </xf>
    <xf numFmtId="0" fontId="11" fillId="3" borderId="0" xfId="0" applyFont="1" applyFill="1" applyAlignment="1">
      <alignment wrapText="1"/>
    </xf>
    <xf numFmtId="0" fontId="11" fillId="3" borderId="0" xfId="0" applyFont="1" applyFill="1" applyAlignment="1">
      <alignment vertical="top" wrapText="1"/>
    </xf>
    <xf numFmtId="49" fontId="12" fillId="3" borderId="1" xfId="0" applyNumberFormat="1" applyFont="1" applyFill="1" applyBorder="1" applyAlignment="1">
      <alignment horizontal="left" vertical="top" wrapText="1"/>
    </xf>
    <xf numFmtId="49" fontId="12" fillId="3" borderId="1" xfId="0" applyNumberFormat="1" applyFont="1" applyFill="1" applyBorder="1" applyAlignment="1">
      <alignment horizontal="left" vertical="top"/>
    </xf>
    <xf numFmtId="2" fontId="12" fillId="3" borderId="1" xfId="0" applyNumberFormat="1" applyFont="1" applyFill="1" applyBorder="1" applyAlignment="1">
      <alignment horizontal="left" vertical="top"/>
    </xf>
    <xf numFmtId="49" fontId="13" fillId="3" borderId="1" xfId="0" applyNumberFormat="1" applyFont="1" applyFill="1" applyBorder="1" applyAlignment="1">
      <alignment horizontal="left" vertical="top" wrapText="1"/>
    </xf>
    <xf numFmtId="49" fontId="12" fillId="3" borderId="2" xfId="0" applyNumberFormat="1" applyFont="1" applyFill="1" applyBorder="1" applyAlignment="1">
      <alignment horizontal="left" vertical="top" wrapText="1"/>
    </xf>
    <xf numFmtId="49" fontId="15" fillId="2" borderId="1" xfId="0" applyNumberFormat="1" applyFont="1" applyFill="1" applyBorder="1" applyAlignment="1">
      <alignment horizontal="left" vertical="top" wrapText="1"/>
    </xf>
    <xf numFmtId="49" fontId="16" fillId="2" borderId="1" xfId="0" applyNumberFormat="1" applyFont="1" applyFill="1" applyBorder="1" applyAlignment="1">
      <alignment horizontal="left" vertical="top" wrapText="1"/>
    </xf>
    <xf numFmtId="0" fontId="14" fillId="3" borderId="0" xfId="0" applyFont="1" applyFill="1"/>
    <xf numFmtId="0" fontId="17" fillId="0" borderId="0" xfId="0" applyFont="1"/>
    <xf numFmtId="0" fontId="14" fillId="3" borderId="0" xfId="0" applyFont="1" applyFill="1" applyAlignment="1">
      <alignment wrapText="1"/>
    </xf>
    <xf numFmtId="0" fontId="17" fillId="0" borderId="0" xfId="0" applyFont="1" applyAlignment="1">
      <alignment wrapText="1"/>
    </xf>
    <xf numFmtId="2" fontId="1" fillId="3" borderId="1" xfId="0" applyNumberFormat="1"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2" fillId="3" borderId="0" xfId="0" applyFont="1" applyFill="1" applyAlignment="1">
      <alignment wrapText="1"/>
    </xf>
    <xf numFmtId="49" fontId="18" fillId="3" borderId="1" xfId="0" applyNumberFormat="1" applyFont="1" applyFill="1" applyBorder="1" applyAlignment="1">
      <alignment horizontal="center" vertical="top"/>
    </xf>
    <xf numFmtId="49" fontId="19" fillId="2" borderId="1" xfId="0" applyNumberFormat="1" applyFont="1" applyFill="1" applyBorder="1" applyAlignment="1">
      <alignment horizontal="left" vertical="top"/>
    </xf>
    <xf numFmtId="49" fontId="19" fillId="2" borderId="1" xfId="0" applyNumberFormat="1" applyFont="1" applyFill="1" applyBorder="1" applyAlignment="1">
      <alignment horizontal="left" vertical="top" wrapText="1"/>
    </xf>
    <xf numFmtId="49" fontId="20" fillId="2" borderId="1" xfId="0" applyNumberFormat="1" applyFont="1" applyFill="1" applyBorder="1" applyAlignment="1">
      <alignment horizontal="lef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2"/>
  <sheetViews>
    <sheetView showGridLines="0" tabSelected="1" workbookViewId="0">
      <selection activeCell="A208" sqref="A208"/>
    </sheetView>
  </sheetViews>
  <sheetFormatPr baseColWidth="10" defaultColWidth="14.42578125" defaultRowHeight="15" customHeight="1" x14ac:dyDescent="0.25"/>
  <cols>
    <col min="1" max="1" width="7.42578125" customWidth="1"/>
    <col min="2" max="2" width="10.42578125" customWidth="1"/>
    <col min="3" max="3" width="24.85546875" customWidth="1"/>
    <col min="4" max="4" width="34" customWidth="1"/>
    <col min="5" max="5" width="33.85546875" customWidth="1"/>
    <col min="6" max="6" width="37.42578125" customWidth="1"/>
    <col min="7" max="7" width="7.7109375" customWidth="1"/>
    <col min="8" max="8" width="13.42578125" customWidth="1"/>
    <col min="9" max="9" width="19.7109375" customWidth="1"/>
    <col min="10" max="10" width="21" customWidth="1"/>
    <col min="11" max="26" width="9.140625" customWidth="1"/>
  </cols>
  <sheetData>
    <row r="1" spans="1:26" s="27" customFormat="1" ht="25.5" x14ac:dyDescent="0.25">
      <c r="A1" s="22" t="s">
        <v>0</v>
      </c>
      <c r="B1" s="22" t="s">
        <v>1</v>
      </c>
      <c r="C1" s="22" t="s">
        <v>2</v>
      </c>
      <c r="D1" s="23" t="str">
        <f ca="1">IFERROR(__xludf.DUMMYFUNCTION("GOOGLETRANSLATE(C1,""ES"",""EN"")"),"Open coding code")</f>
        <v>Open coding code</v>
      </c>
      <c r="E1" s="22" t="s">
        <v>3</v>
      </c>
      <c r="F1" s="23" t="str">
        <f ca="1">IFERROR(__xludf.DUMMYFUNCTION("GOOGLETRANSLATE(E1,""ES"",""EN"")"),"Coded segment")</f>
        <v>Coded segment</v>
      </c>
      <c r="G1" s="22" t="s">
        <v>1152</v>
      </c>
      <c r="H1" s="22" t="s">
        <v>1153</v>
      </c>
      <c r="I1" s="23" t="s">
        <v>4</v>
      </c>
      <c r="J1" s="23" t="str">
        <f ca="1">IFERROR(__xludf.DUMMYFUNCTION("GOOGLETRANSLATE(I1,""ES"",""EN"")"),"Comment Axial coding")</f>
        <v>Comment Axial coding</v>
      </c>
      <c r="K1" s="26"/>
      <c r="L1" s="26"/>
      <c r="M1" s="26"/>
      <c r="N1" s="26"/>
      <c r="O1" s="26"/>
      <c r="P1" s="26"/>
      <c r="Q1" s="26"/>
      <c r="R1" s="26"/>
      <c r="S1" s="26"/>
      <c r="T1" s="26"/>
      <c r="U1" s="26"/>
      <c r="V1" s="26"/>
      <c r="W1" s="26"/>
      <c r="X1" s="26"/>
      <c r="Y1" s="26"/>
      <c r="Z1" s="26"/>
    </row>
    <row r="2" spans="1:26" ht="127.5" x14ac:dyDescent="0.25">
      <c r="A2" s="2" t="s">
        <v>5</v>
      </c>
      <c r="B2" s="3" t="s">
        <v>6</v>
      </c>
      <c r="C2" s="3" t="s">
        <v>7</v>
      </c>
      <c r="D2" s="3" t="str">
        <f ca="1">IFERROR(__xludf.DUMMYFUNCTION("GOOGLETRANSLATE(C2,""ES"",""EN"")"),"HUMAN RESOURCES \ INSUFFICIENT STAFF \ PERSONNEL IN FRONT OF DEMAND")</f>
        <v>HUMAN RESOURCES \ INSUFFICIENT STAFF \ PERSONNEL IN FRONT OF DEMAND</v>
      </c>
      <c r="E2" s="3" t="s">
        <v>8</v>
      </c>
      <c r="F2" s="3" t="str">
        <f ca="1">IFERROR(__xludf.DUMMYFUNCTION("GOOGLETRANSLATE(E2,""ES"",""EN"")"),"The staff that has excellent. All people who work in psychiatry are excellent, but they give little supply. That is, no anymore, no, the person does not reach to attend so many users. So there is no follow -up. If the user does not go, there is no concern"&amp;" if he will return or not return, if he decompensated, then a vicious circle with the patients is already being formed.")</f>
        <v>The staff that has excellent. All people who work in psychiatry are excellent, but they give little supply. That is, no anymore, no, the person does not reach to attend so many users. So there is no follow -up. If the user does not go, there is no concern if he will return or not return, if he decompensated, then a vicious circle with the patients is already being formed.</v>
      </c>
      <c r="G2" s="4" t="s">
        <v>9</v>
      </c>
      <c r="H2" s="5">
        <v>0.60589675900893736</v>
      </c>
      <c r="I2" s="3" t="s">
        <v>10</v>
      </c>
      <c r="J2" s="3" t="str">
        <f ca="1">IFERROR(__xludf.DUMMYFUNCTION("GOOGLETRANSLATE(I2,""ES"",""EN"")"),"Negative effects: staff does not cover the demand for care")</f>
        <v>Negative effects: staff does not cover the demand for care</v>
      </c>
      <c r="K2" s="1"/>
      <c r="L2" s="1"/>
      <c r="M2" s="1"/>
      <c r="N2" s="1"/>
      <c r="O2" s="1"/>
      <c r="P2" s="1"/>
      <c r="Q2" s="1"/>
      <c r="R2" s="1"/>
      <c r="S2" s="1"/>
      <c r="T2" s="1"/>
      <c r="U2" s="1"/>
      <c r="V2" s="1"/>
      <c r="W2" s="1"/>
      <c r="X2" s="1"/>
      <c r="Y2" s="1"/>
      <c r="Z2" s="1"/>
    </row>
    <row r="3" spans="1:26" ht="102" x14ac:dyDescent="0.25">
      <c r="A3" s="6" t="s">
        <v>5</v>
      </c>
      <c r="B3" s="3" t="s">
        <v>11</v>
      </c>
      <c r="C3" s="3" t="s">
        <v>12</v>
      </c>
      <c r="D3" s="3" t="str">
        <f ca="1">IFERROR(__xludf.DUMMYFUNCTION("GOOGLETRANSLATE(C3,""ES"",""EN"")"),"FINANCING \ Result \ Bad quality of care")</f>
        <v>FINANCING \ Result \ Bad quality of care</v>
      </c>
      <c r="E3" s="3" t="s">
        <v>13</v>
      </c>
      <c r="F3" s="3" t="str">
        <f ca="1">IFERROR(__xludf.DUMMYFUNCTION("GOOGLETRANSLATE(E3,""ES"",""EN"")"),"Actually I could not talk about how many achievements, because I really see, it is not because I am pessimistic, but compared to what I have lived in Alsino I see only failures, shortcomings that have taken me to pictures, stress tables, crisis even the p"&amp;"roduct of Bad attentions")</f>
        <v>Actually I could not talk about how many achievements, because I really see, it is not because I am pessimistic, but compared to what I have lived in Alsino I see only failures, shortcomings that have taken me to pictures, stress tables, crisis even the product of Bad attentions</v>
      </c>
      <c r="G3" s="4" t="s">
        <v>14</v>
      </c>
      <c r="H3" s="5">
        <v>0.44368817785693837</v>
      </c>
      <c r="I3" s="3" t="s">
        <v>15</v>
      </c>
      <c r="J3" s="3" t="str">
        <f ca="1">IFERROR(__xludf.DUMMYFUNCTION("GOOGLETRANSLATE(I3,""ES"",""EN"")"),"Negative effect: financing mechanisms end up generating problems to CSMC.")</f>
        <v>Negative effect: financing mechanisms end up generating problems to CSMC.</v>
      </c>
      <c r="K3" s="1"/>
      <c r="L3" s="1"/>
      <c r="M3" s="1"/>
      <c r="N3" s="1"/>
      <c r="O3" s="1"/>
      <c r="P3" s="1"/>
      <c r="Q3" s="1"/>
      <c r="R3" s="1"/>
      <c r="S3" s="1"/>
      <c r="T3" s="1"/>
      <c r="U3" s="1"/>
      <c r="V3" s="1"/>
      <c r="W3" s="1"/>
      <c r="X3" s="1"/>
      <c r="Y3" s="1"/>
      <c r="Z3" s="1"/>
    </row>
    <row r="4" spans="1:26" ht="51" x14ac:dyDescent="0.25">
      <c r="A4" s="6" t="s">
        <v>5</v>
      </c>
      <c r="B4" s="3" t="s">
        <v>11</v>
      </c>
      <c r="C4" s="3" t="s">
        <v>12</v>
      </c>
      <c r="D4" s="3" t="str">
        <f ca="1">IFERROR(__xludf.DUMMYFUNCTION("GOOGLETRANSLATE(C4,""ES"",""EN"")"),"FINANCING \ Result \ Bad quality of care")</f>
        <v>FINANCING \ Result \ Bad quality of care</v>
      </c>
      <c r="E4" s="3" t="s">
        <v>16</v>
      </c>
      <c r="F4" s="3" t="str">
        <f ca="1">IFERROR(__xludf.DUMMYFUNCTION("GOOGLETRANSLATE(E4,""ES"",""EN"")"),"The medication deficit, lack of explanation regarding treatments, diagnoses, there is no follow -up.")</f>
        <v>The medication deficit, lack of explanation regarding treatments, diagnoses, there is no follow -up.</v>
      </c>
      <c r="G4" s="4" t="s">
        <v>17</v>
      </c>
      <c r="H4" s="5">
        <v>0.17015998218886169</v>
      </c>
      <c r="I4" s="3" t="s">
        <v>15</v>
      </c>
      <c r="J4" s="3" t="str">
        <f ca="1">IFERROR(__xludf.DUMMYFUNCTION("GOOGLETRANSLATE(I4,""ES"",""EN"")"),"Negative effect: financing mechanisms end up generating problems to CSMC.")</f>
        <v>Negative effect: financing mechanisms end up generating problems to CSMC.</v>
      </c>
      <c r="K4" s="1"/>
      <c r="L4" s="1"/>
      <c r="M4" s="1"/>
      <c r="N4" s="1"/>
      <c r="O4" s="1"/>
      <c r="P4" s="1"/>
      <c r="Q4" s="1"/>
      <c r="R4" s="1"/>
      <c r="S4" s="1"/>
      <c r="T4" s="1"/>
      <c r="U4" s="1"/>
      <c r="V4" s="1"/>
      <c r="W4" s="1"/>
      <c r="X4" s="1"/>
      <c r="Y4" s="1"/>
      <c r="Z4" s="1"/>
    </row>
    <row r="5" spans="1:26" ht="76.5" x14ac:dyDescent="0.25">
      <c r="A5" s="2" t="s">
        <v>5</v>
      </c>
      <c r="B5" s="3" t="s">
        <v>11</v>
      </c>
      <c r="C5" s="3" t="s">
        <v>18</v>
      </c>
      <c r="D5" s="3" t="str">
        <f ca="1">IFERROR(__xludf.DUMMYFUNCTION("GOOGLETRANSLATE(C5,""ES"",""EN"")"),"Human Resources \ The patient undergoes many therapist changes")</f>
        <v>Human Resources \ The patient undergoes many therapist changes</v>
      </c>
      <c r="E5" s="3" t="s">
        <v>19</v>
      </c>
      <c r="F5" s="3" t="str">
        <f ca="1">IFERROR(__xludf.DUMMYFUNCTION("GOOGLETRANSLATE(E5,""ES"",""EN"")"),"I have changed the Chorrochient psychiatrist thousands of times, so it's like telling the story again. One already does it as without desire, as it does not matter, as I summarize three or four words")</f>
        <v>I have changed the Chorrochient psychiatrist thousands of times, so it's like telling the story again. One already does it as without desire, as it does not matter, as I summarize three or four words</v>
      </c>
      <c r="G5" s="4" t="s">
        <v>20</v>
      </c>
      <c r="H5" s="5">
        <v>0.32600744251137048</v>
      </c>
      <c r="I5" s="3" t="s">
        <v>21</v>
      </c>
      <c r="J5" s="3" t="str">
        <f ca="1">IFERROR(__xludf.DUMMYFUNCTION("GOOGLETRANSLATE(I5,""ES"",""EN"")"),"Negative effects: high rotation of professionals")</f>
        <v>Negative effects: high rotation of professionals</v>
      </c>
      <c r="K5" s="1"/>
      <c r="L5" s="1"/>
      <c r="M5" s="1"/>
      <c r="N5" s="1"/>
      <c r="O5" s="1"/>
      <c r="P5" s="1"/>
      <c r="Q5" s="1"/>
      <c r="R5" s="1"/>
      <c r="S5" s="1"/>
      <c r="T5" s="1"/>
      <c r="U5" s="1"/>
      <c r="V5" s="1"/>
      <c r="W5" s="1"/>
      <c r="X5" s="1"/>
      <c r="Y5" s="1"/>
      <c r="Z5" s="1"/>
    </row>
    <row r="6" spans="1:26" ht="178.5" x14ac:dyDescent="0.25">
      <c r="A6" s="2" t="s">
        <v>5</v>
      </c>
      <c r="B6" s="3" t="s">
        <v>11</v>
      </c>
      <c r="C6" s="3" t="s">
        <v>18</v>
      </c>
      <c r="D6" s="3" t="str">
        <f ca="1">IFERROR(__xludf.DUMMYFUNCTION("GOOGLETRANSLATE(C6,""ES"",""EN"")"),"Human Resources \ The patient undergoes many therapist changes")</f>
        <v>Human Resources \ The patient undergoes many therapist changes</v>
      </c>
      <c r="E6" s="3" t="s">
        <v>22</v>
      </c>
      <c r="F6" s="3" t="str">
        <f ca="1">IFERROR(__xludf.DUMMYFUNCTION("GOOGLETRANSLATE(E6,""ES"",""EN"")"),"Then a super valuable contact is lost there that has to do with the patient-medical, who is finally the one who creates healing, because it is not only to take the medication up to date and attend the therapies, but there must be a Contact as strengthened"&amp;" between the patient and the doctor, or the psychologist or whoever that you treat you, to generate this trust and this again love oneself, to want to leave the picture in which he is and finally reach overcoming .")</f>
        <v>Then a super valuable contact is lost there that has to do with the patient-medical, who is finally the one who creates healing, because it is not only to take the medication up to date and attend the therapies, but there must be a Contact as strengthened between the patient and the doctor, or the psychologist or whoever that you treat you, to generate this trust and this again love oneself, to want to leave the picture in which he is and finally reach overcoming .</v>
      </c>
      <c r="G6" s="4" t="s">
        <v>23</v>
      </c>
      <c r="H6" s="5">
        <v>0.8062720651378773</v>
      </c>
      <c r="I6" s="3" t="s">
        <v>21</v>
      </c>
      <c r="J6" s="3" t="str">
        <f ca="1">IFERROR(__xludf.DUMMYFUNCTION("GOOGLETRANSLATE(I6,""ES"",""EN"")"),"Negative effects: high rotation of professionals")</f>
        <v>Negative effects: high rotation of professionals</v>
      </c>
      <c r="K6" s="1"/>
      <c r="L6" s="1"/>
      <c r="M6" s="1"/>
      <c r="N6" s="1"/>
      <c r="O6" s="1"/>
      <c r="P6" s="1"/>
      <c r="Q6" s="1"/>
      <c r="R6" s="1"/>
      <c r="S6" s="1"/>
      <c r="T6" s="1"/>
      <c r="U6" s="1"/>
      <c r="V6" s="1"/>
      <c r="W6" s="1"/>
      <c r="X6" s="1"/>
      <c r="Y6" s="1"/>
      <c r="Z6" s="1"/>
    </row>
    <row r="7" spans="1:26" ht="89.25" x14ac:dyDescent="0.25">
      <c r="A7" s="2" t="s">
        <v>5</v>
      </c>
      <c r="B7" s="3" t="s">
        <v>11</v>
      </c>
      <c r="C7" s="3" t="s">
        <v>24</v>
      </c>
      <c r="D7" s="3" t="str">
        <f ca="1">IFERROR(__xludf.DUMMYFUNCTION("GOOGLETRANSLATE(C7,""ES"",""EN"")"),"Human Resources \ Financial Logic Results in the Organization of Teams")</f>
        <v>Human Resources \ Financial Logic Results in the Organization of Teams</v>
      </c>
      <c r="E7" s="3" t="s">
        <v>25</v>
      </c>
      <c r="F7" s="3" t="str">
        <f ca="1">IFERROR(__xludf.DUMMYFUNCTION("GOOGLETRANSLATE(E7,""ES"",""EN"")"),"I do not want to be critical absolutely, but I see that it exists as a very cold thing, very like to fit in the numbers and not give the importance to people. And in our case, which is mental health, the treatment we must have is different.")</f>
        <v>I do not want to be critical absolutely, but I see that it exists as a very cold thing, very like to fit in the numbers and not give the importance to people. And in our case, which is mental health, the treatment we must have is different.</v>
      </c>
      <c r="G7" s="4" t="s">
        <v>26</v>
      </c>
      <c r="H7" s="5">
        <v>0.39279921122101719</v>
      </c>
      <c r="I7" s="3" t="s">
        <v>27</v>
      </c>
      <c r="J7" s="3" t="str">
        <f ca="1">IFERROR(__xludf.DUMMYFUNCTION("GOOGLETRANSLATE(I7,""ES"",""EN"")"),"Negative effects: a multidisciplinary approach has not been achieved")</f>
        <v>Negative effects: a multidisciplinary approach has not been achieved</v>
      </c>
      <c r="K7" s="1"/>
      <c r="L7" s="1"/>
      <c r="M7" s="1"/>
      <c r="N7" s="1"/>
      <c r="O7" s="1"/>
      <c r="P7" s="1"/>
      <c r="Q7" s="1"/>
      <c r="R7" s="1"/>
      <c r="S7" s="1"/>
      <c r="T7" s="1"/>
      <c r="U7" s="1"/>
      <c r="V7" s="1"/>
      <c r="W7" s="1"/>
      <c r="X7" s="1"/>
      <c r="Y7" s="1"/>
      <c r="Z7" s="1"/>
    </row>
    <row r="8" spans="1:26" ht="51" x14ac:dyDescent="0.25">
      <c r="A8" s="2" t="s">
        <v>5</v>
      </c>
      <c r="B8" s="3" t="s">
        <v>11</v>
      </c>
      <c r="C8" s="3" t="s">
        <v>18</v>
      </c>
      <c r="D8" s="3" t="str">
        <f ca="1">IFERROR(__xludf.DUMMYFUNCTION("GOOGLETRANSLATE(C8,""ES"",""EN"")"),"Human Resources \ The patient undergoes many therapist changes")</f>
        <v>Human Resources \ The patient undergoes many therapist changes</v>
      </c>
      <c r="E8" s="3" t="s">
        <v>28</v>
      </c>
      <c r="F8" s="3" t="str">
        <f ca="1">IFERROR(__xludf.DUMMYFUNCTION("GOOGLETRANSLATE(E8,""ES"",""EN"")"),"My new psychiatrist, who changed it again. But I am happy with the new one, with the previous one too, but he left.")</f>
        <v>My new psychiatrist, who changed it again. But I am happy with the new one, with the previous one too, but he left.</v>
      </c>
      <c r="G8" s="4" t="s">
        <v>29</v>
      </c>
      <c r="H8" s="5">
        <v>0.19719474571419485</v>
      </c>
      <c r="I8" s="3" t="s">
        <v>21</v>
      </c>
      <c r="J8" s="3" t="str">
        <f ca="1">IFERROR(__xludf.DUMMYFUNCTION("GOOGLETRANSLATE(I8,""ES"",""EN"")"),"Negative effects: high rotation of professionals")</f>
        <v>Negative effects: high rotation of professionals</v>
      </c>
      <c r="K8" s="1"/>
      <c r="L8" s="1"/>
      <c r="M8" s="1"/>
      <c r="N8" s="1"/>
      <c r="O8" s="1"/>
      <c r="P8" s="1"/>
      <c r="Q8" s="1"/>
      <c r="R8" s="1"/>
      <c r="S8" s="1"/>
      <c r="T8" s="1"/>
      <c r="U8" s="1"/>
      <c r="V8" s="1"/>
      <c r="W8" s="1"/>
      <c r="X8" s="1"/>
      <c r="Y8" s="1"/>
      <c r="Z8" s="1"/>
    </row>
    <row r="9" spans="1:26" ht="63.75" x14ac:dyDescent="0.25">
      <c r="A9" s="7" t="s">
        <v>5</v>
      </c>
      <c r="B9" s="3" t="s">
        <v>11</v>
      </c>
      <c r="C9" s="3" t="s">
        <v>30</v>
      </c>
      <c r="D9" s="3" t="str">
        <f ca="1">IFERROR(__xludf.DUMMYFUNCTION("GOOGLETRANSLATE(C9,""ES"",""EN"")"),"Users \ result \ people who work without access to benefits")</f>
        <v>Users \ result \ people who work without access to benefits</v>
      </c>
      <c r="E9" s="3" t="s">
        <v>31</v>
      </c>
      <c r="F9" s="3" t="str">
        <f ca="1">IFERROR(__xludf.DUMMYFUNCTION("GOOGLETRANSLATE(E9,""ES"",""EN"")"),"Also mention that there is not, I am now without work, but while I worked, I worked at a normal office schedule and the hours that exist, do not exist for people who work.")</f>
        <v>Also mention that there is not, I am now without work, but while I worked, I worked at a normal office schedule and the hours that exist, do not exist for people who work.</v>
      </c>
      <c r="G9" s="4" t="s">
        <v>32</v>
      </c>
      <c r="H9" s="5">
        <v>0.29897267898603735</v>
      </c>
      <c r="I9" s="3" t="s">
        <v>33</v>
      </c>
      <c r="J9" s="3" t="str">
        <f ca="1">IFERROR(__xludf.DUMMYFUNCTION("GOOGLETRANSLATE(I9,""ES"",""EN"")"),"Negative effects: lack of family integration ...")</f>
        <v>Negative effects: lack of family integration ...</v>
      </c>
      <c r="K9" s="1"/>
      <c r="L9" s="1"/>
      <c r="M9" s="1"/>
      <c r="N9" s="1"/>
      <c r="O9" s="1"/>
      <c r="P9" s="1"/>
      <c r="Q9" s="1"/>
      <c r="R9" s="1"/>
      <c r="S9" s="1"/>
      <c r="T9" s="1"/>
      <c r="U9" s="1"/>
      <c r="V9" s="1"/>
      <c r="W9" s="1"/>
      <c r="X9" s="1"/>
      <c r="Y9" s="1"/>
      <c r="Z9" s="1"/>
    </row>
    <row r="10" spans="1:26" ht="63.75" x14ac:dyDescent="0.25">
      <c r="A10" s="7" t="s">
        <v>5</v>
      </c>
      <c r="B10" s="3" t="s">
        <v>11</v>
      </c>
      <c r="C10" s="3" t="s">
        <v>30</v>
      </c>
      <c r="D10" s="3" t="str">
        <f ca="1">IFERROR(__xludf.DUMMYFUNCTION("GOOGLETRANSLATE(C10,""ES"",""EN"")"),"Users \ result \ people who work without access to benefits")</f>
        <v>Users \ result \ people who work without access to benefits</v>
      </c>
      <c r="E10" s="3" t="s">
        <v>34</v>
      </c>
      <c r="F10" s="3" t="str">
        <f ca="1">IFERROR(__xludf.DUMMYFUNCTION("GOOGLETRANSLATE(E10,""ES"",""EN"")"),"That is, then in which we are left with labor inclusion for people with disabilities if they do not give us this flexibility.")</f>
        <v>That is, then in which we are left with labor inclusion for people with disabilities if they do not give us this flexibility.</v>
      </c>
      <c r="G10" s="4" t="s">
        <v>29</v>
      </c>
      <c r="H10" s="5">
        <v>0.19719474571419485</v>
      </c>
      <c r="I10" s="3" t="s">
        <v>33</v>
      </c>
      <c r="J10" s="3" t="str">
        <f ca="1">IFERROR(__xludf.DUMMYFUNCTION("GOOGLETRANSLATE(I10,""ES"",""EN"")"),"Negative effects: lack of family integration ...")</f>
        <v>Negative effects: lack of family integration ...</v>
      </c>
      <c r="K10" s="1"/>
      <c r="L10" s="1"/>
      <c r="M10" s="1"/>
      <c r="N10" s="1"/>
      <c r="O10" s="1"/>
      <c r="P10" s="1"/>
      <c r="Q10" s="1"/>
      <c r="R10" s="1"/>
      <c r="S10" s="1"/>
      <c r="T10" s="1"/>
      <c r="U10" s="1"/>
      <c r="V10" s="1"/>
      <c r="W10" s="1"/>
      <c r="X10" s="1"/>
      <c r="Y10" s="1"/>
      <c r="Z10" s="1"/>
    </row>
    <row r="11" spans="1:26" ht="76.5" x14ac:dyDescent="0.25">
      <c r="A11" s="7" t="s">
        <v>5</v>
      </c>
      <c r="B11" s="3" t="s">
        <v>11</v>
      </c>
      <c r="C11" s="3" t="s">
        <v>30</v>
      </c>
      <c r="D11" s="3" t="str">
        <f ca="1">IFERROR(__xludf.DUMMYFUNCTION("GOOGLETRANSLATE(C11,""ES"",""EN"")"),"Users \ result \ people who work without access to benefits")</f>
        <v>Users \ result \ people who work without access to benefits</v>
      </c>
      <c r="E11" s="3" t="s">
        <v>35</v>
      </c>
      <c r="F11" s="3" t="str">
        <f ca="1">IFERROR(__xludf.DUMMYFUNCTION("GOOGLETRANSLATE(E11,""ES"",""EN"")"),"It must be understood that regardless of laws, there is no education and knowledge of employers regarding what a person with disabilities means. Then, and even more with a psychic disability.")</f>
        <v>It must be understood that regardless of laws, there is no education and knowledge of employers regarding what a person with disabilities means. Then, and even more with a psychic disability.</v>
      </c>
      <c r="G11" s="4" t="s">
        <v>36</v>
      </c>
      <c r="H11" s="5">
        <v>0.35145192582933116</v>
      </c>
      <c r="I11" s="3" t="s">
        <v>33</v>
      </c>
      <c r="J11" s="3" t="str">
        <f ca="1">IFERROR(__xludf.DUMMYFUNCTION("GOOGLETRANSLATE(I11,""ES"",""EN"")"),"Negative effects: lack of family integration ...")</f>
        <v>Negative effects: lack of family integration ...</v>
      </c>
      <c r="K11" s="1"/>
      <c r="L11" s="1"/>
      <c r="M11" s="1"/>
      <c r="N11" s="1"/>
      <c r="O11" s="1"/>
      <c r="P11" s="1"/>
      <c r="Q11" s="1"/>
      <c r="R11" s="1"/>
      <c r="S11" s="1"/>
      <c r="T11" s="1"/>
      <c r="U11" s="1"/>
      <c r="V11" s="1"/>
      <c r="W11" s="1"/>
      <c r="X11" s="1"/>
      <c r="Y11" s="1"/>
      <c r="Z11" s="1"/>
    </row>
    <row r="12" spans="1:26" ht="102" x14ac:dyDescent="0.25">
      <c r="A12" s="7" t="s">
        <v>5</v>
      </c>
      <c r="B12" s="3" t="s">
        <v>11</v>
      </c>
      <c r="C12" s="3" t="s">
        <v>30</v>
      </c>
      <c r="D12" s="3" t="str">
        <f ca="1">IFERROR(__xludf.DUMMYFUNCTION("GOOGLETRANSLATE(C12,""ES"",""EN"")"),"Users \ result \ people who work without access to benefits")</f>
        <v>Users \ result \ people who work without access to benefits</v>
      </c>
      <c r="E12" s="3" t="s">
        <v>37</v>
      </c>
      <c r="F12" s="3" t="str">
        <f ca="1">IFERROR(__xludf.DUMMYFUNCTION("GOOGLETRANSLATE(E12,""ES"",""EN"")"),"So I had every month, that is, I don't know, I have my psychiatrist time, can I go early? No, I didn't. I did it once and the rest saved my pandemia, just because it made me the schedule in between, or spoke with the doctor of attending to me, accommodati"&amp;"ng the schedules")</f>
        <v>So I had every month, that is, I don't know, I have my psychiatrist time, can I go early? No, I didn't. I did it once and the rest saved my pandemia, just because it made me the schedule in between, or spoke with the doctor of attending to me, accommodating the schedules</v>
      </c>
      <c r="G12" s="4" t="s">
        <v>38</v>
      </c>
      <c r="H12" s="5">
        <v>0.4627715403454089</v>
      </c>
      <c r="I12" s="3" t="s">
        <v>33</v>
      </c>
      <c r="J12" s="3" t="str">
        <f ca="1">IFERROR(__xludf.DUMMYFUNCTION("GOOGLETRANSLATE(I12,""ES"",""EN"")"),"Negative effects: lack of family integration ...")</f>
        <v>Negative effects: lack of family integration ...</v>
      </c>
      <c r="K12" s="1"/>
      <c r="L12" s="1"/>
      <c r="M12" s="1"/>
      <c r="N12" s="1"/>
      <c r="O12" s="1"/>
      <c r="P12" s="1"/>
      <c r="Q12" s="1"/>
      <c r="R12" s="1"/>
      <c r="S12" s="1"/>
      <c r="T12" s="1"/>
      <c r="U12" s="1"/>
      <c r="V12" s="1"/>
      <c r="W12" s="1"/>
      <c r="X12" s="1"/>
      <c r="Y12" s="1"/>
      <c r="Z12" s="1"/>
    </row>
    <row r="13" spans="1:26" ht="127.5" x14ac:dyDescent="0.25">
      <c r="A13" s="7" t="s">
        <v>5</v>
      </c>
      <c r="B13" s="3" t="s">
        <v>11</v>
      </c>
      <c r="C13" s="3" t="s">
        <v>30</v>
      </c>
      <c r="D13" s="3" t="str">
        <f ca="1">IFERROR(__xludf.DUMMYFUNCTION("GOOGLETRANSLATE(C13,""ES"",""EN"")"),"Users \ result \ people who work without access to benefits")</f>
        <v>Users \ result \ people who work without access to benefits</v>
      </c>
      <c r="E13" s="3" t="s">
        <v>39</v>
      </c>
      <c r="F13" s="3" t="str">
        <f ca="1">IFERROR(__xludf.DUMMYFUNCTION("GOOGLETRANSLATE(E13,""ES"",""EN"")"),"They want people to recover, but how do we access these people we are recovering? How do we integrate into society if we cannot do a continuity of treatment? That has to go hand in hand. And the continuity of treatment also has to do with the fact that th"&amp;"ere are medications in a timely manner when they occur.")</f>
        <v>They want people to recover, but how do we access these people we are recovering? How do we integrate into society if we cannot do a continuity of treatment? That has to go hand in hand. And the continuity of treatment also has to do with the fact that there are medications in a timely manner when they occur.</v>
      </c>
      <c r="G13" s="4" t="s">
        <v>40</v>
      </c>
      <c r="H13" s="5">
        <v>0.54069527050666333</v>
      </c>
      <c r="I13" s="3" t="s">
        <v>33</v>
      </c>
      <c r="J13" s="3" t="str">
        <f ca="1">IFERROR(__xludf.DUMMYFUNCTION("GOOGLETRANSLATE(I13,""ES"",""EN"")"),"Negative effects: lack of family integration ...")</f>
        <v>Negative effects: lack of family integration ...</v>
      </c>
      <c r="K13" s="1"/>
      <c r="L13" s="1"/>
      <c r="M13" s="1"/>
      <c r="N13" s="1"/>
      <c r="O13" s="1"/>
      <c r="P13" s="1"/>
      <c r="Q13" s="1"/>
      <c r="R13" s="1"/>
      <c r="S13" s="1"/>
      <c r="T13" s="1"/>
      <c r="U13" s="1"/>
      <c r="V13" s="1"/>
      <c r="W13" s="1"/>
      <c r="X13" s="1"/>
      <c r="Y13" s="1"/>
      <c r="Z13" s="1"/>
    </row>
    <row r="14" spans="1:26" ht="63.75" x14ac:dyDescent="0.25">
      <c r="A14" s="8" t="s">
        <v>5</v>
      </c>
      <c r="B14" s="3" t="s">
        <v>11</v>
      </c>
      <c r="C14" s="3" t="s">
        <v>41</v>
      </c>
      <c r="D14" s="3" t="str">
        <f ca="1">IFERROR(__xludf.DUMMYFUNCTION("GOOGLETRANSLATE(C14,""ES"",""EN"")"),"Medications and Technologies \ Result \ Doctor that recipe does not know if there is stock in pharmacy")</f>
        <v>Medications and Technologies \ Result \ Doctor that recipe does not know if there is stock in pharmacy</v>
      </c>
      <c r="E14" s="3" t="s">
        <v>42</v>
      </c>
      <c r="F14" s="3" t="str">
        <f ca="1">IFERROR(__xludf.DUMMYFUNCTION("GOOGLETRANSLATE(E14,""ES"",""EN"")"),"That is, it is not that the doctor has to be guessing whether in the pharmacy exists or not, the amount that is prescribing him.")</f>
        <v>That is, it is not that the doctor has to be guessing whether in the pharmacy exists or not, the amount that is prescribing him.</v>
      </c>
      <c r="G14" s="4" t="s">
        <v>43</v>
      </c>
      <c r="H14" s="5">
        <v>0.18924334467733214</v>
      </c>
      <c r="I14" s="3" t="s">
        <v>44</v>
      </c>
      <c r="J14" s="3" t="str">
        <f ca="1">IFERROR(__xludf.DUMMYFUNCTION("GOOGLETRANSLATE(I14,""ES"",""EN"")"),"Negative effects: limit the integrality and continuity of care")</f>
        <v>Negative effects: limit the integrality and continuity of care</v>
      </c>
      <c r="K14" s="1"/>
      <c r="L14" s="1"/>
      <c r="M14" s="1"/>
      <c r="N14" s="1"/>
      <c r="O14" s="1"/>
      <c r="P14" s="1"/>
      <c r="Q14" s="1"/>
      <c r="R14" s="1"/>
      <c r="S14" s="1"/>
      <c r="T14" s="1"/>
      <c r="U14" s="1"/>
      <c r="V14" s="1"/>
      <c r="W14" s="1"/>
      <c r="X14" s="1"/>
      <c r="Y14" s="1"/>
      <c r="Z14" s="1"/>
    </row>
    <row r="15" spans="1:26" ht="51" x14ac:dyDescent="0.25">
      <c r="A15" s="8" t="s">
        <v>5</v>
      </c>
      <c r="B15" s="3" t="s">
        <v>11</v>
      </c>
      <c r="C15" s="3" t="s">
        <v>41</v>
      </c>
      <c r="D15" s="3" t="str">
        <f ca="1">IFERROR(__xludf.DUMMYFUNCTION("GOOGLETRANSLATE(C15,""ES"",""EN"")"),"Medications and Technologies \ Result \ Doctor that recipe does not know if there is stock in pharmacy")</f>
        <v>Medications and Technologies \ Result \ Doctor that recipe does not know if there is stock in pharmacy</v>
      </c>
      <c r="E15" s="3" t="s">
        <v>45</v>
      </c>
      <c r="F15" s="3" t="str">
        <f ca="1">IFERROR(__xludf.DUMMYFUNCTION("GOOGLETRANSLATE(E15,""ES"",""EN"")"),"The doctor cannot have an idea that the remedy is not. Yes, yes, everything is online.")</f>
        <v>The doctor cannot have an idea that the remedy is not. Yes, yes, everything is online.</v>
      </c>
      <c r="G15" s="4" t="s">
        <v>46</v>
      </c>
      <c r="H15" s="5">
        <v>0.13835437804141087</v>
      </c>
      <c r="I15" s="3" t="s">
        <v>44</v>
      </c>
      <c r="J15" s="3" t="str">
        <f ca="1">IFERROR(__xludf.DUMMYFUNCTION("GOOGLETRANSLATE(I15,""ES"",""EN"")"),"Negative effects: limit the integrality and continuity of care")</f>
        <v>Negative effects: limit the integrality and continuity of care</v>
      </c>
      <c r="K15" s="1"/>
      <c r="L15" s="1"/>
      <c r="M15" s="1"/>
      <c r="N15" s="1"/>
      <c r="O15" s="1"/>
      <c r="P15" s="1"/>
      <c r="Q15" s="1"/>
      <c r="R15" s="1"/>
      <c r="S15" s="1"/>
      <c r="T15" s="1"/>
      <c r="U15" s="1"/>
      <c r="V15" s="1"/>
      <c r="W15" s="1"/>
      <c r="X15" s="1"/>
      <c r="Y15" s="1"/>
      <c r="Z15" s="1"/>
    </row>
    <row r="16" spans="1:26" ht="89.25" x14ac:dyDescent="0.25">
      <c r="A16" s="6" t="s">
        <v>5</v>
      </c>
      <c r="B16" s="3" t="s">
        <v>47</v>
      </c>
      <c r="C16" s="3" t="s">
        <v>48</v>
      </c>
      <c r="D16" s="3" t="str">
        <f ca="1">IFERROR(__xludf.DUMMYFUNCTION("GOOGLETRANSLATE(C16,""ES"",""EN"")"),"Financing \ Result \ Retrings in the Community Model")</f>
        <v>Financing \ Result \ Retrings in the Community Model</v>
      </c>
      <c r="E16" s="3" t="s">
        <v>49</v>
      </c>
      <c r="F16" s="3" t="str">
        <f ca="1">IFERROR(__xludf.DUMMYFUNCTION("GOOGLETRANSLATE(E16,""ES"",""EN"")"),"There was previously a very good relationship of COSAM with the community.")</f>
        <v>There was previously a very good relationship of COSAM with the community.</v>
      </c>
      <c r="G16" s="4" t="s">
        <v>50</v>
      </c>
      <c r="H16" s="5">
        <v>0.11131961451607773</v>
      </c>
      <c r="I16" s="3" t="s">
        <v>51</v>
      </c>
      <c r="J16" s="3" t="str">
        <f ca="1">IFERROR(__xludf.DUMMYFUNCTION("GOOGLETRANSLATE(I16,""ES"",""EN"")"),"Negative effect: CSMC financing logics do not stimulate the implementation of the community mental health model.")</f>
        <v>Negative effect: CSMC financing logics do not stimulate the implementation of the community mental health model.</v>
      </c>
      <c r="K16" s="1"/>
      <c r="L16" s="1"/>
      <c r="M16" s="1"/>
      <c r="N16" s="1"/>
      <c r="O16" s="1"/>
      <c r="P16" s="1"/>
      <c r="Q16" s="1"/>
      <c r="R16" s="1"/>
      <c r="S16" s="1"/>
      <c r="T16" s="1"/>
      <c r="U16" s="1"/>
      <c r="V16" s="1"/>
      <c r="W16" s="1"/>
      <c r="X16" s="1"/>
      <c r="Y16" s="1"/>
      <c r="Z16" s="1"/>
    </row>
    <row r="17" spans="1:26" ht="89.25" x14ac:dyDescent="0.25">
      <c r="A17" s="6" t="s">
        <v>5</v>
      </c>
      <c r="B17" s="3" t="s">
        <v>47</v>
      </c>
      <c r="C17" s="3" t="s">
        <v>48</v>
      </c>
      <c r="D17" s="3" t="str">
        <f ca="1">IFERROR(__xludf.DUMMYFUNCTION("GOOGLETRANSLATE(C17,""ES"",""EN"")"),"Financing \ Result \ Retrings in the Community Model")</f>
        <v>Financing \ Result \ Retrings in the Community Model</v>
      </c>
      <c r="E17" s="3" t="s">
        <v>52</v>
      </c>
      <c r="F17" s="3" t="str">
        <f ca="1">IFERROR(__xludf.DUMMYFUNCTION("GOOGLETRANSLATE(E17,""ES"",""EN"")"),"Therapeutic activities were done, complete days where reiki, yoga, meditation, bioenergetic gymnastics, healthy food a whole day was done and that was done every three months with money, with municipal funds.")</f>
        <v>Therapeutic activities were done, complete days where reiki, yoga, meditation, bioenergetic gymnastics, healthy food a whole day was done and that was done every three months with money, with municipal funds.</v>
      </c>
      <c r="G17" s="4" t="s">
        <v>53</v>
      </c>
      <c r="H17" s="5">
        <v>0.34509080499984096</v>
      </c>
      <c r="I17" s="3" t="s">
        <v>51</v>
      </c>
      <c r="J17" s="3" t="str">
        <f ca="1">IFERROR(__xludf.DUMMYFUNCTION("GOOGLETRANSLATE(I17,""ES"",""EN"")"),"Negative effect: CSMC financing logics do not stimulate the implementation of the community mental health model.")</f>
        <v>Negative effect: CSMC financing logics do not stimulate the implementation of the community mental health model.</v>
      </c>
      <c r="K17" s="1"/>
      <c r="L17" s="1"/>
      <c r="M17" s="1"/>
      <c r="N17" s="1"/>
      <c r="O17" s="1"/>
      <c r="P17" s="1"/>
      <c r="Q17" s="1"/>
      <c r="R17" s="1"/>
      <c r="S17" s="1"/>
      <c r="T17" s="1"/>
      <c r="U17" s="1"/>
      <c r="V17" s="1"/>
      <c r="W17" s="1"/>
      <c r="X17" s="1"/>
      <c r="Y17" s="1"/>
      <c r="Z17" s="1"/>
    </row>
    <row r="18" spans="1:26" ht="76.5" x14ac:dyDescent="0.25">
      <c r="A18" s="6" t="s">
        <v>5</v>
      </c>
      <c r="B18" s="3" t="s">
        <v>47</v>
      </c>
      <c r="C18" s="3" t="s">
        <v>48</v>
      </c>
      <c r="D18" s="3" t="str">
        <f ca="1">IFERROR(__xludf.DUMMYFUNCTION("GOOGLETRANSLATE(C18,""ES"",""EN"")"),"Financing \ Result \ Retrings in the Community Model")</f>
        <v>Financing \ Result \ Retrings in the Community Model</v>
      </c>
      <c r="E18" s="3" t="s">
        <v>54</v>
      </c>
      <c r="F18" s="3" t="str">
        <f ca="1">IFERROR(__xludf.DUMMYFUNCTION("GOOGLETRANSLATE(E18,""ES"",""EN"")"),"But that was also due to the goodwill and work of the officials.")</f>
        <v>But that was also due to the goodwill and work of the officials.</v>
      </c>
      <c r="G18" s="4" t="s">
        <v>55</v>
      </c>
      <c r="H18" s="5">
        <v>0.12563213638243059</v>
      </c>
      <c r="I18" s="3" t="s">
        <v>51</v>
      </c>
      <c r="J18" s="3" t="str">
        <f ca="1">IFERROR(__xludf.DUMMYFUNCTION("GOOGLETRANSLATE(I18,""ES"",""EN"")"),"Negative effect: CSMC financing logics do not stimulate the implementation of the community mental health model.")</f>
        <v>Negative effect: CSMC financing logics do not stimulate the implementation of the community mental health model.</v>
      </c>
      <c r="K18" s="1"/>
      <c r="L18" s="1"/>
      <c r="M18" s="1"/>
      <c r="N18" s="1"/>
      <c r="O18" s="1"/>
      <c r="P18" s="1"/>
      <c r="Q18" s="1"/>
      <c r="R18" s="1"/>
      <c r="S18" s="1"/>
      <c r="T18" s="1"/>
      <c r="U18" s="1"/>
      <c r="V18" s="1"/>
      <c r="W18" s="1"/>
      <c r="X18" s="1"/>
      <c r="Y18" s="1"/>
      <c r="Z18" s="1"/>
    </row>
    <row r="19" spans="1:26" ht="76.5" x14ac:dyDescent="0.25">
      <c r="A19" s="6" t="s">
        <v>5</v>
      </c>
      <c r="B19" s="3" t="s">
        <v>47</v>
      </c>
      <c r="C19" s="3" t="s">
        <v>48</v>
      </c>
      <c r="D19" s="3" t="str">
        <f ca="1">IFERROR(__xludf.DUMMYFUNCTION("GOOGLETRANSLATE(C19,""ES"",""EN"")"),"Financing \ Result \ Retrings in the Community Model")</f>
        <v>Financing \ Result \ Retrings in the Community Model</v>
      </c>
      <c r="E19" s="3" t="s">
        <v>56</v>
      </c>
      <c r="F19" s="3" t="str">
        <f ca="1">IFERROR(__xludf.DUMMYFUNCTION("GOOGLETRANSLATE(E19,""ES"",""EN"")"),"The same children had a musical set. They gave. They made folk rocks for people. The Cosam of those very entertaining years was very cozy.")</f>
        <v>The same children had a musical set. They gave. They made folk rocks for people. The Cosam of those very entertaining years was very cozy.</v>
      </c>
      <c r="G19" s="4" t="s">
        <v>57</v>
      </c>
      <c r="H19" s="5">
        <v>0.24967399255748862</v>
      </c>
      <c r="I19" s="3" t="s">
        <v>51</v>
      </c>
      <c r="J19" s="3" t="str">
        <f ca="1">IFERROR(__xludf.DUMMYFUNCTION("GOOGLETRANSLATE(I19,""ES"",""EN"")"),"Negative effect: CSMC financing logics do not stimulate the implementation of the community mental health model.")</f>
        <v>Negative effect: CSMC financing logics do not stimulate the implementation of the community mental health model.</v>
      </c>
      <c r="K19" s="1"/>
      <c r="L19" s="1"/>
      <c r="M19" s="1"/>
      <c r="N19" s="1"/>
      <c r="O19" s="1"/>
      <c r="P19" s="1"/>
      <c r="Q19" s="1"/>
      <c r="R19" s="1"/>
      <c r="S19" s="1"/>
      <c r="T19" s="1"/>
      <c r="U19" s="1"/>
      <c r="V19" s="1"/>
      <c r="W19" s="1"/>
      <c r="X19" s="1"/>
      <c r="Y19" s="1"/>
      <c r="Z19" s="1"/>
    </row>
    <row r="20" spans="1:26" ht="76.5" x14ac:dyDescent="0.25">
      <c r="A20" s="6" t="s">
        <v>5</v>
      </c>
      <c r="B20" s="3" t="s">
        <v>47</v>
      </c>
      <c r="C20" s="3" t="s">
        <v>48</v>
      </c>
      <c r="D20" s="3" t="str">
        <f ca="1">IFERROR(__xludf.DUMMYFUNCTION("GOOGLETRANSLATE(C20,""ES"",""EN"")"),"Financing \ Result \ Retrings in the Community Model")</f>
        <v>Financing \ Result \ Retrings in the Community Model</v>
      </c>
      <c r="E20" s="3" t="s">
        <v>58</v>
      </c>
      <c r="F20" s="3" t="str">
        <f ca="1">IFERROR(__xludf.DUMMYFUNCTION("GOOGLETRANSLATE(E20,""ES"",""EN"")"),"It came to people a lot and there were no administration problems. There was enough personal. There was no waiting list.")</f>
        <v>It came to people a lot and there were no administration problems. There was enough personal. There was no waiting list.</v>
      </c>
      <c r="G20" s="4" t="s">
        <v>59</v>
      </c>
      <c r="H20" s="5">
        <v>0.18447250405521454</v>
      </c>
      <c r="I20" s="3" t="s">
        <v>51</v>
      </c>
      <c r="J20" s="3" t="str">
        <f ca="1">IFERROR(__xludf.DUMMYFUNCTION("GOOGLETRANSLATE(I20,""ES"",""EN"")"),"Negative effect: CSMC financing logics do not stimulate the implementation of the community mental health model.")</f>
        <v>Negative effect: CSMC financing logics do not stimulate the implementation of the community mental health model.</v>
      </c>
      <c r="K20" s="1"/>
      <c r="L20" s="1"/>
      <c r="M20" s="1"/>
      <c r="N20" s="1"/>
      <c r="O20" s="1"/>
      <c r="P20" s="1"/>
      <c r="Q20" s="1"/>
      <c r="R20" s="1"/>
      <c r="S20" s="1"/>
      <c r="T20" s="1"/>
      <c r="U20" s="1"/>
      <c r="V20" s="1"/>
      <c r="W20" s="1"/>
      <c r="X20" s="1"/>
      <c r="Y20" s="1"/>
      <c r="Z20" s="1"/>
    </row>
    <row r="21" spans="1:26" ht="140.25" x14ac:dyDescent="0.25">
      <c r="A21" s="6" t="s">
        <v>5</v>
      </c>
      <c r="B21" s="3" t="s">
        <v>47</v>
      </c>
      <c r="C21" s="3" t="s">
        <v>48</v>
      </c>
      <c r="D21" s="3" t="str">
        <f ca="1">IFERROR(__xludf.DUMMYFUNCTION("GOOGLETRANSLATE(C21,""ES"",""EN"")"),"Financing \ Result \ Retrings in the Community Model")</f>
        <v>Financing \ Result \ Retrings in the Community Model</v>
      </c>
      <c r="E21" s="3" t="s">
        <v>60</v>
      </c>
      <c r="F21" s="3" t="str">
        <f ca="1">IFERROR(__xludf.DUMMYFUNCTION("GOOGLETRANSLATE(E21,""ES"",""EN"")"),"During those years there were no major problems in the institution. But it turns out that in 18 a Cosam was going to open in Maipú. And for administrative reasons that I do not know, the second Cosam de Maipú did not open and that staff was ready and brou"&amp;"ght it to Cosam de Cerrillo to increase the endowment. It turns out that the new people who came from the service had problems with the municipal administration.")</f>
        <v>During those years there were no major problems in the institution. But it turns out that in 18 a Cosam was going to open in Maipú. And for administrative reasons that I do not know, the second Cosam de Maipú did not open and that staff was ready and brought it to Cosam de Cerrillo to increase the endowment. It turns out that the new people who came from the service had problems with the municipal administration.</v>
      </c>
      <c r="G21" s="3" t="s">
        <v>61</v>
      </c>
      <c r="H21" s="28">
        <v>0.64088292357113319</v>
      </c>
      <c r="I21" s="3" t="s">
        <v>51</v>
      </c>
      <c r="J21" s="3" t="str">
        <f ca="1">IFERROR(__xludf.DUMMYFUNCTION("GOOGLETRANSLATE(I21,""ES"",""EN"")"),"Negative effect: CSMC financing logics do not stimulate the implementation of the community mental health model.")</f>
        <v>Negative effect: CSMC financing logics do not stimulate the implementation of the community mental health model.</v>
      </c>
      <c r="K21" s="1"/>
      <c r="L21" s="1"/>
      <c r="M21" s="1"/>
      <c r="N21" s="1"/>
      <c r="O21" s="1"/>
      <c r="P21" s="1"/>
      <c r="Q21" s="1"/>
      <c r="R21" s="1"/>
      <c r="S21" s="1"/>
      <c r="T21" s="1"/>
      <c r="U21" s="1"/>
      <c r="V21" s="1"/>
      <c r="W21" s="1"/>
      <c r="X21" s="1"/>
      <c r="Y21" s="1"/>
      <c r="Z21" s="1"/>
    </row>
    <row r="22" spans="1:26" ht="63.75" x14ac:dyDescent="0.25">
      <c r="A22" s="6" t="s">
        <v>5</v>
      </c>
      <c r="B22" s="3" t="s">
        <v>47</v>
      </c>
      <c r="C22" s="3" t="s">
        <v>62</v>
      </c>
      <c r="D22" s="3" t="str">
        <f ca="1">IFERROR(__xludf.DUMMYFUNCTION("GOOGLETRANSLATE(C22,""ES"",""EN"")"),"FINANCING \ RESULT \ BUDGET A CSMC WITHOUT INCREASE")</f>
        <v>FINANCING \ RESULT \ BUDGET A CSMC WITHOUT INCREASE</v>
      </c>
      <c r="E22" s="3" t="s">
        <v>63</v>
      </c>
      <c r="F22" s="3" t="str">
        <f ca="1">IFERROR(__xludf.DUMMYFUNCTION("GOOGLETRANSLATE(E22,""ES"",""EN"")"),"Then different problems, money problems, budgets began. The director demanded a greater budget. The municipality did not give it to him.")</f>
        <v>Then different problems, money problems, budgets began. The director demanded a greater budget. The municipality did not give it to him.</v>
      </c>
      <c r="G22" s="3" t="s">
        <v>64</v>
      </c>
      <c r="H22" s="28">
        <v>0.24808371235011609</v>
      </c>
      <c r="I22" s="3" t="s">
        <v>65</v>
      </c>
      <c r="J22" s="3" t="str">
        <f ca="1">IFERROR(__xludf.DUMMYFUNCTION("GOOGLETRANSLATE(I22,""ES"",""EN"")"),"Negative effect: actors do not identify a CSMC financing system")</f>
        <v>Negative effect: actors do not identify a CSMC financing system</v>
      </c>
      <c r="K22" s="1"/>
      <c r="L22" s="1"/>
      <c r="M22" s="1"/>
      <c r="N22" s="1"/>
      <c r="O22" s="1"/>
      <c r="P22" s="1"/>
      <c r="Q22" s="1"/>
      <c r="R22" s="1"/>
      <c r="S22" s="1"/>
      <c r="T22" s="1"/>
      <c r="U22" s="1"/>
      <c r="V22" s="1"/>
      <c r="W22" s="1"/>
      <c r="X22" s="1"/>
      <c r="Y22" s="1"/>
      <c r="Z22" s="1"/>
    </row>
    <row r="23" spans="1:26" ht="15.75" customHeight="1" x14ac:dyDescent="0.25">
      <c r="A23" s="2" t="s">
        <v>5</v>
      </c>
      <c r="B23" s="3" t="s">
        <v>47</v>
      </c>
      <c r="C23" s="3" t="s">
        <v>66</v>
      </c>
      <c r="D23" s="3" t="str">
        <f ca="1">IFERROR(__xludf.DUMMYFUNCTION("GOOGLETRANSLATE(C23,""ES"",""EN"")"),"HUMAN RESOURCES \ Result \ resignation of experienced professionals")</f>
        <v>HUMAN RESOURCES \ Result \ resignation of experienced professionals</v>
      </c>
      <c r="E23" s="3" t="s">
        <v>67</v>
      </c>
      <c r="F23" s="3" t="str">
        <f ca="1">IFERROR(__xludf.DUMMYFUNCTION("GOOGLETRANSLATE(E23,""ES"",""EN"")"),"And then other psychologists who had started leaving, because they saw that Cosam did not work anymore.")</f>
        <v>And then other psychologists who had started leaving, because they saw that Cosam did not work anymore.</v>
      </c>
      <c r="G23" s="3" t="s">
        <v>68</v>
      </c>
      <c r="H23" s="28">
        <v>0.15107661970039121</v>
      </c>
      <c r="I23" s="3" t="s">
        <v>21</v>
      </c>
      <c r="J23" s="3" t="str">
        <f ca="1">IFERROR(__xludf.DUMMYFUNCTION("GOOGLETRANSLATE(I23,""ES"",""EN"")"),"Negative effects: high rotation of professionals")</f>
        <v>Negative effects: high rotation of professionals</v>
      </c>
      <c r="K23" s="1"/>
      <c r="L23" s="1"/>
      <c r="M23" s="1"/>
      <c r="N23" s="1"/>
      <c r="O23" s="1"/>
      <c r="P23" s="1"/>
      <c r="Q23" s="1"/>
      <c r="R23" s="1"/>
      <c r="S23" s="1"/>
      <c r="T23" s="1"/>
      <c r="U23" s="1"/>
      <c r="V23" s="1"/>
      <c r="W23" s="1"/>
      <c r="X23" s="1"/>
      <c r="Y23" s="1"/>
      <c r="Z23" s="1"/>
    </row>
    <row r="24" spans="1:26" ht="15.75" customHeight="1" x14ac:dyDescent="0.25">
      <c r="A24" s="2" t="s">
        <v>5</v>
      </c>
      <c r="B24" s="3" t="s">
        <v>47</v>
      </c>
      <c r="C24" s="3" t="s">
        <v>66</v>
      </c>
      <c r="D24" s="3" t="str">
        <f ca="1">IFERROR(__xludf.DUMMYFUNCTION("GOOGLETRANSLATE(C24,""ES"",""EN"")"),"HUMAN RESOURCES \ Result \ resignation of experienced professionals")</f>
        <v>HUMAN RESOURCES \ Result \ resignation of experienced professionals</v>
      </c>
      <c r="E24" s="3" t="s">
        <v>69</v>
      </c>
      <c r="F24" s="3" t="str">
        <f ca="1">IFERROR(__xludf.DUMMYFUNCTION("GOOGLETRANSLATE(E24,""ES"",""EN"")"),"The therapists left.")</f>
        <v>The therapists left.</v>
      </c>
      <c r="G24" s="3" t="s">
        <v>70</v>
      </c>
      <c r="H24" s="28">
        <v>3.9757005184313472E-2</v>
      </c>
      <c r="I24" s="3" t="s">
        <v>21</v>
      </c>
      <c r="J24" s="3" t="str">
        <f ca="1">IFERROR(__xludf.DUMMYFUNCTION("GOOGLETRANSLATE(I24,""ES"",""EN"")"),"Negative effects: high rotation of professionals")</f>
        <v>Negative effects: high rotation of professionals</v>
      </c>
      <c r="K24" s="1"/>
      <c r="L24" s="1"/>
      <c r="M24" s="1"/>
      <c r="N24" s="1"/>
      <c r="O24" s="1"/>
      <c r="P24" s="1"/>
      <c r="Q24" s="1"/>
      <c r="R24" s="1"/>
      <c r="S24" s="1"/>
      <c r="T24" s="1"/>
      <c r="U24" s="1"/>
      <c r="V24" s="1"/>
      <c r="W24" s="1"/>
      <c r="X24" s="1"/>
      <c r="Y24" s="1"/>
      <c r="Z24" s="1"/>
    </row>
    <row r="25" spans="1:26" ht="15.75" customHeight="1" x14ac:dyDescent="0.25">
      <c r="A25" s="2" t="s">
        <v>5</v>
      </c>
      <c r="B25" s="3" t="s">
        <v>47</v>
      </c>
      <c r="C25" s="3" t="s">
        <v>66</v>
      </c>
      <c r="D25" s="3" t="str">
        <f ca="1">IFERROR(__xludf.DUMMYFUNCTION("GOOGLETRANSLATE(C25,""ES"",""EN"")"),"HUMAN RESOURCES \ Result \ resignation of experienced professionals")</f>
        <v>HUMAN RESOURCES \ Result \ resignation of experienced professionals</v>
      </c>
      <c r="E25" s="3" t="s">
        <v>71</v>
      </c>
      <c r="F25" s="3" t="str">
        <f ca="1">IFERROR(__xludf.DUMMYFUNCTION("GOOGLETRANSLATE(E25,""ES"",""EN"")"),"The speech therapist left.")</f>
        <v>The speech therapist left.</v>
      </c>
      <c r="G25" s="3" t="s">
        <v>72</v>
      </c>
      <c r="H25" s="28">
        <v>3.8166724976940937E-2</v>
      </c>
      <c r="I25" s="3" t="s">
        <v>21</v>
      </c>
      <c r="J25" s="3" t="str">
        <f ca="1">IFERROR(__xludf.DUMMYFUNCTION("GOOGLETRANSLATE(I25,""ES"",""EN"")"),"Negative effects: high rotation of professionals")</f>
        <v>Negative effects: high rotation of professionals</v>
      </c>
      <c r="K25" s="1"/>
      <c r="L25" s="1"/>
      <c r="M25" s="1"/>
      <c r="N25" s="1"/>
      <c r="O25" s="1"/>
      <c r="P25" s="1"/>
      <c r="Q25" s="1"/>
      <c r="R25" s="1"/>
      <c r="S25" s="1"/>
      <c r="T25" s="1"/>
      <c r="U25" s="1"/>
      <c r="V25" s="1"/>
      <c r="W25" s="1"/>
      <c r="X25" s="1"/>
      <c r="Y25" s="1"/>
      <c r="Z25" s="1"/>
    </row>
    <row r="26" spans="1:26" ht="15.75" customHeight="1" x14ac:dyDescent="0.25">
      <c r="A26" s="2" t="s">
        <v>5</v>
      </c>
      <c r="B26" s="3" t="s">
        <v>47</v>
      </c>
      <c r="C26" s="3" t="s">
        <v>66</v>
      </c>
      <c r="D26" s="3" t="str">
        <f ca="1">IFERROR(__xludf.DUMMYFUNCTION("GOOGLETRANSLATE(C26,""ES"",""EN"")"),"HUMAN RESOURCES \ Result \ resignation of experienced professionals")</f>
        <v>HUMAN RESOURCES \ Result \ resignation of experienced professionals</v>
      </c>
      <c r="E26" s="3" t="s">
        <v>73</v>
      </c>
      <c r="F26" s="3" t="str">
        <f ca="1">IFERROR(__xludf.DUMMYFUNCTION("GOOGLETRANSLATE(E26,""ES"",""EN"")"),"The social workers of three who had been one.")</f>
        <v>The social workers of three who had been one.</v>
      </c>
      <c r="G26" s="3" t="s">
        <v>74</v>
      </c>
      <c r="H26" s="28">
        <v>8.7465411405489649E-2</v>
      </c>
      <c r="I26" s="3" t="s">
        <v>21</v>
      </c>
      <c r="J26" s="3" t="str">
        <f ca="1">IFERROR(__xludf.DUMMYFUNCTION("GOOGLETRANSLATE(I26,""ES"",""EN"")"),"Negative effects: high rotation of professionals")</f>
        <v>Negative effects: high rotation of professionals</v>
      </c>
      <c r="K26" s="1"/>
      <c r="L26" s="1"/>
      <c r="M26" s="1"/>
      <c r="N26" s="1"/>
      <c r="O26" s="1"/>
      <c r="P26" s="1"/>
      <c r="Q26" s="1"/>
      <c r="R26" s="1"/>
      <c r="S26" s="1"/>
      <c r="T26" s="1"/>
      <c r="U26" s="1"/>
      <c r="V26" s="1"/>
      <c r="W26" s="1"/>
      <c r="X26" s="1"/>
      <c r="Y26" s="1"/>
      <c r="Z26" s="1"/>
    </row>
    <row r="27" spans="1:26" ht="15.75" customHeight="1" x14ac:dyDescent="0.25">
      <c r="A27" s="2" t="s">
        <v>5</v>
      </c>
      <c r="B27" s="3" t="s">
        <v>47</v>
      </c>
      <c r="C27" s="3" t="s">
        <v>66</v>
      </c>
      <c r="D27" s="3" t="str">
        <f ca="1">IFERROR(__xludf.DUMMYFUNCTION("GOOGLETRANSLATE(C27,""ES"",""EN"")"),"HUMAN RESOURCES \ Result \ resignation of experienced professionals")</f>
        <v>HUMAN RESOURCES \ Result \ resignation of experienced professionals</v>
      </c>
      <c r="E27" s="3" t="s">
        <v>75</v>
      </c>
      <c r="F27" s="3" t="str">
        <f ca="1">IFERROR(__xludf.DUMMYFUNCTION("GOOGLETRANSLATE(E27,""ES"",""EN"")"),"They were left without phonoaudiologist, psychopedagogue either, they also left and the pandemic began.")</f>
        <v>They were left without phonoaudiologist, psychopedagogue either, they also left and the pandemic began.</v>
      </c>
      <c r="G27" s="3" t="s">
        <v>76</v>
      </c>
      <c r="H27" s="28">
        <v>0.14312521866352851</v>
      </c>
      <c r="I27" s="3" t="s">
        <v>21</v>
      </c>
      <c r="J27" s="3" t="str">
        <f ca="1">IFERROR(__xludf.DUMMYFUNCTION("GOOGLETRANSLATE(I27,""ES"",""EN"")"),"Negative effects: high rotation of professionals")</f>
        <v>Negative effects: high rotation of professionals</v>
      </c>
      <c r="K27" s="1"/>
      <c r="L27" s="1"/>
      <c r="M27" s="1"/>
      <c r="N27" s="1"/>
      <c r="O27" s="1"/>
      <c r="P27" s="1"/>
      <c r="Q27" s="1"/>
      <c r="R27" s="1"/>
      <c r="S27" s="1"/>
      <c r="T27" s="1"/>
      <c r="U27" s="1"/>
      <c r="V27" s="1"/>
      <c r="W27" s="1"/>
      <c r="X27" s="1"/>
      <c r="Y27" s="1"/>
      <c r="Z27" s="1"/>
    </row>
    <row r="28" spans="1:26" ht="15.75" customHeight="1" x14ac:dyDescent="0.25">
      <c r="A28" s="2" t="s">
        <v>5</v>
      </c>
      <c r="B28" s="3" t="s">
        <v>47</v>
      </c>
      <c r="C28" s="3" t="s">
        <v>66</v>
      </c>
      <c r="D28" s="3" t="str">
        <f ca="1">IFERROR(__xludf.DUMMYFUNCTION("GOOGLETRANSLATE(C28,""ES"",""EN"")"),"HUMAN RESOURCES \ Result \ resignation of experienced professionals")</f>
        <v>HUMAN RESOURCES \ Result \ resignation of experienced professionals</v>
      </c>
      <c r="E28" s="3" t="s">
        <v>77</v>
      </c>
      <c r="F28" s="3" t="str">
        <f ca="1">IFERROR(__xludf.DUMMYFUNCTION("GOOGLETRANSLATE(E28,""ES"",""EN"")"),"The nurse went as a loan to a Cesfam and in the end there were three psychologists, two occupational therapists, a social worker and some administrative. Six administrators remained. And that began to have an impact on the population because we run out of"&amp;" psychiatrist too.")</f>
        <v>The nurse went as a loan to a Cesfam and in the end there were three psychologists, two occupational therapists, a social worker and some administrative. Six administrators remained. And that began to have an impact on the population because we run out of psychiatrist too.</v>
      </c>
      <c r="G28" s="3" t="s">
        <v>78</v>
      </c>
      <c r="H28" s="28">
        <v>0.44209789764956586</v>
      </c>
      <c r="I28" s="3" t="s">
        <v>21</v>
      </c>
      <c r="J28" s="3" t="str">
        <f ca="1">IFERROR(__xludf.DUMMYFUNCTION("GOOGLETRANSLATE(I28,""ES"",""EN"")"),"Negative effects: high rotation of professionals")</f>
        <v>Negative effects: high rotation of professionals</v>
      </c>
      <c r="K28" s="1"/>
      <c r="L28" s="1"/>
      <c r="M28" s="1"/>
      <c r="N28" s="1"/>
      <c r="O28" s="1"/>
      <c r="P28" s="1"/>
      <c r="Q28" s="1"/>
      <c r="R28" s="1"/>
      <c r="S28" s="1"/>
      <c r="T28" s="1"/>
      <c r="U28" s="1"/>
      <c r="V28" s="1"/>
      <c r="W28" s="1"/>
      <c r="X28" s="1"/>
      <c r="Y28" s="1"/>
      <c r="Z28" s="1"/>
    </row>
    <row r="29" spans="1:26" ht="15.75" customHeight="1" x14ac:dyDescent="0.25">
      <c r="A29" s="2" t="s">
        <v>5</v>
      </c>
      <c r="B29" s="3" t="s">
        <v>47</v>
      </c>
      <c r="C29" s="3" t="s">
        <v>79</v>
      </c>
      <c r="D29" s="3" t="str">
        <f ca="1">IFERROR(__xludf.DUMMYFUNCTION("GOOGLETRANSLATE(C29,""ES"",""EN"")"),"Human Resources \ Result \ Scholarship Pisquiatry with maternal license is not replaced")</f>
        <v>Human Resources \ Result \ Scholarship Pisquiatry with maternal license is not replaced</v>
      </c>
      <c r="E29" s="3" t="s">
        <v>80</v>
      </c>
      <c r="F29" s="3" t="str">
        <f ca="1">IFERROR(__xludf.DUMMYFUNCTION("GOOGLETRANSLATE(E29,""ES"",""EN"")"),"The psychiatrist went with a medical license with a prenatal pretty time. And as it was a scholarship they could not replace it according to the municipality.")</f>
        <v>The psychiatrist went with a medical license with a prenatal pretty time. And as it was a scholarship they could not replace it according to the municipality.</v>
      </c>
      <c r="G29" s="3" t="s">
        <v>81</v>
      </c>
      <c r="H29" s="28">
        <v>0.24331287172799845</v>
      </c>
      <c r="I29" s="3" t="s">
        <v>21</v>
      </c>
      <c r="J29" s="3" t="str">
        <f ca="1">IFERROR(__xludf.DUMMYFUNCTION("GOOGLETRANSLATE(I29,""ES"",""EN"")"),"Negative effects: high rotation of professionals")</f>
        <v>Negative effects: high rotation of professionals</v>
      </c>
      <c r="K29" s="1"/>
      <c r="L29" s="1"/>
      <c r="M29" s="1"/>
      <c r="N29" s="1"/>
      <c r="O29" s="1"/>
      <c r="P29" s="1"/>
      <c r="Q29" s="1"/>
      <c r="R29" s="1"/>
      <c r="S29" s="1"/>
      <c r="T29" s="1"/>
      <c r="U29" s="1"/>
      <c r="V29" s="1"/>
      <c r="W29" s="1"/>
      <c r="X29" s="1"/>
      <c r="Y29" s="1"/>
      <c r="Z29" s="1"/>
    </row>
    <row r="30" spans="1:26" ht="15.75" customHeight="1" x14ac:dyDescent="0.25">
      <c r="A30" s="6" t="s">
        <v>5</v>
      </c>
      <c r="B30" s="3" t="s">
        <v>47</v>
      </c>
      <c r="C30" s="3" t="s">
        <v>82</v>
      </c>
      <c r="D30" s="3" t="str">
        <f ca="1">IFERROR(__xludf.DUMMYFUNCTION("GOOGLETRANSLATE(C30,""ES"",""EN"")"),"Financing \ Result \ Tensions SS and Municipality")</f>
        <v>Financing \ Result \ Tensions SS and Municipality</v>
      </c>
      <c r="E30" s="3" t="s">
        <v>83</v>
      </c>
      <c r="F30" s="3" t="str">
        <f ca="1">IFERROR(__xludf.DUMMYFUNCTION("GOOGLETRANSLATE(E30,""ES"",""EN"")"),"We as an organized council, we went to speak to the municipality, and the municipality, they told us that the service had to solve the service, we were going to the service, they told us that it had to be the municipality that would solve the problems. So"&amp;" in the end we began to send letters and meet with the authorities of the commune to realize what was happening in our Cosam. The thing is that nobody had an idea of ​​what was happening. The Dideco, who was the direction of Cosam, did not express any int"&amp;"erest in solving the problems of the entity. And so it happened more than a year.")</f>
        <v>We as an organized council, we went to speak to the municipality, and the municipality, they told us that the service had to solve the service, we were going to the service, they told us that it had to be the municipality that would solve the problems. So in the end we began to send letters and meet with the authorities of the commune to realize what was happening in our Cosam. The thing is that nobody had an idea of ​​what was happening. The Dideco, who was the direction of Cosam, did not express any interest in solving the problems of the entity. And so it happened more than a year.</v>
      </c>
      <c r="G30" s="3" t="s">
        <v>84</v>
      </c>
      <c r="H30" s="28">
        <v>0.98915428898571933</v>
      </c>
      <c r="I30" s="3" t="s">
        <v>51</v>
      </c>
      <c r="J30" s="3" t="str">
        <f ca="1">IFERROR(__xludf.DUMMYFUNCTION("GOOGLETRANSLATE(I30,""ES"",""EN"")"),"Negative effect: CSMC financing logics do not stimulate the implementation of the community mental health model.")</f>
        <v>Negative effect: CSMC financing logics do not stimulate the implementation of the community mental health model.</v>
      </c>
      <c r="K30" s="1"/>
      <c r="L30" s="1"/>
      <c r="M30" s="1"/>
      <c r="N30" s="1"/>
      <c r="O30" s="1"/>
      <c r="P30" s="1"/>
      <c r="Q30" s="1"/>
      <c r="R30" s="1"/>
      <c r="S30" s="1"/>
      <c r="T30" s="1"/>
      <c r="U30" s="1"/>
      <c r="V30" s="1"/>
      <c r="W30" s="1"/>
      <c r="X30" s="1"/>
      <c r="Y30" s="1"/>
      <c r="Z30" s="1"/>
    </row>
    <row r="31" spans="1:26" ht="15.75" customHeight="1" x14ac:dyDescent="0.25">
      <c r="A31" s="2" t="s">
        <v>5</v>
      </c>
      <c r="B31" s="3" t="s">
        <v>47</v>
      </c>
      <c r="C31" s="3" t="s">
        <v>85</v>
      </c>
      <c r="D31" s="3" t="str">
        <f ca="1">IFERROR(__xludf.DUMMYFUNCTION("GOOGLETRANSLATE(C31,""ES"",""EN"")"),"Human Resources \ Result \ Lack of specialists")</f>
        <v>Human Resources \ Result \ Lack of specialists</v>
      </c>
      <c r="E31" s="3" t="s">
        <v>86</v>
      </c>
      <c r="F31" s="3" t="str">
        <f ca="1">IFERROR(__xludf.DUMMYFUNCTION("GOOGLETRANSLATE(E31,""ES"",""EN"")"),"We had many problems with medical recipes because our psychiatrist is just recognized as such, she is a foreign and the title was not recognized until recently. Then the doctor in General Medicine was only dedicated to repeating the recipes. Under no foll"&amp;"ow -up, as medications did patients.")</f>
        <v>We had many problems with medical recipes because our psychiatrist is just recognized as such, she is a foreign and the title was not recognized until recently. Then the doctor in General Medicine was only dedicated to repeating the recipes. Under no follow -up, as medications did patients.</v>
      </c>
      <c r="G31" s="3" t="s">
        <v>87</v>
      </c>
      <c r="H31" s="28">
        <v>0.55500779237301612</v>
      </c>
      <c r="I31" s="3" t="s">
        <v>21</v>
      </c>
      <c r="J31" s="3" t="str">
        <f ca="1">IFERROR(__xludf.DUMMYFUNCTION("GOOGLETRANSLATE(I31,""ES"",""EN"")"),"Negative effects: high rotation of professionals")</f>
        <v>Negative effects: high rotation of professionals</v>
      </c>
      <c r="K31" s="1"/>
      <c r="L31" s="1"/>
      <c r="M31" s="1"/>
      <c r="N31" s="1"/>
      <c r="O31" s="1"/>
      <c r="P31" s="1"/>
      <c r="Q31" s="1"/>
      <c r="R31" s="1"/>
      <c r="S31" s="1"/>
      <c r="T31" s="1"/>
      <c r="U31" s="1"/>
      <c r="V31" s="1"/>
      <c r="W31" s="1"/>
      <c r="X31" s="1"/>
      <c r="Y31" s="1"/>
      <c r="Z31" s="1"/>
    </row>
    <row r="32" spans="1:26" ht="15.75" customHeight="1" x14ac:dyDescent="0.25">
      <c r="A32" s="8" t="s">
        <v>5</v>
      </c>
      <c r="B32" s="3" t="s">
        <v>47</v>
      </c>
      <c r="C32" s="9" t="s">
        <v>88</v>
      </c>
      <c r="D32" s="3" t="str">
        <f ca="1">IFERROR(__xludf.DUMMYFUNCTION("GOOGLETRANSLATE(C32,""ES"",""EN"")"),"Governance \ Result \ Non -Successful Installation of CSMC")</f>
        <v>Governance \ Result \ Non -Successful Installation of CSMC</v>
      </c>
      <c r="E32" s="9" t="s">
        <v>89</v>
      </c>
      <c r="F32" s="3" t="str">
        <f ca="1">IFERROR(__xludf.DUMMYFUNCTION("GOOGLETRANSLATE(E32,""ES"",""EN"")"),"To all this, when the psychiatrist arrived, he began to diagnose patients to help advance the work. And to give recipes. She gives her recipes in her name. The medical license is also in her name. By her will.")</f>
        <v>To all this, when the psychiatrist arrived, he began to diagnose patients to help advance the work. And to give recipes. She gives her recipes in her name. The medical license is also in her name. By her will.</v>
      </c>
      <c r="G32" s="9" t="s">
        <v>26</v>
      </c>
      <c r="H32" s="29">
        <v>0.39279921122101719</v>
      </c>
      <c r="I32" s="3" t="s">
        <v>90</v>
      </c>
      <c r="J32" s="3" t="str">
        <f ca="1">IFERROR(__xludf.DUMMYFUNCTION("GOOGLETRANSLATE(I32,""ES"",""EN"")"),"Negative effect: questioning of the installation of the CSMC model")</f>
        <v>Negative effect: questioning of the installation of the CSMC model</v>
      </c>
      <c r="K32" s="1"/>
      <c r="L32" s="1"/>
      <c r="M32" s="1"/>
      <c r="N32" s="1"/>
      <c r="O32" s="1"/>
      <c r="P32" s="1"/>
      <c r="Q32" s="1"/>
      <c r="R32" s="1"/>
      <c r="S32" s="1"/>
      <c r="T32" s="1"/>
      <c r="U32" s="1"/>
      <c r="V32" s="1"/>
      <c r="W32" s="1"/>
      <c r="X32" s="1"/>
      <c r="Y32" s="1"/>
      <c r="Z32" s="1"/>
    </row>
    <row r="33" spans="1:26" ht="15.75" customHeight="1" x14ac:dyDescent="0.25">
      <c r="A33" s="6" t="s">
        <v>5</v>
      </c>
      <c r="B33" s="3" t="s">
        <v>47</v>
      </c>
      <c r="C33" s="3" t="s">
        <v>62</v>
      </c>
      <c r="D33" s="3" t="str">
        <f ca="1">IFERROR(__xludf.DUMMYFUNCTION("GOOGLETRANSLATE(C33,""ES"",""EN"")"),"FINANCING \ RESULT \ BUDGET A CSMC WITHOUT INCREASE")</f>
        <v>FINANCING \ RESULT \ BUDGET A CSMC WITHOUT INCREASE</v>
      </c>
      <c r="E33" s="3" t="s">
        <v>91</v>
      </c>
      <c r="F33" s="3" t="str">
        <f ca="1">IFERROR(__xludf.DUMMYFUNCTION("GOOGLETRANSLATE(E33,""ES"",""EN"")"),"And the other one that we have realized that the budget that the health service sends us is a budget of 140 million a year, which is repeated from the year 19 to this part.")</f>
        <v>And the other one that we have realized that the budget that the health service sends us is a budget of 140 million a year, which is repeated from the year 19 to this part.</v>
      </c>
      <c r="G33" s="3" t="s">
        <v>92</v>
      </c>
      <c r="H33" s="28">
        <v>0.29738239877866479</v>
      </c>
      <c r="I33" s="3" t="s">
        <v>65</v>
      </c>
      <c r="J33" s="3" t="str">
        <f ca="1">IFERROR(__xludf.DUMMYFUNCTION("GOOGLETRANSLATE(I33,""ES"",""EN"")"),"Negative effect: actors do not identify a CSMC financing system")</f>
        <v>Negative effect: actors do not identify a CSMC financing system</v>
      </c>
      <c r="K33" s="1"/>
      <c r="L33" s="1"/>
      <c r="M33" s="1"/>
      <c r="N33" s="1"/>
      <c r="O33" s="1"/>
      <c r="P33" s="1"/>
      <c r="Q33" s="1"/>
      <c r="R33" s="1"/>
      <c r="S33" s="1"/>
      <c r="T33" s="1"/>
      <c r="U33" s="1"/>
      <c r="V33" s="1"/>
      <c r="W33" s="1"/>
      <c r="X33" s="1"/>
      <c r="Y33" s="1"/>
      <c r="Z33" s="1"/>
    </row>
    <row r="34" spans="1:26" ht="15.75" customHeight="1" x14ac:dyDescent="0.25">
      <c r="A34" s="8" t="s">
        <v>5</v>
      </c>
      <c r="B34" s="3" t="s">
        <v>47</v>
      </c>
      <c r="C34" s="3" t="s">
        <v>93</v>
      </c>
      <c r="D34" s="3" t="str">
        <f ca="1">IFERROR(__xludf.DUMMYFUNCTION("GOOGLETRANSLATE(C34,""ES"",""EN"")"),"Medications and Technologies \ Result \ No medical exams are performed")</f>
        <v>Medications and Technologies \ Result \ No medical exams are performed</v>
      </c>
      <c r="E34" s="3" t="s">
        <v>94</v>
      </c>
      <c r="F34" s="3" t="str">
        <f ca="1">IFERROR(__xludf.DUMMYFUNCTION("GOOGLETRANSLATE(E34,""ES"",""EN"")"),"But within those 140 million are the PPI, which has always caught our attention, because this is supposed to be an institutional benefit program so that people, cosam patients, exams and follow up on them about how the medications they are taking are affe"&amp;"cting. What is not done. In Cosam this is not carried out. Someone has never been sent to take an exam of anything. And that money is apparently using the municipality. So that? We do not know.")</f>
        <v>But within those 140 million are the PPI, which has always caught our attention, because this is supposed to be an institutional benefit program so that people, cosam patients, exams and follow up on them about how the medications they are taking are affecting. What is not done. In Cosam this is not carried out. Someone has never been sent to take an exam of anything. And that money is apparently using the municipality. So that? We do not know.</v>
      </c>
      <c r="G34" s="3" t="s">
        <v>95</v>
      </c>
      <c r="H34" s="28">
        <v>0.84125822970007313</v>
      </c>
      <c r="I34" s="3" t="s">
        <v>44</v>
      </c>
      <c r="J34" s="3" t="str">
        <f ca="1">IFERROR(__xludf.DUMMYFUNCTION("GOOGLETRANSLATE(I34,""ES"",""EN"")"),"Negative effects: limit the integrality and continuity of care")</f>
        <v>Negative effects: limit the integrality and continuity of care</v>
      </c>
      <c r="K34" s="1"/>
      <c r="L34" s="1"/>
      <c r="M34" s="1"/>
      <c r="N34" s="1"/>
      <c r="O34" s="1"/>
      <c r="P34" s="1"/>
      <c r="Q34" s="1"/>
      <c r="R34" s="1"/>
      <c r="S34" s="1"/>
      <c r="T34" s="1"/>
      <c r="U34" s="1"/>
      <c r="V34" s="1"/>
      <c r="W34" s="1"/>
      <c r="X34" s="1"/>
      <c r="Y34" s="1"/>
      <c r="Z34" s="1"/>
    </row>
    <row r="35" spans="1:26" ht="15.75" customHeight="1" x14ac:dyDescent="0.25">
      <c r="A35" s="6" t="s">
        <v>5</v>
      </c>
      <c r="B35" s="3" t="s">
        <v>6</v>
      </c>
      <c r="C35" s="3" t="s">
        <v>48</v>
      </c>
      <c r="D35" s="3" t="str">
        <f ca="1">IFERROR(__xludf.DUMMYFUNCTION("GOOGLETRANSLATE(C35,""ES"",""EN"")"),"Financing \ Result \ Retrings in the Community Model")</f>
        <v>Financing \ Result \ Retrings in the Community Model</v>
      </c>
      <c r="E35" s="3" t="s">
        <v>96</v>
      </c>
      <c r="F35" s="3" t="str">
        <f ca="1">IFERROR(__xludf.DUMMYFUNCTION("GOOGLETRANSLATE(E35,""ES"",""EN"")"),"Here in Antofagasta, for example, when the achievement that Cosam was created at first, which was divided into three sectors, that helped the user very attend according to his place where he lived and there was an order with delivery of medications , with"&amp;" the extraction of exams that are done monthly. But that lasted very little and started first that because no longer, no, no, the service of, the health service no longer had to pay the lease Done worked the Cosam, then they transferred it to another plac"&amp;"e. And so everything was deteriorating.")</f>
        <v>Here in Antofagasta, for example, when the achievement that Cosam was created at first, which was divided into three sectors, that helped the user very attend according to his place where he lived and there was an order with delivery of medications , with the extraction of exams that are done monthly. But that lasted very little and started first that because no longer, no, no, the service of, the health service no longer had to pay the lease Done worked the Cosam, then they transferred it to another place. And so everything was deteriorating.</v>
      </c>
      <c r="G35" s="3" t="s">
        <v>97</v>
      </c>
      <c r="H35" s="28">
        <v>0.85557075156642604</v>
      </c>
      <c r="I35" s="3" t="s">
        <v>51</v>
      </c>
      <c r="J35" s="3" t="str">
        <f ca="1">IFERROR(__xludf.DUMMYFUNCTION("GOOGLETRANSLATE(I35,""ES"",""EN"")"),"Negative effect: CSMC financing logics do not stimulate the implementation of the community mental health model.")</f>
        <v>Negative effect: CSMC financing logics do not stimulate the implementation of the community mental health model.</v>
      </c>
      <c r="K35" s="1"/>
      <c r="L35" s="1"/>
      <c r="M35" s="1"/>
      <c r="N35" s="1"/>
      <c r="O35" s="1"/>
      <c r="P35" s="1"/>
      <c r="Q35" s="1"/>
      <c r="R35" s="1"/>
      <c r="S35" s="1"/>
      <c r="T35" s="1"/>
      <c r="U35" s="1"/>
      <c r="V35" s="1"/>
      <c r="W35" s="1"/>
      <c r="X35" s="1"/>
      <c r="Y35" s="1"/>
      <c r="Z35" s="1"/>
    </row>
    <row r="36" spans="1:26" ht="15.75" customHeight="1" x14ac:dyDescent="0.25">
      <c r="A36" s="2" t="s">
        <v>5</v>
      </c>
      <c r="B36" s="3" t="s">
        <v>6</v>
      </c>
      <c r="C36" s="3" t="s">
        <v>85</v>
      </c>
      <c r="D36" s="3" t="str">
        <f ca="1">IFERROR(__xludf.DUMMYFUNCTION("GOOGLETRANSLATE(C36,""ES"",""EN"")"),"Human Resources \ Result \ Lack of specialists")</f>
        <v>Human Resources \ Result \ Lack of specialists</v>
      </c>
      <c r="E36" s="3" t="s">
        <v>98</v>
      </c>
      <c r="F36" s="3" t="str">
        <f ca="1">IFERROR(__xludf.DUMMYFUNCTION("GOOGLETRANSLATE(E36,""ES"",""EN"")"),"And now as I say the worst is as it attracts the attention of the psychiatrist was, at least before it was every three months. Now later the psychiatrist was here, every six months in the user's attention. And already the last, there were no psychiatrists"&amp;", there was no attention. Then the medications arrive according to the remaining sessions, that is, the indications that remained.")</f>
        <v>And now as I say the worst is as it attracts the attention of the psychiatrist was, at least before it was every three months. Now later the psychiatrist was here, every six months in the user's attention. And already the last, there were no psychiatrists, there was no attention. Then the medications arrive according to the remaining sessions, that is, the indications that remained.</v>
      </c>
      <c r="G36" s="3" t="s">
        <v>99</v>
      </c>
      <c r="H36" s="28">
        <v>0.59635507776470209</v>
      </c>
      <c r="I36" s="3" t="s">
        <v>21</v>
      </c>
      <c r="J36" s="3" t="str">
        <f ca="1">IFERROR(__xludf.DUMMYFUNCTION("GOOGLETRANSLATE(I36,""ES"",""EN"")"),"Negative effects: high rotation of professionals")</f>
        <v>Negative effects: high rotation of professionals</v>
      </c>
      <c r="K36" s="1"/>
      <c r="L36" s="1"/>
      <c r="M36" s="1"/>
      <c r="N36" s="1"/>
      <c r="O36" s="1"/>
      <c r="P36" s="1"/>
      <c r="Q36" s="1"/>
      <c r="R36" s="1"/>
      <c r="S36" s="1"/>
      <c r="T36" s="1"/>
      <c r="U36" s="1"/>
      <c r="V36" s="1"/>
      <c r="W36" s="1"/>
      <c r="X36" s="1"/>
      <c r="Y36" s="1"/>
      <c r="Z36" s="1"/>
    </row>
    <row r="37" spans="1:26" ht="15.75" customHeight="1" x14ac:dyDescent="0.25">
      <c r="A37" s="2" t="s">
        <v>5</v>
      </c>
      <c r="B37" s="3" t="s">
        <v>6</v>
      </c>
      <c r="C37" s="3" t="s">
        <v>7</v>
      </c>
      <c r="D37" s="3" t="str">
        <f ca="1">IFERROR(__xludf.DUMMYFUNCTION("GOOGLETRANSLATE(C37,""ES"",""EN"")"),"HUMAN RESOURCES \ INSUFFICIENT STAFF \ PERSONNEL IN FRONT OF DEMAND")</f>
        <v>HUMAN RESOURCES \ INSUFFICIENT STAFF \ PERSONNEL IN FRONT OF DEMAND</v>
      </c>
      <c r="E37" s="3" t="s">
        <v>100</v>
      </c>
      <c r="F37" s="3" t="str">
        <f ca="1">IFERROR(__xludf.DUMMYFUNCTION("GOOGLETRANSLATE(E37,""ES"",""EN"")"),"Now follow -up of patients in Cosam when they are discharged from psychiatry and send them to Cosam, there is no follow -up and that is because they do not have a vehicle, they do not have a social worker, they have one for Cosam and to be able to monitor"&amp;" That patient. When it fails, it does not come, ask where it is, because it is not. No, that does not exist. And there must be user monitoring and there is no that here Antofagasta.")</f>
        <v>Now follow -up of patients in Cosam when they are discharged from psychiatry and send them to Cosam, there is no follow -up and that is because they do not have a vehicle, they do not have a social worker, they have one for Cosam and to be able to monitor That patient. When it fails, it does not come, ask where it is, because it is not. No, that does not exist. And there must be user monitoring and there is no that here Antofagasta.</v>
      </c>
      <c r="G37" s="3" t="s">
        <v>101</v>
      </c>
      <c r="H37" s="28">
        <v>0.7013135714512897</v>
      </c>
      <c r="I37" s="3" t="s">
        <v>10</v>
      </c>
      <c r="J37" s="3" t="str">
        <f ca="1">IFERROR(__xludf.DUMMYFUNCTION("GOOGLETRANSLATE(I37,""ES"",""EN"")"),"Negative effects: staff does not cover the demand for care")</f>
        <v>Negative effects: staff does not cover the demand for care</v>
      </c>
      <c r="K37" s="1"/>
      <c r="L37" s="1"/>
      <c r="M37" s="1"/>
      <c r="N37" s="1"/>
      <c r="O37" s="1"/>
      <c r="P37" s="1"/>
      <c r="Q37" s="1"/>
      <c r="R37" s="1"/>
      <c r="S37" s="1"/>
      <c r="T37" s="1"/>
      <c r="U37" s="1"/>
      <c r="V37" s="1"/>
      <c r="W37" s="1"/>
      <c r="X37" s="1"/>
      <c r="Y37" s="1"/>
      <c r="Z37" s="1"/>
    </row>
    <row r="38" spans="1:26" ht="15.75" customHeight="1" x14ac:dyDescent="0.25">
      <c r="A38" s="2" t="s">
        <v>5</v>
      </c>
      <c r="B38" s="3" t="s">
        <v>6</v>
      </c>
      <c r="C38" s="3" t="s">
        <v>7</v>
      </c>
      <c r="D38" s="3" t="str">
        <f ca="1">IFERROR(__xludf.DUMMYFUNCTION("GOOGLETRANSLATE(C38,""ES"",""EN"")"),"HUMAN RESOURCES \ INSUFFICIENT STAFF \ PERSONNEL IN FRONT OF DEMAND")</f>
        <v>HUMAN RESOURCES \ INSUFFICIENT STAFF \ PERSONNEL IN FRONT OF DEMAND</v>
      </c>
      <c r="E38" s="3" t="s">
        <v>102</v>
      </c>
      <c r="F38" s="3" t="str">
        <f ca="1">IFERROR(__xludf.DUMMYFUNCTION("GOOGLETRANSLATE(E38,""ES"",""EN"")"),"So that has been increasing, then the three cosam in Antofagasta, was done little. Imagine that Antofagasta attends to the regions, that is, the region that Taltal, Mejillones, Tocopilla, María Elena. It is not supplied at all.")</f>
        <v>So that has been increasing, then the three cosam in Antofagasta, was done little. Imagine that Antofagasta attends to the regions, that is, the region that Taltal, Mejillones, Tocopilla, María Elena. It is not supplied at all.</v>
      </c>
      <c r="G38" s="3" t="s">
        <v>103</v>
      </c>
      <c r="H38" s="28">
        <v>0.37371584873254671</v>
      </c>
      <c r="I38" s="3" t="s">
        <v>10</v>
      </c>
      <c r="J38" s="3" t="str">
        <f ca="1">IFERROR(__xludf.DUMMYFUNCTION("GOOGLETRANSLATE(I38,""ES"",""EN"")"),"Negative effects: staff does not cover the demand for care")</f>
        <v>Negative effects: staff does not cover the demand for care</v>
      </c>
      <c r="K38" s="1"/>
      <c r="L38" s="1"/>
      <c r="M38" s="1"/>
      <c r="N38" s="1"/>
      <c r="O38" s="1"/>
      <c r="P38" s="1"/>
      <c r="Q38" s="1"/>
      <c r="R38" s="1"/>
      <c r="S38" s="1"/>
      <c r="T38" s="1"/>
      <c r="U38" s="1"/>
      <c r="V38" s="1"/>
      <c r="W38" s="1"/>
      <c r="X38" s="1"/>
      <c r="Y38" s="1"/>
      <c r="Z38" s="1"/>
    </row>
    <row r="39" spans="1:26" ht="15.75" customHeight="1" x14ac:dyDescent="0.25">
      <c r="A39" s="2" t="s">
        <v>5</v>
      </c>
      <c r="B39" s="3" t="s">
        <v>6</v>
      </c>
      <c r="C39" s="3" t="s">
        <v>7</v>
      </c>
      <c r="D39" s="3" t="str">
        <f ca="1">IFERROR(__xludf.DUMMYFUNCTION("GOOGLETRANSLATE(C39,""ES"",""EN"")"),"HUMAN RESOURCES \ INSUFFICIENT STAFF \ PERSONNEL IN FRONT OF DEMAND")</f>
        <v>HUMAN RESOURCES \ INSUFFICIENT STAFF \ PERSONNEL IN FRONT OF DEMAND</v>
      </c>
      <c r="E39" s="3" t="s">
        <v>104</v>
      </c>
      <c r="F39" s="3" t="str">
        <f ca="1">IFERROR(__xludf.DUMMYFUNCTION("GOOGLETRANSLATE(E39,""ES"",""EN"")"),"Then more Cosam is needed, and with more personal and with more psychiatrists.")</f>
        <v>Then more Cosam is needed, and with more personal and with more psychiatrists.</v>
      </c>
      <c r="G39" s="3" t="s">
        <v>105</v>
      </c>
      <c r="H39" s="28">
        <v>0.11609045513819535</v>
      </c>
      <c r="I39" s="3" t="s">
        <v>10</v>
      </c>
      <c r="J39" s="3" t="str">
        <f ca="1">IFERROR(__xludf.DUMMYFUNCTION("GOOGLETRANSLATE(I39,""ES"",""EN"")"),"Negative effects: staff does not cover the demand for care")</f>
        <v>Negative effects: staff does not cover the demand for care</v>
      </c>
      <c r="K39" s="1"/>
      <c r="L39" s="1"/>
      <c r="M39" s="1"/>
      <c r="N39" s="1"/>
      <c r="O39" s="1"/>
      <c r="P39" s="1"/>
      <c r="Q39" s="1"/>
      <c r="R39" s="1"/>
      <c r="S39" s="1"/>
      <c r="T39" s="1"/>
      <c r="U39" s="1"/>
      <c r="V39" s="1"/>
      <c r="W39" s="1"/>
      <c r="X39" s="1"/>
      <c r="Y39" s="1"/>
      <c r="Z39" s="1"/>
    </row>
    <row r="40" spans="1:26" ht="15.75" customHeight="1" x14ac:dyDescent="0.25">
      <c r="A40" s="8" t="s">
        <v>5</v>
      </c>
      <c r="B40" s="3" t="s">
        <v>6</v>
      </c>
      <c r="C40" s="3" t="s">
        <v>106</v>
      </c>
      <c r="D40" s="3" t="str">
        <f ca="1">IFERROR(__xludf.DUMMYFUNCTION("GOOGLETRANSLATE(C40,""ES"",""EN"")"),"Medications and Technologies \ Result \ Lack of medications")</f>
        <v>Medications and Technologies \ Result \ Lack of medications</v>
      </c>
      <c r="E40" s="3" t="s">
        <v>107</v>
      </c>
      <c r="F40" s="3" t="str">
        <f ca="1">IFERROR(__xludf.DUMMYFUNCTION("GOOGLETRANSLATE(E40,""ES"",""EN"")"),"Now the lack of medication, there was a time that the medications were good and now, for example, I tell him my son when he went to withdraw medication the one again they gave him a part of the medication and said that he had to go Because they missed. An"&amp;"d that, imagine. So that absence of medication also harms users.")</f>
        <v>Now the lack of medication, there was a time that the medications were good and now, for example, I tell him my son when he went to withdraw medication the one again they gave him a part of the medication and said that he had to go Because they missed. And that, imagine. So that absence of medication also harms users.</v>
      </c>
      <c r="G40" s="3" t="s">
        <v>108</v>
      </c>
      <c r="H40" s="28">
        <v>0.56136891320250626</v>
      </c>
      <c r="I40" s="3" t="s">
        <v>33</v>
      </c>
      <c r="J40" s="3" t="str">
        <f ca="1">IFERROR(__xludf.DUMMYFUNCTION("GOOGLETRANSLATE(I40,""ES"",""EN"")"),"Negative effects: lack of family integration ...")</f>
        <v>Negative effects: lack of family integration ...</v>
      </c>
      <c r="K40" s="1"/>
      <c r="L40" s="1"/>
      <c r="M40" s="1"/>
      <c r="N40" s="1"/>
      <c r="O40" s="1"/>
      <c r="P40" s="1"/>
      <c r="Q40" s="1"/>
      <c r="R40" s="1"/>
      <c r="S40" s="1"/>
      <c r="T40" s="1"/>
      <c r="U40" s="1"/>
      <c r="V40" s="1"/>
      <c r="W40" s="1"/>
      <c r="X40" s="1"/>
      <c r="Y40" s="1"/>
      <c r="Z40" s="1"/>
    </row>
    <row r="41" spans="1:26" ht="15.75" customHeight="1" x14ac:dyDescent="0.25">
      <c r="A41" s="10" t="s">
        <v>5</v>
      </c>
      <c r="B41" s="3" t="s">
        <v>109</v>
      </c>
      <c r="C41" s="3" t="s">
        <v>110</v>
      </c>
      <c r="D41" s="3" t="str">
        <f ca="1">IFERROR(__xludf.DUMMYFUNCTION("GOOGLETRANSLATE(C41,""ES"",""EN"")"),"Information \ Result \ Bad quality of clinical registration")</f>
        <v>Information \ Result \ Bad quality of clinical registration</v>
      </c>
      <c r="E41" s="3" t="s">
        <v>111</v>
      </c>
      <c r="F41" s="3" t="str">
        <f ca="1">IFERROR(__xludf.DUMMYFUNCTION("GOOGLETRANSLATE(E41,""ES"",""EN"")"),"For example, we had to get closer to the Cosam when we did a kind of research regarding protected households, protected households and protected residence how many people were vaccinated, because there was a vaccination campaign, let's say big, we know. T"&amp;"hen it turns out that the protected households that were administered by relatives of users gave us the data and we gave them to the Ministry. But how much we wanted to, say, find out, let's have the information of the people with outpatient treatment, wh"&amp;"o had to see the Cosam with this, the Cosam did not have the information, they did not have the information.")</f>
        <v>For example, we had to get closer to the Cosam when we did a kind of research regarding protected households, protected households and protected residence how many people were vaccinated, because there was a vaccination campaign, let's say big, we know. Then it turns out that the protected households that were administered by relatives of users gave us the data and we gave them to the Ministry. But how much we wanted to, say, find out, let's have the information of the people with outpatient treatment, who had to see the Cosam with this, the Cosam did not have the information, they did not have the information.</v>
      </c>
      <c r="G41" s="3" t="s">
        <v>112</v>
      </c>
      <c r="H41" s="28">
        <v>1.0686682993543462</v>
      </c>
      <c r="I41" s="3" t="s">
        <v>113</v>
      </c>
      <c r="J41" s="3" t="str">
        <f ca="1">IFERROR(__xludf.DUMMYFUNCTION("GOOGLETRANSLATE(I41,""ES"",""EN"")"),"Negative effect: poor quality of the clinical registration.")</f>
        <v>Negative effect: poor quality of the clinical registration.</v>
      </c>
      <c r="K41" s="1"/>
      <c r="L41" s="1"/>
      <c r="M41" s="1"/>
      <c r="N41" s="1"/>
      <c r="O41" s="1"/>
      <c r="P41" s="1"/>
      <c r="Q41" s="1"/>
      <c r="R41" s="1"/>
      <c r="S41" s="1"/>
      <c r="T41" s="1"/>
      <c r="U41" s="1"/>
      <c r="V41" s="1"/>
      <c r="W41" s="1"/>
      <c r="X41" s="1"/>
      <c r="Y41" s="1"/>
      <c r="Z41" s="1"/>
    </row>
    <row r="42" spans="1:26" ht="15.75" customHeight="1" x14ac:dyDescent="0.25">
      <c r="A42" s="6" t="s">
        <v>5</v>
      </c>
      <c r="B42" s="3" t="s">
        <v>109</v>
      </c>
      <c r="C42" s="3" t="s">
        <v>62</v>
      </c>
      <c r="D42" s="3" t="str">
        <f ca="1">IFERROR(__xludf.DUMMYFUNCTION("GOOGLETRANSLATE(C42,""ES"",""EN"")"),"FINANCING \ RESULT \ BUDGET A CSMC WITHOUT INCREASE")</f>
        <v>FINANCING \ RESULT \ BUDGET A CSMC WITHOUT INCREASE</v>
      </c>
      <c r="E42" s="3" t="s">
        <v>114</v>
      </c>
      <c r="F42" s="3" t="str">
        <f ca="1">IFERROR(__xludf.DUMMYFUNCTION("GOOGLETRANSLATE(E42,""ES"",""EN"")"),"Because for example, a partner who could not come from Puerto Montt, she says that really, first of all, now there is a lack of financing.")</f>
        <v>Because for example, a partner who could not come from Puerto Montt, she says that really, first of all, now there is a lack of financing.</v>
      </c>
      <c r="G42" s="3" t="s">
        <v>115</v>
      </c>
      <c r="H42" s="28">
        <v>0.22104894882478293</v>
      </c>
      <c r="I42" s="3" t="s">
        <v>65</v>
      </c>
      <c r="J42" s="3" t="str">
        <f ca="1">IFERROR(__xludf.DUMMYFUNCTION("GOOGLETRANSLATE(I42,""ES"",""EN"")"),"Negative effect: actors do not identify a CSMC financing system")</f>
        <v>Negative effect: actors do not identify a CSMC financing system</v>
      </c>
      <c r="K42" s="1"/>
      <c r="L42" s="1"/>
      <c r="M42" s="1"/>
      <c r="N42" s="1"/>
      <c r="O42" s="1"/>
      <c r="P42" s="1"/>
      <c r="Q42" s="1"/>
      <c r="R42" s="1"/>
      <c r="S42" s="1"/>
      <c r="T42" s="1"/>
      <c r="U42" s="1"/>
      <c r="V42" s="1"/>
      <c r="W42" s="1"/>
      <c r="X42" s="1"/>
      <c r="Y42" s="1"/>
      <c r="Z42" s="1"/>
    </row>
    <row r="43" spans="1:26" ht="15.75" customHeight="1" x14ac:dyDescent="0.25">
      <c r="A43" s="6" t="s">
        <v>5</v>
      </c>
      <c r="B43" s="3" t="s">
        <v>109</v>
      </c>
      <c r="C43" s="3" t="s">
        <v>62</v>
      </c>
      <c r="D43" s="3" t="str">
        <f ca="1">IFERROR(__xludf.DUMMYFUNCTION("GOOGLETRANSLATE(C43,""ES"",""EN"")"),"FINANCING \ RESULT \ BUDGET A CSMC WITHOUT INCREASE")</f>
        <v>FINANCING \ RESULT \ BUDGET A CSMC WITHOUT INCREASE</v>
      </c>
      <c r="E43" s="3" t="s">
        <v>116</v>
      </c>
      <c r="F43" s="3" t="str">
        <f ca="1">IFERROR(__xludf.DUMMYFUNCTION("GOOGLETRANSLATE(E43,""ES"",""EN"")"),"When we were going to visit some places, in this case Osorno and the other regions, they always said that the initiative was very good, but in one way or another it was to relieve, say, that people went to health services, To psychiatry, that this was a, "&amp;"say, the health reform would have had a good eye to try to install these Cosam. A device close to the community, with a professional team that was going to respond to people, who was going to be closer to people, because that is the important thing, that "&amp;"the doctor did not see as ""Godor"", but as Doctor, as a close person. And the truth of the things we were talking about professionals and said looks at the truth of things is that the idea is very good, but here we are only with a social worker, social w"&amp;"orker, there are not, there are not the other professionals. Well, today Osorno is better, it is better because already talked that he has to be realistic. But resources are missing. And when resources are missing, let's say, we undoubtedly say things are"&amp;" limping.")</f>
        <v>When we were going to visit some places, in this case Osorno and the other regions, they always said that the initiative was very good, but in one way or another it was to relieve, say, that people went to health services, To psychiatry, that this was a, say, the health reform would have had a good eye to try to install these Cosam. A device close to the community, with a professional team that was going to respond to people, who was going to be closer to people, because that is the important thing, that the doctor did not see as "Godor", but as Doctor, as a close person. And the truth of the things we were talking about professionals and said looks at the truth of things is that the idea is very good, but here we are only with a social worker, social worker, there are not, there are not the other professionals. Well, today Osorno is better, it is better because already talked that he has to be realistic. But resources are missing. And when resources are missing, let's say, we undoubtedly say things are limping.</v>
      </c>
      <c r="G43" s="3" t="s">
        <v>117</v>
      </c>
      <c r="H43" s="28">
        <v>1.7190929041697147</v>
      </c>
      <c r="I43" s="3" t="s">
        <v>65</v>
      </c>
      <c r="J43" s="3" t="str">
        <f ca="1">IFERROR(__xludf.DUMMYFUNCTION("GOOGLETRANSLATE(I43,""ES"",""EN"")"),"Negative effect: actors do not identify a CSMC financing system")</f>
        <v>Negative effect: actors do not identify a CSMC financing system</v>
      </c>
      <c r="K43" s="1"/>
      <c r="L43" s="1"/>
      <c r="M43" s="1"/>
      <c r="N43" s="1"/>
      <c r="O43" s="1"/>
      <c r="P43" s="1"/>
      <c r="Q43" s="1"/>
      <c r="R43" s="1"/>
      <c r="S43" s="1"/>
      <c r="T43" s="1"/>
      <c r="U43" s="1"/>
      <c r="V43" s="1"/>
      <c r="W43" s="1"/>
      <c r="X43" s="1"/>
      <c r="Y43" s="1"/>
      <c r="Z43" s="1"/>
    </row>
    <row r="44" spans="1:26" ht="15.75" customHeight="1" x14ac:dyDescent="0.25">
      <c r="A44" s="11" t="s">
        <v>5</v>
      </c>
      <c r="B44" s="3" t="s">
        <v>47</v>
      </c>
      <c r="C44" s="3" t="s">
        <v>118</v>
      </c>
      <c r="D44" s="3" t="str">
        <f ca="1">IFERROR(__xludf.DUMMYFUNCTION("GOOGLETRANSLATE(C44,""ES"",""EN"")"),"Benefits \ Result \ or not monitoring of patients")</f>
        <v>Benefits \ Result \ or not monitoring of patients</v>
      </c>
      <c r="E44" s="3" t="s">
        <v>119</v>
      </c>
      <c r="F44" s="3" t="str">
        <f ca="1">IFERROR(__xludf.DUMMYFUNCTION("GOOGLETRANSLATE(E44,""ES"",""EN"")"),"And that there is a real follow -up of the patients. At least I have realized that patients leave, they don't return anymore and nobody cares what happens to them, huh?")</f>
        <v>And that there is a real follow -up of the patients. At least I have realized that patients leave, they don't return anymore and nobody cares what happens to them, huh?</v>
      </c>
      <c r="G44" s="3" t="s">
        <v>120</v>
      </c>
      <c r="H44" s="28">
        <v>0.27193791546070417</v>
      </c>
      <c r="I44" s="3" t="s">
        <v>44</v>
      </c>
      <c r="J44" s="3" t="str">
        <f ca="1">IFERROR(__xludf.DUMMYFUNCTION("GOOGLETRANSLATE(I44,""ES"",""EN"")"),"Negative effects: limit the integrality and continuity of care")</f>
        <v>Negative effects: limit the integrality and continuity of care</v>
      </c>
      <c r="K44" s="1"/>
      <c r="L44" s="1"/>
      <c r="M44" s="1"/>
      <c r="N44" s="1"/>
      <c r="O44" s="1"/>
      <c r="P44" s="1"/>
      <c r="Q44" s="1"/>
      <c r="R44" s="1"/>
      <c r="S44" s="1"/>
      <c r="T44" s="1"/>
      <c r="U44" s="1"/>
      <c r="V44" s="1"/>
      <c r="W44" s="1"/>
      <c r="X44" s="1"/>
      <c r="Y44" s="1"/>
      <c r="Z44" s="1"/>
    </row>
    <row r="45" spans="1:26" ht="15.75" customHeight="1" x14ac:dyDescent="0.25">
      <c r="A45" s="11" t="s">
        <v>5</v>
      </c>
      <c r="B45" s="3" t="s">
        <v>47</v>
      </c>
      <c r="C45" s="3" t="s">
        <v>121</v>
      </c>
      <c r="D45" s="3" t="str">
        <f ca="1">IFERROR(__xludf.DUMMYFUNCTION("GOOGLETRANSLATE(C45,""ES"",""EN"")"),"Benefits \ Result \ There is no crisis or urgency attention")</f>
        <v>Benefits \ Result \ There is no crisis or urgency attention</v>
      </c>
      <c r="E45" s="3" t="s">
        <v>122</v>
      </c>
      <c r="F45" s="3" t="str">
        <f ca="1">IFERROR(__xludf.DUMMYFUNCTION("GOOGLETRANSLATE(E45,""ES"",""EN"")"),"That there is an emergency service. I hope the Cosam could attend urgencies because they are not enabled for that. The Cosam receives the patient in crisis and derives it. He sends it to the psychiatric or here in this case Cerrillos the Hran Hospital, bu"&amp;"t in the hospital there is no psychiatry, for example, for patient hospitalization. And they have told me that San Borja is just like that a sector for psychiatry patients is going to enable, but here we do not have for hospitalization.")</f>
        <v>That there is an emergency service. I hope the Cosam could attend urgencies because they are not enabled for that. The Cosam receives the patient in crisis and derives it. He sends it to the psychiatric or here in this case Cerrillos the Hran Hospital, but in the hospital there is no psychiatry, for example, for patient hospitalization. And they have told me that San Borja is just like that a sector for psychiatry patients is going to enable, but here we do not have for hospitalization.</v>
      </c>
      <c r="G45" s="3" t="s">
        <v>123</v>
      </c>
      <c r="H45" s="28">
        <v>0.8046817849305048</v>
      </c>
      <c r="I45" s="3" t="s">
        <v>44</v>
      </c>
      <c r="J45" s="3" t="str">
        <f ca="1">IFERROR(__xludf.DUMMYFUNCTION("GOOGLETRANSLATE(I45,""ES"",""EN"")"),"Negative effects: limit the integrality and continuity of care")</f>
        <v>Negative effects: limit the integrality and continuity of care</v>
      </c>
      <c r="K45" s="1"/>
      <c r="L45" s="1"/>
      <c r="M45" s="1"/>
      <c r="N45" s="1"/>
      <c r="O45" s="1"/>
      <c r="P45" s="1"/>
      <c r="Q45" s="1"/>
      <c r="R45" s="1"/>
      <c r="S45" s="1"/>
      <c r="T45" s="1"/>
      <c r="U45" s="1"/>
      <c r="V45" s="1"/>
      <c r="W45" s="1"/>
      <c r="X45" s="1"/>
      <c r="Y45" s="1"/>
      <c r="Z45" s="1"/>
    </row>
    <row r="46" spans="1:26" ht="15.75" customHeight="1" x14ac:dyDescent="0.25">
      <c r="A46" s="11" t="s">
        <v>5</v>
      </c>
      <c r="B46" s="3" t="s">
        <v>6</v>
      </c>
      <c r="C46" s="3" t="s">
        <v>118</v>
      </c>
      <c r="D46" s="3" t="str">
        <f ca="1">IFERROR(__xludf.DUMMYFUNCTION("GOOGLETRANSLATE(C46,""ES"",""EN"")"),"Benefits \ Result \ or not monitoring of patients")</f>
        <v>Benefits \ Result \ or not monitoring of patients</v>
      </c>
      <c r="E46" s="3" t="s">
        <v>124</v>
      </c>
      <c r="F46" s="3" t="str">
        <f ca="1">IFERROR(__xludf.DUMMYFUNCTION("GOOGLETRANSLATE(E46,""ES"",""EN"")"),"Well going to the individual benefit, the follow -up that of the patient to have good care, a good delivery of medications and follow -up in all their life that they have in the patient's care are good.")</f>
        <v>Well going to the individual benefit, the follow -up that of the patient to have good care, a good delivery of medications and follow -up in all their life that they have in the patient's care are good.</v>
      </c>
      <c r="G46" s="3" t="s">
        <v>125</v>
      </c>
      <c r="H46" s="28">
        <v>0.36735472790305651</v>
      </c>
      <c r="I46" s="3" t="s">
        <v>44</v>
      </c>
      <c r="J46" s="3" t="str">
        <f ca="1">IFERROR(__xludf.DUMMYFUNCTION("GOOGLETRANSLATE(I46,""ES"",""EN"")"),"Negative effects: limit the integrality and continuity of care")</f>
        <v>Negative effects: limit the integrality and continuity of care</v>
      </c>
      <c r="K46" s="1"/>
      <c r="L46" s="1"/>
      <c r="M46" s="1"/>
      <c r="N46" s="1"/>
      <c r="O46" s="1"/>
      <c r="P46" s="1"/>
      <c r="Q46" s="1"/>
      <c r="R46" s="1"/>
      <c r="S46" s="1"/>
      <c r="T46" s="1"/>
      <c r="U46" s="1"/>
      <c r="V46" s="1"/>
      <c r="W46" s="1"/>
      <c r="X46" s="1"/>
      <c r="Y46" s="1"/>
      <c r="Z46" s="1"/>
    </row>
    <row r="47" spans="1:26" ht="15.75" customHeight="1" x14ac:dyDescent="0.25">
      <c r="A47" s="7" t="s">
        <v>5</v>
      </c>
      <c r="B47" s="3" t="s">
        <v>6</v>
      </c>
      <c r="C47" s="3" t="s">
        <v>30</v>
      </c>
      <c r="D47" s="3" t="str">
        <f ca="1">IFERROR(__xludf.DUMMYFUNCTION("GOOGLETRANSLATE(C47,""ES"",""EN"")"),"Users \ result \ people who work without access to benefits")</f>
        <v>Users \ result \ people who work without access to benefits</v>
      </c>
      <c r="E47" s="3" t="s">
        <v>126</v>
      </c>
      <c r="F47" s="3" t="str">
        <f ca="1">IFERROR(__xludf.DUMMYFUNCTION("GOOGLETRANSLATE(E47,""ES"",""EN"")"),"Also respect your working hours. For example, there are times that they have to work and are summoned for such a day and they cannot go, as a solution, not that they say no, I do not deliver the medication, not because it did not come, do you understand m"&amp;"e?")</f>
        <v>Also respect your working hours. For example, there are times that they have to work and are summoned for such a day and they cannot go, as a solution, not that they say no, I do not deliver the medication, not because it did not come, do you understand me?</v>
      </c>
      <c r="G47" s="3" t="s">
        <v>103</v>
      </c>
      <c r="H47" s="28">
        <v>0.37371584873254671</v>
      </c>
      <c r="I47" s="3" t="s">
        <v>33</v>
      </c>
      <c r="J47" s="3" t="str">
        <f ca="1">IFERROR(__xludf.DUMMYFUNCTION("GOOGLETRANSLATE(I47,""ES"",""EN"")"),"Negative effects: lack of family integration ...")</f>
        <v>Negative effects: lack of family integration ...</v>
      </c>
      <c r="K47" s="1"/>
      <c r="L47" s="1"/>
      <c r="M47" s="1"/>
      <c r="N47" s="1"/>
      <c r="O47" s="1"/>
      <c r="P47" s="1"/>
      <c r="Q47" s="1"/>
      <c r="R47" s="1"/>
      <c r="S47" s="1"/>
      <c r="T47" s="1"/>
      <c r="U47" s="1"/>
      <c r="V47" s="1"/>
      <c r="W47" s="1"/>
      <c r="X47" s="1"/>
      <c r="Y47" s="1"/>
      <c r="Z47" s="1"/>
    </row>
    <row r="48" spans="1:26" ht="15.75" customHeight="1" x14ac:dyDescent="0.25">
      <c r="A48" s="11" t="s">
        <v>5</v>
      </c>
      <c r="B48" s="3" t="s">
        <v>47</v>
      </c>
      <c r="C48" s="3" t="s">
        <v>121</v>
      </c>
      <c r="D48" s="3" t="str">
        <f ca="1">IFERROR(__xludf.DUMMYFUNCTION("GOOGLETRANSLATE(C48,""ES"",""EN"")"),"Benefits \ Result \ There is no crisis or urgency attention")</f>
        <v>Benefits \ Result \ There is no crisis or urgency attention</v>
      </c>
      <c r="E48" s="3" t="s">
        <v>127</v>
      </c>
      <c r="F48" s="3" t="str">
        <f ca="1">IFERROR(__xludf.DUMMYFUNCTION("GOOGLETRANSLATE(E48,""ES"",""EN"")"),"It is incredible that if a patient, a user gets sick from another pathology, the urgency does not attend it. It does not attend it because it goes with the antecedent. I say I had my son super badly, super bad and I had to go to the emergency room and rej"&amp;"ected me. They made it wait. Then I had to call a patient or a particular doctor of the house and what it means are more than 100,000 pesos call a doctor. That is what I go, that there should be good emergency care and that the emergency places know how t"&amp;"o respect mental health patients.")</f>
        <v>It is incredible that if a patient, a user gets sick from another pathology, the urgency does not attend it. It does not attend it because it goes with the antecedent. I say I had my son super badly, super bad and I had to go to the emergency room and rejected me. They made it wait. Then I had to call a patient or a particular doctor of the house and what it means are more than 100,000 pesos call a doctor. That is what I go, that there should be good emergency care and that the emergency places know how to respect mental health patients.</v>
      </c>
      <c r="G48" s="3" t="s">
        <v>128</v>
      </c>
      <c r="H48" s="28">
        <v>0.86670271301803381</v>
      </c>
      <c r="I48" s="3" t="s">
        <v>44</v>
      </c>
      <c r="J48" s="3" t="str">
        <f ca="1">IFERROR(__xludf.DUMMYFUNCTION("GOOGLETRANSLATE(I48,""ES"",""EN"")"),"Negative effects: limit the integrality and continuity of care")</f>
        <v>Negative effects: limit the integrality and continuity of care</v>
      </c>
      <c r="K48" s="1"/>
      <c r="L48" s="1"/>
      <c r="M48" s="1"/>
      <c r="N48" s="1"/>
      <c r="O48" s="1"/>
      <c r="P48" s="1"/>
      <c r="Q48" s="1"/>
      <c r="R48" s="1"/>
      <c r="S48" s="1"/>
      <c r="T48" s="1"/>
      <c r="U48" s="1"/>
      <c r="V48" s="1"/>
      <c r="W48" s="1"/>
      <c r="X48" s="1"/>
      <c r="Y48" s="1"/>
      <c r="Z48" s="1"/>
    </row>
    <row r="49" spans="1:26" ht="15.75" customHeight="1" x14ac:dyDescent="0.25">
      <c r="A49" s="10" t="s">
        <v>5</v>
      </c>
      <c r="B49" s="3" t="s">
        <v>47</v>
      </c>
      <c r="C49" s="3" t="s">
        <v>129</v>
      </c>
      <c r="D49" s="3" t="str">
        <f ca="1">IFERROR(__xludf.DUMMYFUNCTION("GOOGLETRANSLATE(C49,""ES"",""EN"")"),"INFORMATION \ Result \ Electronic clinical record do not dialogue between levels")</f>
        <v>INFORMATION \ Result \ Electronic clinical record do not dialogue between levels</v>
      </c>
      <c r="E49" s="3" t="s">
        <v>130</v>
      </c>
      <c r="F49" s="3" t="str">
        <f ca="1">IFERROR(__xludf.DUMMYFUNCTION("GOOGLETRANSLATE(E49,""ES"",""EN"")"),"We got the Cesfam and Cosam to have this Rayen Language Service for their file and to communicate with each other. As Cesfam are those who send patients to Cosam so that they already go with their file and everything that happens to them, the diagnosis th"&amp;"ey made in Cesfam, because they are sent to Cosam, etc., and so on what interests them, Because there was a problem of medication duality, recipes, recipes were being given in Cesfam and the same recipe in Cosam were also giving. But the problem we have t"&amp;"hat the hospital has another system called Florence. Then he does not communicate with the Cesfam or the Cosam. The other hospital also has another, another computational system. So that makes patient care difficult, because they are referred to the hospi"&amp;"tal for an urgency, there they have to review again and if they go with exams they have to repeat the exams. And yes, because there he has no idea who he is or because they send it. That is an issue that someone should worry about everyone having the same"&amp;" computational system to speak the same language and the entities, hospitals with the Cesfam, the Cosam, the Cescof, the CESCOF were discussed so that the user file was Online everywhere.")</f>
        <v>We got the Cesfam and Cosam to have this Rayen Language Service for their file and to communicate with each other. As Cesfam are those who send patients to Cosam so that they already go with their file and everything that happens to them, the diagnosis they made in Cesfam, because they are sent to Cosam, etc., and so on what interests them, Because there was a problem of medication duality, recipes, recipes were being given in Cesfam and the same recipe in Cosam were also giving. But the problem we have that the hospital has another system called Florence. Then he does not communicate with the Cesfam or the Cosam. The other hospital also has another, another computational system. So that makes patient care difficult, because they are referred to the hospital for an urgency, there they have to review again and if they go with exams they have to repeat the exams. And yes, because there he has no idea who he is or because they send it. That is an issue that someone should worry about everyone having the same computational system to speak the same language and the entities, hospitals with the Cesfam, the Cosam, the Cescof, the CESCOF were discussed so that the user file was Online everywhere.</v>
      </c>
      <c r="G49" s="3" t="s">
        <v>131</v>
      </c>
      <c r="H49" s="28">
        <v>2.0991698737317517</v>
      </c>
      <c r="I49" s="3" t="s">
        <v>132</v>
      </c>
      <c r="J49" s="3" t="str">
        <f ca="1">IFERROR(__xludf.DUMMYFUNCTION("GOOGLETRANSLATE(I49,""ES"",""EN"")"),"Negative effect: clinical record does not dialogue between care levels")</f>
        <v>Negative effect: clinical record does not dialogue between care levels</v>
      </c>
      <c r="K49" s="1"/>
      <c r="L49" s="1"/>
      <c r="M49" s="1"/>
      <c r="N49" s="1"/>
      <c r="O49" s="1"/>
      <c r="P49" s="1"/>
      <c r="Q49" s="1"/>
      <c r="R49" s="1"/>
      <c r="S49" s="1"/>
      <c r="T49" s="1"/>
      <c r="U49" s="1"/>
      <c r="V49" s="1"/>
      <c r="W49" s="1"/>
      <c r="X49" s="1"/>
      <c r="Y49" s="1"/>
      <c r="Z49" s="1"/>
    </row>
    <row r="50" spans="1:26" ht="15.75" customHeight="1" x14ac:dyDescent="0.25">
      <c r="A50" s="12" t="s">
        <v>5</v>
      </c>
      <c r="B50" s="3" t="s">
        <v>47</v>
      </c>
      <c r="C50" s="3" t="s">
        <v>133</v>
      </c>
      <c r="D50" s="3" t="str">
        <f ca="1">IFERROR(__xludf.DUMMYFUNCTION("GOOGLETRANSLATE(C50,""ES"",""EN"")"),"Governance \ Result \ tensions in the relationship with user advice")</f>
        <v>Governance \ Result \ tensions in the relationship with user advice</v>
      </c>
      <c r="E50" s="3" t="s">
        <v>134</v>
      </c>
      <c r="F50" s="3" t="str">
        <f ca="1">IFERROR(__xludf.DUMMYFUNCTION("GOOGLETRANSLATE(E50,""ES"",""EN"")"),"We here have noticed in Cerrillos, especially here, that lack of availability of Cesfam managers, for example. That there is a cooperation with the civil community because the problems that people have are not solved. People's real problems are not solved"&amp;". For example, the lack of doctors. In a Cesfam there should be 100 daily attention and there are 40. The telephone line does not work. People have to arrive at 04:00 in the morning to ask for time to be treated that day. Then I have noticed. I belong to "&amp;"the CDL also of my Cesfam so I speak it with knowledge of cause. There is no ease of managers to solve the problems that one sees as a user, that one sees the problems of the community. They are always going to look for a loophole or that they have tried "&amp;"and it has not resulted.")</f>
        <v>We here have noticed in Cerrillos, especially here, that lack of availability of Cesfam managers, for example. That there is a cooperation with the civil community because the problems that people have are not solved. People's real problems are not solved. For example, the lack of doctors. In a Cesfam there should be 100 daily attention and there are 40. The telephone line does not work. People have to arrive at 04:00 in the morning to ask for time to be treated that day. Then I have noticed. I belong to the CDL also of my Cesfam so I speak it with knowledge of cause. There is no ease of managers to solve the problems that one sees as a user, that one sees the problems of the community. They are always going to look for a loophole or that they have tried and it has not resulted.</v>
      </c>
      <c r="G50" s="3" t="s">
        <v>135</v>
      </c>
      <c r="H50" s="28">
        <v>1.3469673356445406</v>
      </c>
      <c r="I50" s="3" t="s">
        <v>136</v>
      </c>
      <c r="J50" s="3" t="str">
        <f ca="1">IFERROR(__xludf.DUMMYFUNCTION("GOOGLETRANSLATE(I50,""ES"",""EN"")"),"Negative effect: tensions in the relationship with user organizations")</f>
        <v>Negative effect: tensions in the relationship with user organizations</v>
      </c>
      <c r="K50" s="1"/>
      <c r="L50" s="1"/>
      <c r="M50" s="1"/>
      <c r="N50" s="1"/>
      <c r="O50" s="1"/>
      <c r="P50" s="1"/>
      <c r="Q50" s="1"/>
      <c r="R50" s="1"/>
      <c r="S50" s="1"/>
      <c r="T50" s="1"/>
      <c r="U50" s="1"/>
      <c r="V50" s="1"/>
      <c r="W50" s="1"/>
      <c r="X50" s="1"/>
      <c r="Y50" s="1"/>
      <c r="Z50" s="1"/>
    </row>
    <row r="51" spans="1:26" ht="15.75" customHeight="1" x14ac:dyDescent="0.25">
      <c r="A51" s="12" t="s">
        <v>5</v>
      </c>
      <c r="B51" s="3" t="s">
        <v>47</v>
      </c>
      <c r="C51" s="3" t="s">
        <v>133</v>
      </c>
      <c r="D51" s="3" t="str">
        <f ca="1">IFERROR(__xludf.DUMMYFUNCTION("GOOGLETRANSLATE(C51,""ES"",""EN"")"),"Governance \ Result \ tensions in the relationship with user advice")</f>
        <v>Governance \ Result \ tensions in the relationship with user advice</v>
      </c>
      <c r="E51" s="3" t="s">
        <v>137</v>
      </c>
      <c r="F51" s="3" t="str">
        <f ca="1">IFERROR(__xludf.DUMMYFUNCTION("GOOGLETRANSLATE(E51,""ES"",""EN"")"),"As for Cosam, since the problems with the directives that were replaced, we had a good approach, a good arrival. They gave us many facilities, numbers, budget figures and all types of data. Because in the background we were who visible the problems that w"&amp;"ere in Cosam before the authority. And that's why we had a good relationship. Now I notice that the new directive is like defensive. As does not trust our good will. But I think it is a matter of will on both parties. One as a civilian cannot find everyth"&amp;"ing bad when criticizing immediately one has to look for the reasons for why and try to talk with authority and see how to solve problems. But it has to be a mutual issue, not just a negative criticism from the beginning. There must be will on both partie"&amp;"s.")</f>
        <v>As for Cosam, since the problems with the directives that were replaced, we had a good approach, a good arrival. They gave us many facilities, numbers, budget figures and all types of data. Because in the background we were who visible the problems that were in Cosam before the authority. And that's why we had a good relationship. Now I notice that the new directive is like defensive. As does not trust our good will. But I think it is a matter of will on both parties. One as a civilian cannot find everything bad when criticizing immediately one has to look for the reasons for why and try to talk with authority and see how to solve problems. But it has to be a mutual issue, not just a negative criticism from the beginning. There must be will on both parties.</v>
      </c>
      <c r="G51" s="3" t="s">
        <v>138</v>
      </c>
      <c r="H51" s="28">
        <v>1.4328424668426578</v>
      </c>
      <c r="I51" s="3" t="s">
        <v>136</v>
      </c>
      <c r="J51" s="3" t="str">
        <f ca="1">IFERROR(__xludf.DUMMYFUNCTION("GOOGLETRANSLATE(I51,""ES"",""EN"")"),"Negative effect: tensions in the relationship with user organizations")</f>
        <v>Negative effect: tensions in the relationship with user organizations</v>
      </c>
      <c r="K51" s="1"/>
      <c r="L51" s="1"/>
      <c r="M51" s="1"/>
      <c r="N51" s="1"/>
      <c r="O51" s="1"/>
      <c r="P51" s="1"/>
      <c r="Q51" s="1"/>
      <c r="R51" s="1"/>
      <c r="S51" s="1"/>
      <c r="T51" s="1"/>
      <c r="U51" s="1"/>
      <c r="V51" s="1"/>
      <c r="W51" s="1"/>
      <c r="X51" s="1"/>
      <c r="Y51" s="1"/>
      <c r="Z51" s="1"/>
    </row>
    <row r="52" spans="1:26" ht="15.75" customHeight="1" x14ac:dyDescent="0.25">
      <c r="A52" s="12" t="s">
        <v>5</v>
      </c>
      <c r="B52" s="3" t="s">
        <v>6</v>
      </c>
      <c r="C52" s="3" t="s">
        <v>133</v>
      </c>
      <c r="D52" s="3" t="str">
        <f ca="1">IFERROR(__xludf.DUMMYFUNCTION("GOOGLETRANSLATE(C52,""ES"",""EN"")"),"Governance \ Result \ tensions in the relationship with user advice")</f>
        <v>Governance \ Result \ tensions in the relationship with user advice</v>
      </c>
      <c r="E52" s="3" t="s">
        <v>139</v>
      </c>
      <c r="F52" s="3" t="str">
        <f ca="1">IFERROR(__xludf.DUMMYFUNCTION("GOOGLETRANSLATE(E52,""ES"",""EN"")"),"We are poor, because, for example, to make a good dissemination, a good education in regard to mental health, either in schools, in universities that there are health careers, with the authorities even with fiscal estates and even Justice, because justice"&amp;" today an ignorance but great with respect to mental health. And there, hence the bad more the bad praxis that are made with patients who become judged and do not take into account their mental health. So that education is missing.")</f>
        <v>We are poor, because, for example, to make a good dissemination, a good education in regard to mental health, either in schools, in universities that there are health careers, with the authorities even with fiscal estates and even Justice, because justice today an ignorance but great with respect to mental health. And there, hence the bad more the bad praxis that are made with patients who become judged and do not take into account their mental health. So that education is missing.</v>
      </c>
      <c r="G52" s="3" t="s">
        <v>140</v>
      </c>
      <c r="H52" s="28">
        <v>0.8205845870042302</v>
      </c>
      <c r="I52" s="3" t="s">
        <v>136</v>
      </c>
      <c r="J52" s="3" t="str">
        <f ca="1">IFERROR(__xludf.DUMMYFUNCTION("GOOGLETRANSLATE(I52,""ES"",""EN"")"),"Negative effect: tensions in the relationship with user organizations")</f>
        <v>Negative effect: tensions in the relationship with user organizations</v>
      </c>
      <c r="K52" s="1"/>
      <c r="L52" s="1"/>
      <c r="M52" s="1"/>
      <c r="N52" s="1"/>
      <c r="O52" s="1"/>
      <c r="P52" s="1"/>
      <c r="Q52" s="1"/>
      <c r="R52" s="1"/>
      <c r="S52" s="1"/>
      <c r="T52" s="1"/>
      <c r="U52" s="1"/>
      <c r="V52" s="1"/>
      <c r="W52" s="1"/>
      <c r="X52" s="1"/>
      <c r="Y52" s="1"/>
      <c r="Z52" s="1"/>
    </row>
    <row r="53" spans="1:26" ht="15.75" customHeight="1" x14ac:dyDescent="0.25">
      <c r="A53" s="12" t="s">
        <v>5</v>
      </c>
      <c r="B53" s="3" t="s">
        <v>6</v>
      </c>
      <c r="C53" s="3" t="s">
        <v>133</v>
      </c>
      <c r="D53" s="3" t="str">
        <f ca="1">IFERROR(__xludf.DUMMYFUNCTION("GOOGLETRANSLATE(C53,""ES"",""EN"")"),"Governance \ Result \ tensions in the relationship with user advice")</f>
        <v>Governance \ Result \ tensions in the relationship with user advice</v>
      </c>
      <c r="E53" s="3" t="s">
        <v>141</v>
      </c>
      <c r="F53" s="3" t="str">
        <f ca="1">IFERROR(__xludf.DUMMYFUNCTION("GOOGLETRANSLATE(E53,""ES"",""EN"")"),"For example, we as groups have made citizen places to educate people. Of goodwill some characters to go to university talks, talks in some schools, but it is very little. That is, the important thing that there was a good financing of the health services,"&amp;" of the Ministry of Health, in order to be able to educate the population and to reach a total knowledge of what is referred to by mental health and benefits and non -benefits And all that kind of thing, because if there is no education, we will not achie"&amp;"ve knowledge. Imagine that in the same hospital, when they have no idea what a patient is mental health, they simply do not attend to it no more and return it.")</f>
        <v>For example, we as groups have made citizen places to educate people. Of goodwill some characters to go to university talks, talks in some schools, but it is very little. That is, the important thing that there was a good financing of the health services, of the Ministry of Health, in order to be able to educate the population and to reach a total knowledge of what is referred to by mental health and benefits and non -benefits And all that kind of thing, because if there is no education, we will not achieve knowledge. Imagine that in the same hospital, when they have no idea what a patient is mental health, they simply do not attend to it no more and return it.</v>
      </c>
      <c r="G53" s="3" t="s">
        <v>142</v>
      </c>
      <c r="H53" s="28">
        <v>1.1497725899303457</v>
      </c>
      <c r="I53" s="3" t="s">
        <v>136</v>
      </c>
      <c r="J53" s="3" t="str">
        <f ca="1">IFERROR(__xludf.DUMMYFUNCTION("GOOGLETRANSLATE(I53,""ES"",""EN"")"),"Negative effect: tensions in the relationship with user organizations")</f>
        <v>Negative effect: tensions in the relationship with user organizations</v>
      </c>
      <c r="K53" s="1"/>
      <c r="L53" s="1"/>
      <c r="M53" s="1"/>
      <c r="N53" s="1"/>
      <c r="O53" s="1"/>
      <c r="P53" s="1"/>
      <c r="Q53" s="1"/>
      <c r="R53" s="1"/>
      <c r="S53" s="1"/>
      <c r="T53" s="1"/>
      <c r="U53" s="1"/>
      <c r="V53" s="1"/>
      <c r="W53" s="1"/>
      <c r="X53" s="1"/>
      <c r="Y53" s="1"/>
      <c r="Z53" s="1"/>
    </row>
    <row r="54" spans="1:26" ht="15.75" customHeight="1" x14ac:dyDescent="0.25">
      <c r="A54" s="2" t="s">
        <v>5</v>
      </c>
      <c r="B54" s="3" t="s">
        <v>47</v>
      </c>
      <c r="C54" s="3" t="s">
        <v>7</v>
      </c>
      <c r="D54" s="3" t="str">
        <f ca="1">IFERROR(__xludf.DUMMYFUNCTION("GOOGLETRANSLATE(C54,""ES"",""EN"")"),"HUMAN RESOURCES \ INSUFFICIENT STAFF \ PERSONNEL IN FRONT OF DEMAND")</f>
        <v>HUMAN RESOURCES \ INSUFFICIENT STAFF \ PERSONNEL IN FRONT OF DEMAND</v>
      </c>
      <c r="E54" s="3" t="s">
        <v>143</v>
      </c>
      <c r="F54" s="3" t="str">
        <f ca="1">IFERROR(__xludf.DUMMYFUNCTION("GOOGLETRANSLATE(E54,""ES"",""EN"")"),"So I think it should be more accessible. And not only with referrals, because that problem is very serious, because Cesfam have one or two psychologists who do not supply to serve the entire population they attend, who belong to that Cesfam. Then there ar"&amp;"e already a list of people who are waiting.")</f>
        <v>So I think it should be more accessible. And not only with referrals, because that problem is very serious, because Cesfam have one or two psychologists who do not supply to serve the entire population they attend, who belong to that Cesfam. Then there are already a list of people who are waiting.</v>
      </c>
      <c r="G54" s="3" t="s">
        <v>144</v>
      </c>
      <c r="H54" s="28">
        <v>0.53592442988454558</v>
      </c>
      <c r="I54" s="3" t="s">
        <v>10</v>
      </c>
      <c r="J54" s="3" t="str">
        <f ca="1">IFERROR(__xludf.DUMMYFUNCTION("GOOGLETRANSLATE(I54,""ES"",""EN"")"),"Negative effects: staff does not cover the demand for care")</f>
        <v>Negative effects: staff does not cover the demand for care</v>
      </c>
      <c r="K54" s="1"/>
      <c r="L54" s="1"/>
      <c r="M54" s="1"/>
      <c r="N54" s="1"/>
      <c r="O54" s="1"/>
      <c r="P54" s="1"/>
      <c r="Q54" s="1"/>
      <c r="R54" s="1"/>
      <c r="S54" s="1"/>
      <c r="T54" s="1"/>
      <c r="U54" s="1"/>
      <c r="V54" s="1"/>
      <c r="W54" s="1"/>
      <c r="X54" s="1"/>
      <c r="Y54" s="1"/>
      <c r="Z54" s="1"/>
    </row>
    <row r="55" spans="1:26" ht="15.75" customHeight="1" x14ac:dyDescent="0.25">
      <c r="A55" s="11" t="s">
        <v>5</v>
      </c>
      <c r="B55" s="3" t="s">
        <v>47</v>
      </c>
      <c r="C55" s="3" t="s">
        <v>121</v>
      </c>
      <c r="D55" s="3" t="str">
        <f ca="1">IFERROR(__xludf.DUMMYFUNCTION("GOOGLETRANSLATE(C55,""ES"",""EN"")"),"Benefits \ Result \ There is no crisis or urgency attention")</f>
        <v>Benefits \ Result \ There is no crisis or urgency attention</v>
      </c>
      <c r="E55" s="3" t="s">
        <v>145</v>
      </c>
      <c r="F55" s="3" t="str">
        <f ca="1">IFERROR(__xludf.DUMMYFUNCTION("GOOGLETRANSLATE(E55,""ES"",""EN"")"),"And as long as they do not attend to those people who may be serious cases with crisis, with suicidal attempt, one does not know.")</f>
        <v>And as long as they do not attend to those people who may be serious cases with crisis, with suicidal attempt, one does not know.</v>
      </c>
      <c r="G55" s="3" t="s">
        <v>146</v>
      </c>
      <c r="H55" s="28">
        <v>0.19878502592156738</v>
      </c>
      <c r="I55" s="3" t="s">
        <v>44</v>
      </c>
      <c r="J55" s="3" t="str">
        <f ca="1">IFERROR(__xludf.DUMMYFUNCTION("GOOGLETRANSLATE(I55,""ES"",""EN"")"),"Negative effects: limit the integrality and continuity of care")</f>
        <v>Negative effects: limit the integrality and continuity of care</v>
      </c>
      <c r="K55" s="1"/>
      <c r="L55" s="1"/>
      <c r="M55" s="1"/>
      <c r="N55" s="1"/>
      <c r="O55" s="1"/>
      <c r="P55" s="1"/>
      <c r="Q55" s="1"/>
      <c r="R55" s="1"/>
      <c r="S55" s="1"/>
      <c r="T55" s="1"/>
      <c r="U55" s="1"/>
      <c r="V55" s="1"/>
      <c r="W55" s="1"/>
      <c r="X55" s="1"/>
      <c r="Y55" s="1"/>
      <c r="Z55" s="1"/>
    </row>
    <row r="56" spans="1:26" ht="15.75" customHeight="1" x14ac:dyDescent="0.25">
      <c r="A56" s="6" t="s">
        <v>5</v>
      </c>
      <c r="B56" s="3" t="s">
        <v>47</v>
      </c>
      <c r="C56" s="3" t="s">
        <v>12</v>
      </c>
      <c r="D56" s="3" t="str">
        <f ca="1">IFERROR(__xludf.DUMMYFUNCTION("GOOGLETRANSLATE(C56,""ES"",""EN"")"),"FINANCING \ Result \ Bad quality of care")</f>
        <v>FINANCING \ Result \ Bad quality of care</v>
      </c>
      <c r="E56" s="3" t="s">
        <v>147</v>
      </c>
      <c r="F56" s="3" t="str">
        <f ca="1">IFERROR(__xludf.DUMMYFUNCTION("GOOGLETRANSLATE(E56,""ES"",""EN"")"),"There should be any other system that will help to get to Cosam more expedited, more efficient. Because it is really a bureaucracy now. Because as I as a Cesfam patient I have to get up at 04:00 starting to ask the doctor. If the doctor agrees, he sends m"&amp;"e to the office of the office, Cesfam. But if that psychologist has time, he will attend me. If not, I will be on a waiting list. And what will happen to me? If I am wrong. So that, that should be solved and should reach a greater population I believe. Th"&amp;"at you have to regulate it.")</f>
        <v>There should be any other system that will help to get to Cosam more expedited, more efficient. Because it is really a bureaucracy now. Because as I as a Cesfam patient I have to get up at 04:00 starting to ask the doctor. If the doctor agrees, he sends me to the office of the office, Cesfam. But if that psychologist has time, he will attend me. If not, I will be on a waiting list. And what will happen to me? If I am wrong. So that, that should be solved and should reach a greater population I believe. That you have to regulate it.</v>
      </c>
      <c r="G56" s="3" t="s">
        <v>148</v>
      </c>
      <c r="H56" s="28">
        <v>0.94939728380140576</v>
      </c>
      <c r="I56" s="3" t="s">
        <v>15</v>
      </c>
      <c r="J56" s="3" t="str">
        <f ca="1">IFERROR(__xludf.DUMMYFUNCTION("GOOGLETRANSLATE(I56,""ES"",""EN"")"),"Negative effect: financing mechanisms end up generating problems to CSMC.")</f>
        <v>Negative effect: financing mechanisms end up generating problems to CSMC.</v>
      </c>
      <c r="K56" s="1"/>
      <c r="L56" s="1"/>
      <c r="M56" s="1"/>
      <c r="N56" s="1"/>
      <c r="O56" s="1"/>
      <c r="P56" s="1"/>
      <c r="Q56" s="1"/>
      <c r="R56" s="1"/>
      <c r="S56" s="1"/>
      <c r="T56" s="1"/>
      <c r="U56" s="1"/>
      <c r="V56" s="1"/>
      <c r="W56" s="1"/>
      <c r="X56" s="1"/>
      <c r="Y56" s="1"/>
      <c r="Z56" s="1"/>
    </row>
    <row r="57" spans="1:26" ht="15.75" customHeight="1" x14ac:dyDescent="0.25">
      <c r="A57" s="6" t="s">
        <v>5</v>
      </c>
      <c r="B57" s="3" t="s">
        <v>6</v>
      </c>
      <c r="C57" s="3" t="s">
        <v>12</v>
      </c>
      <c r="D57" s="3" t="str">
        <f ca="1">IFERROR(__xludf.DUMMYFUNCTION("GOOGLETRANSLATE(C57,""ES"",""EN"")"),"FINANCING \ Result \ Bad quality of care")</f>
        <v>FINANCING \ Result \ Bad quality of care</v>
      </c>
      <c r="E57" s="3" t="s">
        <v>149</v>
      </c>
      <c r="F57" s="3" t="str">
        <f ca="1">IFERROR(__xludf.DUMMYFUNCTION("GOOGLETRANSLATE(E57,""ES"",""EN"")"),"And I have been watching him when I accompany someone, there are children. I do not know, there is no separation and the psychiatrist, as I say, is a psychiatrist for Cosam and has to do all the problems and a psychologist, a nurse and then the administra"&amp;"tive part comes, so there is little what I say, the attention that an infant should receive for example.")</f>
        <v>And I have been watching him when I accompany someone, there are children. I do not know, there is no separation and the psychiatrist, as I say, is a psychiatrist for Cosam and has to do all the problems and a psychologist, a nurse and then the administrative part comes, so there is little what I say, the attention that an infant should receive for example.</v>
      </c>
      <c r="G57" s="3" t="s">
        <v>150</v>
      </c>
      <c r="H57" s="28">
        <v>0.56773003403199651</v>
      </c>
      <c r="I57" s="3" t="s">
        <v>15</v>
      </c>
      <c r="J57" s="3" t="str">
        <f ca="1">IFERROR(__xludf.DUMMYFUNCTION("GOOGLETRANSLATE(I57,""ES"",""EN"")"),"Negative effect: financing mechanisms end up generating problems to CSMC.")</f>
        <v>Negative effect: financing mechanisms end up generating problems to CSMC.</v>
      </c>
      <c r="K57" s="1"/>
      <c r="L57" s="1"/>
      <c r="M57" s="1"/>
      <c r="N57" s="1"/>
      <c r="O57" s="1"/>
      <c r="P57" s="1"/>
      <c r="Q57" s="1"/>
      <c r="R57" s="1"/>
      <c r="S57" s="1"/>
      <c r="T57" s="1"/>
      <c r="U57" s="1"/>
      <c r="V57" s="1"/>
      <c r="W57" s="1"/>
      <c r="X57" s="1"/>
      <c r="Y57" s="1"/>
      <c r="Z57" s="1"/>
    </row>
    <row r="58" spans="1:26" ht="15.75" customHeight="1" x14ac:dyDescent="0.25">
      <c r="A58" s="6" t="s">
        <v>5</v>
      </c>
      <c r="B58" s="3" t="s">
        <v>6</v>
      </c>
      <c r="C58" s="3" t="s">
        <v>12</v>
      </c>
      <c r="D58" s="3" t="str">
        <f ca="1">IFERROR(__xludf.DUMMYFUNCTION("GOOGLETRANSLATE(C58,""ES"",""EN"")"),"FINANCING \ Result \ Bad quality of care")</f>
        <v>FINANCING \ Result \ Bad quality of care</v>
      </c>
      <c r="E58" s="3" t="s">
        <v>151</v>
      </c>
      <c r="F58" s="3" t="str">
        <f ca="1">IFERROR(__xludf.DUMMYFUNCTION("GOOGLETRANSLATE(E58,""ES"",""EN"")"),"In May I made a visit to the hospital psychiatric and there was a 15 -year -old girl who was with adults in the same place. Then there is no separation of the teenager, of the type of disease, but everything is scrambled and that there is a shortage.")</f>
        <v>In May I made a visit to the hospital psychiatric and there was a 15 -year -old girl who was with adults in the same place. Then there is no separation of the teenager, of the type of disease, but everything is scrambled and that there is a shortage.</v>
      </c>
      <c r="G58" s="3" t="s">
        <v>152</v>
      </c>
      <c r="H58" s="28">
        <v>0.42142425495372282</v>
      </c>
      <c r="I58" s="3" t="s">
        <v>15</v>
      </c>
      <c r="J58" s="3" t="str">
        <f ca="1">IFERROR(__xludf.DUMMYFUNCTION("GOOGLETRANSLATE(I58,""ES"",""EN"")"),"Negative effect: financing mechanisms end up generating problems to CSMC.")</f>
        <v>Negative effect: financing mechanisms end up generating problems to CSMC.</v>
      </c>
      <c r="K58" s="1"/>
      <c r="L58" s="1"/>
      <c r="M58" s="1"/>
      <c r="N58" s="1"/>
      <c r="O58" s="1"/>
      <c r="P58" s="1"/>
      <c r="Q58" s="1"/>
      <c r="R58" s="1"/>
      <c r="S58" s="1"/>
      <c r="T58" s="1"/>
      <c r="U58" s="1"/>
      <c r="V58" s="1"/>
      <c r="W58" s="1"/>
      <c r="X58" s="1"/>
      <c r="Y58" s="1"/>
      <c r="Z58" s="1"/>
    </row>
    <row r="59" spans="1:26" ht="15.75" customHeight="1" x14ac:dyDescent="0.25">
      <c r="A59" s="6" t="s">
        <v>5</v>
      </c>
      <c r="B59" s="3" t="s">
        <v>6</v>
      </c>
      <c r="C59" s="3" t="s">
        <v>48</v>
      </c>
      <c r="D59" s="3" t="str">
        <f ca="1">IFERROR(__xludf.DUMMYFUNCTION("GOOGLETRANSLATE(C59,""ES"",""EN"")"),"Financing \ Result \ Retrings in the Community Model")</f>
        <v>Financing \ Result \ Retrings in the Community Model</v>
      </c>
      <c r="E59" s="3" t="s">
        <v>153</v>
      </c>
      <c r="F59" s="3" t="str">
        <f ca="1">IFERROR(__xludf.DUMMYFUNCTION("GOOGLETRANSLATE(E59,""ES"",""EN"")"),"Then I lack as I say, resources, personal lack, lack of economic resource and all lack, to achieve something more effective. In the beginning, as in the beginning, the Cosam fulfilled a good job at the beginning, but then everything spoiled.")</f>
        <v>Then I lack as I say, resources, personal lack, lack of economic resource and all lack, to achieve something more effective. In the beginning, as in the beginning, the Cosam fulfilled a good job at the beginning, but then everything spoiled.</v>
      </c>
      <c r="G59" s="3" t="s">
        <v>154</v>
      </c>
      <c r="H59" s="28">
        <v>0.40552145287999747</v>
      </c>
      <c r="I59" s="3" t="s">
        <v>51</v>
      </c>
      <c r="J59" s="3" t="str">
        <f ca="1">IFERROR(__xludf.DUMMYFUNCTION("GOOGLETRANSLATE(I59,""ES"",""EN"")"),"Negative effect: CSMC financing logics do not stimulate the implementation of the community mental health model.")</f>
        <v>Negative effect: CSMC financing logics do not stimulate the implementation of the community mental health model.</v>
      </c>
      <c r="K59" s="1"/>
      <c r="L59" s="1"/>
      <c r="M59" s="1"/>
      <c r="N59" s="1"/>
      <c r="O59" s="1"/>
      <c r="P59" s="1"/>
      <c r="Q59" s="1"/>
      <c r="R59" s="1"/>
      <c r="S59" s="1"/>
      <c r="T59" s="1"/>
      <c r="U59" s="1"/>
      <c r="V59" s="1"/>
      <c r="W59" s="1"/>
      <c r="X59" s="1"/>
      <c r="Y59" s="1"/>
      <c r="Z59" s="1"/>
    </row>
    <row r="60" spans="1:26" ht="15.75" customHeight="1" x14ac:dyDescent="0.25">
      <c r="A60" s="2" t="s">
        <v>5</v>
      </c>
      <c r="B60" s="3" t="s">
        <v>109</v>
      </c>
      <c r="C60" s="3" t="s">
        <v>85</v>
      </c>
      <c r="D60" s="3" t="str">
        <f ca="1">IFERROR(__xludf.DUMMYFUNCTION("GOOGLETRANSLATE(C60,""ES"",""EN"")"),"Human Resources \ Result \ Lack of specialists")</f>
        <v>Human Resources \ Result \ Lack of specialists</v>
      </c>
      <c r="E60" s="3" t="s">
        <v>155</v>
      </c>
      <c r="F60" s="3" t="str">
        <f ca="1">IFERROR(__xludf.DUMMYFUNCTION("GOOGLETRANSLATE(E60,""ES"",""EN"")"),"It is that, for example, in Antofagasta there was a time that they had no psychiatrist. But it turns out to see that there must also be a psychiatrist in the hospital. In the hospital there was no psychiatrist, there must be psychiatrists in the offices a"&amp;"nd besides that is the Cosam. So here there is very great poverty.")</f>
        <v>It is that, for example, in Antofagasta there was a time that they had no psychiatrist. But it turns out to see that there must also be a psychiatrist in the hospital. In the hospital there was no psychiatrist, there must be psychiatrists in the offices and besides that is the Cosam. So here there is very great poverty.</v>
      </c>
      <c r="G60" s="3" t="s">
        <v>156</v>
      </c>
      <c r="H60" s="28">
        <v>0.51525078718870265</v>
      </c>
      <c r="I60" s="3" t="s">
        <v>10</v>
      </c>
      <c r="J60" s="3" t="str">
        <f ca="1">IFERROR(__xludf.DUMMYFUNCTION("GOOGLETRANSLATE(I60,""ES"",""EN"")"),"Negative effects: staff does not cover the demand for care")</f>
        <v>Negative effects: staff does not cover the demand for care</v>
      </c>
      <c r="K60" s="1"/>
      <c r="L60" s="1"/>
      <c r="M60" s="1"/>
      <c r="N60" s="1"/>
      <c r="O60" s="1"/>
      <c r="P60" s="1"/>
      <c r="Q60" s="1"/>
      <c r="R60" s="1"/>
      <c r="S60" s="1"/>
      <c r="T60" s="1"/>
      <c r="U60" s="1"/>
      <c r="V60" s="1"/>
      <c r="W60" s="1"/>
      <c r="X60" s="1"/>
      <c r="Y60" s="1"/>
      <c r="Z60" s="1"/>
    </row>
    <row r="61" spans="1:26" ht="15.75" customHeight="1" x14ac:dyDescent="0.25">
      <c r="A61" s="11" t="s">
        <v>5</v>
      </c>
      <c r="B61" s="3" t="s">
        <v>109</v>
      </c>
      <c r="C61" s="3" t="s">
        <v>118</v>
      </c>
      <c r="D61" s="3" t="str">
        <f ca="1">IFERROR(__xludf.DUMMYFUNCTION("GOOGLETRANSLATE(C61,""ES"",""EN"")"),"Benefits \ Result \ or not monitoring of patients")</f>
        <v>Benefits \ Result \ or not monitoring of patients</v>
      </c>
      <c r="E61" s="3" t="s">
        <v>157</v>
      </c>
      <c r="F61" s="3" t="str">
        <f ca="1">IFERROR(__xludf.DUMMYFUNCTION("GOOGLETRANSLATE(E61,""ES"",""EN"")"),"Here is a very large fault, there is a very large fault and for this to improve there must be a study of a new administration, a new standard, a new standard where, where, for example, a person cannot disappearing and nobody continues, nobody knows how it"&amp;" is, because it is the waste of time, resources were invested in that person, that person left for the world and maybe he died. It can't, there can be.")</f>
        <v>Here is a very large fault, there is a very large fault and for this to improve there must be a study of a new administration, a new standard, a new standard where, where, for example, a person cannot disappearing and nobody continues, nobody knows how it is, because it is the waste of time, resources were invested in that person, that person left for the world and maybe he died. It can't, there can be.</v>
      </c>
      <c r="G61" s="3" t="s">
        <v>158</v>
      </c>
      <c r="H61" s="28">
        <v>0.68063992875544677</v>
      </c>
      <c r="I61" s="3" t="s">
        <v>44</v>
      </c>
      <c r="J61" s="3" t="str">
        <f ca="1">IFERROR(__xludf.DUMMYFUNCTION("GOOGLETRANSLATE(I61,""ES"",""EN"")"),"Negative effects: limit the integrality and continuity of care")</f>
        <v>Negative effects: limit the integrality and continuity of care</v>
      </c>
      <c r="K61" s="1"/>
      <c r="L61" s="1"/>
      <c r="M61" s="1"/>
      <c r="N61" s="1"/>
      <c r="O61" s="1"/>
      <c r="P61" s="1"/>
      <c r="Q61" s="1"/>
      <c r="R61" s="1"/>
      <c r="S61" s="1"/>
      <c r="T61" s="1"/>
      <c r="U61" s="1"/>
      <c r="V61" s="1"/>
      <c r="W61" s="1"/>
      <c r="X61" s="1"/>
      <c r="Y61" s="1"/>
      <c r="Z61" s="1"/>
    </row>
    <row r="62" spans="1:26" ht="15.75" customHeight="1" x14ac:dyDescent="0.25">
      <c r="A62" s="12" t="s">
        <v>5</v>
      </c>
      <c r="B62" s="3" t="s">
        <v>109</v>
      </c>
      <c r="C62" s="3" t="s">
        <v>133</v>
      </c>
      <c r="D62" s="3" t="str">
        <f ca="1">IFERROR(__xludf.DUMMYFUNCTION("GOOGLETRANSLATE(C62,""ES"",""EN"")"),"Governance \ Result \ tensions in the relationship with user advice")</f>
        <v>Governance \ Result \ tensions in the relationship with user advice</v>
      </c>
      <c r="E62" s="3" t="s">
        <v>159</v>
      </c>
      <c r="F62" s="3" t="str">
        <f ca="1">IFERROR(__xludf.DUMMYFUNCTION("GOOGLETRANSLATE(E62,""ES"",""EN"")"),"Or I think there has to be a pressure, but based on civil society, because civil society is what we can say from the picture, let's say, in which it is regulated, let's say the professionals, the officials, the authority, let's say They see that the thing"&amp;" is bad. Civil society has to internalize more than this. We realize that a study is needed to support professionals who are worried about that. Not many things.")</f>
        <v>Or I think there has to be a pressure, but based on civil society, because civil society is what we can say from the picture, let's say, in which it is regulated, let's say the professionals, the officials, the authority, let's say They see that the thing is bad. Civil society has to internalize more than this. We realize that a study is needed to support professionals who are worried about that. Not many things.</v>
      </c>
      <c r="G62" s="3" t="s">
        <v>160</v>
      </c>
      <c r="H62" s="28">
        <v>0.74107057663560316</v>
      </c>
      <c r="I62" s="3" t="s">
        <v>136</v>
      </c>
      <c r="J62" s="3" t="str">
        <f ca="1">IFERROR(__xludf.DUMMYFUNCTION("GOOGLETRANSLATE(I62,""ES"",""EN"")"),"Negative effect: tensions in the relationship with user organizations")</f>
        <v>Negative effect: tensions in the relationship with user organizations</v>
      </c>
      <c r="K62" s="1"/>
      <c r="L62" s="1"/>
      <c r="M62" s="1"/>
      <c r="N62" s="1"/>
      <c r="O62" s="1"/>
      <c r="P62" s="1"/>
      <c r="Q62" s="1"/>
      <c r="R62" s="1"/>
      <c r="S62" s="1"/>
      <c r="T62" s="1"/>
      <c r="U62" s="1"/>
      <c r="V62" s="1"/>
      <c r="W62" s="1"/>
      <c r="X62" s="1"/>
      <c r="Y62" s="1"/>
      <c r="Z62" s="1"/>
    </row>
    <row r="63" spans="1:26" ht="15.75" customHeight="1" x14ac:dyDescent="0.25">
      <c r="A63" s="2" t="s">
        <v>5</v>
      </c>
      <c r="B63" s="3" t="s">
        <v>6</v>
      </c>
      <c r="C63" s="3" t="s">
        <v>85</v>
      </c>
      <c r="D63" s="3" t="str">
        <f ca="1">IFERROR(__xludf.DUMMYFUNCTION("GOOGLETRANSLATE(C63,""ES"",""EN"")"),"Human Resources \ Result \ Lack of specialists")</f>
        <v>Human Resources \ Result \ Lack of specialists</v>
      </c>
      <c r="E63" s="3" t="s">
        <v>161</v>
      </c>
      <c r="F63" s="3" t="str">
        <f ca="1">IFERROR(__xludf.DUMMYFUNCTION("GOOGLETRANSLATE(E63,""ES"",""EN"")"),"And one thing I want to add. The forensic psychiatrist is also important. Here in the region. It turns out that here comes the judge, he says, that the one who is convicted already puts him to a special gendarmerie device. But to see him the forensic psyc"&amp;"hiatrist you have to take him to Arica. That is, imagine is like traveling to Santiago, for Arica to see him a psychiatrist. Because the region, the second region, which is the second richest region in Chile, we have no forensic psychiatrist. That is. Her"&amp;"e is the money, everything and no, nothing happens.")</f>
        <v>And one thing I want to add. The forensic psychiatrist is also important. Here in the region. It turns out that here comes the judge, he says, that the one who is convicted already puts him to a special gendarmerie device. But to see him the forensic psychiatrist you have to take him to Arica. That is, imagine is like traveling to Santiago, for Arica to see him a psychiatrist. Because the region, the second region, which is the second richest region in Chile, we have no forensic psychiatrist. That is. Here is the money, everything and no, nothing happens.</v>
      </c>
      <c r="G63" s="3" t="s">
        <v>162</v>
      </c>
      <c r="H63" s="28">
        <v>0.87783467446964147</v>
      </c>
      <c r="I63" s="3" t="s">
        <v>10</v>
      </c>
      <c r="J63" s="3" t="str">
        <f ca="1">IFERROR(__xludf.DUMMYFUNCTION("GOOGLETRANSLATE(I63,""ES"",""EN"")"),"Negative effects: staff does not cover the demand for care")</f>
        <v>Negative effects: staff does not cover the demand for care</v>
      </c>
      <c r="K63" s="1"/>
      <c r="L63" s="1"/>
      <c r="M63" s="1"/>
      <c r="N63" s="1"/>
      <c r="O63" s="1"/>
      <c r="P63" s="1"/>
      <c r="Q63" s="1"/>
      <c r="R63" s="1"/>
      <c r="S63" s="1"/>
      <c r="T63" s="1"/>
      <c r="U63" s="1"/>
      <c r="V63" s="1"/>
      <c r="W63" s="1"/>
      <c r="X63" s="1"/>
      <c r="Y63" s="1"/>
      <c r="Z63" s="1"/>
    </row>
    <row r="64" spans="1:26" ht="15.75" customHeight="1" x14ac:dyDescent="0.25">
      <c r="A64" s="12" t="s">
        <v>5</v>
      </c>
      <c r="B64" s="3" t="s">
        <v>47</v>
      </c>
      <c r="C64" s="3" t="s">
        <v>133</v>
      </c>
      <c r="D64" s="3" t="str">
        <f ca="1">IFERROR(__xludf.DUMMYFUNCTION("GOOGLETRANSLATE(C64,""ES"",""EN"")"),"Governance \ Result \ tensions in the relationship with user advice")</f>
        <v>Governance \ Result \ tensions in the relationship with user advice</v>
      </c>
      <c r="E64" s="3" t="s">
        <v>163</v>
      </c>
      <c r="F64" s="3" t="str">
        <f ca="1">IFERROR(__xludf.DUMMYFUNCTION("GOOGLETRANSLATE(E64,""ES"",""EN"")"),"And that is also a matter of the relationship, of participation. Because that, that is the other, that for example I have even a WhatsApp group with the central metropolitan health service, but we do not reach any relevant information. The only thing they"&amp;" send us every day or on Mondays, a file where they are vaccinating. But there is nothing important. No. or we are called a class that how a diabetic foot is cured. And I really don't want to know that, because that's what the nurse is that is going to cu"&amp;"re my foot to me. I want to know something else. I want to know what happens to resources, where they are going. Because there is always talk of an exorbitant amount of money, but maybe with that money it reaches, but it is diluted, it is lost.")</f>
        <v>And that is also a matter of the relationship, of participation. Because that, that is the other, that for example I have even a WhatsApp group with the central metropolitan health service, but we do not reach any relevant information. The only thing they send us every day or on Mondays, a file where they are vaccinating. But there is nothing important. No. or we are called a class that how a diabetic foot is cured. And I really don't want to know that, because that's what the nurse is that is going to cure my foot to me. I want to know something else. I want to know what happens to resources, where they are going. Because there is always talk of an exorbitant amount of money, but maybe with that money it reaches, but it is diluted, it is lost.</v>
      </c>
      <c r="G64" s="3" t="s">
        <v>164</v>
      </c>
      <c r="H64" s="28">
        <v>1.1895295951146592</v>
      </c>
      <c r="I64" s="3" t="s">
        <v>136</v>
      </c>
      <c r="J64" s="3" t="str">
        <f ca="1">IFERROR(__xludf.DUMMYFUNCTION("GOOGLETRANSLATE(I64,""ES"",""EN"")"),"Negative effect: tensions in the relationship with user organizations")</f>
        <v>Negative effect: tensions in the relationship with user organizations</v>
      </c>
      <c r="K64" s="1"/>
      <c r="L64" s="1"/>
      <c r="M64" s="1"/>
      <c r="N64" s="1"/>
      <c r="O64" s="1"/>
      <c r="P64" s="1"/>
      <c r="Q64" s="1"/>
      <c r="R64" s="1"/>
      <c r="S64" s="1"/>
      <c r="T64" s="1"/>
      <c r="U64" s="1"/>
      <c r="V64" s="1"/>
      <c r="W64" s="1"/>
      <c r="X64" s="1"/>
      <c r="Y64" s="1"/>
      <c r="Z64" s="1"/>
    </row>
    <row r="65" spans="1:26" ht="15.75" customHeight="1" x14ac:dyDescent="0.25">
      <c r="A65" s="12" t="s">
        <v>5</v>
      </c>
      <c r="B65" s="3" t="s">
        <v>47</v>
      </c>
      <c r="C65" s="3" t="s">
        <v>133</v>
      </c>
      <c r="D65" s="3" t="str">
        <f ca="1">IFERROR(__xludf.DUMMYFUNCTION("GOOGLETRANSLATE(C65,""ES"",""EN"")"),"Governance \ Result \ tensions in the relationship with user advice")</f>
        <v>Governance \ Result \ tensions in the relationship with user advice</v>
      </c>
      <c r="E65" s="3" t="s">
        <v>165</v>
      </c>
      <c r="F65" s="3" t="str">
        <f ca="1">IFERROR(__xludf.DUMMYFUNCTION("GOOGLETRANSLATE(E65,""ES"",""EN"")"),"For example, I are going to be six years, I did a course that is called community agents that the psychiatry school of the University of Chile, in the Barros Luco. Several courses were held and I participated in one of them that year. In my class we had m"&amp;"ore than 40. And that course was made several times. I don't know how many. Teachers were paid, maybe the rental lease was paid, coffee and cookies were bought for the break. In some people they were given even the money of locomotion. Those are expenses,"&amp;" expenses that the service did. But they are expenses that I do not have, they had a goal, but it was not relevant. It does not worth for anything. The community agents dilute and do not serve at all. No one used us. We have a basic knowledge of psychiatr"&amp;"y, but we can be companions. We can do several things that we may acquire a more special knowledge and is not used. And those are resources that were lost. So that I would like to know, what happens to the resources that are delivered. Where do the money "&amp;"go, whether or not they are used?")</f>
        <v>For example, I are going to be six years, I did a course that is called community agents that the psychiatry school of the University of Chile, in the Barros Luco. Several courses were held and I participated in one of them that year. In my class we had more than 40. And that course was made several times. I don't know how many. Teachers were paid, maybe the rental lease was paid, coffee and cookies were bought for the break. In some people they were given even the money of locomotion. Those are expenses, expenses that the service did. But they are expenses that I do not have, they had a goal, but it was not relevant. It does not worth for anything. The community agents dilute and do not serve at all. No one used us. We have a basic knowledge of psychiatry, but we can be companions. We can do several things that we may acquire a more special knowledge and is not used. And those are resources that were lost. So that I would like to know, what happens to the resources that are delivered. Where do the money go, whether or not they are used?</v>
      </c>
      <c r="G65" s="3" t="s">
        <v>166</v>
      </c>
      <c r="H65" s="28">
        <v>1.7270443052065776</v>
      </c>
      <c r="I65" s="3" t="s">
        <v>136</v>
      </c>
      <c r="J65" s="3" t="str">
        <f ca="1">IFERROR(__xludf.DUMMYFUNCTION("GOOGLETRANSLATE(I65,""ES"",""EN"")"),"Negative effect: tensions in the relationship with user organizations")</f>
        <v>Negative effect: tensions in the relationship with user organizations</v>
      </c>
      <c r="K65" s="1"/>
      <c r="L65" s="1"/>
      <c r="M65" s="1"/>
      <c r="N65" s="1"/>
      <c r="O65" s="1"/>
      <c r="P65" s="1"/>
      <c r="Q65" s="1"/>
      <c r="R65" s="1"/>
      <c r="S65" s="1"/>
      <c r="T65" s="1"/>
      <c r="U65" s="1"/>
      <c r="V65" s="1"/>
      <c r="W65" s="1"/>
      <c r="X65" s="1"/>
      <c r="Y65" s="1"/>
      <c r="Z65" s="1"/>
    </row>
    <row r="66" spans="1:26" ht="15.75" customHeight="1" x14ac:dyDescent="0.25">
      <c r="A66" s="12" t="s">
        <v>5</v>
      </c>
      <c r="B66" s="3" t="s">
        <v>47</v>
      </c>
      <c r="C66" s="3" t="s">
        <v>133</v>
      </c>
      <c r="D66" s="3" t="str">
        <f ca="1">IFERROR(__xludf.DUMMYFUNCTION("GOOGLETRANSLATE(C66,""ES"",""EN"")"),"Governance \ Result \ tensions in the relationship with user advice")</f>
        <v>Governance \ Result \ tensions in the relationship with user advice</v>
      </c>
      <c r="E66" s="3" t="s">
        <v>167</v>
      </c>
      <c r="F66" s="3" t="str">
        <f ca="1">IFERROR(__xludf.DUMMYFUNCTION("GOOGLETRANSLATE(E66,""ES"",""EN"")"),"There I hope there would be a greater inspection. And for that I believe that citizen participation is also super important and people have to know the laws. People have to know what they can do and join. The population has to join and have to control the"&amp;" entities and that is missing.")</f>
        <v>There I hope there would be a greater inspection. And for that I believe that citizen participation is also super important and people have to know the laws. People have to know what they can do and join. The population has to join and have to control the entities and that is missing.</v>
      </c>
      <c r="G66" s="3" t="s">
        <v>168</v>
      </c>
      <c r="H66" s="28">
        <v>0.4786743424191342</v>
      </c>
      <c r="I66" s="3" t="s">
        <v>136</v>
      </c>
      <c r="J66" s="3" t="str">
        <f ca="1">IFERROR(__xludf.DUMMYFUNCTION("GOOGLETRANSLATE(I66,""ES"",""EN"")"),"Negative effect: tensions in the relationship with user organizations")</f>
        <v>Negative effect: tensions in the relationship with user organizations</v>
      </c>
      <c r="K66" s="1"/>
      <c r="L66" s="1"/>
      <c r="M66" s="1"/>
      <c r="N66" s="1"/>
      <c r="O66" s="1"/>
      <c r="P66" s="1"/>
      <c r="Q66" s="1"/>
      <c r="R66" s="1"/>
      <c r="S66" s="1"/>
      <c r="T66" s="1"/>
      <c r="U66" s="1"/>
      <c r="V66" s="1"/>
      <c r="W66" s="1"/>
      <c r="X66" s="1"/>
      <c r="Y66" s="1"/>
      <c r="Z66" s="1"/>
    </row>
    <row r="67" spans="1:26" ht="15.75" customHeight="1" x14ac:dyDescent="0.25">
      <c r="A67" s="6" t="s">
        <v>5</v>
      </c>
      <c r="B67" s="3" t="s">
        <v>169</v>
      </c>
      <c r="C67" s="3" t="s">
        <v>170</v>
      </c>
      <c r="D67" s="3" t="str">
        <f ca="1">IFERROR(__xludf.DUMMYFUNCTION("GOOGLETRANSLATE(C67,""ES"",""EN"")"),"FINANCING \ Result \ There are waiting lists in the CSMC")</f>
        <v>FINANCING \ Result \ There are waiting lists in the CSMC</v>
      </c>
      <c r="E67" s="3" t="s">
        <v>171</v>
      </c>
      <c r="F67" s="3" t="str">
        <f ca="1">IFERROR(__xludf.DUMMYFUNCTION("GOOGLETRANSLATE(E67,""ES"",""EN"")"),"Then they would like to receive, but there are waiting lists, there are always waiting lists.")</f>
        <v>Then they would like to receive, but there are waiting lists, there are always waiting lists.</v>
      </c>
      <c r="G67" s="3" t="s">
        <v>172</v>
      </c>
      <c r="H67" s="28">
        <v>0.20982689281342895</v>
      </c>
      <c r="I67" s="3" t="s">
        <v>15</v>
      </c>
      <c r="J67" s="3" t="str">
        <f ca="1">IFERROR(__xludf.DUMMYFUNCTION("GOOGLETRANSLATE(I67,""ES"",""EN"")"),"Negative effect: financing mechanisms end up generating problems to CSMC.")</f>
        <v>Negative effect: financing mechanisms end up generating problems to CSMC.</v>
      </c>
      <c r="K67" s="1"/>
      <c r="L67" s="1"/>
      <c r="M67" s="1"/>
      <c r="N67" s="1"/>
      <c r="O67" s="1"/>
      <c r="P67" s="1"/>
      <c r="Q67" s="1"/>
      <c r="R67" s="1"/>
      <c r="S67" s="1"/>
      <c r="T67" s="1"/>
      <c r="U67" s="1"/>
      <c r="V67" s="1"/>
      <c r="W67" s="1"/>
      <c r="X67" s="1"/>
      <c r="Y67" s="1"/>
      <c r="Z67" s="1"/>
    </row>
    <row r="68" spans="1:26" ht="15.75" customHeight="1" x14ac:dyDescent="0.25">
      <c r="A68" s="6" t="s">
        <v>5</v>
      </c>
      <c r="B68" s="3" t="s">
        <v>169</v>
      </c>
      <c r="C68" s="3" t="s">
        <v>170</v>
      </c>
      <c r="D68" s="3" t="str">
        <f ca="1">IFERROR(__xludf.DUMMYFUNCTION("GOOGLETRANSLATE(C68,""ES"",""EN"")"),"FINANCING \ Result \ There are waiting lists in the CSMC")</f>
        <v>FINANCING \ Result \ There are waiting lists in the CSMC</v>
      </c>
      <c r="E68" s="3" t="s">
        <v>173</v>
      </c>
      <c r="F68" s="3" t="str">
        <f ca="1">IFERROR(__xludf.DUMMYFUNCTION("GOOGLETRANSLATE(E68,""ES"",""EN"")"),"And that is where we entered to work with the self -help groups while the waiting list is, we are there the support to keep that family while waiting for their time of attention.")</f>
        <v>And that is where we entered to work with the self -help groups while the waiting list is, we are there the support to keep that family while waiting for their time of attention.</v>
      </c>
      <c r="G68" s="3" t="s">
        <v>174</v>
      </c>
      <c r="H68" s="28">
        <v>0.47960432643069467</v>
      </c>
      <c r="I68" s="3" t="s">
        <v>15</v>
      </c>
      <c r="J68" s="3" t="str">
        <f ca="1">IFERROR(__xludf.DUMMYFUNCTION("GOOGLETRANSLATE(I68,""ES"",""EN"")"),"Negative effect: financing mechanisms end up generating problems to CSMC.")</f>
        <v>Negative effect: financing mechanisms end up generating problems to CSMC.</v>
      </c>
      <c r="K68" s="1"/>
      <c r="L68" s="1"/>
      <c r="M68" s="1"/>
      <c r="N68" s="1"/>
      <c r="O68" s="1"/>
      <c r="P68" s="1"/>
      <c r="Q68" s="1"/>
      <c r="R68" s="1"/>
      <c r="S68" s="1"/>
      <c r="T68" s="1"/>
      <c r="U68" s="1"/>
      <c r="V68" s="1"/>
      <c r="W68" s="1"/>
      <c r="X68" s="1"/>
      <c r="Y68" s="1"/>
      <c r="Z68" s="1"/>
    </row>
    <row r="69" spans="1:26" ht="15.75" customHeight="1" x14ac:dyDescent="0.25">
      <c r="A69" s="7" t="s">
        <v>5</v>
      </c>
      <c r="B69" s="3" t="s">
        <v>169</v>
      </c>
      <c r="C69" s="3" t="s">
        <v>175</v>
      </c>
      <c r="D69" s="3" t="str">
        <f ca="1">IFERROR(__xludf.DUMMYFUNCTION("GOOGLETRANSLATE(C69,""ES"",""EN"")"),"Users \ Result \ Grateful people of the CSMC")</f>
        <v>Users \ Result \ Grateful people of the CSMC</v>
      </c>
      <c r="E69" s="3" t="s">
        <v>176</v>
      </c>
      <c r="F69" s="3" t="str">
        <f ca="1">IFERROR(__xludf.DUMMYFUNCTION("GOOGLETRANSLATE(E69,""ES"",""EN"")"),"I can see the family in general, that I am constantly with them, they are very grateful for this center. Of the team of professionals that are. The. The. The reception they have true. The concern that professionals have.")</f>
        <v>I can see the family in general, that I am constantly with them, they are very grateful for this center. Of the team of professionals that are. The. The. The reception they have true. The concern that professionals have.</v>
      </c>
      <c r="G69" s="3" t="s">
        <v>177</v>
      </c>
      <c r="H69" s="28">
        <v>0.57452601603676967</v>
      </c>
      <c r="I69" s="3" t="s">
        <v>178</v>
      </c>
      <c r="J69" s="3" t="str">
        <f ca="1">IFERROR(__xludf.DUMMYFUNCTION("GOOGLETRANSLATE(I69,""ES"",""EN"")"),"Positive effects: No one is excluded and grateful people from the CSMC")</f>
        <v>Positive effects: No one is excluded and grateful people from the CSMC</v>
      </c>
      <c r="K69" s="1"/>
      <c r="L69" s="1"/>
      <c r="M69" s="1"/>
      <c r="N69" s="1"/>
      <c r="O69" s="1"/>
      <c r="P69" s="1"/>
      <c r="Q69" s="1"/>
      <c r="R69" s="1"/>
      <c r="S69" s="1"/>
      <c r="T69" s="1"/>
      <c r="U69" s="1"/>
      <c r="V69" s="1"/>
      <c r="W69" s="1"/>
      <c r="X69" s="1"/>
      <c r="Y69" s="1"/>
      <c r="Z69" s="1"/>
    </row>
    <row r="70" spans="1:26" ht="15.75" customHeight="1" x14ac:dyDescent="0.25">
      <c r="A70" s="7" t="s">
        <v>5</v>
      </c>
      <c r="B70" s="3" t="s">
        <v>169</v>
      </c>
      <c r="C70" s="3" t="s">
        <v>175</v>
      </c>
      <c r="D70" s="3" t="str">
        <f ca="1">IFERROR(__xludf.DUMMYFUNCTION("GOOGLETRANSLATE(C70,""ES"",""EN"")"),"Users \ Result \ Grateful people of the CSMC")</f>
        <v>Users \ Result \ Grateful people of the CSMC</v>
      </c>
      <c r="E70" s="3" t="s">
        <v>179</v>
      </c>
      <c r="F70" s="3" t="str">
        <f ca="1">IFERROR(__xludf.DUMMYFUNCTION("GOOGLETRANSLATE(E70,""ES"",""EN"")"),"That is, we talk as long as there is a meeting and the ones already say the professionals say we are or all terrain. That is, let's go to everything. And that is very grateful to have met them.")</f>
        <v>That is, we talk as long as there is a meeting and the ones already say the professionals say we are or all terrain. That is, let's go to everything. And that is very grateful to have met them.</v>
      </c>
      <c r="G70" s="3" t="s">
        <v>180</v>
      </c>
      <c r="H70" s="28">
        <v>0.48959608323133408</v>
      </c>
      <c r="I70" s="3" t="s">
        <v>178</v>
      </c>
      <c r="J70" s="3" t="str">
        <f ca="1">IFERROR(__xludf.DUMMYFUNCTION("GOOGLETRANSLATE(I70,""ES"",""EN"")"),"Positive effects: No one is excluded and grateful people from the CSMC")</f>
        <v>Positive effects: No one is excluded and grateful people from the CSMC</v>
      </c>
      <c r="K70" s="1"/>
      <c r="L70" s="1"/>
      <c r="M70" s="1"/>
      <c r="N70" s="1"/>
      <c r="O70" s="1"/>
      <c r="P70" s="1"/>
      <c r="Q70" s="1"/>
      <c r="R70" s="1"/>
      <c r="S70" s="1"/>
      <c r="T70" s="1"/>
      <c r="U70" s="1"/>
      <c r="V70" s="1"/>
      <c r="W70" s="1"/>
      <c r="X70" s="1"/>
      <c r="Y70" s="1"/>
      <c r="Z70" s="1"/>
    </row>
    <row r="71" spans="1:26" ht="15.75" customHeight="1" x14ac:dyDescent="0.25">
      <c r="A71" s="7" t="s">
        <v>5</v>
      </c>
      <c r="B71" s="3" t="s">
        <v>169</v>
      </c>
      <c r="C71" s="3" t="s">
        <v>175</v>
      </c>
      <c r="D71" s="3" t="str">
        <f ca="1">IFERROR(__xludf.DUMMYFUNCTION("GOOGLETRANSLATE(C71,""ES"",""EN"")"),"Users \ Result \ Grateful people of the CSMC")</f>
        <v>Users \ Result \ Grateful people of the CSMC</v>
      </c>
      <c r="E71" s="3" t="s">
        <v>181</v>
      </c>
      <c r="F71" s="3" t="str">
        <f ca="1">IFERROR(__xludf.DUMMYFUNCTION("GOOGLETRANSLATE(E71,""ES"",""EN"")"),"Once a week I make meetings with them. Then they always put e are totally grateful. He says if it weren't for you, where would I be?")</f>
        <v>Once a week I make meetings with them. Then they always put e are totally grateful. He says if it weren't for you, where would I be?</v>
      </c>
      <c r="G71" s="3" t="s">
        <v>64</v>
      </c>
      <c r="H71" s="28">
        <v>0.38967851522493946</v>
      </c>
      <c r="I71" s="3" t="s">
        <v>178</v>
      </c>
      <c r="J71" s="3" t="str">
        <f ca="1">IFERROR(__xludf.DUMMYFUNCTION("GOOGLETRANSLATE(I71,""ES"",""EN"")"),"Positive effects: No one is excluded and grateful people from the CSMC")</f>
        <v>Positive effects: No one is excluded and grateful people from the CSMC</v>
      </c>
      <c r="K71" s="1"/>
      <c r="L71" s="1"/>
      <c r="M71" s="1"/>
      <c r="N71" s="1"/>
      <c r="O71" s="1"/>
      <c r="P71" s="1"/>
      <c r="Q71" s="1"/>
      <c r="R71" s="1"/>
      <c r="S71" s="1"/>
      <c r="T71" s="1"/>
      <c r="U71" s="1"/>
      <c r="V71" s="1"/>
      <c r="W71" s="1"/>
      <c r="X71" s="1"/>
      <c r="Y71" s="1"/>
      <c r="Z71" s="1"/>
    </row>
    <row r="72" spans="1:26" ht="15.75" customHeight="1" x14ac:dyDescent="0.25">
      <c r="A72" s="7" t="s">
        <v>5</v>
      </c>
      <c r="B72" s="3" t="s">
        <v>169</v>
      </c>
      <c r="C72" s="3" t="s">
        <v>175</v>
      </c>
      <c r="D72" s="3" t="str">
        <f ca="1">IFERROR(__xludf.DUMMYFUNCTION("GOOGLETRANSLATE(C72,""ES"",""EN"")"),"Users \ Result \ Grateful people of the CSMC")</f>
        <v>Users \ Result \ Grateful people of the CSMC</v>
      </c>
      <c r="E72" s="3" t="s">
        <v>182</v>
      </c>
      <c r="F72" s="3" t="str">
        <f ca="1">IFERROR(__xludf.DUMMYFUNCTION("GOOGLETRANSLATE(E72,""ES"",""EN"")"),"So it is a gratitude they have towards the health center and they say there should be more centers like these. And compare it a lot with APS. So we are closer. The Cesfam centers are called here are closer.")</f>
        <v>So it is a gratitude they have towards the health center and they say there should be more centers like these. And compare it a lot with APS. So we are closer. The Cesfam centers are called here are closer.</v>
      </c>
      <c r="G72" s="3" t="s">
        <v>183</v>
      </c>
      <c r="H72" s="28">
        <v>0.61449304323932752</v>
      </c>
      <c r="I72" s="3" t="s">
        <v>178</v>
      </c>
      <c r="J72" s="3" t="str">
        <f ca="1">IFERROR(__xludf.DUMMYFUNCTION("GOOGLETRANSLATE(I72,""ES"",""EN"")"),"Positive effects: No one is excluded and grateful people from the CSMC")</f>
        <v>Positive effects: No one is excluded and grateful people from the CSMC</v>
      </c>
      <c r="K72" s="1"/>
      <c r="L72" s="1"/>
      <c r="M72" s="1"/>
      <c r="N72" s="1"/>
      <c r="O72" s="1"/>
      <c r="P72" s="1"/>
      <c r="Q72" s="1"/>
      <c r="R72" s="1"/>
      <c r="S72" s="1"/>
      <c r="T72" s="1"/>
      <c r="U72" s="1"/>
      <c r="V72" s="1"/>
      <c r="W72" s="1"/>
      <c r="X72" s="1"/>
      <c r="Y72" s="1"/>
      <c r="Z72" s="1"/>
    </row>
    <row r="73" spans="1:26" ht="15.75" customHeight="1" x14ac:dyDescent="0.25">
      <c r="A73" s="2" t="s">
        <v>5</v>
      </c>
      <c r="B73" s="3" t="s">
        <v>169</v>
      </c>
      <c r="C73" s="3" t="s">
        <v>7</v>
      </c>
      <c r="D73" s="3" t="str">
        <f ca="1">IFERROR(__xludf.DUMMYFUNCTION("GOOGLETRANSLATE(C73,""ES"",""EN"")"),"HUMAN RESOURCES \ INSUFFICIENT STAFF \ PERSONNEL IN FRONT OF DEMAND")</f>
        <v>HUMAN RESOURCES \ INSUFFICIENT STAFF \ PERSONNEL IN FRONT OF DEMAND</v>
      </c>
      <c r="E73" s="3" t="s">
        <v>184</v>
      </c>
      <c r="F73" s="3" t="str">
        <f ca="1">IFERROR(__xludf.DUMMYFUNCTION("GOOGLETRANSLATE(E73,""ES"",""EN"")"),"The care that doctors, psychiatrists do, but do not supply because there are many, many. Each doctor has many patients.")</f>
        <v>The care that doctors, psychiatrists do, but do not supply because there are many, many. Each doctor has many patients.</v>
      </c>
      <c r="G73" s="3" t="s">
        <v>185</v>
      </c>
      <c r="H73" s="28">
        <v>0.32972797442110258</v>
      </c>
      <c r="I73" s="3" t="s">
        <v>10</v>
      </c>
      <c r="J73" s="3" t="str">
        <f ca="1">IFERROR(__xludf.DUMMYFUNCTION("GOOGLETRANSLATE(I73,""ES"",""EN"")"),"Negative effects: staff does not cover the demand for care")</f>
        <v>Negative effects: staff does not cover the demand for care</v>
      </c>
      <c r="K73" s="1"/>
      <c r="L73" s="1"/>
      <c r="M73" s="1"/>
      <c r="N73" s="1"/>
      <c r="O73" s="1"/>
      <c r="P73" s="1"/>
      <c r="Q73" s="1"/>
      <c r="R73" s="1"/>
      <c r="S73" s="1"/>
      <c r="T73" s="1"/>
      <c r="U73" s="1"/>
      <c r="V73" s="1"/>
      <c r="W73" s="1"/>
      <c r="X73" s="1"/>
      <c r="Y73" s="1"/>
      <c r="Z73" s="1"/>
    </row>
    <row r="74" spans="1:26" ht="15.75" customHeight="1" x14ac:dyDescent="0.25">
      <c r="A74" s="7" t="s">
        <v>5</v>
      </c>
      <c r="B74" s="3" t="s">
        <v>169</v>
      </c>
      <c r="C74" s="3" t="s">
        <v>175</v>
      </c>
      <c r="D74" s="3" t="str">
        <f ca="1">IFERROR(__xludf.DUMMYFUNCTION("GOOGLETRANSLATE(C74,""ES"",""EN"")"),"Users \ Result \ Grateful people of the CSMC")</f>
        <v>Users \ Result \ Grateful people of the CSMC</v>
      </c>
      <c r="E74" s="3" t="s">
        <v>186</v>
      </c>
      <c r="F74" s="3" t="str">
        <f ca="1">IFERROR(__xludf.DUMMYFUNCTION("GOOGLETRANSLATE(E74,""ES"",""EN"")"),"But I find the children who put a lot of heart to what they do, especially in the field. And so the gratitude they have towards the health center is also seen in the family.")</f>
        <v>But I find the children who put a lot of heart to what they do, especially in the field. And so the gratitude they have towards the health center is also seen in the family.</v>
      </c>
      <c r="G74" s="3" t="s">
        <v>187</v>
      </c>
      <c r="H74" s="28">
        <v>0.4870981440311743</v>
      </c>
      <c r="I74" s="3" t="s">
        <v>178</v>
      </c>
      <c r="J74" s="3" t="str">
        <f ca="1">IFERROR(__xludf.DUMMYFUNCTION("GOOGLETRANSLATE(I74,""ES"",""EN"")"),"Positive effects: No one is excluded and grateful people from the CSMC")</f>
        <v>Positive effects: No one is excluded and grateful people from the CSMC</v>
      </c>
      <c r="K74" s="1"/>
      <c r="L74" s="1"/>
      <c r="M74" s="1"/>
      <c r="N74" s="1"/>
      <c r="O74" s="1"/>
      <c r="P74" s="1"/>
      <c r="Q74" s="1"/>
      <c r="R74" s="1"/>
      <c r="S74" s="1"/>
      <c r="T74" s="1"/>
      <c r="U74" s="1"/>
      <c r="V74" s="1"/>
      <c r="W74" s="1"/>
      <c r="X74" s="1"/>
      <c r="Y74" s="1"/>
      <c r="Z74" s="1"/>
    </row>
    <row r="75" spans="1:26" ht="15.75" customHeight="1" x14ac:dyDescent="0.25">
      <c r="A75" s="6" t="s">
        <v>5</v>
      </c>
      <c r="B75" s="3" t="s">
        <v>169</v>
      </c>
      <c r="C75" s="3" t="s">
        <v>62</v>
      </c>
      <c r="D75" s="3" t="str">
        <f ca="1">IFERROR(__xludf.DUMMYFUNCTION("GOOGLETRANSLATE(C75,""ES"",""EN"")"),"FINANCING \ RESULT \ BUDGET A CSMC WITHOUT INCREASE")</f>
        <v>FINANCING \ RESULT \ BUDGET A CSMC WITHOUT INCREASE</v>
      </c>
      <c r="E75" s="3" t="s">
        <v>188</v>
      </c>
      <c r="F75" s="3" t="str">
        <f ca="1">IFERROR(__xludf.DUMMYFUNCTION("GOOGLETRANSLATE(E75,""ES"",""EN"")"),"Mainly the monetary resource has to be missing. It is always missing. Not! Not! Sometimes we scratch ourselves with our own nails, as they say, but there is fed up.")</f>
        <v>Mainly the monetary resource has to be missing. It is always missing. Not! Not! Sometimes we scratch ourselves with our own nails, as they say, but there is fed up.</v>
      </c>
      <c r="G75" s="3" t="s">
        <v>189</v>
      </c>
      <c r="H75" s="28">
        <v>0.40966202882621838</v>
      </c>
      <c r="I75" s="3" t="s">
        <v>65</v>
      </c>
      <c r="J75" s="3" t="str">
        <f ca="1">IFERROR(__xludf.DUMMYFUNCTION("GOOGLETRANSLATE(I75,""ES"",""EN"")"),"Negative effect: actors do not identify a CSMC financing system")</f>
        <v>Negative effect: actors do not identify a CSMC financing system</v>
      </c>
      <c r="K75" s="1"/>
      <c r="L75" s="1"/>
      <c r="M75" s="1"/>
      <c r="N75" s="1"/>
      <c r="O75" s="1"/>
      <c r="P75" s="1"/>
      <c r="Q75" s="1"/>
      <c r="R75" s="1"/>
      <c r="S75" s="1"/>
      <c r="T75" s="1"/>
      <c r="U75" s="1"/>
      <c r="V75" s="1"/>
      <c r="W75" s="1"/>
      <c r="X75" s="1"/>
      <c r="Y75" s="1"/>
      <c r="Z75" s="1"/>
    </row>
    <row r="76" spans="1:26" ht="15.75" customHeight="1" x14ac:dyDescent="0.25">
      <c r="A76" s="6" t="s">
        <v>5</v>
      </c>
      <c r="B76" s="3" t="s">
        <v>169</v>
      </c>
      <c r="C76" s="3" t="s">
        <v>62</v>
      </c>
      <c r="D76" s="3" t="str">
        <f ca="1">IFERROR(__xludf.DUMMYFUNCTION("GOOGLETRANSLATE(C76,""ES"",""EN"")"),"FINANCING \ RESULT \ BUDGET A CSMC WITHOUT INCREASE")</f>
        <v>FINANCING \ RESULT \ BUDGET A CSMC WITHOUT INCREASE</v>
      </c>
      <c r="E76" s="3" t="s">
        <v>190</v>
      </c>
      <c r="F76" s="3" t="str">
        <f ca="1">IFERROR(__xludf.DUMMYFUNCTION("GOOGLETRANSLATE(E76,""ES"",""EN"")"),"Then, h. Hey. Lack. Lack. It is like. We are like the poor circus I say, because they do not consider them mental health centers. As it is a separate device, which is not well looked at. We are always like the tail of everything. And I think mental health"&amp;" is the main thing at this time. Then you have to be there.")</f>
        <v>Then, h. Hey. Lack. Lack. It is like. We are like the poor circus I say, because they do not consider them mental health centers. As it is a separate device, which is not well looked at. We are always like the tail of everything. And I think mental health is the main thing at this time. Then you have to be there.</v>
      </c>
      <c r="G76" s="3" t="s">
        <v>191</v>
      </c>
      <c r="H76" s="28">
        <v>0.81932405765243677</v>
      </c>
      <c r="I76" s="3" t="s">
        <v>65</v>
      </c>
      <c r="J76" s="3" t="str">
        <f ca="1">IFERROR(__xludf.DUMMYFUNCTION("GOOGLETRANSLATE(I76,""ES"",""EN"")"),"Negative effect: actors do not identify a CSMC financing system")</f>
        <v>Negative effect: actors do not identify a CSMC financing system</v>
      </c>
      <c r="K76" s="1"/>
      <c r="L76" s="1"/>
      <c r="M76" s="1"/>
      <c r="N76" s="1"/>
      <c r="O76" s="1"/>
      <c r="P76" s="1"/>
      <c r="Q76" s="1"/>
      <c r="R76" s="1"/>
      <c r="S76" s="1"/>
      <c r="T76" s="1"/>
      <c r="U76" s="1"/>
      <c r="V76" s="1"/>
      <c r="W76" s="1"/>
      <c r="X76" s="1"/>
      <c r="Y76" s="1"/>
      <c r="Z76" s="1"/>
    </row>
    <row r="77" spans="1:26" ht="15.75" customHeight="1" x14ac:dyDescent="0.25">
      <c r="A77" s="6" t="s">
        <v>5</v>
      </c>
      <c r="B77" s="3" t="s">
        <v>169</v>
      </c>
      <c r="C77" s="3" t="s">
        <v>62</v>
      </c>
      <c r="D77" s="3" t="str">
        <f ca="1">IFERROR(__xludf.DUMMYFUNCTION("GOOGLETRANSLATE(C77,""ES"",""EN"")"),"FINANCING \ RESULT \ BUDGET A CSMC WITHOUT INCREASE")</f>
        <v>FINANCING \ RESULT \ BUDGET A CSMC WITHOUT INCREASE</v>
      </c>
      <c r="E77" s="3" t="s">
        <v>192</v>
      </c>
      <c r="F77" s="3" t="str">
        <f ca="1">IFERROR(__xludf.DUMMYFUNCTION("GOOGLETRANSLATE(E77,""ES"",""EN"")"),"The other day Dr. Prieto said we have achieved a bed at the Ovalle hospital for Infanto. A bed. So when there are boys who break down or have something serious, or the suicide problems that arise and need more resources, then more are needed.")</f>
        <v>The other day Dr. Prieto said we have achieved a bed at the Ovalle hospital for Infanto. A bed. So when there are boys who break down or have something serious, or the suicide problems that arise and need more resources, then more are needed.</v>
      </c>
      <c r="G77" s="3" t="s">
        <v>193</v>
      </c>
      <c r="H77" s="28">
        <v>0.68943121924412365</v>
      </c>
      <c r="I77" s="3" t="s">
        <v>65</v>
      </c>
      <c r="J77" s="3" t="str">
        <f ca="1">IFERROR(__xludf.DUMMYFUNCTION("GOOGLETRANSLATE(I77,""ES"",""EN"")"),"Negative effect: actors do not identify a CSMC financing system")</f>
        <v>Negative effect: actors do not identify a CSMC financing system</v>
      </c>
      <c r="K77" s="1"/>
      <c r="L77" s="1"/>
      <c r="M77" s="1"/>
      <c r="N77" s="1"/>
      <c r="O77" s="1"/>
      <c r="P77" s="1"/>
      <c r="Q77" s="1"/>
      <c r="R77" s="1"/>
      <c r="S77" s="1"/>
      <c r="T77" s="1"/>
      <c r="U77" s="1"/>
      <c r="V77" s="1"/>
      <c r="W77" s="1"/>
      <c r="X77" s="1"/>
      <c r="Y77" s="1"/>
      <c r="Z77" s="1"/>
    </row>
    <row r="78" spans="1:26" ht="15.75" customHeight="1" x14ac:dyDescent="0.25">
      <c r="A78" s="6" t="s">
        <v>5</v>
      </c>
      <c r="B78" s="3" t="s">
        <v>169</v>
      </c>
      <c r="C78" s="3" t="s">
        <v>62</v>
      </c>
      <c r="D78" s="3" t="str">
        <f ca="1">IFERROR(__xludf.DUMMYFUNCTION("GOOGLETRANSLATE(C78,""ES"",""EN"")"),"FINANCING \ RESULT \ BUDGET A CSMC WITHOUT INCREASE")</f>
        <v>FINANCING \ RESULT \ BUDGET A CSMC WITHOUT INCREASE</v>
      </c>
      <c r="E78" s="3" t="s">
        <v>194</v>
      </c>
      <c r="F78" s="3" t="str">
        <f ca="1">IFERROR(__xludf.DUMMYFUNCTION("GOOGLETRANSLATE(E78,""ES"",""EN"")"),"I do not know what is 100 that has mental health, I ignore that, but I think the percentage is extremely low in terms of resources for mental health. And that is what the resources have to raise, the resources to make these centers better.")</f>
        <v>I do not know what is 100 that has mental health, I ignore that, but I think the percentage is extremely low in terms of resources for mental health. And that is what the resources have to raise, the resources to make these centers better.</v>
      </c>
      <c r="G78" s="3" t="s">
        <v>195</v>
      </c>
      <c r="H78" s="28">
        <v>0.6744435840431644</v>
      </c>
      <c r="I78" s="3" t="s">
        <v>65</v>
      </c>
      <c r="J78" s="3" t="str">
        <f ca="1">IFERROR(__xludf.DUMMYFUNCTION("GOOGLETRANSLATE(I78,""ES"",""EN"")"),"Negative effect: actors do not identify a CSMC financing system")</f>
        <v>Negative effect: actors do not identify a CSMC financing system</v>
      </c>
      <c r="K78" s="1"/>
      <c r="L78" s="1"/>
      <c r="M78" s="1"/>
      <c r="N78" s="1"/>
      <c r="O78" s="1"/>
      <c r="P78" s="1"/>
      <c r="Q78" s="1"/>
      <c r="R78" s="1"/>
      <c r="S78" s="1"/>
      <c r="T78" s="1"/>
      <c r="U78" s="1"/>
      <c r="V78" s="1"/>
      <c r="W78" s="1"/>
      <c r="X78" s="1"/>
      <c r="Y78" s="1"/>
      <c r="Z78" s="1"/>
    </row>
    <row r="79" spans="1:26" ht="64.5" customHeight="1" x14ac:dyDescent="0.25">
      <c r="A79" s="6" t="s">
        <v>5</v>
      </c>
      <c r="B79" s="3" t="s">
        <v>169</v>
      </c>
      <c r="C79" s="3" t="s">
        <v>62</v>
      </c>
      <c r="D79" s="3" t="str">
        <f ca="1">IFERROR(__xludf.DUMMYFUNCTION("GOOGLETRANSLATE(C79,""ES"",""EN"")"),"FINANCING \ RESULT \ BUDGET A CSMC WITHOUT INCREASE")</f>
        <v>FINANCING \ RESULT \ BUDGET A CSMC WITHOUT INCREASE</v>
      </c>
      <c r="E79" s="3" t="s">
        <v>196</v>
      </c>
      <c r="F79" s="3" t="str">
        <f ca="1">IFERROR(__xludf.DUMMYFUNCTION("GOOGLETRANSLATE(E79,""ES"",""EN"")"),"That is, and professionals put everything on their part, but sometimes you have to get the little plate out of one to do an activity or to come out something beautiful for the family. And nobody told anyone. We do it the same because we have a special aff"&amp;"ection and we have a commitment and we want people to have a good time. That is what we want to get and not that people are getting sick above all in mental health.")</f>
        <v>That is, and professionals put everything on their part, but sometimes you have to get the little plate out of one to do an activity or to come out something beautiful for the family. And nobody told anyone. We do it the same because we have a special affection and we have a commitment and we want people to have a good time. That is what we want to get and not that people are getting sick above all in mental health.</v>
      </c>
      <c r="G79" s="3" t="s">
        <v>197</v>
      </c>
      <c r="H79" s="28">
        <v>1.044138585666825</v>
      </c>
      <c r="I79" s="3" t="s">
        <v>65</v>
      </c>
      <c r="J79" s="3" t="str">
        <f ca="1">IFERROR(__xludf.DUMMYFUNCTION("GOOGLETRANSLATE(I79,""ES"",""EN"")"),"Negative effect: actors do not identify a CSMC financing system")</f>
        <v>Negative effect: actors do not identify a CSMC financing system</v>
      </c>
      <c r="K79" s="1"/>
      <c r="L79" s="1"/>
      <c r="M79" s="1"/>
      <c r="N79" s="1"/>
      <c r="O79" s="1"/>
      <c r="P79" s="1"/>
      <c r="Q79" s="1"/>
      <c r="R79" s="1"/>
      <c r="S79" s="1"/>
      <c r="T79" s="1"/>
      <c r="U79" s="1"/>
      <c r="V79" s="1"/>
      <c r="W79" s="1"/>
      <c r="X79" s="1"/>
      <c r="Y79" s="1"/>
      <c r="Z79" s="1"/>
    </row>
    <row r="80" spans="1:26" ht="15.75" customHeight="1" x14ac:dyDescent="0.25">
      <c r="A80" s="11" t="s">
        <v>5</v>
      </c>
      <c r="B80" s="3" t="s">
        <v>169</v>
      </c>
      <c r="C80" s="3" t="s">
        <v>118</v>
      </c>
      <c r="D80" s="3" t="str">
        <f ca="1">IFERROR(__xludf.DUMMYFUNCTION("GOOGLETRANSLATE(C80,""ES"",""EN"")"),"Benefits \ Result \ or not monitoring of patients")</f>
        <v>Benefits \ Result \ or not monitoring of patients</v>
      </c>
      <c r="E80" s="3" t="s">
        <v>198</v>
      </c>
      <c r="F80" s="3" t="str">
        <f ca="1">IFERROR(__xludf.DUMMYFUNCTION("GOOGLETRANSLATE(E80,""ES"",""EN"")"),"Not the same when there is a patient, for example, who leaves high, is never left, left alone. Because when they are discharged, I always tell him, he has to be happy that goes from the mental health center, I tell him, and he goes to primary care. That i"&amp;"s pure merit of his, I tell him.")</f>
        <v>Not the same when there is a patient, for example, who leaves high, is never left, left alone. Because when they are discharged, I always tell him, he has to be happy that goes from the mental health center, I tell him, and he goes to primary care. That is pure merit of his, I tell him.</v>
      </c>
      <c r="G80" s="3" t="s">
        <v>199</v>
      </c>
      <c r="H80" s="28">
        <v>0.70441885444508279</v>
      </c>
      <c r="I80" s="3" t="s">
        <v>44</v>
      </c>
      <c r="J80" s="3" t="str">
        <f ca="1">IFERROR(__xludf.DUMMYFUNCTION("GOOGLETRANSLATE(I80,""ES"",""EN"")"),"Negative effects: limit the integrality and continuity of care")</f>
        <v>Negative effects: limit the integrality and continuity of care</v>
      </c>
      <c r="K80" s="1"/>
      <c r="L80" s="1"/>
      <c r="M80" s="1"/>
      <c r="N80" s="1"/>
      <c r="O80" s="1"/>
      <c r="P80" s="1"/>
      <c r="Q80" s="1"/>
      <c r="R80" s="1"/>
      <c r="S80" s="1"/>
      <c r="T80" s="1"/>
      <c r="U80" s="1"/>
      <c r="V80" s="1"/>
      <c r="W80" s="1"/>
      <c r="X80" s="1"/>
      <c r="Y80" s="1"/>
      <c r="Z80" s="1"/>
    </row>
    <row r="81" spans="1:26" ht="15.75" customHeight="1" x14ac:dyDescent="0.25">
      <c r="A81" s="11" t="s">
        <v>5</v>
      </c>
      <c r="B81" s="3" t="s">
        <v>169</v>
      </c>
      <c r="C81" s="3" t="s">
        <v>118</v>
      </c>
      <c r="D81" s="3" t="str">
        <f ca="1">IFERROR(__xludf.DUMMYFUNCTION("GOOGLETRANSLATE(C81,""ES"",""EN"")"),"Benefits \ Result \ or not monitoring of patients")</f>
        <v>Benefits \ Result \ or not monitoring of patients</v>
      </c>
      <c r="E81" s="3" t="s">
        <v>200</v>
      </c>
      <c r="F81" s="3" t="str">
        <f ca="1">IFERROR(__xludf.DUMMYFUNCTION("GOOGLETRANSLATE(E81,""ES"",""EN"")"),"There is an accompaniment until they enter Primary Care again, which is with their hours, that is with their medicine. So that accompaniment is also done when they go high so that not, there is no decompensation or lacks something in that wait that is in "&amp;"primary care.")</f>
        <v>There is an accompaniment until they enter Primary Care again, which is with their hours, that is with their medicine. So that accompaniment is also done when they go high so that not, there is no decompensation or lacks something in that wait that is in primary care.</v>
      </c>
      <c r="G81" s="3" t="s">
        <v>201</v>
      </c>
      <c r="H81" s="28">
        <v>0.76187145604875972</v>
      </c>
      <c r="I81" s="3" t="s">
        <v>44</v>
      </c>
      <c r="J81" s="3" t="str">
        <f ca="1">IFERROR(__xludf.DUMMYFUNCTION("GOOGLETRANSLATE(I81,""ES"",""EN"")"),"Negative effects: limit the integrality and continuity of care")</f>
        <v>Negative effects: limit the integrality and continuity of care</v>
      </c>
      <c r="K81" s="1"/>
      <c r="L81" s="1"/>
      <c r="M81" s="1"/>
      <c r="N81" s="1"/>
      <c r="O81" s="1"/>
      <c r="P81" s="1"/>
      <c r="Q81" s="1"/>
      <c r="R81" s="1"/>
      <c r="S81" s="1"/>
      <c r="T81" s="1"/>
      <c r="U81" s="1"/>
      <c r="V81" s="1"/>
      <c r="W81" s="1"/>
      <c r="X81" s="1"/>
      <c r="Y81" s="1"/>
      <c r="Z81" s="1"/>
    </row>
    <row r="82" spans="1:26" ht="15.75" customHeight="1" x14ac:dyDescent="0.25">
      <c r="A82" s="6" t="s">
        <v>5</v>
      </c>
      <c r="B82" s="3" t="s">
        <v>169</v>
      </c>
      <c r="C82" s="3" t="s">
        <v>62</v>
      </c>
      <c r="D82" s="3" t="str">
        <f ca="1">IFERROR(__xludf.DUMMYFUNCTION("GOOGLETRANSLATE(C82,""ES"",""EN"")"),"FINANCING \ RESULT \ BUDGET A CSMC WITHOUT INCREASE")</f>
        <v>FINANCING \ RESULT \ BUDGET A CSMC WITHOUT INCREASE</v>
      </c>
      <c r="E82" s="3" t="s">
        <v>202</v>
      </c>
      <c r="F82" s="3" t="str">
        <f ca="1">IFERROR(__xludf.DUMMYFUNCTION("GOOGLETRANSLATE(E82,""ES"",""EN"")"),"The first is more resources, more resources, more funds. True, that percentage so small that there is a mental health fund that grows a little more. Because thus you can get great things, as much as human resource, as improved infrastructure. There are so"&amp;" many things that can be done more")</f>
        <v>The first is more resources, more resources, more funds. True, that percentage so small that there is a mental health fund that grows a little more. Because thus you can get great things, as much as human resource, as improved infrastructure. There are so many things that can be done more</v>
      </c>
      <c r="G82" s="3" t="s">
        <v>203</v>
      </c>
      <c r="H82" s="28">
        <v>0.74438588164764063</v>
      </c>
      <c r="I82" s="3" t="s">
        <v>65</v>
      </c>
      <c r="J82" s="3" t="str">
        <f ca="1">IFERROR(__xludf.DUMMYFUNCTION("GOOGLETRANSLATE(I82,""ES"",""EN"")"),"Negative effect: actors do not identify a CSMC financing system")</f>
        <v>Negative effect: actors do not identify a CSMC financing system</v>
      </c>
      <c r="K82" s="1"/>
      <c r="L82" s="1"/>
      <c r="M82" s="1"/>
      <c r="N82" s="1"/>
      <c r="O82" s="1"/>
      <c r="P82" s="1"/>
      <c r="Q82" s="1"/>
      <c r="R82" s="1"/>
      <c r="S82" s="1"/>
      <c r="T82" s="1"/>
      <c r="U82" s="1"/>
      <c r="V82" s="1"/>
      <c r="W82" s="1"/>
      <c r="X82" s="1"/>
      <c r="Y82" s="1"/>
      <c r="Z82" s="1"/>
    </row>
    <row r="83" spans="1:26" ht="15.75" customHeight="1" x14ac:dyDescent="0.25">
      <c r="A83" s="2" t="s">
        <v>5</v>
      </c>
      <c r="B83" s="3" t="s">
        <v>204</v>
      </c>
      <c r="C83" s="3" t="s">
        <v>7</v>
      </c>
      <c r="D83" s="3" t="str">
        <f ca="1">IFERROR(__xludf.DUMMYFUNCTION("GOOGLETRANSLATE(C83,""ES"",""EN"")"),"HUMAN RESOURCES \ INSUFFICIENT STAFF \ PERSONNEL IN FRONT OF DEMAND")</f>
        <v>HUMAN RESOURCES \ INSUFFICIENT STAFF \ PERSONNEL IN FRONT OF DEMAND</v>
      </c>
      <c r="E83" s="3" t="s">
        <v>205</v>
      </c>
      <c r="F83" s="3" t="str">
        <f ca="1">IFERROR(__xludf.DUMMYFUNCTION("GOOGLETRANSLATE(E83,""ES"",""EN"")"),"First, the issue of the lack of professionals in the centers of the Cosam greatly aggravates the issue of attention, the follow -up, suddenly it costs a lot to get an hour and are made, they put between quotes waiting lists to enter this .")</f>
        <v>First, the issue of the lack of professionals in the centers of the Cosam greatly aggravates the issue of attention, the follow -up, suddenly it costs a lot to get an hour and are made, they put between quotes waiting lists to enter this .</v>
      </c>
      <c r="G83" s="3" t="s">
        <v>154</v>
      </c>
      <c r="H83" s="28">
        <v>1.6496312588950706</v>
      </c>
      <c r="I83" s="3" t="s">
        <v>10</v>
      </c>
      <c r="J83" s="3" t="str">
        <f ca="1">IFERROR(__xludf.DUMMYFUNCTION("GOOGLETRANSLATE(I83,""ES"",""EN"")"),"Negative effects: staff does not cover the demand for care")</f>
        <v>Negative effects: staff does not cover the demand for care</v>
      </c>
      <c r="K83" s="1"/>
      <c r="L83" s="1"/>
      <c r="M83" s="1"/>
      <c r="N83" s="1"/>
      <c r="O83" s="1"/>
      <c r="P83" s="1"/>
      <c r="Q83" s="1"/>
      <c r="R83" s="1"/>
      <c r="S83" s="1"/>
      <c r="T83" s="1"/>
      <c r="U83" s="1"/>
      <c r="V83" s="1"/>
      <c r="W83" s="1"/>
      <c r="X83" s="1"/>
      <c r="Y83" s="1"/>
      <c r="Z83" s="1"/>
    </row>
    <row r="84" spans="1:26" ht="15.75" customHeight="1" x14ac:dyDescent="0.25">
      <c r="A84" s="7" t="s">
        <v>5</v>
      </c>
      <c r="B84" s="3" t="s">
        <v>204</v>
      </c>
      <c r="C84" s="3" t="s">
        <v>175</v>
      </c>
      <c r="D84" s="3" t="str">
        <f ca="1">IFERROR(__xludf.DUMMYFUNCTION("GOOGLETRANSLATE(C84,""ES"",""EN"")"),"Users \ Result \ Grateful people of the CSMC")</f>
        <v>Users \ Result \ Grateful people of the CSMC</v>
      </c>
      <c r="E84" s="3" t="s">
        <v>206</v>
      </c>
      <c r="F84" s="3" t="str">
        <f ca="1">IFERROR(__xludf.DUMMYFUNCTION("GOOGLETRANSLATE(E84,""ES"",""EN"")"),"And the good thing is that people in what I understand, what I have seen and what we have collected so much in the things that I participate, is that people are very friendly, they are human, it is close to people, they understand me")</f>
        <v>And the good thing is that people in what I understand, what I have seen and what we have collected so much in the things that I participate, is that people are very friendly, they are human, it is close to people, they understand me</v>
      </c>
      <c r="G84" s="3" t="s">
        <v>207</v>
      </c>
      <c r="H84" s="28">
        <v>1.3585198602665287</v>
      </c>
      <c r="I84" s="3" t="s">
        <v>178</v>
      </c>
      <c r="J84" s="3" t="str">
        <f ca="1">IFERROR(__xludf.DUMMYFUNCTION("GOOGLETRANSLATE(I84,""ES"",""EN"")"),"Positive effects: No one is excluded and grateful people from the CSMC")</f>
        <v>Positive effects: No one is excluded and grateful people from the CSMC</v>
      </c>
      <c r="K84" s="1"/>
      <c r="L84" s="1"/>
      <c r="M84" s="1"/>
      <c r="N84" s="1"/>
      <c r="O84" s="1"/>
      <c r="P84" s="1"/>
      <c r="Q84" s="1"/>
      <c r="R84" s="1"/>
      <c r="S84" s="1"/>
      <c r="T84" s="1"/>
      <c r="U84" s="1"/>
      <c r="V84" s="1"/>
      <c r="W84" s="1"/>
      <c r="X84" s="1"/>
      <c r="Y84" s="1"/>
      <c r="Z84" s="1"/>
    </row>
    <row r="85" spans="1:26" ht="15.75" customHeight="1" x14ac:dyDescent="0.25">
      <c r="A85" s="11" t="s">
        <v>5</v>
      </c>
      <c r="B85" s="3" t="s">
        <v>204</v>
      </c>
      <c r="C85" s="3" t="s">
        <v>118</v>
      </c>
      <c r="D85" s="3" t="str">
        <f ca="1">IFERROR(__xludf.DUMMYFUNCTION("GOOGLETRANSLATE(C85,""ES"",""EN"")"),"Benefits \ Result \ or not monitoring of patients")</f>
        <v>Benefits \ Result \ or not monitoring of patients</v>
      </c>
      <c r="E85" s="3" t="s">
        <v>208</v>
      </c>
      <c r="F85" s="3" t="str">
        <f ca="1">IFERROR(__xludf.DUMMYFUNCTION("GOOGLETRANSLATE(E85,""ES"",""EN"")"),"The groups that are the yes, monitor people and rescue people who are not going to the controls and the attention is well personalized, at least here in what I know of the jurisdiction of the Aconcagua health service.")</f>
        <v>The groups that are the yes, monitor people and rescue people who are not going to the controls and the attention is well personalized, at least here in what I know of the jurisdiction of the Aconcagua health service.</v>
      </c>
      <c r="G85" s="3" t="s">
        <v>209</v>
      </c>
      <c r="H85" s="28">
        <v>1.5267175572519083</v>
      </c>
      <c r="I85" s="3" t="s">
        <v>44</v>
      </c>
      <c r="J85" s="3" t="str">
        <f ca="1">IFERROR(__xludf.DUMMYFUNCTION("GOOGLETRANSLATE(I85,""ES"",""EN"")"),"Negative effects: limit the integrality and continuity of care")</f>
        <v>Negative effects: limit the integrality and continuity of care</v>
      </c>
      <c r="K85" s="1"/>
      <c r="L85" s="1"/>
      <c r="M85" s="1"/>
      <c r="N85" s="1"/>
      <c r="O85" s="1"/>
      <c r="P85" s="1"/>
      <c r="Q85" s="1"/>
      <c r="R85" s="1"/>
      <c r="S85" s="1"/>
      <c r="T85" s="1"/>
      <c r="U85" s="1"/>
      <c r="V85" s="1"/>
      <c r="W85" s="1"/>
      <c r="X85" s="1"/>
      <c r="Y85" s="1"/>
      <c r="Z85" s="1"/>
    </row>
    <row r="86" spans="1:26" ht="15.75" customHeight="1" x14ac:dyDescent="0.25">
      <c r="A86" s="6" t="s">
        <v>5</v>
      </c>
      <c r="B86" s="3" t="s">
        <v>204</v>
      </c>
      <c r="C86" s="3" t="s">
        <v>210</v>
      </c>
      <c r="D86" s="3" t="str">
        <f ca="1">IFERROR(__xludf.DUMMYFUNCTION("GOOGLETRANSLATE(C86,""ES"",""EN"")"),"FINANCING \ Result \ main achievement of financing the CSMC \ Achievement to be in the community")</f>
        <v>FINANCING \ Result \ main achievement of financing the CSMC \ Achievement to be in the community</v>
      </c>
      <c r="E86" s="3" t="s">
        <v>211</v>
      </c>
      <c r="F86" s="3" t="str">
        <f ca="1">IFERROR(__xludf.DUMMYFUNCTION("GOOGLETRANSLATE(E86,""ES"",""EN"")"),"Lately, with the creation of Cosam, mental health approached the community because before we had the psychiatric hospitals that were something closed, it was something like a bubble that did not, no, did not enter, had no approach with the community. Even"&amp;" I can tell you that the psychiatric hospital here is complex to approach the community, however with Cosam no. Cosam work with communities.")</f>
        <v>Lately, with the creation of Cosam, mental health approached the community because before we had the psychiatric hospitals that were something closed, it was something like a bubble that did not, no, did not enter, had no approach with the community. Even I can tell you that the psychiatric hospital here is complex to approach the community, however with Cosam no. Cosam work with communities.</v>
      </c>
      <c r="G86" s="3" t="s">
        <v>212</v>
      </c>
      <c r="H86" s="28">
        <v>2.7558545736835294</v>
      </c>
      <c r="I86" s="3" t="s">
        <v>213</v>
      </c>
      <c r="J86" s="3" t="str">
        <f ca="1">IFERROR(__xludf.DUMMYFUNCTION("GOOGLETRANSLATE(I86,""ES"",""EN"")"),"Better coverage, closeness and context of attention")</f>
        <v>Better coverage, closeness and context of attention</v>
      </c>
      <c r="K86" s="1"/>
      <c r="L86" s="1"/>
      <c r="M86" s="1"/>
      <c r="N86" s="1"/>
      <c r="O86" s="1"/>
      <c r="P86" s="1"/>
      <c r="Q86" s="1"/>
      <c r="R86" s="1"/>
      <c r="S86" s="1"/>
      <c r="T86" s="1"/>
      <c r="U86" s="1"/>
      <c r="V86" s="1"/>
      <c r="W86" s="1"/>
      <c r="X86" s="1"/>
      <c r="Y86" s="1"/>
      <c r="Z86" s="1"/>
    </row>
    <row r="87" spans="1:26" ht="15.75" customHeight="1" x14ac:dyDescent="0.25">
      <c r="A87" s="6" t="s">
        <v>5</v>
      </c>
      <c r="B87" s="3" t="s">
        <v>204</v>
      </c>
      <c r="C87" s="3" t="s">
        <v>62</v>
      </c>
      <c r="D87" s="3" t="str">
        <f ca="1">IFERROR(__xludf.DUMMYFUNCTION("GOOGLETRANSLATE(C87,""ES"",""EN"")"),"FINANCING \ RESULT \ BUDGET A CSMC WITHOUT INCREASE")</f>
        <v>FINANCING \ RESULT \ BUDGET A CSMC WITHOUT INCREASE</v>
      </c>
      <c r="E87" s="3" t="s">
        <v>214</v>
      </c>
      <c r="F87" s="3" t="str">
        <f ca="1">IFERROR(__xludf.DUMMYFUNCTION("GOOGLETRANSLATE(E87,""ES"",""EN"")"),"Look, in resources there are always resources, in the different Cosam. In the two cosam we have here in Aconcagu")</f>
        <v>Look, in resources there are always resources, in the different Cosam. In the two cosam we have here in Aconcagu</v>
      </c>
      <c r="G87" s="3" t="s">
        <v>215</v>
      </c>
      <c r="H87" s="28">
        <v>0.87980333807737099</v>
      </c>
      <c r="I87" s="3" t="s">
        <v>65</v>
      </c>
      <c r="J87" s="3" t="str">
        <f ca="1">IFERROR(__xludf.DUMMYFUNCTION("GOOGLETRANSLATE(I87,""ES"",""EN"")"),"Negative effect: actors do not identify a CSMC financing system")</f>
        <v>Negative effect: actors do not identify a CSMC financing system</v>
      </c>
      <c r="K87" s="1"/>
      <c r="L87" s="1"/>
      <c r="M87" s="1"/>
      <c r="N87" s="1"/>
      <c r="O87" s="1"/>
      <c r="P87" s="1"/>
      <c r="Q87" s="1"/>
      <c r="R87" s="1"/>
      <c r="S87" s="1"/>
      <c r="T87" s="1"/>
      <c r="U87" s="1"/>
      <c r="V87" s="1"/>
      <c r="W87" s="1"/>
      <c r="X87" s="1"/>
      <c r="Y87" s="1"/>
      <c r="Z87" s="1"/>
    </row>
    <row r="88" spans="1:26" ht="15.75" customHeight="1" x14ac:dyDescent="0.25">
      <c r="A88" s="11" t="s">
        <v>5</v>
      </c>
      <c r="B88" s="3" t="s">
        <v>204</v>
      </c>
      <c r="C88" s="3" t="s">
        <v>216</v>
      </c>
      <c r="D88" s="3" t="str">
        <f ca="1">IFERROR(__xludf.DUMMYFUNCTION("GOOGLETRANSLATE(C88,""ES"",""EN"")"),"Benefits \ Result \ intrabox clinical benefit predominates")</f>
        <v>Benefits \ Result \ intrabox clinical benefit predominates</v>
      </c>
      <c r="E88" s="3" t="s">
        <v>217</v>
      </c>
      <c r="F88" s="3" t="str">
        <f ca="1">IFERROR(__xludf.DUMMYFUNCTION("GOOGLETRANSLATE(E88,""ES"",""EN"")"),"Suddenly there are a living room or some space where people can get together for some workshop. This occupational therapy. They always have failure of things, do you understand me? They are always asking.")</f>
        <v>Suddenly there are a living room or some space where people can get together for some workshop. This occupational therapy. They always have failure of things, do you understand me? They are always asking.</v>
      </c>
      <c r="G88" s="3" t="s">
        <v>218</v>
      </c>
      <c r="H88" s="28">
        <v>1.2808901539655841</v>
      </c>
      <c r="I88" s="3" t="s">
        <v>44</v>
      </c>
      <c r="J88" s="3" t="str">
        <f ca="1">IFERROR(__xludf.DUMMYFUNCTION("GOOGLETRANSLATE(I88,""ES"",""EN"")"),"Negative effects: limit the integrality and continuity of care")</f>
        <v>Negative effects: limit the integrality and continuity of care</v>
      </c>
      <c r="K88" s="1"/>
      <c r="L88" s="1"/>
      <c r="M88" s="1"/>
      <c r="N88" s="1"/>
      <c r="O88" s="1"/>
      <c r="P88" s="1"/>
      <c r="Q88" s="1"/>
      <c r="R88" s="1"/>
      <c r="S88" s="1"/>
      <c r="T88" s="1"/>
      <c r="U88" s="1"/>
      <c r="V88" s="1"/>
      <c r="W88" s="1"/>
      <c r="X88" s="1"/>
      <c r="Y88" s="1"/>
      <c r="Z88" s="1"/>
    </row>
    <row r="89" spans="1:26" ht="15.75" customHeight="1" x14ac:dyDescent="0.25">
      <c r="A89" s="8" t="s">
        <v>5</v>
      </c>
      <c r="B89" s="3" t="s">
        <v>204</v>
      </c>
      <c r="C89" s="3" t="s">
        <v>106</v>
      </c>
      <c r="D89" s="3" t="str">
        <f ca="1">IFERROR(__xludf.DUMMYFUNCTION("GOOGLETRANSLATE(C89,""ES"",""EN"")"),"Medications and Technologies \ Result \ Lack of medications")</f>
        <v>Medications and Technologies \ Result \ Lack of medications</v>
      </c>
      <c r="E89" s="3" t="s">
        <v>219</v>
      </c>
      <c r="F89" s="3" t="str">
        <f ca="1">IFERROR(__xludf.DUMMYFUNCTION("GOOGLETRANSLATE(E89,""ES"",""EN"")"),"I believe that expanding the medication basket in the first place, because many patients who are very scarce and do not have to continue treatment and abandon it for not having, because as the medication that Cosam has no, to what It is better not the ide"&amp;"al and the psychiatrist or psychologist tells you you have to buy or see this other because we do not have it. I believe that the medicine first.")</f>
        <v>I believe that expanding the medication basket in the first place, because many patients who are very scarce and do not have to continue treatment and abandon it for not having, because as the medication that Cosam has no, to what It is better not the ideal and the psychiatrist or psychologist tells you you have to buy or see this other because we do not have it. I believe that the medicine first.</v>
      </c>
      <c r="G89" s="3" t="s">
        <v>220</v>
      </c>
      <c r="H89" s="28">
        <v>2.775262000258766</v>
      </c>
      <c r="I89" s="3" t="s">
        <v>33</v>
      </c>
      <c r="J89" s="3" t="str">
        <f ca="1">IFERROR(__xludf.DUMMYFUNCTION("GOOGLETRANSLATE(I89,""ES"",""EN"")"),"Negative effects: lack of family integration ...")</f>
        <v>Negative effects: lack of family integration ...</v>
      </c>
      <c r="K89" s="1"/>
      <c r="L89" s="1"/>
      <c r="M89" s="1"/>
      <c r="N89" s="1"/>
      <c r="O89" s="1"/>
      <c r="P89" s="1"/>
      <c r="Q89" s="1"/>
      <c r="R89" s="1"/>
      <c r="S89" s="1"/>
      <c r="T89" s="1"/>
      <c r="U89" s="1"/>
      <c r="V89" s="1"/>
      <c r="W89" s="1"/>
      <c r="X89" s="1"/>
      <c r="Y89" s="1"/>
      <c r="Z89" s="1"/>
    </row>
    <row r="90" spans="1:26" ht="15.75" customHeight="1" x14ac:dyDescent="0.25">
      <c r="A90" s="2" t="s">
        <v>5</v>
      </c>
      <c r="B90" s="3" t="s">
        <v>204</v>
      </c>
      <c r="C90" s="3" t="s">
        <v>7</v>
      </c>
      <c r="D90" s="3" t="str">
        <f ca="1">IFERROR(__xludf.DUMMYFUNCTION("GOOGLETRANSLATE(C90,""ES"",""EN"")"),"HUMAN RESOURCES \ INSUFFICIENT STAFF \ PERSONNEL IN FRONT OF DEMAND")</f>
        <v>HUMAN RESOURCES \ INSUFFICIENT STAFF \ PERSONNEL IN FRONT OF DEMAND</v>
      </c>
      <c r="E90" s="3" t="s">
        <v>221</v>
      </c>
      <c r="F90" s="3" t="str">
        <f ca="1">IFERROR(__xludf.DUMMYFUNCTION("GOOGLETRANSLATE(E90,""ES"",""EN"")"),"Financing for more professionals. Better places for attention. I believe that if we start with where the professional is happy in a pleasant place to serve people, he will be the patient as well as professional, the attention will be spectacular.")</f>
        <v>Financing for more professionals. Better places for attention. I believe that if we start with where the professional is happy in a pleasant place to serve people, he will be the patient as well as professional, the attention will be spectacular.</v>
      </c>
      <c r="G90" s="3" t="s">
        <v>222</v>
      </c>
      <c r="H90" s="28">
        <v>1.7078535386207789</v>
      </c>
      <c r="I90" s="3" t="s">
        <v>10</v>
      </c>
      <c r="J90" s="3" t="str">
        <f ca="1">IFERROR(__xludf.DUMMYFUNCTION("GOOGLETRANSLATE(I90,""ES"",""EN"")"),"Negative effects: staff does not cover the demand for care")</f>
        <v>Negative effects: staff does not cover the demand for care</v>
      </c>
      <c r="K90" s="1"/>
      <c r="L90" s="1"/>
      <c r="M90" s="1"/>
      <c r="N90" s="1"/>
      <c r="O90" s="1"/>
      <c r="P90" s="1"/>
      <c r="Q90" s="1"/>
      <c r="R90" s="1"/>
      <c r="S90" s="1"/>
      <c r="T90" s="1"/>
      <c r="U90" s="1"/>
      <c r="V90" s="1"/>
      <c r="W90" s="1"/>
      <c r="X90" s="1"/>
      <c r="Y90" s="1"/>
      <c r="Z90" s="1"/>
    </row>
    <row r="91" spans="1:26" ht="15.75" customHeight="1" x14ac:dyDescent="0.25">
      <c r="A91" s="2" t="s">
        <v>5</v>
      </c>
      <c r="B91" s="3" t="s">
        <v>204</v>
      </c>
      <c r="C91" s="3" t="s">
        <v>7</v>
      </c>
      <c r="D91" s="3" t="str">
        <f ca="1">IFERROR(__xludf.DUMMYFUNCTION("GOOGLETRANSLATE(C91,""ES"",""EN"")"),"HUMAN RESOURCES \ INSUFFICIENT STAFF \ PERSONNEL IN FRONT OF DEMAND")</f>
        <v>HUMAN RESOURCES \ INSUFFICIENT STAFF \ PERSONNEL IN FRONT OF DEMAND</v>
      </c>
      <c r="E91" s="3" t="s">
        <v>223</v>
      </c>
      <c r="F91" s="3" t="str">
        <f ca="1">IFERROR(__xludf.DUMMYFUNCTION("GOOGLETRANSLATE(E91,""ES"",""EN"")"),"Or I think I should do a little more resource for mental health already. Because he needs it but urgent, it's not seeing after, tomorrow doesn't. He needs it now to improve many things, bring professionals, both psychiatrist and psychologist who are not. "&amp;"We are in failure in mental health device.")</f>
        <v>Or I think I should do a little more resource for mental health already. Because he needs it but urgent, it's not seeing after, tomorrow doesn't. He needs it now to improve many things, bring professionals, both psychiatrist and psychologist who are not. We are in failure in mental health device.</v>
      </c>
      <c r="G91" s="3" t="s">
        <v>224</v>
      </c>
      <c r="H91" s="28">
        <v>2.0895329279337562</v>
      </c>
      <c r="I91" s="3" t="s">
        <v>10</v>
      </c>
      <c r="J91" s="3" t="str">
        <f ca="1">IFERROR(__xludf.DUMMYFUNCTION("GOOGLETRANSLATE(I91,""ES"",""EN"")"),"Negative effects: staff does not cover the demand for care")</f>
        <v>Negative effects: staff does not cover the demand for care</v>
      </c>
      <c r="K91" s="1"/>
      <c r="L91" s="1"/>
      <c r="M91" s="1"/>
      <c r="N91" s="1"/>
      <c r="O91" s="1"/>
      <c r="P91" s="1"/>
      <c r="Q91" s="1"/>
      <c r="R91" s="1"/>
      <c r="S91" s="1"/>
      <c r="T91" s="1"/>
      <c r="U91" s="1"/>
      <c r="V91" s="1"/>
      <c r="W91" s="1"/>
      <c r="X91" s="1"/>
      <c r="Y91" s="1"/>
      <c r="Z91" s="1"/>
    </row>
    <row r="92" spans="1:26" ht="15.75" customHeight="1" x14ac:dyDescent="0.25">
      <c r="A92" s="6" t="s">
        <v>5</v>
      </c>
      <c r="B92" s="3" t="s">
        <v>204</v>
      </c>
      <c r="C92" s="3" t="s">
        <v>225</v>
      </c>
      <c r="D92" s="3" t="str">
        <f ca="1">IFERROR(__xludf.DUMMYFUNCTION("GOOGLETRANSLATE(C92,""ES"",""EN"")"),"FINANCING \ Result \ main achievement of financing CSMC \ Clinical Achievement")</f>
        <v>FINANCING \ Result \ main achievement of financing CSMC \ Clinical Achievement</v>
      </c>
      <c r="E92" s="3" t="s">
        <v>226</v>
      </c>
      <c r="F92" s="3" t="str">
        <f ca="1">IFERROR(__xludf.DUMMYFUNCTION("GOOGLETRANSLATE(E92,""ES"",""EN"")"),"If he makes a super successful policy, because as he said at the beginning, it is another the attention given by the Cosam to which the establishment gives the psychiatric hospital. So they are another, another mechanism, another attention. People feel be"&amp;"tter. I do not tell you that in the hospital's psychiatric establishment they do wrong? No, but people feel more integrated into Cosam than psychiatric hospitals, because the psychiatric hospital has attention and for the house you understand me?")</f>
        <v>If he makes a super successful policy, because as he said at the beginning, it is another the attention given by the Cosam to which the establishment gives the psychiatric hospital. So they are another, another mechanism, another attention. People feel better. I do not tell you that in the hospital's psychiatric establishment they do wrong? No, but people feel more integrated into Cosam than psychiatric hospitals, because the psychiatric hospital has attention and for the house you understand me?</v>
      </c>
      <c r="G92" s="3" t="s">
        <v>227</v>
      </c>
      <c r="H92" s="28">
        <v>3.2281019536809419</v>
      </c>
      <c r="I92" s="3" t="s">
        <v>228</v>
      </c>
      <c r="J92" s="3" t="str">
        <f ca="1">IFERROR(__xludf.DUMMYFUNCTION("GOOGLETRANSLATE(I92,""ES"",""EN"")"),"Clinical achievements")</f>
        <v>Clinical achievements</v>
      </c>
      <c r="K92" s="1"/>
      <c r="L92" s="1"/>
      <c r="M92" s="1"/>
      <c r="N92" s="1"/>
      <c r="O92" s="1"/>
      <c r="P92" s="1"/>
      <c r="Q92" s="1"/>
      <c r="R92" s="1"/>
      <c r="S92" s="1"/>
      <c r="T92" s="1"/>
      <c r="U92" s="1"/>
      <c r="V92" s="1"/>
      <c r="W92" s="1"/>
      <c r="X92" s="1"/>
      <c r="Y92" s="1"/>
      <c r="Z92" s="1"/>
    </row>
    <row r="93" spans="1:26" ht="15.75" customHeight="1" x14ac:dyDescent="0.25">
      <c r="A93" s="6" t="s">
        <v>5</v>
      </c>
      <c r="B93" s="3" t="s">
        <v>204</v>
      </c>
      <c r="C93" s="3" t="s">
        <v>225</v>
      </c>
      <c r="D93" s="3" t="str">
        <f ca="1">IFERROR(__xludf.DUMMYFUNCTION("GOOGLETRANSLATE(C93,""ES"",""EN"")"),"FINANCING \ Result \ main achievement of financing CSMC \ Clinical Achievement")</f>
        <v>FINANCING \ Result \ main achievement of financing CSMC \ Clinical Achievement</v>
      </c>
      <c r="E93" s="3" t="s">
        <v>229</v>
      </c>
      <c r="F93" s="3" t="str">
        <f ca="1">IFERROR(__xludf.DUMMYFUNCTION("GOOGLETRANSLATE(E93,""ES"",""EN"")"),"But in the Cosam is the occupational therapist, he is a psychologist and a social psychiatrist who does a whole job with the patient, it is a team that is working with the patient, so it is more personalized and much better. They should be established in "&amp;"all regions of the country, in all communes they should have Cosam.")</f>
        <v>But in the Cosam is the occupational therapist, he is a psychologist and a social psychiatrist who does a whole job with the patient, it is a team that is working with the patient, so it is more personalized and much better. They should be established in all regions of the country, in all communes they should have Cosam.</v>
      </c>
      <c r="G93" s="3" t="s">
        <v>230</v>
      </c>
      <c r="H93" s="28">
        <v>2.1477552076594644</v>
      </c>
      <c r="I93" s="3" t="s">
        <v>228</v>
      </c>
      <c r="J93" s="3" t="str">
        <f ca="1">IFERROR(__xludf.DUMMYFUNCTION("GOOGLETRANSLATE(I93,""ES"",""EN"")"),"Clinical achievements")</f>
        <v>Clinical achievements</v>
      </c>
      <c r="K93" s="1"/>
      <c r="L93" s="1"/>
      <c r="M93" s="1"/>
      <c r="N93" s="1"/>
      <c r="O93" s="1"/>
      <c r="P93" s="1"/>
      <c r="Q93" s="1"/>
      <c r="R93" s="1"/>
      <c r="S93" s="1"/>
      <c r="T93" s="1"/>
      <c r="U93" s="1"/>
      <c r="V93" s="1"/>
      <c r="W93" s="1"/>
      <c r="X93" s="1"/>
      <c r="Y93" s="1"/>
      <c r="Z93" s="1"/>
    </row>
    <row r="94" spans="1:26" ht="15.75" customHeight="1" x14ac:dyDescent="0.25">
      <c r="A94" s="12" t="s">
        <v>5</v>
      </c>
      <c r="B94" s="3" t="s">
        <v>231</v>
      </c>
      <c r="C94" s="3" t="s">
        <v>232</v>
      </c>
      <c r="D94" s="3" t="str">
        <f ca="1">IFERROR(__xludf.DUMMYFUNCTION("GOOGLETRANSLATE(C94,""ES"",""EN"")"),"Governance \ Result \ Subalternity in the relationship with users")</f>
        <v>Governance \ Result \ Subalternity in the relationship with users</v>
      </c>
      <c r="E94" s="3" t="s">
        <v>233</v>
      </c>
      <c r="F94" s="3" t="str">
        <f ca="1">IFERROR(__xludf.DUMMYFUNCTION("GOOGLETRANSLATE(E94,""ES"",""EN"")"),"Well, there were several shortcomings, which I can now say that they are shortcomings, because my experience has shown me that Cosam helps a lot, as in horizontality, but also authoritarianism, such as in the formation of people from different areas or th"&amp;"e Spectrum of people who work in a Cosam, of workers, occupational therapist, psychologist, psychiatrist, official, there is always as an independent subalternity that it is very pro, very community. There is a subalternity even if it is minimal.")</f>
        <v>Well, there were several shortcomings, which I can now say that they are shortcomings, because my experience has shown me that Cosam helps a lot, as in horizontality, but also authoritarianism, such as in the formation of people from different areas or the Spectrum of people who work in a Cosam, of workers, occupational therapist, psychologist, psychiatrist, official, there is always as an independent subalternity that it is very pro, very community. There is a subalternity even if it is minimal.</v>
      </c>
      <c r="G94" s="3" t="s">
        <v>234</v>
      </c>
      <c r="H94" s="28">
        <v>1.6291041496641345</v>
      </c>
      <c r="I94" s="3" t="s">
        <v>235</v>
      </c>
      <c r="J94" s="3" t="str">
        <f ca="1">IFERROR(__xludf.DUMMYFUNCTION("GOOGLETRANSLATE(I94,""ES"",""EN"")"),"Negative effect: Subalternity in the relationship with users")</f>
        <v>Negative effect: Subalternity in the relationship with users</v>
      </c>
      <c r="K94" s="1"/>
      <c r="L94" s="1"/>
      <c r="M94" s="1"/>
      <c r="N94" s="1"/>
      <c r="O94" s="1"/>
      <c r="P94" s="1"/>
      <c r="Q94" s="1"/>
      <c r="R94" s="1"/>
      <c r="S94" s="1"/>
      <c r="T94" s="1"/>
      <c r="U94" s="1"/>
      <c r="V94" s="1"/>
      <c r="W94" s="1"/>
      <c r="X94" s="1"/>
      <c r="Y94" s="1"/>
      <c r="Z94" s="1"/>
    </row>
    <row r="95" spans="1:26" ht="15.75" customHeight="1" x14ac:dyDescent="0.25">
      <c r="A95" s="12" t="s">
        <v>5</v>
      </c>
      <c r="B95" s="3" t="s">
        <v>231</v>
      </c>
      <c r="C95" s="3" t="s">
        <v>232</v>
      </c>
      <c r="D95" s="3" t="str">
        <f ca="1">IFERROR(__xludf.DUMMYFUNCTION("GOOGLETRANSLATE(C95,""ES"",""EN"")"),"Governance \ Result \ Subalternity in the relationship with users")</f>
        <v>Governance \ Result \ Subalternity in the relationship with users</v>
      </c>
      <c r="E95" s="3" t="s">
        <v>236</v>
      </c>
      <c r="F95" s="3" t="str">
        <f ca="1">IFERROR(__xludf.DUMMYFUNCTION("GOOGLETRANSLATE(E95,""ES"",""EN"")"),"So, in that sense, the good happened to me something that was quite strong, that at the beginning of the project before starting it, a person from Cosam, I will not say who or care, forced me to say my pathology, my psychiatric label. And that happens to "&amp;"bring the rights and duties of the patient. But well, that was a mistake of mine, that was a strong part, because there the person told me and how we know if the project is going to end or not. That is, saying hey, if I have schizophrenia I can't finish t"&amp;"he project. That is, it was like hey, and you work here in a Cosam you should have faith, at least in that this works.")</f>
        <v>So, in that sense, the good happened to me something that was quite strong, that at the beginning of the project before starting it, a person from Cosam, I will not say who or care, forced me to say my pathology, my psychiatric label. And that happens to bring the rights and duties of the patient. But well, that was a mistake of mine, that was a strong part, because there the person told me and how we know if the project is going to end or not. That is, saying hey, if I have schizophrenia I can't finish the project. That is, it was like hey, and you work here in a Cosam you should have faith, at least in that this works.</v>
      </c>
      <c r="G95" s="3" t="s">
        <v>237</v>
      </c>
      <c r="H95" s="28">
        <v>1.9084688304350554</v>
      </c>
      <c r="I95" s="3" t="s">
        <v>235</v>
      </c>
      <c r="J95" s="3" t="str">
        <f ca="1">IFERROR(__xludf.DUMMYFUNCTION("GOOGLETRANSLATE(I95,""ES"",""EN"")"),"Negative effect: Subalternity in the relationship with users")</f>
        <v>Negative effect: Subalternity in the relationship with users</v>
      </c>
      <c r="K95" s="1"/>
      <c r="L95" s="1"/>
      <c r="M95" s="1"/>
      <c r="N95" s="1"/>
      <c r="O95" s="1"/>
      <c r="P95" s="1"/>
      <c r="Q95" s="1"/>
      <c r="R95" s="1"/>
      <c r="S95" s="1"/>
      <c r="T95" s="1"/>
      <c r="U95" s="1"/>
      <c r="V95" s="1"/>
      <c r="W95" s="1"/>
      <c r="X95" s="1"/>
      <c r="Y95" s="1"/>
      <c r="Z95" s="1"/>
    </row>
    <row r="96" spans="1:26" ht="15.75" customHeight="1" x14ac:dyDescent="0.25">
      <c r="A96" s="12" t="s">
        <v>5</v>
      </c>
      <c r="B96" s="3" t="s">
        <v>231</v>
      </c>
      <c r="C96" s="3" t="s">
        <v>232</v>
      </c>
      <c r="D96" s="3" t="str">
        <f ca="1">IFERROR(__xludf.DUMMYFUNCTION("GOOGLETRANSLATE(C96,""ES"",""EN"")"),"Governance \ Result \ Subalternity in the relationship with users")</f>
        <v>Governance \ Result \ Subalternity in the relationship with users</v>
      </c>
      <c r="E96" s="3" t="s">
        <v>238</v>
      </c>
      <c r="F96" s="3" t="str">
        <f ca="1">IFERROR(__xludf.DUMMYFUNCTION("GOOGLETRANSLATE(E96,""ES"",""EN"")"),"There is psychiatrist with which I talked about her, she, they and they knew my condition or my diagnosis and yet, despite this, we maintained horizontal relationships. So, that means that a horizontal relationship can be achieved and that it is possible."&amp;" In that sense, if we give more tools to the person who attends a Cosam, we can make horizontal relationships and that will contribute to some degree of improvement in their condition.")</f>
        <v>There is psychiatrist with which I talked about her, she, they and they knew my condition or my diagnosis and yet, despite this, we maintained horizontal relationships. So, that means that a horizontal relationship can be achieved and that it is possible. In that sense, if we give more tools to the person who attends a Cosam, we can make horizontal relationships and that will contribute to some degree of improvement in their condition.</v>
      </c>
      <c r="G96" s="3" t="s">
        <v>239</v>
      </c>
      <c r="H96" s="28">
        <v>1.4501851968108481</v>
      </c>
      <c r="I96" s="3" t="s">
        <v>235</v>
      </c>
      <c r="J96" s="3" t="str">
        <f ca="1">IFERROR(__xludf.DUMMYFUNCTION("GOOGLETRANSLATE(I96,""ES"",""EN"")"),"Negative effect: Subalternity in the relationship with users")</f>
        <v>Negative effect: Subalternity in the relationship with users</v>
      </c>
      <c r="K96" s="1"/>
      <c r="L96" s="1"/>
      <c r="M96" s="1"/>
      <c r="N96" s="1"/>
      <c r="O96" s="1"/>
      <c r="P96" s="1"/>
      <c r="Q96" s="1"/>
      <c r="R96" s="1"/>
      <c r="S96" s="1"/>
      <c r="T96" s="1"/>
      <c r="U96" s="1"/>
      <c r="V96" s="1"/>
      <c r="W96" s="1"/>
      <c r="X96" s="1"/>
      <c r="Y96" s="1"/>
      <c r="Z96" s="1"/>
    </row>
    <row r="97" spans="1:26" ht="15.75" customHeight="1" x14ac:dyDescent="0.25">
      <c r="A97" s="12" t="s">
        <v>5</v>
      </c>
      <c r="B97" s="3" t="s">
        <v>231</v>
      </c>
      <c r="C97" s="3" t="s">
        <v>232</v>
      </c>
      <c r="D97" s="3" t="str">
        <f ca="1">IFERROR(__xludf.DUMMYFUNCTION("GOOGLETRANSLATE(C97,""ES"",""EN"")"),"Governance \ Result \ Subalternity in the relationship with users")</f>
        <v>Governance \ Result \ Subalternity in the relationship with users</v>
      </c>
      <c r="E97" s="3" t="s">
        <v>240</v>
      </c>
      <c r="F97" s="3" t="str">
        <f ca="1">IFERROR(__xludf.DUMMYFUNCTION("GOOGLETRANSLATE(E97,""ES"",""EN"")"),"There is a cosam, I do not remember when or where, but it was not that of a Ñuñoa, in which the treatment was quite tax and authoritarian, that is, anyone, that is, until the person who attends in the inn to tell you what time And or at what time, or you "&amp;"processed the time, it went to take you.")</f>
        <v>There is a cosam, I do not remember when or where, but it was not that of a Ñuñoa, in which the treatment was quite tax and authoritarian, that is, anyone, that is, until the person who attends in the inn to tell you what time And or at what time, or you processed the time, it went to take you.</v>
      </c>
      <c r="G97" s="3" t="s">
        <v>241</v>
      </c>
      <c r="H97" s="28">
        <v>0.92284512524326701</v>
      </c>
      <c r="I97" s="3" t="s">
        <v>235</v>
      </c>
      <c r="J97" s="3" t="str">
        <f ca="1">IFERROR(__xludf.DUMMYFUNCTION("GOOGLETRANSLATE(I97,""ES"",""EN"")"),"Negative effect: Subalternity in the relationship with users")</f>
        <v>Negative effect: Subalternity in the relationship with users</v>
      </c>
      <c r="K97" s="1"/>
      <c r="L97" s="1"/>
      <c r="M97" s="1"/>
      <c r="N97" s="1"/>
      <c r="O97" s="1"/>
      <c r="P97" s="1"/>
      <c r="Q97" s="1"/>
      <c r="R97" s="1"/>
      <c r="S97" s="1"/>
      <c r="T97" s="1"/>
      <c r="U97" s="1"/>
      <c r="V97" s="1"/>
      <c r="W97" s="1"/>
      <c r="X97" s="1"/>
      <c r="Y97" s="1"/>
      <c r="Z97" s="1"/>
    </row>
    <row r="98" spans="1:26" ht="15.75" customHeight="1" x14ac:dyDescent="0.25">
      <c r="A98" s="12" t="s">
        <v>5</v>
      </c>
      <c r="B98" s="3" t="s">
        <v>231</v>
      </c>
      <c r="C98" s="3" t="s">
        <v>232</v>
      </c>
      <c r="D98" s="3" t="str">
        <f ca="1">IFERROR(__xludf.DUMMYFUNCTION("GOOGLETRANSLATE(C98,""ES"",""EN"")"),"Governance \ Result \ Subalternity in the relationship with users")</f>
        <v>Governance \ Result \ Subalternity in the relationship with users</v>
      </c>
      <c r="E98" s="3" t="s">
        <v>242</v>
      </c>
      <c r="F98" s="3" t="str">
        <f ca="1">IFERROR(__xludf.DUMMYFUNCTION("GOOGLETRANSLATE(E98,""ES"",""EN"")"),"I lived that and I have also seen it that other people have lived it. Lately it has not happened to me because I think my empowerment helps to face that kind of problem. But there are people who do not have that tool to be able to cope with those situatio"&amp;"ns. So what they do is how to go inside while they continue to bombard.")</f>
        <v>I lived that and I have also seen it that other people have lived it. Lately it has not happened to me because I think my empowerment helps to face that kind of problem. But there are people who do not have that tool to be able to cope with those situations. So what they do is how to go inside while they continue to bombard.</v>
      </c>
      <c r="G98" s="3" t="s">
        <v>243</v>
      </c>
      <c r="H98" s="28">
        <v>1.1582648000502229</v>
      </c>
      <c r="I98" s="3" t="s">
        <v>235</v>
      </c>
      <c r="J98" s="3" t="str">
        <f ca="1">IFERROR(__xludf.DUMMYFUNCTION("GOOGLETRANSLATE(I98,""ES"",""EN"")"),"Negative effect: Subalternity in the relationship with users")</f>
        <v>Negative effect: Subalternity in the relationship with users</v>
      </c>
      <c r="K98" s="1"/>
      <c r="L98" s="1"/>
      <c r="M98" s="1"/>
      <c r="N98" s="1"/>
      <c r="O98" s="1"/>
      <c r="P98" s="1"/>
      <c r="Q98" s="1"/>
      <c r="R98" s="1"/>
      <c r="S98" s="1"/>
      <c r="T98" s="1"/>
      <c r="U98" s="1"/>
      <c r="V98" s="1"/>
      <c r="W98" s="1"/>
      <c r="X98" s="1"/>
      <c r="Y98" s="1"/>
      <c r="Z98" s="1"/>
    </row>
    <row r="99" spans="1:26" ht="15.75" customHeight="1" x14ac:dyDescent="0.25">
      <c r="A99" s="12" t="s">
        <v>5</v>
      </c>
      <c r="B99" s="3" t="s">
        <v>231</v>
      </c>
      <c r="C99" s="3" t="s">
        <v>232</v>
      </c>
      <c r="D99" s="3" t="str">
        <f ca="1">IFERROR(__xludf.DUMMYFUNCTION("GOOGLETRANSLATE(C99,""ES"",""EN"")"),"Governance \ Result \ Subalternity in the relationship with users")</f>
        <v>Governance \ Result \ Subalternity in the relationship with users</v>
      </c>
      <c r="E99" s="3" t="s">
        <v>244</v>
      </c>
      <c r="F99" s="3" t="str">
        <f ca="1">IFERROR(__xludf.DUMMYFUNCTION("GOOGLETRANSLATE(E99,""ES"",""EN"")"),"And in Cosam I looked at relationships and if in some cases the therapist or the psychologist with whom they worked tended to be very authoritarian, especially the therapist. I believe that the training they have in the academy in undergraduate or postgra"&amp;"duate It is that there is a logical problem and the person when he talks with a person with a psychiatric diagnosis, as well as stereotype, sees it as someone who has a minor degree of rationality, then having a minor degree of rationality in infantiliza "&amp;"in some cases or in another Case makes it more authoritarian.")</f>
        <v>And in Cosam I looked at relationships and if in some cases the therapist or the psychologist with whom they worked tended to be very authoritarian, especially the therapist. I believe that the training they have in the academy in undergraduate or postgraduate It is that there is a logical problem and the person when he talks with a person with a psychiatric diagnosis, as well as stereotype, sees it as someone who has a minor degree of rationality, then having a minor degree of rationality in infantiliza in some cases or in another Case makes it more authoritarian.</v>
      </c>
      <c r="G99" s="3" t="s">
        <v>245</v>
      </c>
      <c r="H99" s="28">
        <v>2.3855860380438196</v>
      </c>
      <c r="I99" s="3" t="s">
        <v>235</v>
      </c>
      <c r="J99" s="3" t="str">
        <f ca="1">IFERROR(__xludf.DUMMYFUNCTION("GOOGLETRANSLATE(I99,""ES"",""EN"")"),"Negative effect: Subalternity in the relationship with users")</f>
        <v>Negative effect: Subalternity in the relationship with users</v>
      </c>
      <c r="K99" s="1"/>
      <c r="L99" s="1"/>
      <c r="M99" s="1"/>
      <c r="N99" s="1"/>
      <c r="O99" s="1"/>
      <c r="P99" s="1"/>
      <c r="Q99" s="1"/>
      <c r="R99" s="1"/>
      <c r="S99" s="1"/>
      <c r="T99" s="1"/>
      <c r="U99" s="1"/>
      <c r="V99" s="1"/>
      <c r="W99" s="1"/>
      <c r="X99" s="1"/>
      <c r="Y99" s="1"/>
      <c r="Z99" s="1"/>
    </row>
    <row r="100" spans="1:26" ht="15.75" customHeight="1" x14ac:dyDescent="0.25">
      <c r="A100" s="12" t="s">
        <v>5</v>
      </c>
      <c r="B100" s="3" t="s">
        <v>231</v>
      </c>
      <c r="C100" s="3" t="s">
        <v>232</v>
      </c>
      <c r="D100" s="3" t="str">
        <f ca="1">IFERROR(__xludf.DUMMYFUNCTION("GOOGLETRANSLATE(C100,""ES"",""EN"")"),"Governance \ Result \ Subalternity in the relationship with users")</f>
        <v>Governance \ Result \ Subalternity in the relationship with users</v>
      </c>
      <c r="E100" s="3" t="s">
        <v>246</v>
      </c>
      <c r="F100" s="3" t="str">
        <f ca="1">IFERROR(__xludf.DUMMYFUNCTION("GOOGLETRANSLATE(E100,""ES"",""EN"")"),"So that, this authoritarianism does not contribute much to the improvement of people.")</f>
        <v>So that, this authoritarianism does not contribute much to the improvement of people.</v>
      </c>
      <c r="G100" s="3" t="s">
        <v>247</v>
      </c>
      <c r="H100" s="28">
        <v>0.25425324879151234</v>
      </c>
      <c r="I100" s="3" t="s">
        <v>235</v>
      </c>
      <c r="J100" s="3" t="str">
        <f ca="1">IFERROR(__xludf.DUMMYFUNCTION("GOOGLETRANSLATE(I100,""ES"",""EN"")"),"Negative effect: Subalternity in the relationship with users")</f>
        <v>Negative effect: Subalternity in the relationship with users</v>
      </c>
      <c r="K100" s="1"/>
      <c r="L100" s="1"/>
      <c r="M100" s="1"/>
      <c r="N100" s="1"/>
      <c r="O100" s="1"/>
      <c r="P100" s="1"/>
      <c r="Q100" s="1"/>
      <c r="R100" s="1"/>
      <c r="S100" s="1"/>
      <c r="T100" s="1"/>
      <c r="U100" s="1"/>
      <c r="V100" s="1"/>
      <c r="W100" s="1"/>
      <c r="X100" s="1"/>
      <c r="Y100" s="1"/>
      <c r="Z100" s="1"/>
    </row>
    <row r="101" spans="1:26" ht="15.75" customHeight="1" x14ac:dyDescent="0.25">
      <c r="A101" s="12" t="s">
        <v>5</v>
      </c>
      <c r="B101" s="3" t="s">
        <v>231</v>
      </c>
      <c r="C101" s="3" t="s">
        <v>232</v>
      </c>
      <c r="D101" s="3" t="str">
        <f ca="1">IFERROR(__xludf.DUMMYFUNCTION("GOOGLETRANSLATE(C101,""ES"",""EN"")"),"Governance \ Result \ Subalternity in the relationship with users")</f>
        <v>Governance \ Result \ Subalternity in the relationship with users</v>
      </c>
      <c r="E101" s="3" t="s">
        <v>248</v>
      </c>
      <c r="F101" s="3" t="str">
        <f ca="1">IFERROR(__xludf.DUMMYFUNCTION("GOOGLETRANSLATE(E101,""ES"",""EN"")"),"There is a little boy with which I still communicate that we have a kind of mutual support of virtual distance by phone, that tells me that the psychiatrist gets up well, but with the occupational therapist no, because the therapist overexigates things th"&amp;"at he cannot Do and it's like very authoritarian.")</f>
        <v>There is a little boy with which I still communicate that we have a kind of mutual support of virtual distance by phone, that tells me that the psychiatrist gets up well, but with the occupational therapist no, because the therapist overexigates things that he cannot Do and it's like very authoritarian.</v>
      </c>
      <c r="G101" s="3" t="s">
        <v>249</v>
      </c>
      <c r="H101" s="28">
        <v>0.96051227321237997</v>
      </c>
      <c r="I101" s="3" t="s">
        <v>235</v>
      </c>
      <c r="J101" s="3" t="str">
        <f ca="1">IFERROR(__xludf.DUMMYFUNCTION("GOOGLETRANSLATE(I101,""ES"",""EN"")"),"Negative effect: Subalternity in the relationship with users")</f>
        <v>Negative effect: Subalternity in the relationship with users</v>
      </c>
      <c r="K101" s="1"/>
      <c r="L101" s="1"/>
      <c r="M101" s="1"/>
      <c r="N101" s="1"/>
      <c r="O101" s="1"/>
      <c r="P101" s="1"/>
      <c r="Q101" s="1"/>
      <c r="R101" s="1"/>
      <c r="S101" s="1"/>
      <c r="T101" s="1"/>
      <c r="U101" s="1"/>
      <c r="V101" s="1"/>
      <c r="W101" s="1"/>
      <c r="X101" s="1"/>
      <c r="Y101" s="1"/>
      <c r="Z101" s="1"/>
    </row>
    <row r="102" spans="1:26" ht="15.75" customHeight="1" x14ac:dyDescent="0.25">
      <c r="A102" s="12" t="s">
        <v>5</v>
      </c>
      <c r="B102" s="3" t="s">
        <v>231</v>
      </c>
      <c r="C102" s="3" t="s">
        <v>232</v>
      </c>
      <c r="D102" s="3" t="str">
        <f ca="1">IFERROR(__xludf.DUMMYFUNCTION("GOOGLETRANSLATE(C102,""ES"",""EN"")"),"Governance \ Result \ Subalternity in the relationship with users")</f>
        <v>Governance \ Result \ Subalternity in the relationship with users</v>
      </c>
      <c r="E102" s="3" t="s">
        <v>250</v>
      </c>
      <c r="F102" s="3" t="str">
        <f ca="1">IFERROR(__xludf.DUMMYFUNCTION("GOOGLETRANSLATE(E102,""ES"",""EN"")"),"Now, to cite a last example, in a day rehabilitation center that is here in Higueras, in Talcahuano, which depends on the Higueras Hospital, the moonlight. Relationships are very horizontal, affection, affection, understanding and valuation of difference."&amp;" That difference because it is different, is not lower or superior, simply different, and that difference is validated and valued.")</f>
        <v>Now, to cite a last example, in a day rehabilitation center that is here in Higueras, in Talcahuano, which depends on the Higueras Hospital, the moonlight. Relationships are very horizontal, affection, affection, understanding and valuation of difference. That difference because it is different, is not lower or superior, simply different, and that difference is validated and valued.</v>
      </c>
      <c r="G102" s="3" t="s">
        <v>251</v>
      </c>
      <c r="H102" s="28">
        <v>1.2461548119781531</v>
      </c>
      <c r="I102" s="3" t="s">
        <v>235</v>
      </c>
      <c r="J102" s="3" t="str">
        <f ca="1">IFERROR(__xludf.DUMMYFUNCTION("GOOGLETRANSLATE(I102,""ES"",""EN"")"),"Negative effect: Subalternity in the relationship with users")</f>
        <v>Negative effect: Subalternity in the relationship with users</v>
      </c>
      <c r="K102" s="1"/>
      <c r="L102" s="1"/>
      <c r="M102" s="1"/>
      <c r="N102" s="1"/>
      <c r="O102" s="1"/>
      <c r="P102" s="1"/>
      <c r="Q102" s="1"/>
      <c r="R102" s="1"/>
      <c r="S102" s="1"/>
      <c r="T102" s="1"/>
      <c r="U102" s="1"/>
      <c r="V102" s="1"/>
      <c r="W102" s="1"/>
      <c r="X102" s="1"/>
      <c r="Y102" s="1"/>
      <c r="Z102" s="1"/>
    </row>
    <row r="103" spans="1:26" ht="15.75" customHeight="1" x14ac:dyDescent="0.25">
      <c r="A103" s="12" t="s">
        <v>5</v>
      </c>
      <c r="B103" s="3" t="s">
        <v>231</v>
      </c>
      <c r="C103" s="3" t="s">
        <v>232</v>
      </c>
      <c r="D103" s="3" t="str">
        <f ca="1">IFERROR(__xludf.DUMMYFUNCTION("GOOGLETRANSLATE(C103,""ES"",""EN"")"),"Governance \ Result \ Subalternity in the relationship with users")</f>
        <v>Governance \ Result \ Subalternity in the relationship with users</v>
      </c>
      <c r="E103" s="3" t="s">
        <v>252</v>
      </c>
      <c r="F103" s="3" t="str">
        <f ca="1">IFERROR(__xludf.DUMMYFUNCTION("GOOGLETRANSLATE(E103,""ES"",""EN"")"),"The first is a thing that happens with most students and I believe that you have noticed when you are forming students, that adolescents want to be certain, which has an imperative need for certainty, a dogma that is already political, either knowledge or"&amp;" other. That makes me want to achieve certainty about Oh, I am already a psychologist, so I have a certain status and a certain way of seeing the world, which is the truth. Then there is a dogma that is me or what I treat you as a psychologist or you as a"&amp;" diagnosis that I am studying the truth of how you should see things. That is one, training, in training that, as is of teenagers who are going to adulthood and adolescence, suffers from essence. That is, in the background the adolescent is looking for an"&amp;" essence. That essence assumes it as a dogma in academic training")</f>
        <v>The first is a thing that happens with most students and I believe that you have noticed when you are forming students, that adolescents want to be certain, which has an imperative need for certainty, a dogma that is already political, either knowledge or other. That makes me want to achieve certainty about Oh, I am already a psychologist, so I have a certain status and a certain way of seeing the world, which is the truth. Then there is a dogma that is me or what I treat you as a psychologist or you as a diagnosis that I am studying the truth of how you should see things. That is one, training, in training that, as is of teenagers who are going to adulthood and adolescence, suffers from essence. That is, in the background the adolescent is looking for an essence. That essence assumes it as a dogma in academic training</v>
      </c>
      <c r="G103" s="3" t="s">
        <v>138</v>
      </c>
      <c r="H103" s="28">
        <v>2.8281750266808965</v>
      </c>
      <c r="I103" s="3" t="s">
        <v>235</v>
      </c>
      <c r="J103" s="3" t="str">
        <f ca="1">IFERROR(__xludf.DUMMYFUNCTION("GOOGLETRANSLATE(I103,""ES"",""EN"")"),"Negative effect: Subalternity in the relationship with users")</f>
        <v>Negative effect: Subalternity in the relationship with users</v>
      </c>
      <c r="K103" s="1"/>
      <c r="L103" s="1"/>
      <c r="M103" s="1"/>
      <c r="N103" s="1"/>
      <c r="O103" s="1"/>
      <c r="P103" s="1"/>
      <c r="Q103" s="1"/>
      <c r="R103" s="1"/>
      <c r="S103" s="1"/>
      <c r="T103" s="1"/>
      <c r="U103" s="1"/>
      <c r="V103" s="1"/>
      <c r="W103" s="1"/>
      <c r="X103" s="1"/>
      <c r="Y103" s="1"/>
      <c r="Z103" s="1"/>
    </row>
    <row r="104" spans="1:26" ht="15.75" customHeight="1" x14ac:dyDescent="0.25">
      <c r="A104" s="12" t="s">
        <v>5</v>
      </c>
      <c r="B104" s="3" t="s">
        <v>231</v>
      </c>
      <c r="C104" s="3" t="s">
        <v>232</v>
      </c>
      <c r="D104" s="3" t="str">
        <f ca="1">IFERROR(__xludf.DUMMYFUNCTION("GOOGLETRANSLATE(C104,""ES"",""EN"")"),"Governance \ Result \ Subalternity in the relationship with users")</f>
        <v>Governance \ Result \ Subalternity in the relationship with users</v>
      </c>
      <c r="E104" s="3" t="s">
        <v>253</v>
      </c>
      <c r="F104" s="3" t="str">
        <f ca="1">IFERROR(__xludf.DUMMYFUNCTION("GOOGLETRANSLATE(E104,""ES"",""EN"")"),"On the other hand, something that is more philosophical and that is related to ontology, that Western thought is dichotomous, is black or white, ""there or nothing"" as they say in English, papers in English. Then, when a person is studying or works on a "&amp;"health device and is thought of professional and rational, healthy - normal - abnormal, and thus a huge amount of blacks and blacks. However, the assessment of the difference is can be better with that the gray scale, where between black and white there i"&amp;"s a huge amount of grays. Then, a person who attends in the Cosam, who has a degree of rationality less than the common is not in the black pole, but is in a darker gray and see, to see that non -dichotomic way would help a lot, but That is an ontological"&amp;" problem of the human being that comes from modernity, with mainly Descartes, and also by the Christian Judeo inheritance of good and evil.")</f>
        <v>On the other hand, something that is more philosophical and that is related to ontology, that Western thought is dichotomous, is black or white, "there or nothing" as they say in English, papers in English. Then, when a person is studying or works on a health device and is thought of professional and rational, healthy - normal - abnormal, and thus a huge amount of blacks and blacks. However, the assessment of the difference is can be better with that the gray scale, where between black and white there is a huge amount of grays. Then, a person who attends in the Cosam, who has a degree of rationality less than the common is not in the black pole, but is in a darker gray and see, to see that non -dichotomic way would help a lot, but That is an ontological problem of the human being that comes from modernity, with mainly Descartes, and also by the Christian Judeo inheritance of good and evil.</v>
      </c>
      <c r="G104" s="3" t="s">
        <v>254</v>
      </c>
      <c r="H104" s="28">
        <v>3.0259275535187391</v>
      </c>
      <c r="I104" s="3" t="s">
        <v>235</v>
      </c>
      <c r="J104" s="3" t="str">
        <f ca="1">IFERROR(__xludf.DUMMYFUNCTION("GOOGLETRANSLATE(I104,""ES"",""EN"")"),"Negative effect: Subalternity in the relationship with users")</f>
        <v>Negative effect: Subalternity in the relationship with users</v>
      </c>
      <c r="K104" s="1"/>
      <c r="L104" s="1"/>
      <c r="M104" s="1"/>
      <c r="N104" s="1"/>
      <c r="O104" s="1"/>
      <c r="P104" s="1"/>
      <c r="Q104" s="1"/>
      <c r="R104" s="1"/>
      <c r="S104" s="1"/>
      <c r="T104" s="1"/>
      <c r="U104" s="1"/>
      <c r="V104" s="1"/>
      <c r="W104" s="1"/>
      <c r="X104" s="1"/>
      <c r="Y104" s="1"/>
      <c r="Z104" s="1"/>
    </row>
    <row r="105" spans="1:26" ht="15.75" customHeight="1" x14ac:dyDescent="0.25">
      <c r="A105" s="12" t="s">
        <v>5</v>
      </c>
      <c r="B105" s="3" t="s">
        <v>231</v>
      </c>
      <c r="C105" s="3" t="s">
        <v>232</v>
      </c>
      <c r="D105" s="3" t="str">
        <f ca="1">IFERROR(__xludf.DUMMYFUNCTION("GOOGLETRANSLATE(C105,""ES"",""EN"")"),"Governance \ Result \ Subalternity in the relationship with users")</f>
        <v>Governance \ Result \ Subalternity in the relationship with users</v>
      </c>
      <c r="E105" s="3" t="s">
        <v>255</v>
      </c>
      <c r="F105" s="3" t="str">
        <f ca="1">IFERROR(__xludf.DUMMYFUNCTION("GOOGLETRANSLATE(E105,""ES"",""EN"")"),"and the last thing that is about the reinstitutionalization of health devices. It happens that obviously a person who enters to work at any job, wants to maintain his job to have stability, because most people in the world want stability, because when the"&amp;" floor is moved they enter crisis. So, if you want to keep the job, repeat guidelines or repeat standards and leave it so and continue stable. Then there keeps the glue, keeps the salary and can be projected to form a family or buy an apartment, or travel"&amp;" or whatever, but stability. On the other hand, if a person realizes the difference and values ​​the difference and wants to do something different, his work can run the work. So that makes what is already perpetuated.")</f>
        <v>and the last thing that is about the reinstitutionalization of health devices. It happens that obviously a person who enters to work at any job, wants to maintain his job to have stability, because most people in the world want stability, because when the floor is moved they enter crisis. So, if you want to keep the job, repeat guidelines or repeat standards and leave it so and continue stable. Then there keeps the glue, keeps the salary and can be projected to form a family or buy an apartment, or travel or whatever, but stability. On the other hand, if a person realizes the difference and values ​​the difference and wants to do something different, his work can run the work. So that makes what is already perpetuated.</v>
      </c>
      <c r="G105" s="3" t="s">
        <v>256</v>
      </c>
      <c r="H105" s="28">
        <v>2.5174210559357144</v>
      </c>
      <c r="I105" s="3" t="s">
        <v>235</v>
      </c>
      <c r="J105" s="3" t="str">
        <f ca="1">IFERROR(__xludf.DUMMYFUNCTION("GOOGLETRANSLATE(I105,""ES"",""EN"")"),"Negative effect: Subalternity in the relationship with users")</f>
        <v>Negative effect: Subalternity in the relationship with users</v>
      </c>
      <c r="K105" s="1"/>
      <c r="L105" s="1"/>
      <c r="M105" s="1"/>
      <c r="N105" s="1"/>
      <c r="O105" s="1"/>
      <c r="P105" s="1"/>
      <c r="Q105" s="1"/>
      <c r="R105" s="1"/>
      <c r="S105" s="1"/>
      <c r="T105" s="1"/>
      <c r="U105" s="1"/>
      <c r="V105" s="1"/>
      <c r="W105" s="1"/>
      <c r="X105" s="1"/>
      <c r="Y105" s="1"/>
      <c r="Z105" s="1"/>
    </row>
    <row r="106" spans="1:26" ht="15.75" customHeight="1" x14ac:dyDescent="0.25">
      <c r="A106" s="7" t="s">
        <v>5</v>
      </c>
      <c r="B106" s="3" t="s">
        <v>231</v>
      </c>
      <c r="C106" s="3" t="s">
        <v>175</v>
      </c>
      <c r="D106" s="3" t="str">
        <f ca="1">IFERROR(__xludf.DUMMYFUNCTION("GOOGLETRANSLATE(C106,""ES"",""EN"")"),"Users \ Result \ Grateful people of the CSMC")</f>
        <v>Users \ Result \ Grateful people of the CSMC</v>
      </c>
      <c r="E106" s="3" t="s">
        <v>257</v>
      </c>
      <c r="F106" s="3" t="str">
        <f ca="1">IFERROR(__xludf.DUMMYFUNCTION("GOOGLETRANSLATE(E106,""ES"",""EN"")"),"And I saw that many, many people were happy with what had happened to him with Cosam, that the guide of the orientation of the psychologist or psychiatrist had helped him enough")</f>
        <v>And I saw that many, many people were happy with what had happened to him with Cosam, that the guide of the orientation of the psychologist or psychiatrist had helped him enough</v>
      </c>
      <c r="G106" s="3" t="s">
        <v>258</v>
      </c>
      <c r="H106" s="28">
        <v>0.58070186452382444</v>
      </c>
      <c r="I106" s="3" t="s">
        <v>178</v>
      </c>
      <c r="J106" s="3" t="str">
        <f ca="1">IFERROR(__xludf.DUMMYFUNCTION("GOOGLETRANSLATE(I106,""ES"",""EN"")"),"Positive effects: No one is excluded and grateful people from the CSMC")</f>
        <v>Positive effects: No one is excluded and grateful people from the CSMC</v>
      </c>
      <c r="K106" s="1"/>
      <c r="L106" s="1"/>
      <c r="M106" s="1"/>
      <c r="N106" s="1"/>
      <c r="O106" s="1"/>
      <c r="P106" s="1"/>
      <c r="Q106" s="1"/>
      <c r="R106" s="1"/>
      <c r="S106" s="1"/>
      <c r="T106" s="1"/>
      <c r="U106" s="1"/>
      <c r="V106" s="1"/>
      <c r="W106" s="1"/>
      <c r="X106" s="1"/>
      <c r="Y106" s="1"/>
      <c r="Z106" s="1"/>
    </row>
    <row r="107" spans="1:26" ht="15.75" customHeight="1" x14ac:dyDescent="0.25">
      <c r="A107" s="7" t="s">
        <v>5</v>
      </c>
      <c r="B107" s="3" t="s">
        <v>231</v>
      </c>
      <c r="C107" s="3" t="s">
        <v>175</v>
      </c>
      <c r="D107" s="3" t="str">
        <f ca="1">IFERROR(__xludf.DUMMYFUNCTION("GOOGLETRANSLATE(C107,""ES"",""EN"")"),"Users \ Result \ Grateful people of the CSMC")</f>
        <v>Users \ Result \ Grateful people of the CSMC</v>
      </c>
      <c r="E107" s="3" t="s">
        <v>259</v>
      </c>
      <c r="F107" s="3" t="str">
        <f ca="1">IFERROR(__xludf.DUMMYFUNCTION("GOOGLETRANSLATE(E107,""ES"",""EN"")"),"What I saw is that when talking with my apprentices ex officio of art, what I saw was that there was a gratitude of what they were receiving and drying the pantos of the road yes, but there was a lot, a lot of feeling that they were feeling comfortable wi"&amp;"th that. And in fact I saw within the Art School there were three people who discharged and that was very nice.")</f>
        <v>What I saw is that when talking with my apprentices ex officio of art, what I saw was that there was a gratitude of what they were receiving and drying the pantos of the road yes, but there was a lot, a lot of feeling that they were feeling comfortable with that. And in fact I saw within the Art School there were three people who discharged and that was very nice.</v>
      </c>
      <c r="G107" s="3" t="s">
        <v>260</v>
      </c>
      <c r="H107" s="28">
        <v>1.1362922970682403</v>
      </c>
      <c r="I107" s="3" t="s">
        <v>178</v>
      </c>
      <c r="J107" s="3" t="str">
        <f ca="1">IFERROR(__xludf.DUMMYFUNCTION("GOOGLETRANSLATE(I107,""ES"",""EN"")"),"Positive effects: No one is excluded and grateful people from the CSMC")</f>
        <v>Positive effects: No one is excluded and grateful people from the CSMC</v>
      </c>
      <c r="K107" s="1"/>
      <c r="L107" s="1"/>
      <c r="M107" s="1"/>
      <c r="N107" s="1"/>
      <c r="O107" s="1"/>
      <c r="P107" s="1"/>
      <c r="Q107" s="1"/>
      <c r="R107" s="1"/>
      <c r="S107" s="1"/>
      <c r="T107" s="1"/>
      <c r="U107" s="1"/>
      <c r="V107" s="1"/>
      <c r="W107" s="1"/>
      <c r="X107" s="1"/>
      <c r="Y107" s="1"/>
      <c r="Z107" s="1"/>
    </row>
    <row r="108" spans="1:26" ht="15.75" customHeight="1" x14ac:dyDescent="0.25">
      <c r="A108" s="11" t="s">
        <v>5</v>
      </c>
      <c r="B108" s="3" t="s">
        <v>231</v>
      </c>
      <c r="C108" s="3" t="s">
        <v>121</v>
      </c>
      <c r="D108" s="3" t="str">
        <f ca="1">IFERROR(__xludf.DUMMYFUNCTION("GOOGLETRANSLATE(C108,""ES"",""EN"")"),"Benefits \ Result \ There is no crisis or urgency attention")</f>
        <v>Benefits \ Result \ There is no crisis or urgency attention</v>
      </c>
      <c r="E108" s="3" t="s">
        <v>261</v>
      </c>
      <c r="F108" s="3" t="str">
        <f ca="1">IFERROR(__xludf.DUMMYFUNCTION("GOOGLETRANSLATE(E108,""ES"",""EN"")"),"If you have any problem, it is urgently. The urgency of the hospital, not of the psychiatric hospital, but of the hospital. And you have to wait and wait, about 4 or 5 or if the only psychiatrist who arrives at 5:00 p.m. and there are about ten or 15 peop"&amp;"le waiting. That is, if there is an urgency like crisis or decompensation, so what I do is bring emergency medications and with that it is to cope with adverse situations.")</f>
        <v>If you have any problem, it is urgently. The urgency of the hospital, not of the psychiatric hospital, but of the hospital. And you have to wait and wait, about 4 or 5 or if the only psychiatrist who arrives at 5:00 p.m. and there are about ten or 15 people waiting. That is, if there is an urgency like crisis or decompensation, so what I do is bring emergency medications and with that it is to cope with adverse situations.</v>
      </c>
      <c r="G108" s="3" t="s">
        <v>262</v>
      </c>
      <c r="H108" s="28">
        <v>1.4250737648314395</v>
      </c>
      <c r="I108" s="3" t="s">
        <v>44</v>
      </c>
      <c r="J108" s="3" t="str">
        <f ca="1">IFERROR(__xludf.DUMMYFUNCTION("GOOGLETRANSLATE(I108,""ES"",""EN"")"),"Negative effects: limit the integrality and continuity of care")</f>
        <v>Negative effects: limit the integrality and continuity of care</v>
      </c>
      <c r="K108" s="1"/>
      <c r="L108" s="1"/>
      <c r="M108" s="1"/>
      <c r="N108" s="1"/>
      <c r="O108" s="1"/>
      <c r="P108" s="1"/>
      <c r="Q108" s="1"/>
      <c r="R108" s="1"/>
      <c r="S108" s="1"/>
      <c r="T108" s="1"/>
      <c r="U108" s="1"/>
      <c r="V108" s="1"/>
      <c r="W108" s="1"/>
      <c r="X108" s="1"/>
      <c r="Y108" s="1"/>
      <c r="Z108" s="1"/>
    </row>
    <row r="109" spans="1:26" ht="15.75" customHeight="1" x14ac:dyDescent="0.25">
      <c r="A109" s="2" t="s">
        <v>5</v>
      </c>
      <c r="B109" s="3" t="s">
        <v>231</v>
      </c>
      <c r="C109" s="3" t="s">
        <v>66</v>
      </c>
      <c r="D109" s="3" t="str">
        <f ca="1">IFERROR(__xludf.DUMMYFUNCTION("GOOGLETRANSLATE(C109,""ES"",""EN"")"),"HUMAN RESOURCES \ Result \ resignation of experienced professionals")</f>
        <v>HUMAN RESOURCES \ Result \ resignation of experienced professionals</v>
      </c>
      <c r="E109" s="3" t="s">
        <v>263</v>
      </c>
      <c r="F109" s="3" t="str">
        <f ca="1">IFERROR(__xludf.DUMMYFUNCTION("GOOGLETRANSLATE(E109,""ES"",""EN"")"),"But there are others that, for example, the psychiatrist or the psychiatrist, the problem what happened was that they changed the psychiatrist or that they changed as a psychologist because a person left, or changed his position or went to another positio"&amp;"n elsewhere.")</f>
        <v>But there are others that, for example, the psychiatrist or the psychiatrist, the problem what happened was that they changed the psychiatrist or that they changed as a psychologist because a person left, or changed his position or went to another position elsewhere.</v>
      </c>
      <c r="G109" s="3" t="s">
        <v>125</v>
      </c>
      <c r="H109" s="28">
        <v>0.72509259840542406</v>
      </c>
      <c r="I109" s="3" t="s">
        <v>21</v>
      </c>
      <c r="J109" s="3" t="str">
        <f ca="1">IFERROR(__xludf.DUMMYFUNCTION("GOOGLETRANSLATE(I109,""ES"",""EN"")"),"Negative effects: high rotation of professionals")</f>
        <v>Negative effects: high rotation of professionals</v>
      </c>
      <c r="K109" s="1"/>
      <c r="L109" s="1"/>
      <c r="M109" s="1"/>
      <c r="N109" s="1"/>
      <c r="O109" s="1"/>
      <c r="P109" s="1"/>
      <c r="Q109" s="1"/>
      <c r="R109" s="1"/>
      <c r="S109" s="1"/>
      <c r="T109" s="1"/>
      <c r="U109" s="1"/>
      <c r="V109" s="1"/>
      <c r="W109" s="1"/>
      <c r="X109" s="1"/>
      <c r="Y109" s="1"/>
      <c r="Z109" s="1"/>
    </row>
    <row r="110" spans="1:26" ht="15.75" customHeight="1" x14ac:dyDescent="0.25">
      <c r="A110" s="2" t="s">
        <v>5</v>
      </c>
      <c r="B110" s="3" t="s">
        <v>231</v>
      </c>
      <c r="C110" s="3" t="s">
        <v>66</v>
      </c>
      <c r="D110" s="3" t="str">
        <f ca="1">IFERROR(__xludf.DUMMYFUNCTION("GOOGLETRANSLATE(C110,""ES"",""EN"")"),"HUMAN RESOURCES \ Result \ resignation of experienced professionals")</f>
        <v>HUMAN RESOURCES \ Result \ resignation of experienced professionals</v>
      </c>
      <c r="E110" s="3" t="s">
        <v>264</v>
      </c>
      <c r="F110" s="3" t="str">
        <f ca="1">IFERROR(__xludf.DUMMYFUNCTION("GOOGLETRANSLATE(E110,""ES"",""EN"")"),"What happened there was problematic because they continue with the doses and there were psychiatrists that increased dose for not knowing more specifically the person's life story")</f>
        <v>What happened there was problematic because they continue with the doses and there were psychiatrists that increased dose for not knowing more specifically the person's life story</v>
      </c>
      <c r="G110" s="3" t="s">
        <v>265</v>
      </c>
      <c r="H110" s="28">
        <v>0.59639650951095491</v>
      </c>
      <c r="I110" s="3" t="s">
        <v>21</v>
      </c>
      <c r="J110" s="3" t="str">
        <f ca="1">IFERROR(__xludf.DUMMYFUNCTION("GOOGLETRANSLATE(I110,""ES"",""EN"")"),"Negative effects: high rotation of professionals")</f>
        <v>Negative effects: high rotation of professionals</v>
      </c>
      <c r="K110" s="1"/>
      <c r="L110" s="1"/>
      <c r="M110" s="1"/>
      <c r="N110" s="1"/>
      <c r="O110" s="1"/>
      <c r="P110" s="1"/>
      <c r="Q110" s="1"/>
      <c r="R110" s="1"/>
      <c r="S110" s="1"/>
      <c r="T110" s="1"/>
      <c r="U110" s="1"/>
      <c r="V110" s="1"/>
      <c r="W110" s="1"/>
      <c r="X110" s="1"/>
      <c r="Y110" s="1"/>
      <c r="Z110" s="1"/>
    </row>
    <row r="111" spans="1:26" ht="15.75" customHeight="1" x14ac:dyDescent="0.25">
      <c r="A111" s="12" t="s">
        <v>5</v>
      </c>
      <c r="B111" s="3" t="s">
        <v>231</v>
      </c>
      <c r="C111" s="3" t="s">
        <v>232</v>
      </c>
      <c r="D111" s="3" t="str">
        <f ca="1">IFERROR(__xludf.DUMMYFUNCTION("GOOGLETRANSLATE(C111,""ES"",""EN"")"),"Governance \ Result \ Subalternity in the relationship with users")</f>
        <v>Governance \ Result \ Subalternity in the relationship with users</v>
      </c>
      <c r="E111" s="3" t="s">
        <v>266</v>
      </c>
      <c r="F111" s="3" t="str">
        <f ca="1">IFERROR(__xludf.DUMMYFUNCTION("GOOGLETRANSLATE(E111,""ES"",""EN"")"),"That is, there was a specific example of this person that we are in mutual support is that he a medicine that had it very bad. Then he asked him to lower his dose and the psychiatrist told him no and did not give him an alternative medication either. And "&amp;"this person was suffering as three months with that medicine knowing that with the previous medication it was fine.")</f>
        <v>That is, there was a specific example of this person that we are in mutual support is that he a medicine that had it very bad. Then he asked him to lower his dose and the psychiatrist told him no and did not give him an alternative medication either. And this person was suffering as three months with that medicine knowing that with the previous medication it was fine.</v>
      </c>
      <c r="G111" s="3" t="s">
        <v>267</v>
      </c>
      <c r="H111" s="28">
        <v>1.1833762320296315</v>
      </c>
      <c r="I111" s="3" t="s">
        <v>235</v>
      </c>
      <c r="J111" s="3" t="str">
        <f ca="1">IFERROR(__xludf.DUMMYFUNCTION("GOOGLETRANSLATE(I111,""ES"",""EN"")"),"Negative effect: Subalternity in the relationship with users")</f>
        <v>Negative effect: Subalternity in the relationship with users</v>
      </c>
      <c r="K111" s="1"/>
      <c r="L111" s="1"/>
      <c r="M111" s="1"/>
      <c r="N111" s="1"/>
      <c r="O111" s="1"/>
      <c r="P111" s="1"/>
      <c r="Q111" s="1"/>
      <c r="R111" s="1"/>
      <c r="S111" s="1"/>
      <c r="T111" s="1"/>
      <c r="U111" s="1"/>
      <c r="V111" s="1"/>
      <c r="W111" s="1"/>
      <c r="X111" s="1"/>
      <c r="Y111" s="1"/>
      <c r="Z111" s="1"/>
    </row>
    <row r="112" spans="1:26" ht="15.75" customHeight="1" x14ac:dyDescent="0.25">
      <c r="A112" s="2" t="s">
        <v>5</v>
      </c>
      <c r="B112" s="3" t="s">
        <v>231</v>
      </c>
      <c r="C112" s="3" t="s">
        <v>66</v>
      </c>
      <c r="D112" s="3" t="str">
        <f ca="1">IFERROR(__xludf.DUMMYFUNCTION("GOOGLETRANSLATE(C112,""ES"",""EN"")"),"HUMAN RESOURCES \ Result \ resignation of experienced professionals")</f>
        <v>HUMAN RESOURCES \ Result \ resignation of experienced professionals</v>
      </c>
      <c r="E112" s="3" t="s">
        <v>268</v>
      </c>
      <c r="F112" s="3" t="str">
        <f ca="1">IFERROR(__xludf.DUMMYFUNCTION("GOOGLETRANSLATE(E112,""ES"",""EN"")"),"But like this new psychiatrist who had his dogma, he knew that the appropriate medication was the new one ignored him. Then there is a hierarchical relationship to lead to another person.")</f>
        <v>But like this new psychiatrist who had his dogma, he knew that the appropriate medication was the new one ignored him. Then there is a hierarchical relationship to lead to another person.</v>
      </c>
      <c r="G112" s="3" t="s">
        <v>269</v>
      </c>
      <c r="H112" s="28">
        <v>0.64034151547491991</v>
      </c>
      <c r="I112" s="3" t="s">
        <v>27</v>
      </c>
      <c r="J112" s="3" t="str">
        <f ca="1">IFERROR(__xludf.DUMMYFUNCTION("GOOGLETRANSLATE(I112,""ES"",""EN"")"),"Negative effects: a multidisciplinary approach has not been achieved")</f>
        <v>Negative effects: a multidisciplinary approach has not been achieved</v>
      </c>
      <c r="K112" s="1"/>
      <c r="L112" s="1"/>
      <c r="M112" s="1"/>
      <c r="N112" s="1"/>
      <c r="O112" s="1"/>
      <c r="P112" s="1"/>
      <c r="Q112" s="1"/>
      <c r="R112" s="1"/>
      <c r="S112" s="1"/>
      <c r="T112" s="1"/>
      <c r="U112" s="1"/>
      <c r="V112" s="1"/>
      <c r="W112" s="1"/>
      <c r="X112" s="1"/>
      <c r="Y112" s="1"/>
      <c r="Z112" s="1"/>
    </row>
    <row r="113" spans="1:26" ht="15.75" customHeight="1" x14ac:dyDescent="0.25">
      <c r="A113" s="8" t="s">
        <v>5</v>
      </c>
      <c r="B113" s="3" t="s">
        <v>231</v>
      </c>
      <c r="C113" s="3" t="s">
        <v>106</v>
      </c>
      <c r="D113" s="3" t="str">
        <f ca="1">IFERROR(__xludf.DUMMYFUNCTION("GOOGLETRANSLATE(C113,""ES"",""EN"")"),"Medications and Technologies \ Result \ Lack of medications")</f>
        <v>Medications and Technologies \ Result \ Lack of medications</v>
      </c>
      <c r="E113" s="3" t="s">
        <v>270</v>
      </c>
      <c r="F113" s="3" t="str">
        <f ca="1">IFERROR(__xludf.DUMMYFUNCTION("GOOGLETRANSLATE(E113,""ES"",""EN"")"),"í, the deficit always, there is always deficit. That is, an example, for example the GES. The GES guarantees medications, but to me about five or six times in these last six years the medicine is not in that, it is not and is not in pharmacy. And that is "&amp;"guaranteed that I make the claim to the OIRS and that comes to the hospital. But that does not work for me because they spend 15 days and that day I don't have the medication.")</f>
        <v>í, the deficit always, there is always deficit. That is, an example, for example the GES. The GES guarantees medications, but to me about five or six times in these last six years the medicine is not in that, it is not and is not in pharmacy. And that is guaranteed that I make the claim to the OIRS and that comes to the hospital. But that does not work for me because they spend 15 days and that day I don't have the medication.</v>
      </c>
      <c r="G113" s="3" t="s">
        <v>271</v>
      </c>
      <c r="H113" s="28">
        <v>1.2806830309498398</v>
      </c>
      <c r="I113" s="3" t="s">
        <v>33</v>
      </c>
      <c r="J113" s="3" t="str">
        <f ca="1">IFERROR(__xludf.DUMMYFUNCTION("GOOGLETRANSLATE(I113,""ES"",""EN"")"),"Negative effects: lack of family integration ...")</f>
        <v>Negative effects: lack of family integration ...</v>
      </c>
      <c r="K113" s="1"/>
      <c r="L113" s="1"/>
      <c r="M113" s="1"/>
      <c r="N113" s="1"/>
      <c r="O113" s="1"/>
      <c r="P113" s="1"/>
      <c r="Q113" s="1"/>
      <c r="R113" s="1"/>
      <c r="S113" s="1"/>
      <c r="T113" s="1"/>
      <c r="U113" s="1"/>
      <c r="V113" s="1"/>
      <c r="W113" s="1"/>
      <c r="X113" s="1"/>
      <c r="Y113" s="1"/>
      <c r="Z113" s="1"/>
    </row>
    <row r="114" spans="1:26" ht="15.75" customHeight="1" x14ac:dyDescent="0.25">
      <c r="A114" s="6" t="s">
        <v>5</v>
      </c>
      <c r="B114" s="3" t="s">
        <v>231</v>
      </c>
      <c r="C114" s="3" t="s">
        <v>62</v>
      </c>
      <c r="D114" s="3" t="str">
        <f ca="1">IFERROR(__xludf.DUMMYFUNCTION("GOOGLETRANSLATE(C114,""ES"",""EN"")"),"FINANCING \ RESULT \ BUDGET A CSMC WITHOUT INCREASE")</f>
        <v>FINANCING \ RESULT \ BUDGET A CSMC WITHOUT INCREASE</v>
      </c>
      <c r="E114" s="3" t="s">
        <v>272</v>
      </c>
      <c r="F114" s="3" t="str">
        <f ca="1">IFERROR(__xludf.DUMMYFUNCTION("GOOGLETRANSLATE(E114,""ES"",""EN"")"),"Because there are no resources, they are minimal. That is, if we review that the Nation Budget 2% is health and of that 2% in 2% in community mental health, it seems to me that it is even less, one realizes that the possibilities of action are few and fro"&amp;"nt Of course, many people overwhelm and stay there.")</f>
        <v>Because there are no resources, they are minimal. That is, if we review that the Nation Budget 2% is health and of that 2% in 2% in community mental health, it seems to me that it is even less, one realizes that the possibilities of action are few and front Of course, many people overwhelm and stay there.</v>
      </c>
      <c r="G114" s="3" t="s">
        <v>273</v>
      </c>
      <c r="H114" s="28">
        <v>0.95109548622010176</v>
      </c>
      <c r="I114" s="3" t="s">
        <v>65</v>
      </c>
      <c r="J114" s="3" t="str">
        <f ca="1">IFERROR(__xludf.DUMMYFUNCTION("GOOGLETRANSLATE(I114,""ES"",""EN"")"),"Negative effect: actors do not identify a CSMC financing system")</f>
        <v>Negative effect: actors do not identify a CSMC financing system</v>
      </c>
      <c r="K114" s="1"/>
      <c r="L114" s="1"/>
      <c r="M114" s="1"/>
      <c r="N114" s="1"/>
      <c r="O114" s="1"/>
      <c r="P114" s="1"/>
      <c r="Q114" s="1"/>
      <c r="R114" s="1"/>
      <c r="S114" s="1"/>
      <c r="T114" s="1"/>
      <c r="U114" s="1"/>
      <c r="V114" s="1"/>
      <c r="W114" s="1"/>
      <c r="X114" s="1"/>
      <c r="Y114" s="1"/>
      <c r="Z114" s="1"/>
    </row>
    <row r="115" spans="1:26" ht="15.75" customHeight="1" x14ac:dyDescent="0.25">
      <c r="A115" s="11" t="s">
        <v>5</v>
      </c>
      <c r="B115" s="3" t="s">
        <v>274</v>
      </c>
      <c r="C115" s="3" t="s">
        <v>275</v>
      </c>
      <c r="D115" s="3" t="str">
        <f ca="1">IFERROR(__xludf.DUMMYFUNCTION("GOOGLETRANSLATE(C115,""ES"",""EN"")"),"Benefits \ Criticism of bad formation of the psychiatrist")</f>
        <v>Benefits \ Criticism of bad formation of the psychiatrist</v>
      </c>
      <c r="E115" s="3" t="s">
        <v>276</v>
      </c>
      <c r="F115" s="3" t="str">
        <f ca="1">IFERROR(__xludf.DUMMYFUNCTION("GOOGLETRANSLATE(E115,""ES"",""EN"")"),"From the time we have been knowing bipolar disorder and knowing a lot of pharmacology, we realize that many psychiatrists or do not find the correct diagnosis. Well, we know there. There is a delay of ten years to be diagnosed a person with bipolar disord"&amp;"er. But once it is diagnosed they have a lot of medication. And we know and we have proven that the less medication you have, say, if you stay only with your mood stabilizer in conjunction with these care you have to have, I speak of psychoeducation, you "&amp;"can carry it very well.")</f>
        <v>From the time we have been knowing bipolar disorder and knowing a lot of pharmacology, we realize that many psychiatrists or do not find the correct diagnosis. Well, we know there. There is a delay of ten years to be diagnosed a person with bipolar disorder. But once it is diagnosed they have a lot of medication. And we know and we have proven that the less medication you have, say, if you stay only with your mood stabilizer in conjunction with these care you have to have, I speak of psychoeducation, you can carry it very well.</v>
      </c>
      <c r="G115" s="3" t="s">
        <v>277</v>
      </c>
      <c r="H115" s="28">
        <v>2.7060782681099087</v>
      </c>
      <c r="I115" s="3" t="s">
        <v>278</v>
      </c>
      <c r="J115" s="3" t="str">
        <f ca="1">IFERROR(__xludf.DUMMYFUNCTION("GOOGLETRANSLATE(I115,""ES"",""EN"")"),"Negative effects: centered on diagnose")</f>
        <v>Negative effects: centered on diagnose</v>
      </c>
      <c r="K115" s="1"/>
      <c r="L115" s="1"/>
      <c r="M115" s="1"/>
      <c r="N115" s="1"/>
      <c r="O115" s="1"/>
      <c r="P115" s="1"/>
      <c r="Q115" s="1"/>
      <c r="R115" s="1"/>
      <c r="S115" s="1"/>
      <c r="T115" s="1"/>
      <c r="U115" s="1"/>
      <c r="V115" s="1"/>
      <c r="W115" s="1"/>
      <c r="X115" s="1"/>
      <c r="Y115" s="1"/>
      <c r="Z115" s="1"/>
    </row>
    <row r="116" spans="1:26" ht="15.75" customHeight="1" x14ac:dyDescent="0.25">
      <c r="A116" s="11" t="s">
        <v>5</v>
      </c>
      <c r="B116" s="3" t="s">
        <v>274</v>
      </c>
      <c r="C116" s="3" t="s">
        <v>275</v>
      </c>
      <c r="D116" s="3" t="str">
        <f ca="1">IFERROR(__xludf.DUMMYFUNCTION("GOOGLETRANSLATE(C116,""ES"",""EN"")"),"Benefits \ Criticism of bad formation of the psychiatrist")</f>
        <v>Benefits \ Criticism of bad formation of the psychiatrist</v>
      </c>
      <c r="E116" s="3" t="s">
        <v>279</v>
      </c>
      <c r="F116" s="3" t="str">
        <f ca="1">IFERROR(__xludf.DUMMYFUNCTION("GOOGLETRANSLATE(E116,""ES"",""EN"")"),"What's going on? That psychiatrists, and here there is a bit of criticism of professionals, psychiatrists diagnose a person with bipolar disorder, give him the medication, sometimes not the appropriate medication and if, and if he has adequate and the cri"&amp;"sis enters the Doctor does not explain to the patient for what each medication is, for how long does it have to take, what happens if it returns to a crisis? What happens if you already leave the phase? Obviously, if a phase comes out, you cannot continue"&amp;" taking the same medication that I was taking for a mania, for example, or a medication that was taking for a depression if it already left depression.")</f>
        <v>What's going on? That psychiatrists, and here there is a bit of criticism of professionals, psychiatrists diagnose a person with bipolar disorder, give him the medication, sometimes not the appropriate medication and if, and if he has adequate and the crisis enters the Doctor does not explain to the patient for what each medication is, for how long does it have to take, what happens if it returns to a crisis? What happens if you already leave the phase? Obviously, if a phase comes out, you cannot continue taking the same medication that I was taking for a mania, for example, or a medication that was taking for a depression if it already left depression.</v>
      </c>
      <c r="G116" s="3" t="s">
        <v>280</v>
      </c>
      <c r="H116" s="28">
        <v>2.9697474326949762</v>
      </c>
      <c r="I116" s="3" t="s">
        <v>278</v>
      </c>
      <c r="J116" s="3" t="str">
        <f ca="1">IFERROR(__xludf.DUMMYFUNCTION("GOOGLETRANSLATE(I116,""ES"",""EN"")"),"Negative effects: centered on diagnose")</f>
        <v>Negative effects: centered on diagnose</v>
      </c>
      <c r="K116" s="1"/>
      <c r="L116" s="1"/>
      <c r="M116" s="1"/>
      <c r="N116" s="1"/>
      <c r="O116" s="1"/>
      <c r="P116" s="1"/>
      <c r="Q116" s="1"/>
      <c r="R116" s="1"/>
      <c r="S116" s="1"/>
      <c r="T116" s="1"/>
      <c r="U116" s="1"/>
      <c r="V116" s="1"/>
      <c r="W116" s="1"/>
      <c r="X116" s="1"/>
      <c r="Y116" s="1"/>
      <c r="Z116" s="1"/>
    </row>
    <row r="117" spans="1:26" ht="15.75" customHeight="1" x14ac:dyDescent="0.25">
      <c r="A117" s="2" t="s">
        <v>5</v>
      </c>
      <c r="B117" s="3" t="s">
        <v>274</v>
      </c>
      <c r="C117" s="3" t="s">
        <v>281</v>
      </c>
      <c r="D117" s="3" t="str">
        <f ca="1">IFERROR(__xludf.DUMMYFUNCTION("GOOGLETRANSLATE(C117,""ES"",""EN"")"),"Human Resources \ Result \ Lack of specialized multiprofessional attention")</f>
        <v>Human Resources \ Result \ Lack of specialized multiprofessional attention</v>
      </c>
      <c r="E117" s="3" t="s">
        <v>282</v>
      </c>
      <c r="F117" s="3" t="str">
        <f ca="1">IFERROR(__xludf.DUMMYFUNCTION("GOOGLETRANSLATE(E117,""ES"",""EN"")"),"Therefore they are patients who do not have all the necessary information on the part of the professional in terms of what they are living in each phase. On the other hand, we believe that a multidisciplinary team with respect to treatment is super necess"&amp;"ary. This means that there is also a psychologist specializing in bipolar disorder, that a psychologist is not the same, say, who is not a specialist in this condition.")</f>
        <v>Therefore they are patients who do not have all the necessary information on the part of the professional in terms of what they are living in each phase. On the other hand, we believe that a multidisciplinary team with respect to treatment is super necessary. This means that there is also a psychologist specializing in bipolar disorder, that a psychologist is not the same, say, who is not a specialist in this condition.</v>
      </c>
      <c r="G117" s="3" t="s">
        <v>283</v>
      </c>
      <c r="H117" s="28">
        <v>1.9474511980756777</v>
      </c>
      <c r="I117" s="3" t="s">
        <v>27</v>
      </c>
      <c r="J117" s="3" t="str">
        <f ca="1">IFERROR(__xludf.DUMMYFUNCTION("GOOGLETRANSLATE(I117,""ES"",""EN"")"),"Negative effects: a multidisciplinary approach has not been achieved")</f>
        <v>Negative effects: a multidisciplinary approach has not been achieved</v>
      </c>
      <c r="K117" s="1"/>
      <c r="L117" s="1"/>
      <c r="M117" s="1"/>
      <c r="N117" s="1"/>
      <c r="O117" s="1"/>
      <c r="P117" s="1"/>
      <c r="Q117" s="1"/>
      <c r="R117" s="1"/>
      <c r="S117" s="1"/>
      <c r="T117" s="1"/>
      <c r="U117" s="1"/>
      <c r="V117" s="1"/>
      <c r="W117" s="1"/>
      <c r="X117" s="1"/>
      <c r="Y117" s="1"/>
      <c r="Z117" s="1"/>
    </row>
    <row r="118" spans="1:26" ht="15.75" customHeight="1" x14ac:dyDescent="0.25">
      <c r="A118" s="2" t="s">
        <v>5</v>
      </c>
      <c r="B118" s="3" t="s">
        <v>274</v>
      </c>
      <c r="C118" s="3" t="s">
        <v>281</v>
      </c>
      <c r="D118" s="3" t="str">
        <f ca="1">IFERROR(__xludf.DUMMYFUNCTION("GOOGLETRANSLATE(C118,""ES"",""EN"")"),"Human Resources \ Result \ Lack of specialized multiprofessional attention")</f>
        <v>Human Resources \ Result \ Lack of specialized multiprofessional attention</v>
      </c>
      <c r="E118" s="3" t="s">
        <v>284</v>
      </c>
      <c r="F118" s="3" t="str">
        <f ca="1">IFERROR(__xludf.DUMMYFUNCTION("GOOGLETRANSLATE(E118,""ES"",""EN"")"),"Because the psychologist can be accompanied in that psychoeducation as well. You can realize when the patient is entering a phase and stop it in time and not let this grow as a snowball.")</f>
        <v>Because the psychologist can be accompanied in that psychoeducation as well. You can realize when the patient is entering a phase and stop it in time and not let this grow as a snowball.</v>
      </c>
      <c r="G118" s="3" t="s">
        <v>207</v>
      </c>
      <c r="H118" s="28">
        <v>0.97141271162919796</v>
      </c>
      <c r="I118" s="3" t="s">
        <v>27</v>
      </c>
      <c r="J118" s="3" t="str">
        <f ca="1">IFERROR(__xludf.DUMMYFUNCTION("GOOGLETRANSLATE(I118,""ES"",""EN"")"),"Negative effects: a multidisciplinary approach has not been achieved")</f>
        <v>Negative effects: a multidisciplinary approach has not been achieved</v>
      </c>
      <c r="K118" s="1"/>
      <c r="L118" s="1"/>
      <c r="M118" s="1"/>
      <c r="N118" s="1"/>
      <c r="O118" s="1"/>
      <c r="P118" s="1"/>
      <c r="Q118" s="1"/>
      <c r="R118" s="1"/>
      <c r="S118" s="1"/>
      <c r="T118" s="1"/>
      <c r="U118" s="1"/>
      <c r="V118" s="1"/>
      <c r="W118" s="1"/>
      <c r="X118" s="1"/>
      <c r="Y118" s="1"/>
      <c r="Z118" s="1"/>
    </row>
    <row r="119" spans="1:26" ht="15.75" customHeight="1" x14ac:dyDescent="0.25">
      <c r="A119" s="2" t="s">
        <v>5</v>
      </c>
      <c r="B119" s="3" t="s">
        <v>274</v>
      </c>
      <c r="C119" s="3" t="s">
        <v>281</v>
      </c>
      <c r="D119" s="3" t="str">
        <f ca="1">IFERROR(__xludf.DUMMYFUNCTION("GOOGLETRANSLATE(C119,""ES"",""EN"")"),"Human Resources \ Result \ Lack of specialized multiprofessional attention")</f>
        <v>Human Resources \ Result \ Lack of specialized multiprofessional attention</v>
      </c>
      <c r="E119" s="3" t="s">
        <v>285</v>
      </c>
      <c r="F119" s="3" t="str">
        <f ca="1">IFERROR(__xludf.DUMMYFUNCTION("GOOGLETRANSLATE(E119,""ES"",""EN"")"),"On the other hand, we believe that occupational therapists are very necessary in the functioning of bipolar disorder in people since they who teach routines, habits and be able to develop better in the area where you want to develop, either in your work o"&amp;"r socially, etc.")</f>
        <v>On the other hand, we believe that occupational therapists are very necessary in the functioning of bipolar disorder in people since they who teach routines, habits and be able to develop better in the area where you want to develop, either in your work or socially, etc.</v>
      </c>
      <c r="G119" s="3" t="s">
        <v>203</v>
      </c>
      <c r="H119" s="28">
        <v>1.3784808955500045</v>
      </c>
      <c r="I119" s="3" t="s">
        <v>27</v>
      </c>
      <c r="J119" s="3" t="str">
        <f ca="1">IFERROR(__xludf.DUMMYFUNCTION("GOOGLETRANSLATE(I119,""ES"",""EN"")"),"Negative effects: a multidisciplinary approach has not been achieved")</f>
        <v>Negative effects: a multidisciplinary approach has not been achieved</v>
      </c>
      <c r="K119" s="1"/>
      <c r="L119" s="1"/>
      <c r="M119" s="1"/>
      <c r="N119" s="1"/>
      <c r="O119" s="1"/>
      <c r="P119" s="1"/>
      <c r="Q119" s="1"/>
      <c r="R119" s="1"/>
      <c r="S119" s="1"/>
      <c r="T119" s="1"/>
      <c r="U119" s="1"/>
      <c r="V119" s="1"/>
      <c r="W119" s="1"/>
      <c r="X119" s="1"/>
      <c r="Y119" s="1"/>
      <c r="Z119" s="1"/>
    </row>
    <row r="120" spans="1:26" ht="15.75" customHeight="1" x14ac:dyDescent="0.25">
      <c r="A120" s="2" t="s">
        <v>5</v>
      </c>
      <c r="B120" s="3" t="s">
        <v>274</v>
      </c>
      <c r="C120" s="3" t="s">
        <v>281</v>
      </c>
      <c r="D120" s="3" t="str">
        <f ca="1">IFERROR(__xludf.DUMMYFUNCTION("GOOGLETRANSLATE(C120,""ES"",""EN"")"),"Human Resources \ Result \ Lack of specialized multiprofessional attention")</f>
        <v>Human Resources \ Result \ Lack of specialized multiprofessional attention</v>
      </c>
      <c r="E120" s="3" t="s">
        <v>286</v>
      </c>
      <c r="F120" s="3" t="str">
        <f ca="1">IFERROR(__xludf.DUMMYFUNCTION("GOOGLETRANSLATE(E120,""ES"",""EN"")"),"And on the other hand, we believe that mutual support groups are also super necessary, that hopefully they could somehow replicate in Cosam, because we really feel that from this view where psychoeducation can be practiced, we see that there is a Real reh"&amp;"abilitation of bipolar disorder. Then we believe it is super necessary.")</f>
        <v>And on the other hand, we believe that mutual support groups are also super necessary, that hopefully they could somehow replicate in Cosam, because we really feel that from this view where psychoeducation can be practiced, we see that there is a Real rehabilitation of bipolar disorder. Then we believe it is super necessary.</v>
      </c>
      <c r="G120" s="3" t="s">
        <v>287</v>
      </c>
      <c r="H120" s="28">
        <v>1.5912665371449717</v>
      </c>
      <c r="I120" s="3" t="s">
        <v>27</v>
      </c>
      <c r="J120" s="3" t="str">
        <f ca="1">IFERROR(__xludf.DUMMYFUNCTION("GOOGLETRANSLATE(I120,""ES"",""EN"")"),"Negative effects: a multidisciplinary approach has not been achieved")</f>
        <v>Negative effects: a multidisciplinary approach has not been achieved</v>
      </c>
      <c r="K120" s="1"/>
      <c r="L120" s="1"/>
      <c r="M120" s="1"/>
      <c r="N120" s="1"/>
      <c r="O120" s="1"/>
      <c r="P120" s="1"/>
      <c r="Q120" s="1"/>
      <c r="R120" s="1"/>
      <c r="S120" s="1"/>
      <c r="T120" s="1"/>
      <c r="U120" s="1"/>
      <c r="V120" s="1"/>
      <c r="W120" s="1"/>
      <c r="X120" s="1"/>
      <c r="Y120" s="1"/>
      <c r="Z120" s="1"/>
    </row>
    <row r="121" spans="1:26" ht="15.75" customHeight="1" x14ac:dyDescent="0.25">
      <c r="A121" s="2" t="s">
        <v>5</v>
      </c>
      <c r="B121" s="3" t="s">
        <v>274</v>
      </c>
      <c r="C121" s="3" t="s">
        <v>281</v>
      </c>
      <c r="D121" s="3" t="str">
        <f ca="1">IFERROR(__xludf.DUMMYFUNCTION("GOOGLETRANSLATE(C121,""ES"",""EN"")"),"Human Resources \ Result \ Lack of specialized multiprofessional attention")</f>
        <v>Human Resources \ Result \ Lack of specialized multiprofessional attention</v>
      </c>
      <c r="E121" s="3" t="s">
        <v>288</v>
      </c>
      <c r="F121" s="3" t="str">
        <f ca="1">IFERROR(__xludf.DUMMYFUNCTION("GOOGLETRANSLATE(E121,""ES"",""EN"")"),"I hope all these people could be together and be able to build something for patients who have this condition or any patient of any other psychiatric pathology or illness.")</f>
        <v>I hope all these people could be together and be able to build something for patients who have this condition or any patient of any other psychiatric pathology or illness.</v>
      </c>
      <c r="G121" s="3" t="s">
        <v>289</v>
      </c>
      <c r="H121" s="28">
        <v>0.84189101674530475</v>
      </c>
      <c r="I121" s="3" t="s">
        <v>27</v>
      </c>
      <c r="J121" s="3" t="str">
        <f ca="1">IFERROR(__xludf.DUMMYFUNCTION("GOOGLETRANSLATE(I121,""ES"",""EN"")"),"Negative effects: a multidisciplinary approach has not been achieved")</f>
        <v>Negative effects: a multidisciplinary approach has not been achieved</v>
      </c>
      <c r="K121" s="1"/>
      <c r="L121" s="1"/>
      <c r="M121" s="1"/>
      <c r="N121" s="1"/>
      <c r="O121" s="1"/>
      <c r="P121" s="1"/>
      <c r="Q121" s="1"/>
      <c r="R121" s="1"/>
      <c r="S121" s="1"/>
      <c r="T121" s="1"/>
      <c r="U121" s="1"/>
      <c r="V121" s="1"/>
      <c r="W121" s="1"/>
      <c r="X121" s="1"/>
      <c r="Y121" s="1"/>
      <c r="Z121" s="1"/>
    </row>
    <row r="122" spans="1:26" ht="15.75" customHeight="1" x14ac:dyDescent="0.25">
      <c r="A122" s="2" t="s">
        <v>5</v>
      </c>
      <c r="B122" s="3" t="s">
        <v>274</v>
      </c>
      <c r="C122" s="3" t="s">
        <v>85</v>
      </c>
      <c r="D122" s="3" t="str">
        <f ca="1">IFERROR(__xludf.DUMMYFUNCTION("GOOGLETRANSLATE(C122,""ES"",""EN"")"),"Human Resources \ Result \ Lack of specialists")</f>
        <v>Human Resources \ Result \ Lack of specialists</v>
      </c>
      <c r="E122" s="3" t="s">
        <v>290</v>
      </c>
      <c r="F122" s="3" t="str">
        <f ca="1">IFERROR(__xludf.DUMMYFUNCTION("GOOGLETRANSLATE(E122,""ES"",""EN"")"),"They, for example, may be passing an episode or entering an episode that is very necessary to have your psychiatrist at that minute. Because if you manage to contact your psychiatrist. The psychiatrist says that he looks how you are entering this episode,"&amp;" take this pill or increase this dose of medication that you are using to stop it. And that doesn't happen. Then they have time in three more months, four more months and in four more months there are episodes that can be studying and makes it very comple"&amp;"x.")</f>
        <v>They, for example, may be passing an episode or entering an episode that is very necessary to have your psychiatrist at that minute. Because if you manage to contact your psychiatrist. The psychiatrist says that he looks how you are entering this episode, take this pill or increase this dose of medication that you are using to stop it. And that doesn't happen. Then they have time in three more months, four more months and in four more months there are episodes that can be studying and makes it very complex.</v>
      </c>
      <c r="G122" s="3" t="s">
        <v>291</v>
      </c>
      <c r="H122" s="28">
        <v>2.3498936071792027</v>
      </c>
      <c r="I122" s="3" t="s">
        <v>10</v>
      </c>
      <c r="J122" s="3" t="str">
        <f ca="1">IFERROR(__xludf.DUMMYFUNCTION("GOOGLETRANSLATE(I122,""ES"",""EN"")"),"Negative effects: staff does not cover the demand for care")</f>
        <v>Negative effects: staff does not cover the demand for care</v>
      </c>
      <c r="K122" s="1"/>
      <c r="L122" s="1"/>
      <c r="M122" s="1"/>
      <c r="N122" s="1"/>
      <c r="O122" s="1"/>
      <c r="P122" s="1"/>
      <c r="Q122" s="1"/>
      <c r="R122" s="1"/>
      <c r="S122" s="1"/>
      <c r="T122" s="1"/>
      <c r="U122" s="1"/>
      <c r="V122" s="1"/>
      <c r="W122" s="1"/>
      <c r="X122" s="1"/>
      <c r="Y122" s="1"/>
      <c r="Z122" s="1"/>
    </row>
    <row r="123" spans="1:26" ht="15.75" customHeight="1" x14ac:dyDescent="0.25">
      <c r="A123" s="12" t="s">
        <v>5</v>
      </c>
      <c r="B123" s="3" t="s">
        <v>274</v>
      </c>
      <c r="C123" s="3" t="s">
        <v>232</v>
      </c>
      <c r="D123" s="3" t="str">
        <f ca="1">IFERROR(__xludf.DUMMYFUNCTION("GOOGLETRANSLATE(C123,""ES"",""EN"")"),"Governance \ Result \ Subalternity in the relationship with users")</f>
        <v>Governance \ Result \ Subalternity in the relationship with users</v>
      </c>
      <c r="E123" s="3" t="s">
        <v>292</v>
      </c>
      <c r="F123" s="3" t="str">
        <f ca="1">IFERROR(__xludf.DUMMYFUNCTION("GOOGLETRANSLATE(E123,""ES"",""EN"")"),"Then I feel that the patient's relationship with the professional within the Cosam is not very active in the sense of being able to be in constant revision of treatment or consultations to know how the patient follows or simply explain to them, eh, look, "&amp;"if you are going to enter into This episode, let's have this as you are. Maybe you can't locate me because I can't give you my email. You don't have how to come here to ask for an hour with me because there is no. So maybe this would be the way to help yo"&amp;"u. If you are going to enter a Mania study, take this medication, that is, leave it as prepared if you can't see the psychiatrist, because that happens many times.")</f>
        <v>Then I feel that the patient's relationship with the professional within the Cosam is not very active in the sense of being able to be in constant revision of treatment or consultations to know how the patient follows or simply explain to them, eh, look, if you are going to enter into This episode, let's have this as you are. Maybe you can't locate me because I can't give you my email. You don't have how to come here to ask for an hour with me because there is no. So maybe this would be the way to help you. If you are going to enter a Mania study, take this medication, that is, leave it as prepared if you can't see the psychiatrist, because that happens many times.</v>
      </c>
      <c r="G123" s="3" t="s">
        <v>293</v>
      </c>
      <c r="H123" s="28">
        <v>3.1038949023961515</v>
      </c>
      <c r="I123" s="3" t="s">
        <v>235</v>
      </c>
      <c r="J123" s="3" t="str">
        <f ca="1">IFERROR(__xludf.DUMMYFUNCTION("GOOGLETRANSLATE(I123,""ES"",""EN"")"),"Negative effect: Subalternity in the relationship with users")</f>
        <v>Negative effect: Subalternity in the relationship with users</v>
      </c>
      <c r="K123" s="1"/>
      <c r="L123" s="1"/>
      <c r="M123" s="1"/>
      <c r="N123" s="1"/>
      <c r="O123" s="1"/>
      <c r="P123" s="1"/>
      <c r="Q123" s="1"/>
      <c r="R123" s="1"/>
      <c r="S123" s="1"/>
      <c r="T123" s="1"/>
      <c r="U123" s="1"/>
      <c r="V123" s="1"/>
      <c r="W123" s="1"/>
      <c r="X123" s="1"/>
      <c r="Y123" s="1"/>
      <c r="Z123" s="1"/>
    </row>
    <row r="124" spans="1:26" ht="15.75" customHeight="1" x14ac:dyDescent="0.25">
      <c r="A124" s="11" t="s">
        <v>5</v>
      </c>
      <c r="B124" s="3" t="s">
        <v>274</v>
      </c>
      <c r="C124" s="3" t="s">
        <v>121</v>
      </c>
      <c r="D124" s="3" t="str">
        <f ca="1">IFERROR(__xludf.DUMMYFUNCTION("GOOGLETRANSLATE(C124,""ES"",""EN"")"),"Benefits \ Result \ There is no crisis or urgency attention")</f>
        <v>Benefits \ Result \ There is no crisis or urgency attention</v>
      </c>
      <c r="E124" s="3" t="s">
        <v>294</v>
      </c>
      <c r="F124" s="3" t="str">
        <f ca="1">IFERROR(__xludf.DUMMYFUNCTION("GOOGLETRANSLATE(E124,""ES"",""EN"")"),"Most of Cosam's people, who are treated in Cosam, do not have access to emergency care, say, or consultation with their psychiatrist. Unless two months go by or when there is time. It is not something that one can quickly ask for an hour of review. And on"&amp;" the other hand, go to the urgency. That implies going to urgency and giving you a pill to calm something. But the symptoms of the episode continue for longer and there is no adequate treatment as they can do.")</f>
        <v>Most of Cosam's people, who are treated in Cosam, do not have access to emergency care, say, or consultation with their psychiatrist. Unless two months go by or when there is time. It is not something that one can quickly ask for an hour of review. And on the other hand, go to the urgency. That implies going to urgency and giving you a pill to calm something. But the symptoms of the episode continue for longer and there is no adequate treatment as they can do.</v>
      </c>
      <c r="G124" s="3" t="s">
        <v>295</v>
      </c>
      <c r="H124" s="28">
        <v>2.3221389582755112</v>
      </c>
      <c r="I124" s="3" t="s">
        <v>44</v>
      </c>
      <c r="J124" s="3" t="str">
        <f ca="1">IFERROR(__xludf.DUMMYFUNCTION("GOOGLETRANSLATE(I124,""ES"",""EN"")"),"Negative effects: limit the integrality and continuity of care")</f>
        <v>Negative effects: limit the integrality and continuity of care</v>
      </c>
      <c r="K124" s="1"/>
      <c r="L124" s="1"/>
      <c r="M124" s="1"/>
      <c r="N124" s="1"/>
      <c r="O124" s="1"/>
      <c r="P124" s="1"/>
      <c r="Q124" s="1"/>
      <c r="R124" s="1"/>
      <c r="S124" s="1"/>
      <c r="T124" s="1"/>
      <c r="U124" s="1"/>
      <c r="V124" s="1"/>
      <c r="W124" s="1"/>
      <c r="X124" s="1"/>
      <c r="Y124" s="1"/>
      <c r="Z124" s="1"/>
    </row>
    <row r="125" spans="1:26" ht="15.75" customHeight="1" x14ac:dyDescent="0.25">
      <c r="A125" s="7" t="s">
        <v>5</v>
      </c>
      <c r="B125" s="3" t="s">
        <v>274</v>
      </c>
      <c r="C125" s="3" t="s">
        <v>296</v>
      </c>
      <c r="D125" s="3" t="str">
        <f ca="1">IFERROR(__xludf.DUMMYFUNCTION("GOOGLETRANSLATE(C125,""ES"",""EN"")"),"Users \ Result \ There is no family inclusion in the CSMC")</f>
        <v>Users \ Result \ There is no family inclusion in the CSMC</v>
      </c>
      <c r="E125" s="3" t="s">
        <v>297</v>
      </c>
      <c r="F125" s="3" t="str">
        <f ca="1">IFERROR(__xludf.DUMMYFUNCTION("GOOGLETRANSLATE(E125,""ES"",""EN"")"),"None of the people who are in COSAM are a family inclusion regarding diagnosis. And that is also basic.")</f>
        <v>None of the people who are in COSAM are a family inclusion regarding diagnosis. And that is also basic.</v>
      </c>
      <c r="G125" s="3" t="s">
        <v>298</v>
      </c>
      <c r="H125" s="28">
        <v>0.56434452770839116</v>
      </c>
      <c r="I125" s="3" t="s">
        <v>33</v>
      </c>
      <c r="J125" s="3" t="str">
        <f ca="1">IFERROR(__xludf.DUMMYFUNCTION("GOOGLETRANSLATE(I125,""ES"",""EN"")"),"Negative effects: lack of family integration ...")</f>
        <v>Negative effects: lack of family integration ...</v>
      </c>
      <c r="K125" s="1"/>
      <c r="L125" s="1"/>
      <c r="M125" s="1"/>
      <c r="N125" s="1"/>
      <c r="O125" s="1"/>
      <c r="P125" s="1"/>
      <c r="Q125" s="1"/>
      <c r="R125" s="1"/>
      <c r="S125" s="1"/>
      <c r="T125" s="1"/>
      <c r="U125" s="1"/>
      <c r="V125" s="1"/>
      <c r="W125" s="1"/>
      <c r="X125" s="1"/>
      <c r="Y125" s="1"/>
      <c r="Z125" s="1"/>
    </row>
    <row r="126" spans="1:26" ht="15.75" customHeight="1" x14ac:dyDescent="0.25">
      <c r="A126" s="7" t="s">
        <v>5</v>
      </c>
      <c r="B126" s="3" t="s">
        <v>274</v>
      </c>
      <c r="C126" s="3" t="s">
        <v>296</v>
      </c>
      <c r="D126" s="3" t="str">
        <f ca="1">IFERROR(__xludf.DUMMYFUNCTION("GOOGLETRANSLATE(C126,""ES"",""EN"")"),"Users \ Result \ There is no family inclusion in the CSMC")</f>
        <v>Users \ Result \ There is no family inclusion in the CSMC</v>
      </c>
      <c r="E126" s="3" t="s">
        <v>299</v>
      </c>
      <c r="F126" s="3" t="str">
        <f ca="1">IFERROR(__xludf.DUMMYFUNCTION("GOOGLETRANSLATE(E126,""ES"",""EN"")"),"Look, a person, a patient who has bipolar disorder, is educated psycho and that his family or his closest companion, that person is educated psycho, is a patient who will have less hospitalization throughout his life, is going to Having less episodes thro"&amp;"ughout your life and will be a patient who will finally be rehabilitated from bipolar disorder. Therefore, we believe that it is super necessary that through the psychologist or through the psychiatrist himself, once a diagnosis is made, they can include "&amp;"the family and say look, your son, your brother, your husband has this condition. This is how bipolar disorder works. These are care.")</f>
        <v>Look, a person, a patient who has bipolar disorder, is educated psycho and that his family or his closest companion, that person is educated psycho, is a patient who will have less hospitalization throughout his life, is going to Having less episodes throughout your life and will be a patient who will finally be rehabilitated from bipolar disorder. Therefore, we believe that it is super necessary that through the psychologist or through the psychiatrist himself, once a diagnosis is made, they can include the family and say look, your son, your brother, your husband has this condition. This is how bipolar disorder works. These are care.</v>
      </c>
      <c r="G126" s="3" t="s">
        <v>112</v>
      </c>
      <c r="H126" s="28">
        <v>3.1085206772134333</v>
      </c>
      <c r="I126" s="3" t="s">
        <v>33</v>
      </c>
      <c r="J126" s="3" t="str">
        <f ca="1">IFERROR(__xludf.DUMMYFUNCTION("GOOGLETRANSLATE(I126,""ES"",""EN"")"),"Negative effects: lack of family integration ...")</f>
        <v>Negative effects: lack of family integration ...</v>
      </c>
      <c r="K126" s="1"/>
      <c r="L126" s="1"/>
      <c r="M126" s="1"/>
      <c r="N126" s="1"/>
      <c r="O126" s="1"/>
      <c r="P126" s="1"/>
      <c r="Q126" s="1"/>
      <c r="R126" s="1"/>
      <c r="S126" s="1"/>
      <c r="T126" s="1"/>
      <c r="U126" s="1"/>
      <c r="V126" s="1"/>
      <c r="W126" s="1"/>
      <c r="X126" s="1"/>
      <c r="Y126" s="1"/>
      <c r="Z126" s="1"/>
    </row>
    <row r="127" spans="1:26" ht="15.75" customHeight="1" x14ac:dyDescent="0.25">
      <c r="A127" s="7" t="s">
        <v>5</v>
      </c>
      <c r="B127" s="3" t="s">
        <v>274</v>
      </c>
      <c r="C127" s="3" t="s">
        <v>296</v>
      </c>
      <c r="D127" s="3" t="str">
        <f ca="1">IFERROR(__xludf.DUMMYFUNCTION("GOOGLETRANSLATE(C127,""ES"",""EN"")"),"Users \ Result \ There is no family inclusion in the CSMC")</f>
        <v>Users \ Result \ There is no family inclusion in the CSMC</v>
      </c>
      <c r="E127" s="3" t="s">
        <v>300</v>
      </c>
      <c r="F127" s="3" t="str">
        <f ca="1">IFERROR(__xludf.DUMMYFUNCTION("GOOGLETRANSLATE(E127,""ES"",""EN"")"),"It is super necessary that this information that has to be given to the family can occur, because young people at a very young age begin with the consumption of alcohol and drugs and from there cat in some disease that is predisposed with a genetic condit"&amp;"ion such as tobacco .")</f>
        <v>It is super necessary that this information that has to be given to the family can occur, because young people at a very young age begin with the consumption of alcohol and drugs and from there cat in some disease that is predisposed with a genetic condition such as tobacco .</v>
      </c>
      <c r="G127" s="3" t="s">
        <v>301</v>
      </c>
      <c r="H127" s="28">
        <v>1.2998427236562125</v>
      </c>
      <c r="I127" s="3" t="s">
        <v>33</v>
      </c>
      <c r="J127" s="3" t="str">
        <f ca="1">IFERROR(__xludf.DUMMYFUNCTION("GOOGLETRANSLATE(I127,""ES"",""EN"")"),"Negative effects: lack of family integration ...")</f>
        <v>Negative effects: lack of family integration ...</v>
      </c>
      <c r="K127" s="1"/>
      <c r="L127" s="1"/>
      <c r="M127" s="1"/>
      <c r="N127" s="1"/>
      <c r="O127" s="1"/>
      <c r="P127" s="1"/>
      <c r="Q127" s="1"/>
      <c r="R127" s="1"/>
      <c r="S127" s="1"/>
      <c r="T127" s="1"/>
      <c r="U127" s="1"/>
      <c r="V127" s="1"/>
      <c r="W127" s="1"/>
      <c r="X127" s="1"/>
      <c r="Y127" s="1"/>
      <c r="Z127" s="1"/>
    </row>
    <row r="128" spans="1:26" ht="15.75" customHeight="1" x14ac:dyDescent="0.25">
      <c r="A128" s="7" t="s">
        <v>5</v>
      </c>
      <c r="B128" s="3" t="s">
        <v>274</v>
      </c>
      <c r="C128" s="3" t="s">
        <v>296</v>
      </c>
      <c r="D128" s="3" t="str">
        <f ca="1">IFERROR(__xludf.DUMMYFUNCTION("GOOGLETRANSLATE(C128,""ES"",""EN"")"),"Users \ Result \ There is no family inclusion in the CSMC")</f>
        <v>Users \ Result \ There is no family inclusion in the CSMC</v>
      </c>
      <c r="E128" s="3" t="s">
        <v>302</v>
      </c>
      <c r="F128" s="3" t="str">
        <f ca="1">IFERROR(__xludf.DUMMYFUNCTION("GOOGLETRANSLATE(E128,""ES"",""EN"")"),"So I feel that it is very necessary for the family to be aware of the diagnosis and know what to do. And that doesn't happen in Cosam.")</f>
        <v>So I feel that it is very necessary for the family to be aware of the diagnosis and know what to do. And that doesn't happen in Cosam.</v>
      </c>
      <c r="G128" s="3" t="s">
        <v>185</v>
      </c>
      <c r="H128" s="28">
        <v>0.61060227588121008</v>
      </c>
      <c r="I128" s="3" t="s">
        <v>33</v>
      </c>
      <c r="J128" s="3" t="str">
        <f ca="1">IFERROR(__xludf.DUMMYFUNCTION("GOOGLETRANSLATE(I128,""ES"",""EN"")"),"Negative effects: lack of family integration ...")</f>
        <v>Negative effects: lack of family integration ...</v>
      </c>
      <c r="K128" s="1"/>
      <c r="L128" s="1"/>
      <c r="M128" s="1"/>
      <c r="N128" s="1"/>
      <c r="O128" s="1"/>
      <c r="P128" s="1"/>
      <c r="Q128" s="1"/>
      <c r="R128" s="1"/>
      <c r="S128" s="1"/>
      <c r="T128" s="1"/>
      <c r="U128" s="1"/>
      <c r="V128" s="1"/>
      <c r="W128" s="1"/>
      <c r="X128" s="1"/>
      <c r="Y128" s="1"/>
      <c r="Z128" s="1"/>
    </row>
    <row r="129" spans="1:26" ht="15.75" customHeight="1" x14ac:dyDescent="0.25">
      <c r="A129" s="2" t="s">
        <v>5</v>
      </c>
      <c r="B129" s="3" t="s">
        <v>274</v>
      </c>
      <c r="C129" s="3" t="s">
        <v>281</v>
      </c>
      <c r="D129" s="3" t="str">
        <f ca="1">IFERROR(__xludf.DUMMYFUNCTION("GOOGLETRANSLATE(C129,""ES"",""EN"")"),"Human Resources \ Result \ Lack of specialized multiprofessional attention")</f>
        <v>Human Resources \ Result \ Lack of specialized multiprofessional attention</v>
      </c>
      <c r="E129" s="3" t="s">
        <v>303</v>
      </c>
      <c r="F129" s="3" t="str">
        <f ca="1">IFERROR(__xludf.DUMMYFUNCTION("GOOGLETRANSLATE(E129,""ES"",""EN"")"),"I believe that it has to do with the lack of information, the lack of specialization in diseases such as these or in diseases such as schizophrenia, which I imagine that something very similar should happen. I can talk to you from experience as a group, a"&amp;"s a group of people with bipolar disorder and I think it has to do a bit with the lack of information that they themselves do not handle.")</f>
        <v>I believe that it has to do with the lack of information, the lack of specialization in diseases such as these or in diseases such as schizophrenia, which I imagine that something very similar should happen. I can talk to you from experience as a group, as a group of people with bipolar disorder and I think it has to do a bit with the lack of information that they themselves do not handle.</v>
      </c>
      <c r="G129" s="3" t="s">
        <v>304</v>
      </c>
      <c r="H129" s="28">
        <v>1.8086779535572208</v>
      </c>
      <c r="I129" s="3" t="s">
        <v>27</v>
      </c>
      <c r="J129" s="3" t="str">
        <f ca="1">IFERROR(__xludf.DUMMYFUNCTION("GOOGLETRANSLATE(I129,""ES"",""EN"")"),"Negative effects: a multidisciplinary approach has not been achieved")</f>
        <v>Negative effects: a multidisciplinary approach has not been achieved</v>
      </c>
      <c r="K129" s="1"/>
      <c r="L129" s="1"/>
      <c r="M129" s="1"/>
      <c r="N129" s="1"/>
      <c r="O129" s="1"/>
      <c r="P129" s="1"/>
      <c r="Q129" s="1"/>
      <c r="R129" s="1"/>
      <c r="S129" s="1"/>
      <c r="T129" s="1"/>
      <c r="U129" s="1"/>
      <c r="V129" s="1"/>
      <c r="W129" s="1"/>
      <c r="X129" s="1"/>
      <c r="Y129" s="1"/>
      <c r="Z129" s="1"/>
    </row>
    <row r="130" spans="1:26" ht="15.75" customHeight="1" x14ac:dyDescent="0.25">
      <c r="A130" s="2" t="s">
        <v>5</v>
      </c>
      <c r="B130" s="3" t="s">
        <v>274</v>
      </c>
      <c r="C130" s="3" t="s">
        <v>281</v>
      </c>
      <c r="D130" s="3" t="str">
        <f ca="1">IFERROR(__xludf.DUMMYFUNCTION("GOOGLETRANSLATE(C130,""ES"",""EN"")"),"Human Resources \ Result \ Lack of specialized multiprofessional attention")</f>
        <v>Human Resources \ Result \ Lack of specialized multiprofessional attention</v>
      </c>
      <c r="E130" s="3" t="s">
        <v>305</v>
      </c>
      <c r="F130" s="3" t="str">
        <f ca="1">IFERROR(__xludf.DUMMYFUNCTION("GOOGLETRANSLATE(E130,""ES"",""EN"")"),"I feel that it would be very good that what professionals specialize a little more will delve a little more in what is bipolar disorder. There are institutions such as Sochitab, the Chilean Society of Bipolar Disorder that teach courses for professionals,"&amp;" who become more experts, say in this condition, and I think it passes a little out there.")</f>
        <v>I feel that it would be very good that what professionals specialize a little more will delve a little more in what is bipolar disorder. There are institutions such as Sochitab, the Chilean Society of Bipolar Disorder that teach courses for professionals, who become more experts, say in this condition, and I think it passes a little out there.</v>
      </c>
      <c r="G130" s="3" t="s">
        <v>306</v>
      </c>
      <c r="H130" s="28">
        <v>1.6375242853177909</v>
      </c>
      <c r="I130" s="3" t="s">
        <v>27</v>
      </c>
      <c r="J130" s="3" t="str">
        <f ca="1">IFERROR(__xludf.DUMMYFUNCTION("GOOGLETRANSLATE(I130,""ES"",""EN"")"),"Negative effects: a multidisciplinary approach has not been achieved")</f>
        <v>Negative effects: a multidisciplinary approach has not been achieved</v>
      </c>
      <c r="K130" s="1"/>
      <c r="L130" s="1"/>
      <c r="M130" s="1"/>
      <c r="N130" s="1"/>
      <c r="O130" s="1"/>
      <c r="P130" s="1"/>
      <c r="Q130" s="1"/>
      <c r="R130" s="1"/>
      <c r="S130" s="1"/>
      <c r="T130" s="1"/>
      <c r="U130" s="1"/>
      <c r="V130" s="1"/>
      <c r="W130" s="1"/>
      <c r="X130" s="1"/>
      <c r="Y130" s="1"/>
      <c r="Z130" s="1"/>
    </row>
    <row r="131" spans="1:26" ht="15.75" customHeight="1" x14ac:dyDescent="0.25">
      <c r="A131" s="2" t="s">
        <v>5</v>
      </c>
      <c r="B131" s="3" t="s">
        <v>274</v>
      </c>
      <c r="C131" s="3" t="s">
        <v>281</v>
      </c>
      <c r="D131" s="3" t="str">
        <f ca="1">IFERROR(__xludf.DUMMYFUNCTION("GOOGLETRANSLATE(C131,""ES"",""EN"")"),"Human Resources \ Result \ Lack of specialized multiprofessional attention")</f>
        <v>Human Resources \ Result \ Lack of specialized multiprofessional attention</v>
      </c>
      <c r="E131" s="3" t="s">
        <v>307</v>
      </c>
      <c r="F131" s="3" t="str">
        <f ca="1">IFERROR(__xludf.DUMMYFUNCTION("GOOGLETRANSLATE(E131,""ES"",""EN"")"),"When they know that there is a bipolar disorder, for example, psychologists do not know how Let's talk to your wife or husband and we will accompany you in the process of getting out of this depression, but with family support.")</f>
        <v>When they know that there is a bipolar disorder, for example, psychologists do not know how Let's talk to your wife or husband and we will accompany you in the process of getting out of this depression, but with family support.</v>
      </c>
      <c r="G131" s="3" t="s">
        <v>308</v>
      </c>
      <c r="H131" s="28">
        <v>1.8271810528263484</v>
      </c>
      <c r="I131" s="3" t="s">
        <v>27</v>
      </c>
      <c r="J131" s="3" t="str">
        <f ca="1">IFERROR(__xludf.DUMMYFUNCTION("GOOGLETRANSLATE(I131,""ES"",""EN"")"),"Negative effects: a multidisciplinary approach has not been achieved")</f>
        <v>Negative effects: a multidisciplinary approach has not been achieved</v>
      </c>
      <c r="K131" s="1"/>
      <c r="L131" s="1"/>
      <c r="M131" s="1"/>
      <c r="N131" s="1"/>
      <c r="O131" s="1"/>
      <c r="P131" s="1"/>
      <c r="Q131" s="1"/>
      <c r="R131" s="1"/>
      <c r="S131" s="1"/>
      <c r="T131" s="1"/>
      <c r="U131" s="1"/>
      <c r="V131" s="1"/>
      <c r="W131" s="1"/>
      <c r="X131" s="1"/>
      <c r="Y131" s="1"/>
      <c r="Z131" s="1"/>
    </row>
    <row r="132" spans="1:26" ht="15.75" customHeight="1" x14ac:dyDescent="0.25">
      <c r="A132" s="7" t="s">
        <v>5</v>
      </c>
      <c r="B132" s="3" t="s">
        <v>274</v>
      </c>
      <c r="C132" s="3" t="s">
        <v>296</v>
      </c>
      <c r="D132" s="3" t="str">
        <f ca="1">IFERROR(__xludf.DUMMYFUNCTION("GOOGLETRANSLATE(C132,""ES"",""EN"")"),"Users \ Result \ There is no family inclusion in the CSMC")</f>
        <v>Users \ Result \ There is no family inclusion in the CSMC</v>
      </c>
      <c r="E132" s="3" t="s">
        <v>309</v>
      </c>
      <c r="F132" s="3" t="str">
        <f ca="1">IFERROR(__xludf.DUMMYFUNCTION("GOOGLETRANSLATE(E132,""ES"",""EN"")"),"It is only very difficult. Imagine if they themselves have a hard time getting out of bed in a depression because it finally leads you to be prostrated. In many cases they are very long depressions and very swampy depressions. Therefore, leaving a depress"&amp;"ion alone costs a lot. It costs a lot. That is why the support of who lives with you is necessary, to help you get out of bed, to accompany you in the shower process and all that costs.")</f>
        <v>It is only very difficult. Imagine if they themselves have a hard time getting out of bed in a depression because it finally leads you to be prostrated. In many cases they are very long depressions and very swampy depressions. Therefore, leaving a depression alone costs a lot. It costs a lot. That is why the support of who lives with you is necessary, to help you get out of bed, to accompany you in the shower process and all that costs.</v>
      </c>
      <c r="G132" s="3" t="s">
        <v>310</v>
      </c>
      <c r="H132" s="28">
        <v>2.0723471181422886</v>
      </c>
      <c r="I132" s="3" t="s">
        <v>33</v>
      </c>
      <c r="J132" s="3" t="str">
        <f ca="1">IFERROR(__xludf.DUMMYFUNCTION("GOOGLETRANSLATE(I132,""ES"",""EN"")"),"Negative effects: lack of family integration ...")</f>
        <v>Negative effects: lack of family integration ...</v>
      </c>
      <c r="K132" s="1"/>
      <c r="L132" s="1"/>
      <c r="M132" s="1"/>
      <c r="N132" s="1"/>
      <c r="O132" s="1"/>
      <c r="P132" s="1"/>
      <c r="Q132" s="1"/>
      <c r="R132" s="1"/>
      <c r="S132" s="1"/>
      <c r="T132" s="1"/>
      <c r="U132" s="1"/>
      <c r="V132" s="1"/>
      <c r="W132" s="1"/>
      <c r="X132" s="1"/>
      <c r="Y132" s="1"/>
      <c r="Z132" s="1"/>
    </row>
    <row r="133" spans="1:26" ht="15.75" customHeight="1" x14ac:dyDescent="0.25">
      <c r="A133" s="2" t="s">
        <v>5</v>
      </c>
      <c r="B133" s="3" t="s">
        <v>274</v>
      </c>
      <c r="C133" s="3" t="s">
        <v>281</v>
      </c>
      <c r="D133" s="3" t="str">
        <f ca="1">IFERROR(__xludf.DUMMYFUNCTION("GOOGLETRANSLATE(C133,""ES"",""EN"")"),"Human Resources \ Result \ Lack of specialized multiprofessional attention")</f>
        <v>Human Resources \ Result \ Lack of specialized multiprofessional attention</v>
      </c>
      <c r="E133" s="3" t="s">
        <v>311</v>
      </c>
      <c r="F133" s="3" t="str">
        <f ca="1">IFERROR(__xludf.DUMMYFUNCTION("GOOGLETRANSLATE(E133,""ES"",""EN"")"),"So I think a little goes through the lack of information or specialization of professionals in Cosam. I think it's that.")</f>
        <v>So I think a little goes through the lack of information or specialization of professionals in Cosam. I think it's that.</v>
      </c>
      <c r="G133" s="3" t="s">
        <v>215</v>
      </c>
      <c r="H133" s="28">
        <v>0.6291053751503376</v>
      </c>
      <c r="I133" s="3" t="s">
        <v>27</v>
      </c>
      <c r="J133" s="3" t="str">
        <f ca="1">IFERROR(__xludf.DUMMYFUNCTION("GOOGLETRANSLATE(I133,""ES"",""EN"")"),"Negative effects: a multidisciplinary approach has not been achieved")</f>
        <v>Negative effects: a multidisciplinary approach has not been achieved</v>
      </c>
      <c r="K133" s="1"/>
      <c r="L133" s="1"/>
      <c r="M133" s="1"/>
      <c r="N133" s="1"/>
      <c r="O133" s="1"/>
      <c r="P133" s="1"/>
      <c r="Q133" s="1"/>
      <c r="R133" s="1"/>
      <c r="S133" s="1"/>
      <c r="T133" s="1"/>
      <c r="U133" s="1"/>
      <c r="V133" s="1"/>
      <c r="W133" s="1"/>
      <c r="X133" s="1"/>
      <c r="Y133" s="1"/>
      <c r="Z133" s="1"/>
    </row>
    <row r="134" spans="1:26" ht="15.75" customHeight="1" x14ac:dyDescent="0.25">
      <c r="A134" s="2" t="s">
        <v>5</v>
      </c>
      <c r="B134" s="3" t="s">
        <v>274</v>
      </c>
      <c r="C134" s="3" t="s">
        <v>281</v>
      </c>
      <c r="D134" s="3" t="str">
        <f ca="1">IFERROR(__xludf.DUMMYFUNCTION("GOOGLETRANSLATE(C134,""ES"",""EN"")"),"Human Resources \ Result \ Lack of specialized multiprofessional attention")</f>
        <v>Human Resources \ Result \ Lack of specialized multiprofessional attention</v>
      </c>
      <c r="E134" s="3" t="s">
        <v>312</v>
      </c>
      <c r="F134" s="3" t="str">
        <f ca="1">IFERROR(__xludf.DUMMYFUNCTION("GOOGLETRANSLATE(E134,""ES"",""EN"")"),"I do not know if it will have something to do with I do not know how much they take in not specifically asking the times they take in each consultation. But what I know is that they see them and tell them how you felt? How has it been? The medication is u"&amp;"ploaded, they lower it, ready, go to the house, and so on. So I feel that there is no specialization and I think the psychoeducation of professionals towards patients is very necessary.")</f>
        <v>I do not know if it will have something to do with I do not know how much they take in not specifically asking the times they take in each consultation. But what I know is that they see them and tell them how you felt? How has it been? The medication is uploaded, they lower it, ready, go to the house, and so on. So I feel that there is no specialization and I think the psychoeducation of professionals towards patients is very necessary.</v>
      </c>
      <c r="G134" s="3" t="s">
        <v>313</v>
      </c>
      <c r="H134" s="28">
        <v>1.9520769728929594</v>
      </c>
      <c r="I134" s="3" t="s">
        <v>27</v>
      </c>
      <c r="J134" s="3" t="str">
        <f ca="1">IFERROR(__xludf.DUMMYFUNCTION("GOOGLETRANSLATE(I134,""ES"",""EN"")"),"Negative effects: a multidisciplinary approach has not been achieved")</f>
        <v>Negative effects: a multidisciplinary approach has not been achieved</v>
      </c>
      <c r="K134" s="1"/>
      <c r="L134" s="1"/>
      <c r="M134" s="1"/>
      <c r="N134" s="1"/>
      <c r="O134" s="1"/>
      <c r="P134" s="1"/>
      <c r="Q134" s="1"/>
      <c r="R134" s="1"/>
      <c r="S134" s="1"/>
      <c r="T134" s="1"/>
      <c r="U134" s="1"/>
      <c r="V134" s="1"/>
      <c r="W134" s="1"/>
      <c r="X134" s="1"/>
      <c r="Y134" s="1"/>
      <c r="Z134" s="1"/>
    </row>
    <row r="135" spans="1:26" ht="15.75" customHeight="1" x14ac:dyDescent="0.25">
      <c r="A135" s="2" t="s">
        <v>5</v>
      </c>
      <c r="B135" s="3" t="s">
        <v>274</v>
      </c>
      <c r="C135" s="3" t="s">
        <v>281</v>
      </c>
      <c r="D135" s="3" t="str">
        <f ca="1">IFERROR(__xludf.DUMMYFUNCTION("GOOGLETRANSLATE(C135,""ES"",""EN"")"),"Human Resources \ Result \ Lack of specialized multiprofessional attention")</f>
        <v>Human Resources \ Result \ Lack of specialized multiprofessional attention</v>
      </c>
      <c r="E135" s="3" t="s">
        <v>314</v>
      </c>
      <c r="F135" s="3" t="str">
        <f ca="1">IFERROR(__xludf.DUMMYFUNCTION("GOOGLETRANSLATE(E135,""ES"",""EN"")"),"I think it would be very good that [Fonasa] could deliver seminars or educational talks regarding the condition, anyone, any type of mental health driving and make professionals specialists in each area.")</f>
        <v>I think it would be very good that [Fonasa] could deliver seminars or educational talks regarding the condition, anyone, any type of mental health driving and make professionals specialists in each area.</v>
      </c>
      <c r="G135" s="3" t="s">
        <v>315</v>
      </c>
      <c r="H135" s="28">
        <v>1.0361735590711443</v>
      </c>
      <c r="I135" s="3" t="s">
        <v>27</v>
      </c>
      <c r="J135" s="3" t="str">
        <f ca="1">IFERROR(__xludf.DUMMYFUNCTION("GOOGLETRANSLATE(I135,""ES"",""EN"")"),"Negative effects: a multidisciplinary approach has not been achieved")</f>
        <v>Negative effects: a multidisciplinary approach has not been achieved</v>
      </c>
      <c r="K135" s="1"/>
      <c r="L135" s="1"/>
      <c r="M135" s="1"/>
      <c r="N135" s="1"/>
      <c r="O135" s="1"/>
      <c r="P135" s="1"/>
      <c r="Q135" s="1"/>
      <c r="R135" s="1"/>
      <c r="S135" s="1"/>
      <c r="T135" s="1"/>
      <c r="U135" s="1"/>
      <c r="V135" s="1"/>
      <c r="W135" s="1"/>
      <c r="X135" s="1"/>
      <c r="Y135" s="1"/>
      <c r="Z135" s="1"/>
    </row>
    <row r="136" spans="1:26" ht="15.75" customHeight="1" x14ac:dyDescent="0.25">
      <c r="A136" s="8" t="s">
        <v>5</v>
      </c>
      <c r="B136" s="3" t="s">
        <v>274</v>
      </c>
      <c r="C136" s="3" t="s">
        <v>106</v>
      </c>
      <c r="D136" s="3" t="str">
        <f ca="1">IFERROR(__xludf.DUMMYFUNCTION("GOOGLETRANSLATE(C136,""ES"",""EN"")"),"Medications and Technologies \ Result \ Lack of medications")</f>
        <v>Medications and Technologies \ Result \ Lack of medications</v>
      </c>
      <c r="E136" s="3" t="s">
        <v>316</v>
      </c>
      <c r="F136" s="3" t="str">
        <f ca="1">IFERROR(__xludf.DUMMYFUNCTION("GOOGLETRANSLATE(E136,""ES"",""EN"")"),"As for mental health, it has even passed in many cases that they give the medication for the month and if it ends and has no time, you cannot continue consuming, you cannot continue taking your medication.")</f>
        <v>As for mental health, it has even passed in many cases that they give the medication for the month and if it ends and has no time, you cannot continue consuming, you cannot continue taking your medication.</v>
      </c>
      <c r="G136" s="3" t="s">
        <v>218</v>
      </c>
      <c r="H136" s="28">
        <v>0.91590341382181517</v>
      </c>
      <c r="I136" s="3" t="s">
        <v>33</v>
      </c>
      <c r="J136" s="3" t="str">
        <f ca="1">IFERROR(__xludf.DUMMYFUNCTION("GOOGLETRANSLATE(I136,""ES"",""EN"")"),"Negative effects: lack of family integration ...")</f>
        <v>Negative effects: lack of family integration ...</v>
      </c>
      <c r="K136" s="1"/>
      <c r="L136" s="1"/>
      <c r="M136" s="1"/>
      <c r="N136" s="1"/>
      <c r="O136" s="1"/>
      <c r="P136" s="1"/>
      <c r="Q136" s="1"/>
      <c r="R136" s="1"/>
      <c r="S136" s="1"/>
      <c r="T136" s="1"/>
      <c r="U136" s="1"/>
      <c r="V136" s="1"/>
      <c r="W136" s="1"/>
      <c r="X136" s="1"/>
      <c r="Y136" s="1"/>
      <c r="Z136" s="1"/>
    </row>
    <row r="137" spans="1:26" ht="15.75" customHeight="1" x14ac:dyDescent="0.25">
      <c r="A137" s="2" t="s">
        <v>5</v>
      </c>
      <c r="B137" s="3" t="s">
        <v>274</v>
      </c>
      <c r="C137" s="3" t="s">
        <v>85</v>
      </c>
      <c r="D137" s="3" t="str">
        <f ca="1">IFERROR(__xludf.DUMMYFUNCTION("GOOGLETRANSLATE(C137,""ES"",""EN"")"),"Human Resources \ Result \ Lack of specialists")</f>
        <v>Human Resources \ Result \ Lack of specialists</v>
      </c>
      <c r="E137" s="3" t="s">
        <v>317</v>
      </c>
      <c r="F137" s="3" t="str">
        <f ca="1">IFERROR(__xludf.DUMMYFUNCTION("GOOGLETRANSLATE(E137,""ES"",""EN"")"),"Then this situation that a patient does not have the right to have their periodic consultations with the psychiatrist.")</f>
        <v>Then this situation that a patient does not have the right to have their periodic consultations with the psychiatrist.</v>
      </c>
      <c r="G137" s="3" t="s">
        <v>318</v>
      </c>
      <c r="H137" s="28">
        <v>0.60135072624664632</v>
      </c>
      <c r="I137" s="3" t="s">
        <v>10</v>
      </c>
      <c r="J137" s="3" t="str">
        <f ca="1">IFERROR(__xludf.DUMMYFUNCTION("GOOGLETRANSLATE(I137,""ES"",""EN"")"),"Negative effects: staff does not cover the demand for care")</f>
        <v>Negative effects: staff does not cover the demand for care</v>
      </c>
      <c r="K137" s="1"/>
      <c r="L137" s="1"/>
      <c r="M137" s="1"/>
      <c r="N137" s="1"/>
      <c r="O137" s="1"/>
      <c r="P137" s="1"/>
      <c r="Q137" s="1"/>
      <c r="R137" s="1"/>
      <c r="S137" s="1"/>
      <c r="T137" s="1"/>
      <c r="U137" s="1"/>
      <c r="V137" s="1"/>
      <c r="W137" s="1"/>
      <c r="X137" s="1"/>
      <c r="Y137" s="1"/>
      <c r="Z137" s="1"/>
    </row>
    <row r="138" spans="1:26" ht="15.75" customHeight="1" x14ac:dyDescent="0.25">
      <c r="A138" s="11" t="s">
        <v>5</v>
      </c>
      <c r="B138" s="3" t="s">
        <v>274</v>
      </c>
      <c r="C138" s="3" t="s">
        <v>275</v>
      </c>
      <c r="D138" s="3" t="str">
        <f ca="1">IFERROR(__xludf.DUMMYFUNCTION("GOOGLETRANSLATE(C138,""ES"",""EN"")"),"Benefits \ Criticism of bad formation of the psychiatrist")</f>
        <v>Benefits \ Criticism of bad formation of the psychiatrist</v>
      </c>
      <c r="E138" s="3" t="s">
        <v>319</v>
      </c>
      <c r="F138" s="3" t="str">
        <f ca="1">IFERROR(__xludf.DUMMYFUNCTION("GOOGLETRANSLATE(E138,""ES"",""EN"")"),"They are specialists who do not, say that they are psychiatrists who are not a specialist in bipolar disorder, therefore they can change a medication. Therefore, also, they do not take the time to meet the patient and psycho educate him in this.")</f>
        <v>They are specialists who do not, say that they are psychiatrists who are not a specialist in bipolar disorder, therefore they can change a medication. Therefore, also, they do not take the time to meet the patient and psycho educate him in this.</v>
      </c>
      <c r="G138" s="3" t="s">
        <v>320</v>
      </c>
      <c r="H138" s="28">
        <v>1.1286890554167823</v>
      </c>
      <c r="I138" s="3" t="s">
        <v>278</v>
      </c>
      <c r="J138" s="3" t="str">
        <f ca="1">IFERROR(__xludf.DUMMYFUNCTION("GOOGLETRANSLATE(I138,""ES"",""EN"")"),"Negative effects: centered on diagnose")</f>
        <v>Negative effects: centered on diagnose</v>
      </c>
      <c r="K138" s="1"/>
      <c r="L138" s="1"/>
      <c r="M138" s="1"/>
      <c r="N138" s="1"/>
      <c r="O138" s="1"/>
      <c r="P138" s="1"/>
      <c r="Q138" s="1"/>
      <c r="R138" s="1"/>
      <c r="S138" s="1"/>
      <c r="T138" s="1"/>
      <c r="U138" s="1"/>
      <c r="V138" s="1"/>
      <c r="W138" s="1"/>
      <c r="X138" s="1"/>
      <c r="Y138" s="1"/>
      <c r="Z138" s="1"/>
    </row>
    <row r="139" spans="1:26" ht="15.75" customHeight="1" x14ac:dyDescent="0.25">
      <c r="A139" s="6" t="s">
        <v>5</v>
      </c>
      <c r="B139" s="3" t="s">
        <v>321</v>
      </c>
      <c r="C139" s="3" t="s">
        <v>210</v>
      </c>
      <c r="D139" s="3" t="str">
        <f ca="1">IFERROR(__xludf.DUMMYFUNCTION("GOOGLETRANSLATE(C139,""ES"",""EN"")"),"FINANCING \ Result \ main achievement of financing the CSMC \ Achievement to be in the community")</f>
        <v>FINANCING \ Result \ main achievement of financing the CSMC \ Achievement to be in the community</v>
      </c>
      <c r="E139" s="3" t="s">
        <v>322</v>
      </c>
      <c r="F139" s="3" t="str">
        <f ca="1">IFERROR(__xludf.DUMMYFUNCTION("GOOGLETRANSLATE(E139,""ES"",""EN"")"),"Probably one of the great achievements is that he approaches the care of mental health to people's territories and probably allows greater link with probably territorial realities and the daily life of people.")</f>
        <v>Probably one of the great achievements is that he approaches the care of mental health to people's territories and probably allows greater link with probably territorial realities and the daily life of people.</v>
      </c>
      <c r="G139" s="3" t="s">
        <v>323</v>
      </c>
      <c r="H139" s="28">
        <v>0.7412475766906147</v>
      </c>
      <c r="I139" s="3" t="s">
        <v>213</v>
      </c>
      <c r="J139" s="3" t="str">
        <f ca="1">IFERROR(__xludf.DUMMYFUNCTION("GOOGLETRANSLATE(I139,""ES"",""EN"")"),"Better coverage, closeness and context of attention")</f>
        <v>Better coverage, closeness and context of attention</v>
      </c>
      <c r="K139" s="1"/>
      <c r="L139" s="1"/>
      <c r="M139" s="1"/>
      <c r="N139" s="1"/>
      <c r="O139" s="1"/>
      <c r="P139" s="1"/>
      <c r="Q139" s="1"/>
      <c r="R139" s="1"/>
      <c r="S139" s="1"/>
      <c r="T139" s="1"/>
      <c r="U139" s="1"/>
      <c r="V139" s="1"/>
      <c r="W139" s="1"/>
      <c r="X139" s="1"/>
      <c r="Y139" s="1"/>
      <c r="Z139" s="1"/>
    </row>
    <row r="140" spans="1:26" ht="15.75" customHeight="1" x14ac:dyDescent="0.25">
      <c r="A140" s="6" t="s">
        <v>5</v>
      </c>
      <c r="B140" s="3" t="s">
        <v>321</v>
      </c>
      <c r="C140" s="3" t="s">
        <v>324</v>
      </c>
      <c r="D140" s="3" t="str">
        <f ca="1">IFERROR(__xludf.DUMMYFUNCTION("GOOGLETRANSLATE(C140,""ES"",""EN"")"),"FINANCING \ Result \ voltage between models in practice")</f>
        <v>FINANCING \ Result \ voltage between models in practice</v>
      </c>
      <c r="E140" s="3" t="s">
        <v>325</v>
      </c>
      <c r="F140" s="3" t="str">
        <f ca="1">IFERROR(__xludf.DUMMYFUNCTION("GOOGLETRANSLATE(E140,""ES"",""EN"")"),"It is an element that has probably also been countercurrent, at the best of some hospital tendency that has probably prevailed to the health sector.")</f>
        <v>It is an element that has probably also been countercurrent, at the best of some hospital tendency that has probably prevailed to the health sector.</v>
      </c>
      <c r="G140" s="3" t="s">
        <v>57</v>
      </c>
      <c r="H140" s="28">
        <v>0.44759949823240958</v>
      </c>
      <c r="I140" s="3" t="s">
        <v>51</v>
      </c>
      <c r="J140" s="3" t="str">
        <f ca="1">IFERROR(__xludf.DUMMYFUNCTION("GOOGLETRANSLATE(I140,""ES"",""EN"")"),"Negative effect: CSMC financing logics do not stimulate the implementation of the community mental health model.")</f>
        <v>Negative effect: CSMC financing logics do not stimulate the implementation of the community mental health model.</v>
      </c>
      <c r="K140" s="1"/>
      <c r="L140" s="1"/>
      <c r="M140" s="1"/>
      <c r="N140" s="1"/>
      <c r="O140" s="1"/>
      <c r="P140" s="1"/>
      <c r="Q140" s="1"/>
      <c r="R140" s="1"/>
      <c r="S140" s="1"/>
      <c r="T140" s="1"/>
      <c r="U140" s="1"/>
      <c r="V140" s="1"/>
      <c r="W140" s="1"/>
      <c r="X140" s="1"/>
      <c r="Y140" s="1"/>
      <c r="Z140" s="1"/>
    </row>
    <row r="141" spans="1:26" ht="15.75" customHeight="1" x14ac:dyDescent="0.25">
      <c r="A141" s="6" t="s">
        <v>5</v>
      </c>
      <c r="B141" s="3" t="s">
        <v>321</v>
      </c>
      <c r="C141" s="3" t="s">
        <v>326</v>
      </c>
      <c r="D141" s="3" t="str">
        <f ca="1">IFERROR(__xludf.DUMMYFUNCTION("GOOGLETRANSLATE(C141,""ES"",""EN"")"),"FINANCING \ Result \ Implementation Integrated Networks indicated by PAHO")</f>
        <v>FINANCING \ Result \ Implementation Integrated Networks indicated by PAHO</v>
      </c>
      <c r="E141" s="3" t="s">
        <v>327</v>
      </c>
      <c r="F141" s="3" t="str">
        <f ca="1">IFERROR(__xludf.DUMMYFUNCTION("GOOGLETRANSLATE(E141,""ES"",""EN"")"),"I believe that if one had, the theoretical point of view has also been like the practical implementation of the logic of integrated health services that OPS has favored.")</f>
        <v>I believe that if one had, the theoretical point of view has also been like the practical implementation of the logic of integrated health services that OPS has favored.</v>
      </c>
      <c r="G141" s="3" t="s">
        <v>289</v>
      </c>
      <c r="H141" s="28">
        <v>0.51887330368343032</v>
      </c>
      <c r="I141" s="3" t="s">
        <v>213</v>
      </c>
      <c r="J141" s="3" t="str">
        <f ca="1">IFERROR(__xludf.DUMMYFUNCTION("GOOGLETRANSLATE(I141,""ES"",""EN"")"),"Better coverage, closeness and context of attention")</f>
        <v>Better coverage, closeness and context of attention</v>
      </c>
      <c r="K141" s="1"/>
      <c r="L141" s="1"/>
      <c r="M141" s="1"/>
      <c r="N141" s="1"/>
      <c r="O141" s="1"/>
      <c r="P141" s="1"/>
      <c r="Q141" s="1"/>
      <c r="R141" s="1"/>
      <c r="S141" s="1"/>
      <c r="T141" s="1"/>
      <c r="U141" s="1"/>
      <c r="V141" s="1"/>
      <c r="W141" s="1"/>
      <c r="X141" s="1"/>
      <c r="Y141" s="1"/>
      <c r="Z141" s="1"/>
    </row>
    <row r="142" spans="1:26" ht="15.75" customHeight="1" x14ac:dyDescent="0.25">
      <c r="A142" s="6" t="s">
        <v>5</v>
      </c>
      <c r="B142" s="3" t="s">
        <v>321</v>
      </c>
      <c r="C142" s="3" t="s">
        <v>210</v>
      </c>
      <c r="D142" s="3" t="str">
        <f ca="1">IFERROR(__xludf.DUMMYFUNCTION("GOOGLETRANSLATE(C142,""ES"",""EN"")"),"FINANCING \ Result \ main achievement of financing the CSMC \ Achievement to be in the community")</f>
        <v>FINANCING \ Result \ main achievement of financing the CSMC \ Achievement to be in the community</v>
      </c>
      <c r="E142" s="3" t="s">
        <v>328</v>
      </c>
      <c r="F142" s="3" t="str">
        <f ca="1">IFERROR(__xludf.DUMMYFUNCTION("GOOGLETRANSLATE(E142,""ES"",""EN"")"),"To some degree is the specialty devices outside the hospital's context, but bringing specialty attention to people. I think that is a great advantage.")</f>
        <v>To some degree is the specialty devices outside the hospital's context, but bringing specialty attention to people. I think that is a great advantage.</v>
      </c>
      <c r="G142" s="3" t="s">
        <v>329</v>
      </c>
      <c r="H142" s="28">
        <v>0.50746949481126691</v>
      </c>
      <c r="I142" s="3" t="s">
        <v>213</v>
      </c>
      <c r="J142" s="3" t="str">
        <f ca="1">IFERROR(__xludf.DUMMYFUNCTION("GOOGLETRANSLATE(I142,""ES"",""EN"")"),"Better coverage, closeness and context of attention")</f>
        <v>Better coverage, closeness and context of attention</v>
      </c>
      <c r="K142" s="1"/>
      <c r="L142" s="1"/>
      <c r="M142" s="1"/>
      <c r="N142" s="1"/>
      <c r="O142" s="1"/>
      <c r="P142" s="1"/>
      <c r="Q142" s="1"/>
      <c r="R142" s="1"/>
      <c r="S142" s="1"/>
      <c r="T142" s="1"/>
      <c r="U142" s="1"/>
      <c r="V142" s="1"/>
      <c r="W142" s="1"/>
      <c r="X142" s="1"/>
      <c r="Y142" s="1"/>
      <c r="Z142" s="1"/>
    </row>
    <row r="143" spans="1:26" ht="15.75" customHeight="1" x14ac:dyDescent="0.25">
      <c r="A143" s="6" t="s">
        <v>5</v>
      </c>
      <c r="B143" s="3" t="s">
        <v>321</v>
      </c>
      <c r="C143" s="3" t="s">
        <v>330</v>
      </c>
      <c r="D143" s="3" t="str">
        <f ca="1">IFERROR(__xludf.DUMMYFUNCTION("GOOGLETRANSLATE(C143,""ES"",""EN"")"),"FINANCING \ Result \ Dissimile implementation of CSMC")</f>
        <v>FINANCING \ Result \ Dissimile implementation of CSMC</v>
      </c>
      <c r="E143" s="3" t="s">
        <v>331</v>
      </c>
      <c r="F143" s="3" t="str">
        <f ca="1">IFERROR(__xludf.DUMMYFUNCTION("GOOGLETRANSLATE(E143,""ES"",""EN"")"),"It has probably been dissimilar to its implementation and probably also based on the local reality that has both administration between health services, and municipal administrations, mainly the Metropolitan Region and that makes that some elements of tec"&amp;"hnical management of health services can probably vary to the centers.")</f>
        <v>It has probably been dissimilar to its implementation and probably also based on the local reality that has both administration between health services, and municipal administrations, mainly the Metropolitan Region and that makes that some elements of technical management of health services can probably vary to the centers.</v>
      </c>
      <c r="G143" s="3" t="s">
        <v>332</v>
      </c>
      <c r="H143" s="28">
        <v>1.0263427984946971</v>
      </c>
      <c r="I143" s="3" t="s">
        <v>51</v>
      </c>
      <c r="J143" s="3" t="str">
        <f ca="1">IFERROR(__xludf.DUMMYFUNCTION("GOOGLETRANSLATE(I143,""ES"",""EN"")"),"Negative effect: CSMC financing logics do not stimulate the implementation of the community mental health model.")</f>
        <v>Negative effect: CSMC financing logics do not stimulate the implementation of the community mental health model.</v>
      </c>
      <c r="K143" s="1"/>
      <c r="L143" s="1"/>
      <c r="M143" s="1"/>
      <c r="N143" s="1"/>
      <c r="O143" s="1"/>
      <c r="P143" s="1"/>
      <c r="Q143" s="1"/>
      <c r="R143" s="1"/>
      <c r="S143" s="1"/>
      <c r="T143" s="1"/>
      <c r="U143" s="1"/>
      <c r="V143" s="1"/>
      <c r="W143" s="1"/>
      <c r="X143" s="1"/>
      <c r="Y143" s="1"/>
      <c r="Z143" s="1"/>
    </row>
    <row r="144" spans="1:26" ht="15.75" customHeight="1" x14ac:dyDescent="0.25">
      <c r="A144" s="6" t="s">
        <v>5</v>
      </c>
      <c r="B144" s="3" t="s">
        <v>321</v>
      </c>
      <c r="C144" s="3" t="s">
        <v>333</v>
      </c>
      <c r="D144" s="3" t="str">
        <f ca="1">IFERROR(__xludf.DUMMYFUNCTION("GOOGLETRANSLATE(C144,""ES"",""EN"")"),"Financing \ Result \ Selection Pathologies with financial revenue")</f>
        <v>Financing \ Result \ Selection Pathologies with financial revenue</v>
      </c>
      <c r="E144" s="3" t="s">
        <v>334</v>
      </c>
      <c r="F144" s="3" t="str">
        <f ca="1">IFERROR(__xludf.DUMMYFUNCTION("GOOGLETRANSLATE(E144,""ES"",""EN"")"),"But they also had the incentive that potentially attention focused on those pathologies that probably had greater financial revenue rather than the real needs of the population.")</f>
        <v>But they also had the incentive that potentially attention focused on those pathologies that probably had greater financial revenue rather than the real needs of the population.</v>
      </c>
      <c r="G144" s="3" t="s">
        <v>335</v>
      </c>
      <c r="H144" s="28">
        <v>0.57304139582620595</v>
      </c>
      <c r="I144" s="3" t="s">
        <v>51</v>
      </c>
      <c r="J144" s="3" t="str">
        <f ca="1">IFERROR(__xludf.DUMMYFUNCTION("GOOGLETRANSLATE(I144,""ES"",""EN"")"),"Negative effect: CSMC financing logics do not stimulate the implementation of the community mental health model.")</f>
        <v>Negative effect: CSMC financing logics do not stimulate the implementation of the community mental health model.</v>
      </c>
      <c r="K144" s="1"/>
      <c r="L144" s="1"/>
      <c r="M144" s="1"/>
      <c r="N144" s="1"/>
      <c r="O144" s="1"/>
      <c r="P144" s="1"/>
      <c r="Q144" s="1"/>
      <c r="R144" s="1"/>
      <c r="S144" s="1"/>
      <c r="T144" s="1"/>
      <c r="U144" s="1"/>
      <c r="V144" s="1"/>
      <c r="W144" s="1"/>
      <c r="X144" s="1"/>
      <c r="Y144" s="1"/>
      <c r="Z144" s="1"/>
    </row>
    <row r="145" spans="1:26" ht="15.75" customHeight="1" x14ac:dyDescent="0.25">
      <c r="A145" s="6" t="s">
        <v>5</v>
      </c>
      <c r="B145" s="3" t="s">
        <v>321</v>
      </c>
      <c r="C145" s="3" t="s">
        <v>333</v>
      </c>
      <c r="D145" s="3" t="str">
        <f ca="1">IFERROR(__xludf.DUMMYFUNCTION("GOOGLETRANSLATE(C145,""ES"",""EN"")"),"Financing \ Result \ Selection Pathologies with financial revenue")</f>
        <v>Financing \ Result \ Selection Pathologies with financial revenue</v>
      </c>
      <c r="E145" s="3" t="s">
        <v>336</v>
      </c>
      <c r="F145" s="3" t="str">
        <f ca="1">IFERROR(__xludf.DUMMYFUNCTION("GOOGLETRANSLATE(E145,""ES"",""EN"")"),"From there probably, of course, the centers did not have a balance of balance and health services also to meet all the mental health specialty needs of the population.")</f>
        <v>From there probably, of course, the centers did not have a balance of balance and health services also to meet all the mental health specialty needs of the population.</v>
      </c>
      <c r="G145" s="3" t="s">
        <v>174</v>
      </c>
      <c r="H145" s="28">
        <v>0.54738282586383846</v>
      </c>
      <c r="I145" s="3" t="s">
        <v>51</v>
      </c>
      <c r="J145" s="3" t="str">
        <f ca="1">IFERROR(__xludf.DUMMYFUNCTION("GOOGLETRANSLATE(I145,""ES"",""EN"")"),"Negative effect: CSMC financing logics do not stimulate the implementation of the community mental health model.")</f>
        <v>Negative effect: CSMC financing logics do not stimulate the implementation of the community mental health model.</v>
      </c>
      <c r="K145" s="1"/>
      <c r="L145" s="1"/>
      <c r="M145" s="1"/>
      <c r="N145" s="1"/>
      <c r="O145" s="1"/>
      <c r="P145" s="1"/>
      <c r="Q145" s="1"/>
      <c r="R145" s="1"/>
      <c r="S145" s="1"/>
      <c r="T145" s="1"/>
      <c r="U145" s="1"/>
      <c r="V145" s="1"/>
      <c r="W145" s="1"/>
      <c r="X145" s="1"/>
      <c r="Y145" s="1"/>
      <c r="Z145" s="1"/>
    </row>
    <row r="146" spans="1:26" ht="15.75" customHeight="1" x14ac:dyDescent="0.25">
      <c r="A146" s="6" t="s">
        <v>5</v>
      </c>
      <c r="B146" s="3" t="s">
        <v>321</v>
      </c>
      <c r="C146" s="3" t="s">
        <v>324</v>
      </c>
      <c r="D146" s="3" t="str">
        <f ca="1">IFERROR(__xludf.DUMMYFUNCTION("GOOGLETRANSLATE(C146,""ES"",""EN"")"),"FINANCING \ Result \ voltage between models in practice")</f>
        <v>FINANCING \ Result \ voltage between models in practice</v>
      </c>
      <c r="E146" s="3" t="s">
        <v>337</v>
      </c>
      <c r="F146" s="3" t="str">
        <f ca="1">IFERROR(__xludf.DUMMYFUNCTION("GOOGLETRANSLATE(E146,""ES"",""EN"")"),"And there we enter a fight that is much greater with respect to the total amount of financing that has mental health, probably with respect to other pathologies and other criteria that one might think that in the case of chronic diseases are not always so"&amp;" exhaustive or so relevant as the issue of complexity probably, or the chronicity that in general mental health, rehabilitation are areas that have chronic disorders and in the specialty a rather limited resolution of the final cases. As for final recover"&amp;"y and that makes, of course I do not always have a good assessment.")</f>
        <v>And there we enter a fight that is much greater with respect to the total amount of financing that has mental health, probably with respect to other pathologies and other criteria that one might think that in the case of chronic diseases are not always so exhaustive or so relevant as the issue of complexity probably, or the chronicity that in general mental health, rehabilitation are areas that have chronic disorders and in the specialty a rather limited resolution of the final cases. As for final recovery and that makes, of course I do not always have a good assessment.</v>
      </c>
      <c r="G146" s="3" t="s">
        <v>338</v>
      </c>
      <c r="H146" s="28">
        <v>1.7561865663131486</v>
      </c>
      <c r="I146" s="3" t="s">
        <v>51</v>
      </c>
      <c r="J146" s="3" t="str">
        <f ca="1">IFERROR(__xludf.DUMMYFUNCTION("GOOGLETRANSLATE(I146,""ES"",""EN"")"),"Negative effect: CSMC financing logics do not stimulate the implementation of the community mental health model.")</f>
        <v>Negative effect: CSMC financing logics do not stimulate the implementation of the community mental health model.</v>
      </c>
      <c r="K146" s="1"/>
      <c r="L146" s="1"/>
      <c r="M146" s="1"/>
      <c r="N146" s="1"/>
      <c r="O146" s="1"/>
      <c r="P146" s="1"/>
      <c r="Q146" s="1"/>
      <c r="R146" s="1"/>
      <c r="S146" s="1"/>
      <c r="T146" s="1"/>
      <c r="U146" s="1"/>
      <c r="V146" s="1"/>
      <c r="W146" s="1"/>
      <c r="X146" s="1"/>
      <c r="Y146" s="1"/>
      <c r="Z146" s="1"/>
    </row>
    <row r="147" spans="1:26" ht="15.75" customHeight="1" x14ac:dyDescent="0.25">
      <c r="A147" s="6" t="s">
        <v>5</v>
      </c>
      <c r="B147" s="3" t="s">
        <v>321</v>
      </c>
      <c r="C147" s="3" t="s">
        <v>324</v>
      </c>
      <c r="D147" s="3" t="str">
        <f ca="1">IFERROR(__xludf.DUMMYFUNCTION("GOOGLETRANSLATE(C147,""ES"",""EN"")"),"FINANCING \ Result \ voltage between models in practice")</f>
        <v>FINANCING \ Result \ voltage between models in practice</v>
      </c>
      <c r="E147" s="3" t="s">
        <v>339</v>
      </c>
      <c r="F147" s="3" t="str">
        <f ca="1">IFERROR(__xludf.DUMMYFUNCTION("GOOGLETRANSLATE(E147,""ES"",""EN"")"),"I do not know how the process was, but of course, much of La Plata passes towards GRD, a much more central hospitable look, probably as everything is resolved in the hospital and from that the hospital admission of the bed is as if one sees as the idea of"&amp;" ​​strength or the message you want to give.")</f>
        <v>I do not know how the process was, but of course, much of La Plata passes towards GRD, a much more central hospitable look, probably as everything is resolved in the hospital and from that the hospital admission of the bed is as if one sees as the idea of ​​strength or the message you want to give.</v>
      </c>
      <c r="G147" s="3" t="s">
        <v>168</v>
      </c>
      <c r="H147" s="28">
        <v>0.85813661763028859</v>
      </c>
      <c r="I147" s="3" t="s">
        <v>51</v>
      </c>
      <c r="J147" s="3" t="str">
        <f ca="1">IFERROR(__xludf.DUMMYFUNCTION("GOOGLETRANSLATE(I147,""ES"",""EN"")"),"Negative effect: CSMC financing logics do not stimulate the implementation of the community mental health model.")</f>
        <v>Negative effect: CSMC financing logics do not stimulate the implementation of the community mental health model.</v>
      </c>
      <c r="K147" s="1"/>
      <c r="L147" s="1"/>
      <c r="M147" s="1"/>
      <c r="N147" s="1"/>
      <c r="O147" s="1"/>
      <c r="P147" s="1"/>
      <c r="Q147" s="1"/>
      <c r="R147" s="1"/>
      <c r="S147" s="1"/>
      <c r="T147" s="1"/>
      <c r="U147" s="1"/>
      <c r="V147" s="1"/>
      <c r="W147" s="1"/>
      <c r="X147" s="1"/>
      <c r="Y147" s="1"/>
      <c r="Z147" s="1"/>
    </row>
    <row r="148" spans="1:26" ht="15.75" customHeight="1" x14ac:dyDescent="0.25">
      <c r="A148" s="11" t="s">
        <v>5</v>
      </c>
      <c r="B148" s="3" t="s">
        <v>321</v>
      </c>
      <c r="C148" s="3" t="s">
        <v>340</v>
      </c>
      <c r="D148" s="3" t="str">
        <f ca="1">IFERROR(__xludf.DUMMYFUNCTION("GOOGLETRANSLATE(C148,""ES"",""EN"")"),"Benefits \ Result \ Chronification of patients")</f>
        <v>Benefits \ Result \ Chronification of patients</v>
      </c>
      <c r="E148" s="3" t="s">
        <v>341</v>
      </c>
      <c r="F148" s="3" t="str">
        <f ca="1">IFERROR(__xludf.DUMMYFUNCTION("GOOGLETRANSLATE(E148,""ES"",""EN"")"),"We are probably also living a process that accounts for difficulties in the user graduation process and there has probably been a critical aspect that particularly specialized attention and Cosam have also had it. That is, that is, the concentration of ma"&amp;"ny users in control but a low flow of income and expenses that causes attention to remain in the mental health specialty dial in the Cosam and there is no discharge.")</f>
        <v>We are probably also living a process that accounts for difficulties in the user graduation process and there has probably been a critical aspect that particularly specialized attention and Cosam have also had it. That is, that is, the concentration of many users in control but a low flow of income and expenses that causes attention to remain in the mental health specialty dial in the Cosam and there is no discharge.</v>
      </c>
      <c r="G148" s="3" t="s">
        <v>239</v>
      </c>
      <c r="H148" s="28">
        <v>1.3171399247348614</v>
      </c>
      <c r="I148" s="3" t="s">
        <v>342</v>
      </c>
      <c r="J148" s="3" t="str">
        <f ca="1">IFERROR(__xludf.DUMMYFUNCTION("GOOGLETRANSLATE(I148,""ES"",""EN"")"),"Negative effects: chronification of people served")</f>
        <v>Negative effects: chronification of people served</v>
      </c>
      <c r="K148" s="1"/>
      <c r="L148" s="1"/>
      <c r="M148" s="1"/>
      <c r="N148" s="1"/>
      <c r="O148" s="1"/>
      <c r="P148" s="1"/>
      <c r="Q148" s="1"/>
      <c r="R148" s="1"/>
      <c r="S148" s="1"/>
      <c r="T148" s="1"/>
      <c r="U148" s="1"/>
      <c r="V148" s="1"/>
      <c r="W148" s="1"/>
      <c r="X148" s="1"/>
      <c r="Y148" s="1"/>
      <c r="Z148" s="1"/>
    </row>
    <row r="149" spans="1:26" ht="15.75" customHeight="1" x14ac:dyDescent="0.25">
      <c r="A149" s="11" t="s">
        <v>5</v>
      </c>
      <c r="B149" s="3" t="s">
        <v>321</v>
      </c>
      <c r="C149" s="3" t="s">
        <v>340</v>
      </c>
      <c r="D149" s="3" t="str">
        <f ca="1">IFERROR(__xludf.DUMMYFUNCTION("GOOGLETRANSLATE(C149,""ES"",""EN"")"),"Benefits \ Result \ Chronification of patients")</f>
        <v>Benefits \ Result \ Chronification of patients</v>
      </c>
      <c r="E149" s="3" t="s">
        <v>343</v>
      </c>
      <c r="F149" s="3" t="str">
        <f ca="1">IFERROR(__xludf.DUMMYFUNCTION("GOOGLETRANSLATE(E149,""ES"",""EN"")"),"If one thought about it critically, the PPV associated payment mechanism realized a chronic user maintenance that may not have to be at that level of attention and that could have resolved their things or that were kept only by a medicine or Something, th"&amp;"e affection on the part of the team and thinking that its complexity probably did not have an acute or serious situation that was realizing the attention at level specialty, and could be in primary care.")</f>
        <v>If one thought about it critically, the PPV associated payment mechanism realized a chronic user maintenance that may not have to be at that level of attention and that could have resolved their things or that were kept only by a medicine or Something, the affection on the part of the team and thinking that its complexity probably did not have an acute or serious situation that was realizing the attention at level specialty, and could be in primary care.</v>
      </c>
      <c r="G149" s="3" t="s">
        <v>344</v>
      </c>
      <c r="H149" s="28">
        <v>1.3684570646595962</v>
      </c>
      <c r="I149" s="3" t="s">
        <v>342</v>
      </c>
      <c r="J149" s="3" t="str">
        <f ca="1">IFERROR(__xludf.DUMMYFUNCTION("GOOGLETRANSLATE(I149,""ES"",""EN"")"),"Negative effects: chronification of people served")</f>
        <v>Negative effects: chronification of people served</v>
      </c>
      <c r="K149" s="1"/>
      <c r="L149" s="1"/>
      <c r="M149" s="1"/>
      <c r="N149" s="1"/>
      <c r="O149" s="1"/>
      <c r="P149" s="1"/>
      <c r="Q149" s="1"/>
      <c r="R149" s="1"/>
      <c r="S149" s="1"/>
      <c r="T149" s="1"/>
      <c r="U149" s="1"/>
      <c r="V149" s="1"/>
      <c r="W149" s="1"/>
      <c r="X149" s="1"/>
      <c r="Y149" s="1"/>
      <c r="Z149" s="1"/>
    </row>
    <row r="150" spans="1:26" ht="15.75" customHeight="1" x14ac:dyDescent="0.25">
      <c r="A150" s="11" t="s">
        <v>5</v>
      </c>
      <c r="B150" s="3" t="s">
        <v>321</v>
      </c>
      <c r="C150" s="3" t="s">
        <v>340</v>
      </c>
      <c r="D150" s="3" t="str">
        <f ca="1">IFERROR(__xludf.DUMMYFUNCTION("GOOGLETRANSLATE(C150,""ES"",""EN"")"),"Benefits \ Result \ Chronification of patients")</f>
        <v>Benefits \ Result \ Chronification of patients</v>
      </c>
      <c r="E150" s="3" t="s">
        <v>345</v>
      </c>
      <c r="F150" s="3" t="str">
        <f ca="1">IFERROR(__xludf.DUMMYFUNCTION("GOOGLETRANSLATE(E150,""ES"",""EN"")"),"That made on the one hand I had users in quotes, I had controlled them, stable and that of course, as I had to ensure certainly by PPV, I kept them for a long time and did not favor their discharge.")</f>
        <v>That made on the one hand I had users in quotes, I had controlled them, stable and that of course, as I had to ensure certainly by PPV, I kept them for a long time and did not favor their discharge.</v>
      </c>
      <c r="G150" s="3" t="s">
        <v>346</v>
      </c>
      <c r="H150" s="28">
        <v>0.62720948796898168</v>
      </c>
      <c r="I150" s="3" t="s">
        <v>342</v>
      </c>
      <c r="J150" s="3" t="str">
        <f ca="1">IFERROR(__xludf.DUMMYFUNCTION("GOOGLETRANSLATE(I150,""ES"",""EN"")"),"Negative effects: chronification of people served")</f>
        <v>Negative effects: chronification of people served</v>
      </c>
      <c r="K150" s="1"/>
      <c r="L150" s="1"/>
      <c r="M150" s="1"/>
      <c r="N150" s="1"/>
      <c r="O150" s="1"/>
      <c r="P150" s="1"/>
      <c r="Q150" s="1"/>
      <c r="R150" s="1"/>
      <c r="S150" s="1"/>
      <c r="T150" s="1"/>
      <c r="U150" s="1"/>
      <c r="V150" s="1"/>
      <c r="W150" s="1"/>
      <c r="X150" s="1"/>
      <c r="Y150" s="1"/>
      <c r="Z150" s="1"/>
    </row>
    <row r="151" spans="1:26" ht="15.75" customHeight="1" x14ac:dyDescent="0.25">
      <c r="A151" s="6" t="s">
        <v>5</v>
      </c>
      <c r="B151" s="9" t="s">
        <v>321</v>
      </c>
      <c r="C151" s="9" t="s">
        <v>170</v>
      </c>
      <c r="D151" s="3" t="str">
        <f ca="1">IFERROR(__xludf.DUMMYFUNCTION("GOOGLETRANSLATE(C151,""ES"",""EN"")"),"FINANCING \ Result \ There are waiting lists in the CSMC")</f>
        <v>FINANCING \ Result \ There are waiting lists in the CSMC</v>
      </c>
      <c r="E151" s="9" t="s">
        <v>347</v>
      </c>
      <c r="F151" s="3" t="str">
        <f ca="1">IFERROR(__xludf.DUMMYFUNCTION("GOOGLETRANSLATE(E151,""ES"",""EN"")"),"One will think that there is a greater incidence of cases and those cases will probably have to arrive at a time to the center of specialty, Cosam, CRS or fall and the waiting list will increase and without a response capacity and it will probably go to i"&amp;"ncrease emergency care that is a bit of what is currently being seen.")</f>
        <v>One will think that there is a greater incidence of cases and those cases will probably have to arrive at a time to the center of specialty, Cosam, CRS or fall and the waiting list will increase and without a response capacity and it will probably go to increase emergency care that is a bit of what is currently being seen.</v>
      </c>
      <c r="G151" s="9" t="s">
        <v>348</v>
      </c>
      <c r="H151" s="29">
        <v>0.949367088607595</v>
      </c>
      <c r="I151" s="3" t="s">
        <v>15</v>
      </c>
      <c r="J151" s="3" t="str">
        <f ca="1">IFERROR(__xludf.DUMMYFUNCTION("GOOGLETRANSLATE(I151,""ES"",""EN"")"),"Negative effect: financing mechanisms end up generating problems to CSMC.")</f>
        <v>Negative effect: financing mechanisms end up generating problems to CSMC.</v>
      </c>
      <c r="K151" s="1"/>
      <c r="L151" s="1"/>
      <c r="M151" s="1"/>
      <c r="N151" s="1"/>
      <c r="O151" s="1"/>
      <c r="P151" s="1"/>
      <c r="Q151" s="1"/>
      <c r="R151" s="1"/>
      <c r="S151" s="1"/>
      <c r="T151" s="1"/>
      <c r="U151" s="1"/>
      <c r="V151" s="1"/>
      <c r="W151" s="1"/>
      <c r="X151" s="1"/>
      <c r="Y151" s="1"/>
      <c r="Z151" s="1"/>
    </row>
    <row r="152" spans="1:26" ht="15.75" customHeight="1" x14ac:dyDescent="0.25">
      <c r="A152" s="11" t="s">
        <v>5</v>
      </c>
      <c r="B152" s="3" t="s">
        <v>321</v>
      </c>
      <c r="C152" s="3" t="s">
        <v>340</v>
      </c>
      <c r="D152" s="3" t="str">
        <f ca="1">IFERROR(__xludf.DUMMYFUNCTION("GOOGLETRANSLATE(C152,""ES"",""EN"")"),"Benefits \ Result \ Chronification of patients")</f>
        <v>Benefits \ Result \ Chronification of patients</v>
      </c>
      <c r="E152" s="3" t="s">
        <v>349</v>
      </c>
      <c r="F152" s="3" t="str">
        <f ca="1">IFERROR(__xludf.DUMMYFUNCTION("GOOGLETRANSLATE(E152,""ES"",""EN"")"),"There is probably a greater number of people in control than by probably fulfilling the criteria of in quotes, of being of high clinic in quotes, or who have to have their mental health situation resolved to stay at the level of specialty are not being re"&amp;"ferred to Primary Care")</f>
        <v>There is probably a greater number of people in control than by probably fulfilling the criteria of in quotes, of being of high clinic in quotes, or who have to have their mental health situation resolved to stay at the level of specialty are not being referred to Primary Care</v>
      </c>
      <c r="G152" s="3" t="s">
        <v>350</v>
      </c>
      <c r="H152" s="28">
        <v>0.89234804424677838</v>
      </c>
      <c r="I152" s="3" t="s">
        <v>342</v>
      </c>
      <c r="J152" s="3" t="str">
        <f ca="1">IFERROR(__xludf.DUMMYFUNCTION("GOOGLETRANSLATE(I152,""ES"",""EN"")"),"Negative effects: chronification of people served")</f>
        <v>Negative effects: chronification of people served</v>
      </c>
      <c r="K152" s="1"/>
      <c r="L152" s="1"/>
      <c r="M152" s="1"/>
      <c r="N152" s="1"/>
      <c r="O152" s="1"/>
      <c r="P152" s="1"/>
      <c r="Q152" s="1"/>
      <c r="R152" s="1"/>
      <c r="S152" s="1"/>
      <c r="T152" s="1"/>
      <c r="U152" s="1"/>
      <c r="V152" s="1"/>
      <c r="W152" s="1"/>
      <c r="X152" s="1"/>
      <c r="Y152" s="1"/>
      <c r="Z152" s="1"/>
    </row>
    <row r="153" spans="1:26" ht="15.75" customHeight="1" x14ac:dyDescent="0.25">
      <c r="A153" s="11" t="s">
        <v>5</v>
      </c>
      <c r="B153" s="3" t="s">
        <v>321</v>
      </c>
      <c r="C153" s="3" t="s">
        <v>340</v>
      </c>
      <c r="D153" s="3" t="str">
        <f ca="1">IFERROR(__xludf.DUMMYFUNCTION("GOOGLETRANSLATE(C153,""ES"",""EN"")"),"Benefits \ Result \ Chronification of patients")</f>
        <v>Benefits \ Result \ Chronification of patients</v>
      </c>
      <c r="E153" s="3" t="s">
        <v>351</v>
      </c>
      <c r="F153" s="3" t="str">
        <f ca="1">IFERROR(__xludf.DUMMYFUNCTION("GOOGLETRANSLATE(E153,""ES"",""EN"")"),"Either because APs in a pandemic context converted functions or because there are still not the competition of that APS team or to some degree there is also the distrust that this APS team can continue the attention process.")</f>
        <v>Either because APs in a pandemic context converted functions or because there are still not the competition of that APS team or to some degree there is also the distrust that this APS team can continue the attention process.</v>
      </c>
      <c r="G153" s="3" t="s">
        <v>177</v>
      </c>
      <c r="H153" s="28">
        <v>0.65571901014938994</v>
      </c>
      <c r="I153" s="3" t="s">
        <v>342</v>
      </c>
      <c r="J153" s="3" t="str">
        <f ca="1">IFERROR(__xludf.DUMMYFUNCTION("GOOGLETRANSLATE(I153,""ES"",""EN"")"),"Negative effects: chronification of people served")</f>
        <v>Negative effects: chronification of people served</v>
      </c>
      <c r="K153" s="1"/>
      <c r="L153" s="1"/>
      <c r="M153" s="1"/>
      <c r="N153" s="1"/>
      <c r="O153" s="1"/>
      <c r="P153" s="1"/>
      <c r="Q153" s="1"/>
      <c r="R153" s="1"/>
      <c r="S153" s="1"/>
      <c r="T153" s="1"/>
      <c r="U153" s="1"/>
      <c r="V153" s="1"/>
      <c r="W153" s="1"/>
      <c r="X153" s="1"/>
      <c r="Y153" s="1"/>
      <c r="Z153" s="1"/>
    </row>
    <row r="154" spans="1:26" ht="15.75" customHeight="1" x14ac:dyDescent="0.25">
      <c r="A154" s="11" t="s">
        <v>5</v>
      </c>
      <c r="B154" s="3" t="s">
        <v>321</v>
      </c>
      <c r="C154" s="3" t="s">
        <v>340</v>
      </c>
      <c r="D154" s="3" t="str">
        <f ca="1">IFERROR(__xludf.DUMMYFUNCTION("GOOGLETRANSLATE(C154,""ES"",""EN"")"),"Benefits \ Result \ Chronification of patients")</f>
        <v>Benefits \ Result \ Chronification of patients</v>
      </c>
      <c r="E154" s="3" t="s">
        <v>352</v>
      </c>
      <c r="F154" s="3" t="str">
        <f ca="1">IFERROR(__xludf.DUMMYFUNCTION("GOOGLETRANSLATE(E154,""ES"",""EN"")"),"And we probably add that not only to clinical variables, but also to social vulnerability variables that make users remain at the level of Cosam, or specialized mental health care, not having the clinical variables so that they can be there.")</f>
        <v>And we probably add that not only to clinical variables, but also to social vulnerability variables that make users remain at the level of Cosam, or specialized mental health care, not having the clinical variables so that they can be there.</v>
      </c>
      <c r="G154" s="3" t="s">
        <v>353</v>
      </c>
      <c r="H154" s="28">
        <v>0.8210742387957578</v>
      </c>
      <c r="I154" s="3" t="s">
        <v>342</v>
      </c>
      <c r="J154" s="3" t="str">
        <f ca="1">IFERROR(__xludf.DUMMYFUNCTION("GOOGLETRANSLATE(I154,""ES"",""EN"")"),"Negative effects: chronification of people served")</f>
        <v>Negative effects: chronification of people served</v>
      </c>
      <c r="K154" s="1"/>
      <c r="L154" s="1"/>
      <c r="M154" s="1"/>
      <c r="N154" s="1"/>
      <c r="O154" s="1"/>
      <c r="P154" s="1"/>
      <c r="Q154" s="1"/>
      <c r="R154" s="1"/>
      <c r="S154" s="1"/>
      <c r="T154" s="1"/>
      <c r="U154" s="1"/>
      <c r="V154" s="1"/>
      <c r="W154" s="1"/>
      <c r="X154" s="1"/>
      <c r="Y154" s="1"/>
      <c r="Z154" s="1"/>
    </row>
    <row r="155" spans="1:26" ht="15.75" customHeight="1" x14ac:dyDescent="0.25">
      <c r="A155" s="11" t="s">
        <v>5</v>
      </c>
      <c r="B155" s="3" t="s">
        <v>321</v>
      </c>
      <c r="C155" s="3" t="s">
        <v>340</v>
      </c>
      <c r="D155" s="3" t="str">
        <f ca="1">IFERROR(__xludf.DUMMYFUNCTION("GOOGLETRANSLATE(C155,""ES"",""EN"")"),"Benefits \ Result \ Chronification of patients")</f>
        <v>Benefits \ Result \ Chronification of patients</v>
      </c>
      <c r="E155" s="3" t="s">
        <v>354</v>
      </c>
      <c r="F155" s="3" t="str">
        <f ca="1">IFERROR(__xludf.DUMMYFUNCTION("GOOGLETRANSLATE(E155,""ES"",""EN"")"),"If it is complex around it hinders the entry of a new user that has a situation of greater serious or complexity, which accounts for that level of specialty. And that I think is being a critical element by the specialty teams, particularly the Cosam.")</f>
        <v>If it is complex around it hinders the entry of a new user that has a situation of greater serious or complexity, which accounts for that level of specialty. And that I think is being a critical element by the specialty teams, particularly the Cosam.</v>
      </c>
      <c r="G155" s="3" t="s">
        <v>355</v>
      </c>
      <c r="H155" s="28">
        <v>0.86098756984832936</v>
      </c>
      <c r="I155" s="3" t="s">
        <v>342</v>
      </c>
      <c r="J155" s="3" t="str">
        <f ca="1">IFERROR(__xludf.DUMMYFUNCTION("GOOGLETRANSLATE(I155,""ES"",""EN"")"),"Negative effects: chronification of people served")</f>
        <v>Negative effects: chronification of people served</v>
      </c>
      <c r="K155" s="1"/>
      <c r="L155" s="1"/>
      <c r="M155" s="1"/>
      <c r="N155" s="1"/>
      <c r="O155" s="1"/>
      <c r="P155" s="1"/>
      <c r="Q155" s="1"/>
      <c r="R155" s="1"/>
      <c r="S155" s="1"/>
      <c r="T155" s="1"/>
      <c r="U155" s="1"/>
      <c r="V155" s="1"/>
      <c r="W155" s="1"/>
      <c r="X155" s="1"/>
      <c r="Y155" s="1"/>
      <c r="Z155" s="1"/>
    </row>
    <row r="156" spans="1:26" ht="15.75" customHeight="1" x14ac:dyDescent="0.25">
      <c r="A156" s="11" t="s">
        <v>5</v>
      </c>
      <c r="B156" s="3" t="s">
        <v>321</v>
      </c>
      <c r="C156" s="3" t="s">
        <v>340</v>
      </c>
      <c r="D156" s="3" t="str">
        <f ca="1">IFERROR(__xludf.DUMMYFUNCTION("GOOGLETRANSLATE(C156,""ES"",""EN"")"),"Benefits \ Result \ Chronification of patients")</f>
        <v>Benefits \ Result \ Chronification of patients</v>
      </c>
      <c r="E156" s="3" t="s">
        <v>356</v>
      </c>
      <c r="F156" s="3" t="str">
        <f ca="1">IFERROR(__xludf.DUMMYFUNCTION("GOOGLETRANSLATE(E156,""ES"",""EN"")"),"We have users who are chronified, some only by the medication or others, but who are already in clinical condition, one should also think of advancing in incentive mechanisms that would account for the resolution of cases rather than only the permanence.")</f>
        <v>We have users who are chronified, some only by the medication or others, but who are already in clinical condition, one should also think of advancing in incentive mechanisms that would account for the resolution of cases rather than only the permanence.</v>
      </c>
      <c r="G156" s="3" t="s">
        <v>222</v>
      </c>
      <c r="H156" s="28">
        <v>0.752651385562778</v>
      </c>
      <c r="I156" s="3" t="s">
        <v>342</v>
      </c>
      <c r="J156" s="3" t="str">
        <f ca="1">IFERROR(__xludf.DUMMYFUNCTION("GOOGLETRANSLATE(I156,""ES"",""EN"")"),"Negative effects: chronification of people served")</f>
        <v>Negative effects: chronification of people served</v>
      </c>
      <c r="K156" s="1"/>
      <c r="L156" s="1"/>
      <c r="M156" s="1"/>
      <c r="N156" s="1"/>
      <c r="O156" s="1"/>
      <c r="P156" s="1"/>
      <c r="Q156" s="1"/>
      <c r="R156" s="1"/>
      <c r="S156" s="1"/>
      <c r="T156" s="1"/>
      <c r="U156" s="1"/>
      <c r="V156" s="1"/>
      <c r="W156" s="1"/>
      <c r="X156" s="1"/>
      <c r="Y156" s="1"/>
      <c r="Z156" s="1"/>
    </row>
    <row r="157" spans="1:26" ht="15.75" customHeight="1" x14ac:dyDescent="0.25">
      <c r="A157" s="11" t="s">
        <v>5</v>
      </c>
      <c r="B157" s="3" t="s">
        <v>321</v>
      </c>
      <c r="C157" s="3" t="s">
        <v>340</v>
      </c>
      <c r="D157" s="3" t="str">
        <f ca="1">IFERROR(__xludf.DUMMYFUNCTION("GOOGLETRANSLATE(C157,""ES"",""EN"")"),"Benefits \ Result \ Chronification of patients")</f>
        <v>Benefits \ Result \ Chronification of patients</v>
      </c>
      <c r="E157" s="3" t="s">
        <v>357</v>
      </c>
      <c r="F157" s="3" t="str">
        <f ca="1">IFERROR(__xludf.DUMMYFUNCTION("GOOGLETRANSLATE(E157,""ES"",""EN"")"),"A resolution ideally in clinical terms if one thinks if the year one has a value of 100, maybe probably one year two that same user will have a lower value thinking that we also have to move forward, how to solve it as a team the resolution of case and no"&amp;"t chronifying the subject.")</f>
        <v>A resolution ideally in clinical terms if one thinks if the year one has a value of 100, maybe probably one year two that same user will have a lower value thinking that we also have to move forward, how to solve it as a team the resolution of case and not chronifying the subject.</v>
      </c>
      <c r="G157" s="3" t="s">
        <v>273</v>
      </c>
      <c r="H157" s="28">
        <v>0.86383852206637013</v>
      </c>
      <c r="I157" s="3" t="s">
        <v>342</v>
      </c>
      <c r="J157" s="3" t="str">
        <f ca="1">IFERROR(__xludf.DUMMYFUNCTION("GOOGLETRANSLATE(I157,""ES"",""EN"")"),"Negative effects: chronification of people served")</f>
        <v>Negative effects: chronification of people served</v>
      </c>
      <c r="K157" s="1"/>
      <c r="L157" s="1"/>
      <c r="M157" s="1"/>
      <c r="N157" s="1"/>
      <c r="O157" s="1"/>
      <c r="P157" s="1"/>
      <c r="Q157" s="1"/>
      <c r="R157" s="1"/>
      <c r="S157" s="1"/>
      <c r="T157" s="1"/>
      <c r="U157" s="1"/>
      <c r="V157" s="1"/>
      <c r="W157" s="1"/>
      <c r="X157" s="1"/>
      <c r="Y157" s="1"/>
      <c r="Z157" s="1"/>
    </row>
    <row r="158" spans="1:26" ht="15.75" customHeight="1" x14ac:dyDescent="0.25">
      <c r="A158" s="11" t="s">
        <v>5</v>
      </c>
      <c r="B158" s="3" t="s">
        <v>321</v>
      </c>
      <c r="C158" s="3" t="s">
        <v>340</v>
      </c>
      <c r="D158" s="3" t="str">
        <f ca="1">IFERROR(__xludf.DUMMYFUNCTION("GOOGLETRANSLATE(C158,""ES"",""EN"")"),"Benefits \ Result \ Chronification of patients")</f>
        <v>Benefits \ Result \ Chronification of patients</v>
      </c>
      <c r="E158" s="3" t="s">
        <v>358</v>
      </c>
      <c r="F158" s="3" t="str">
        <f ca="1">IFERROR(__xludf.DUMMYFUNCTION("GOOGLETRANSLATE(E158,""ES"",""EN"")"),"Probably not for all health problems will be like that. We have chronic problems, such as schizophrenia and bipolar, which for now cannot be graduated from the level of specialty due to themes of the GES frame, but one should think that that should be cha"&amp;"nging that.")</f>
        <v>Probably not for all health problems will be like that. We have chronic problems, such as schizophrenia and bipolar, which for now cannot be graduated from the level of specialty due to themes of the GES frame, but one should think that that should be changing that.</v>
      </c>
      <c r="G158" s="3" t="s">
        <v>359</v>
      </c>
      <c r="H158" s="28">
        <v>0.81537233435967615</v>
      </c>
      <c r="I158" s="3" t="s">
        <v>342</v>
      </c>
      <c r="J158" s="3" t="str">
        <f ca="1">IFERROR(__xludf.DUMMYFUNCTION("GOOGLETRANSLATE(I158,""ES"",""EN"")"),"Negative effects: chronification of people served")</f>
        <v>Negative effects: chronification of people served</v>
      </c>
      <c r="K158" s="1"/>
      <c r="L158" s="1"/>
      <c r="M158" s="1"/>
      <c r="N158" s="1"/>
      <c r="O158" s="1"/>
      <c r="P158" s="1"/>
      <c r="Q158" s="1"/>
      <c r="R158" s="1"/>
      <c r="S158" s="1"/>
      <c r="T158" s="1"/>
      <c r="U158" s="1"/>
      <c r="V158" s="1"/>
      <c r="W158" s="1"/>
      <c r="X158" s="1"/>
      <c r="Y158" s="1"/>
      <c r="Z158" s="1"/>
    </row>
    <row r="159" spans="1:26" ht="15.75" customHeight="1" x14ac:dyDescent="0.25">
      <c r="A159" s="11" t="s">
        <v>5</v>
      </c>
      <c r="B159" s="3" t="s">
        <v>321</v>
      </c>
      <c r="C159" s="3" t="s">
        <v>340</v>
      </c>
      <c r="D159" s="3" t="str">
        <f ca="1">IFERROR(__xludf.DUMMYFUNCTION("GOOGLETRANSLATE(C159,""ES"",""EN"")"),"Benefits \ Result \ Chronification of patients")</f>
        <v>Benefits \ Result \ Chronification of patients</v>
      </c>
      <c r="E159" s="3" t="s">
        <v>360</v>
      </c>
      <c r="F159" s="3" t="str">
        <f ca="1">IFERROR(__xludf.DUMMYFUNCTION("GOOGLETRANSLATE(E159,""ES"",""EN"")"),"But one should think that the community mental health center should attend a greater number of users who had a complexity and much more acute consideration to their problem rather than more than having a user in quotes stabilized and not allow the entry o"&amp;"f new ones, because if Do not overflow to other instances of the network, such as urgency.")</f>
        <v>But one should think that the community mental health center should attend a greater number of users who had a complexity and much more acute consideration to their problem rather than more than having a user in quotes stabilized and not allow the entry of new ones, because if Do not overflow to other instances of the network, such as urgency.</v>
      </c>
      <c r="G159" s="3" t="s">
        <v>150</v>
      </c>
      <c r="H159" s="28">
        <v>1.0177899418405749</v>
      </c>
      <c r="I159" s="3" t="s">
        <v>342</v>
      </c>
      <c r="J159" s="3" t="str">
        <f ca="1">IFERROR(__xludf.DUMMYFUNCTION("GOOGLETRANSLATE(I159,""ES"",""EN"")"),"Negative effects: chronification of people served")</f>
        <v>Negative effects: chronification of people served</v>
      </c>
      <c r="K159" s="1"/>
      <c r="L159" s="1"/>
      <c r="M159" s="1"/>
      <c r="N159" s="1"/>
      <c r="O159" s="1"/>
      <c r="P159" s="1"/>
      <c r="Q159" s="1"/>
      <c r="R159" s="1"/>
      <c r="S159" s="1"/>
      <c r="T159" s="1"/>
      <c r="U159" s="1"/>
      <c r="V159" s="1"/>
      <c r="W159" s="1"/>
      <c r="X159" s="1"/>
      <c r="Y159" s="1"/>
      <c r="Z159" s="1"/>
    </row>
    <row r="160" spans="1:26" ht="15.75" customHeight="1" x14ac:dyDescent="0.25">
      <c r="A160" s="11" t="s">
        <v>5</v>
      </c>
      <c r="B160" s="3" t="s">
        <v>321</v>
      </c>
      <c r="C160" s="3" t="s">
        <v>361</v>
      </c>
      <c r="D160" s="3" t="str">
        <f ca="1">IFERROR(__xludf.DUMMYFUNCTION("GOOGLETRANSLATE(C160,""ES"",""EN"")"),"Benefits \ Result \ There is no comprehensive care plan")</f>
        <v>Benefits \ Result \ There is no comprehensive care plan</v>
      </c>
      <c r="E160" s="3" t="s">
        <v>362</v>
      </c>
      <c r="F160" s="3" t="str">
        <f ca="1">IFERROR(__xludf.DUMMYFUNCTION("GOOGLETRANSLATE(E160,""ES"",""EN"")"),"Currently if one reviews the entire user in control, I do not know if 100 percent have a comprehensive care treatment plan or plan. That one would have expected that it is the basics, and was defined by the Minsal that was with the user. But the practical"&amp;" reality does not happen and that is agreed with the user, maybe with some they can have, but I don't know if 100 percent is agreed with the user.")</f>
        <v>Currently if one reviews the entire user in control, I do not know if 100 percent have a comprehensive care treatment plan or plan. That one would have expected that it is the basics, and was defined by the Minsal that was with the user. But the practical reality does not happen and that is agreed with the user, maybe with some they can have, but I don't know if 100 percent is agreed with the user.</v>
      </c>
      <c r="G160" s="3" t="s">
        <v>363</v>
      </c>
      <c r="H160" s="28">
        <v>1.2373132626297183</v>
      </c>
      <c r="I160" s="3" t="s">
        <v>44</v>
      </c>
      <c r="J160" s="3" t="str">
        <f ca="1">IFERROR(__xludf.DUMMYFUNCTION("GOOGLETRANSLATE(I160,""ES"",""EN"")"),"Negative effects: limit the integrality and continuity of care")</f>
        <v>Negative effects: limit the integrality and continuity of care</v>
      </c>
      <c r="K160" s="1"/>
      <c r="L160" s="1"/>
      <c r="M160" s="1"/>
      <c r="N160" s="1"/>
      <c r="O160" s="1"/>
      <c r="P160" s="1"/>
      <c r="Q160" s="1"/>
      <c r="R160" s="1"/>
      <c r="S160" s="1"/>
      <c r="T160" s="1"/>
      <c r="U160" s="1"/>
      <c r="V160" s="1"/>
      <c r="W160" s="1"/>
      <c r="X160" s="1"/>
      <c r="Y160" s="1"/>
      <c r="Z160" s="1"/>
    </row>
    <row r="161" spans="1:26" ht="15.75" customHeight="1" x14ac:dyDescent="0.25">
      <c r="A161" s="2" t="s">
        <v>5</v>
      </c>
      <c r="B161" s="3" t="s">
        <v>321</v>
      </c>
      <c r="C161" s="3" t="s">
        <v>85</v>
      </c>
      <c r="D161" s="3" t="str">
        <f ca="1">IFERROR(__xludf.DUMMYFUNCTION("GOOGLETRANSLATE(C161,""ES"",""EN"")"),"Human Resources \ Result \ Lack of specialists")</f>
        <v>Human Resources \ Result \ Lack of specialists</v>
      </c>
      <c r="E161" s="3" t="s">
        <v>364</v>
      </c>
      <c r="F161" s="3" t="str">
        <f ca="1">IFERROR(__xludf.DUMMYFUNCTION("GOOGLETRANSLATE(E161,""ES"",""EN"")"),"We have a lack of positions, in genuits, human resource gap, particularly medical or medical hours infant-adolescent.")</f>
        <v>We have a lack of positions, in genuits, human resource gap, particularly medical or medical hours infant-adolescent.</v>
      </c>
      <c r="G161" s="3" t="s">
        <v>365</v>
      </c>
      <c r="H161" s="28">
        <v>0.37347474056334817</v>
      </c>
      <c r="I161" s="3" t="s">
        <v>10</v>
      </c>
      <c r="J161" s="3" t="str">
        <f ca="1">IFERROR(__xludf.DUMMYFUNCTION("GOOGLETRANSLATE(I161,""ES"",""EN"")"),"Negative effects: staff does not cover the demand for care")</f>
        <v>Negative effects: staff does not cover the demand for care</v>
      </c>
      <c r="K161" s="1"/>
      <c r="L161" s="1"/>
      <c r="M161" s="1"/>
      <c r="N161" s="1"/>
      <c r="O161" s="1"/>
      <c r="P161" s="1"/>
      <c r="Q161" s="1"/>
      <c r="R161" s="1"/>
      <c r="S161" s="1"/>
      <c r="T161" s="1"/>
      <c r="U161" s="1"/>
      <c r="V161" s="1"/>
      <c r="W161" s="1"/>
      <c r="X161" s="1"/>
      <c r="Y161" s="1"/>
      <c r="Z161" s="1"/>
    </row>
    <row r="162" spans="1:26" ht="15.75" customHeight="1" x14ac:dyDescent="0.25">
      <c r="A162" s="6" t="s">
        <v>5</v>
      </c>
      <c r="B162" s="3" t="s">
        <v>321</v>
      </c>
      <c r="C162" s="3" t="s">
        <v>333</v>
      </c>
      <c r="D162" s="3" t="str">
        <f ca="1">IFERROR(__xludf.DUMMYFUNCTION("GOOGLETRANSLATE(C162,""ES"",""EN"")"),"Financing \ Result \ Selection Pathologies with financial revenue")</f>
        <v>Financing \ Result \ Selection Pathologies with financial revenue</v>
      </c>
      <c r="E162" s="3" t="s">
        <v>366</v>
      </c>
      <c r="F162" s="3" t="str">
        <f ca="1">IFERROR(__xludf.DUMMYFUNCTION("GOOGLETRANSLATE(E162,""ES"",""EN"")"),"That if I do ""A"", and I have a user who is B, I have a delta who are probably not paying me, so that I am going to do B. If for nothing they will pay me, for that I have pure users to and the rest commanded it to the other side.")</f>
        <v>That if I do "A", and I have a user who is B, I have a delta who are probably not paying me, so that I am going to do B. If for nothing they will pay me, for that I have pure users to and the rest commanded it to the other side.</v>
      </c>
      <c r="G162" s="3" t="s">
        <v>367</v>
      </c>
      <c r="H162" s="28">
        <v>0.66427186680351236</v>
      </c>
      <c r="I162" s="3" t="s">
        <v>51</v>
      </c>
      <c r="J162" s="3" t="str">
        <f ca="1">IFERROR(__xludf.DUMMYFUNCTION("GOOGLETRANSLATE(I162,""ES"",""EN"")"),"Negative effect: CSMC financing logics do not stimulate the implementation of the community mental health model.")</f>
        <v>Negative effect: CSMC financing logics do not stimulate the implementation of the community mental health model.</v>
      </c>
      <c r="K162" s="1"/>
      <c r="L162" s="1"/>
      <c r="M162" s="1"/>
      <c r="N162" s="1"/>
      <c r="O162" s="1"/>
      <c r="P162" s="1"/>
      <c r="Q162" s="1"/>
      <c r="R162" s="1"/>
      <c r="S162" s="1"/>
      <c r="T162" s="1"/>
      <c r="U162" s="1"/>
      <c r="V162" s="1"/>
      <c r="W162" s="1"/>
      <c r="X162" s="1"/>
      <c r="Y162" s="1"/>
      <c r="Z162" s="1"/>
    </row>
    <row r="163" spans="1:26" ht="15.75" customHeight="1" x14ac:dyDescent="0.25">
      <c r="A163" s="6" t="s">
        <v>5</v>
      </c>
      <c r="B163" s="3" t="s">
        <v>321</v>
      </c>
      <c r="C163" s="3" t="s">
        <v>333</v>
      </c>
      <c r="D163" s="3" t="str">
        <f ca="1">IFERROR(__xludf.DUMMYFUNCTION("GOOGLETRANSLATE(C163,""ES"",""EN"")"),"Financing \ Result \ Selection Pathologies with financial revenue")</f>
        <v>Financing \ Result \ Selection Pathologies with financial revenue</v>
      </c>
      <c r="E163" s="3" t="s">
        <v>368</v>
      </c>
      <c r="F163" s="3" t="str">
        <f ca="1">IFERROR(__xludf.DUMMYFUNCTION("GOOGLETRANSLATE(E163,""ES"",""EN"")"),"And the other say that I pay me no more, they do not pay me B. And that I think is a point that, as technical teams and probably with the academy, we have to move forward around also introducing into the entities Insurers finally a concept of mental healt"&amp;"h complexity that accounts for these variables.")</f>
        <v>And the other say that I pay me no more, they do not pay me B. And that I think is a point that, as technical teams and probably with the academy, we have to move forward around also introducing into the entities Insurers finally a concept of mental health complexity that accounts for these variables.</v>
      </c>
      <c r="G163" s="3" t="s">
        <v>224</v>
      </c>
      <c r="H163" s="28">
        <v>0.92085756642718664</v>
      </c>
      <c r="I163" s="3" t="s">
        <v>51</v>
      </c>
      <c r="J163" s="3" t="str">
        <f ca="1">IFERROR(__xludf.DUMMYFUNCTION("GOOGLETRANSLATE(I163,""ES"",""EN"")"),"Negative effect: CSMC financing logics do not stimulate the implementation of the community mental health model.")</f>
        <v>Negative effect: CSMC financing logics do not stimulate the implementation of the community mental health model.</v>
      </c>
      <c r="K163" s="1"/>
      <c r="L163" s="1"/>
      <c r="M163" s="1"/>
      <c r="N163" s="1"/>
      <c r="O163" s="1"/>
      <c r="P163" s="1"/>
      <c r="Q163" s="1"/>
      <c r="R163" s="1"/>
      <c r="S163" s="1"/>
      <c r="T163" s="1"/>
      <c r="U163" s="1"/>
      <c r="V163" s="1"/>
      <c r="W163" s="1"/>
      <c r="X163" s="1"/>
      <c r="Y163" s="1"/>
      <c r="Z163" s="1"/>
    </row>
    <row r="164" spans="1:26" ht="15.75" customHeight="1" x14ac:dyDescent="0.25">
      <c r="A164" s="6" t="s">
        <v>5</v>
      </c>
      <c r="B164" s="3" t="s">
        <v>321</v>
      </c>
      <c r="C164" s="3" t="s">
        <v>333</v>
      </c>
      <c r="D164" s="3" t="str">
        <f ca="1">IFERROR(__xludf.DUMMYFUNCTION("GOOGLETRANSLATE(C164,""ES"",""EN"")"),"Financing \ Result \ Selection Pathologies with financial revenue")</f>
        <v>Financing \ Result \ Selection Pathologies with financial revenue</v>
      </c>
      <c r="E164" s="3" t="s">
        <v>369</v>
      </c>
      <c r="F164" s="3" t="str">
        <f ca="1">IFERROR(__xludf.DUMMYFUNCTION("GOOGLETRANSLATE(E164,""ES"",""EN"")"),"Because if we continue paying for all the same, beyond the diagnosis x, we will pay 100 pesos and to a type ""and"" I will pay 10. If the diagnosis ""and"" have a situation of complexity, it will allow me 50 Pesos do not require me 10. And that probably w"&amp;"ith the current financing mechanisms, is not collected.")</f>
        <v>Because if we continue paying for all the same, beyond the diagnosis x, we will pay 100 pesos and to a type "and" I will pay 10. If the diagnosis "and" have a situation of complexity, it will allow me 50 Pesos do not require me 10. And that probably with the current financing mechanisms, is not collected.</v>
      </c>
      <c r="G164" s="3" t="s">
        <v>370</v>
      </c>
      <c r="H164" s="28">
        <v>0.93226137529934994</v>
      </c>
      <c r="I164" s="3" t="s">
        <v>51</v>
      </c>
      <c r="J164" s="3" t="str">
        <f ca="1">IFERROR(__xludf.DUMMYFUNCTION("GOOGLETRANSLATE(I164,""ES"",""EN"")"),"Negative effect: CSMC financing logics do not stimulate the implementation of the community mental health model.")</f>
        <v>Negative effect: CSMC financing logics do not stimulate the implementation of the community mental health model.</v>
      </c>
      <c r="K164" s="1"/>
      <c r="L164" s="1"/>
      <c r="M164" s="1"/>
      <c r="N164" s="1"/>
      <c r="O164" s="1"/>
      <c r="P164" s="1"/>
      <c r="Q164" s="1"/>
      <c r="R164" s="1"/>
      <c r="S164" s="1"/>
      <c r="T164" s="1"/>
      <c r="U164" s="1"/>
      <c r="V164" s="1"/>
      <c r="W164" s="1"/>
      <c r="X164" s="1"/>
      <c r="Y164" s="1"/>
      <c r="Z164" s="1"/>
    </row>
    <row r="165" spans="1:26" ht="15.75" customHeight="1" x14ac:dyDescent="0.25">
      <c r="A165" s="6" t="s">
        <v>5</v>
      </c>
      <c r="B165" s="3" t="s">
        <v>371</v>
      </c>
      <c r="C165" s="3" t="s">
        <v>12</v>
      </c>
      <c r="D165" s="3" t="str">
        <f ca="1">IFERROR(__xludf.DUMMYFUNCTION("GOOGLETRANSLATE(C165,""ES"",""EN"")"),"FINANCING \ Result \ Bad quality of care")</f>
        <v>FINANCING \ Result \ Bad quality of care</v>
      </c>
      <c r="E165" s="3" t="s">
        <v>372</v>
      </c>
      <c r="F165" s="3" t="str">
        <f ca="1">IFERROR(__xludf.DUMMYFUNCTION("GOOGLETRANSLATE(E165,""ES"",""EN"")"),"While the new model has a very, much higher advantage to what was the old Cosam standard, which defines us non -financing human resource, architectural project, the well -developing guideline of the model, of the care process, how it should be What are ou"&amp;"r conceptual bases, huh? I visualize that despite having all this great advance, we are still quite far from being able to implement it as it should")</f>
        <v>While the new model has a very, much higher advantage to what was the old Cosam standard, which defines us non -financing human resource, architectural project, the well -developing guideline of the model, of the care process, how it should be What are our conceptual bases, huh? I visualize that despite having all this great advance, we are still quite far from being able to implement it as it should</v>
      </c>
      <c r="G165" s="3" t="s">
        <v>373</v>
      </c>
      <c r="H165" s="28">
        <v>1.440855980044637</v>
      </c>
      <c r="I165" s="3" t="s">
        <v>15</v>
      </c>
      <c r="J165" s="3" t="str">
        <f ca="1">IFERROR(__xludf.DUMMYFUNCTION("GOOGLETRANSLATE(I165,""ES"",""EN"")"),"Negative effect: financing mechanisms end up generating problems to CSMC.")</f>
        <v>Negative effect: financing mechanisms end up generating problems to CSMC.</v>
      </c>
      <c r="K165" s="1"/>
      <c r="L165" s="1"/>
      <c r="M165" s="1"/>
      <c r="N165" s="1"/>
      <c r="O165" s="1"/>
      <c r="P165" s="1"/>
      <c r="Q165" s="1"/>
      <c r="R165" s="1"/>
      <c r="S165" s="1"/>
      <c r="T165" s="1"/>
      <c r="U165" s="1"/>
      <c r="V165" s="1"/>
      <c r="W165" s="1"/>
      <c r="X165" s="1"/>
      <c r="Y165" s="1"/>
      <c r="Z165" s="1"/>
    </row>
    <row r="166" spans="1:26" ht="15.75" customHeight="1" x14ac:dyDescent="0.25">
      <c r="A166" s="6" t="s">
        <v>5</v>
      </c>
      <c r="B166" s="3" t="s">
        <v>371</v>
      </c>
      <c r="C166" s="3" t="s">
        <v>12</v>
      </c>
      <c r="D166" s="3" t="str">
        <f ca="1">IFERROR(__xludf.DUMMYFUNCTION("GOOGLETRANSLATE(C166,""ES"",""EN"")"),"FINANCING \ Result \ Bad quality of care")</f>
        <v>FINANCING \ Result \ Bad quality of care</v>
      </c>
      <c r="E166" s="3" t="s">
        <v>374</v>
      </c>
      <c r="F166" s="3" t="str">
        <f ca="1">IFERROR(__xludf.DUMMYFUNCTION("GOOGLETRANSLATE(E166,""ES"",""EN"")"),"We advance in implementation or opening, right? Of these services, but the same at a level not very higher, so to speak, as we manage to advance coverage, but not with the ideal conditions.")</f>
        <v>We advance in implementation or opening, right? Of these services, but the same at a level not very higher, so to speak, as we manage to advance coverage, but not with the ideal conditions.</v>
      </c>
      <c r="G166" s="3" t="s">
        <v>375</v>
      </c>
      <c r="H166" s="28">
        <v>0.7417618484967835</v>
      </c>
      <c r="I166" s="3" t="s">
        <v>15</v>
      </c>
      <c r="J166" s="3" t="str">
        <f ca="1">IFERROR(__xludf.DUMMYFUNCTION("GOOGLETRANSLATE(I166,""ES"",""EN"")"),"Negative effect: financing mechanisms end up generating problems to CSMC.")</f>
        <v>Negative effect: financing mechanisms end up generating problems to CSMC.</v>
      </c>
      <c r="K166" s="1"/>
      <c r="L166" s="1"/>
      <c r="M166" s="1"/>
      <c r="N166" s="1"/>
      <c r="O166" s="1"/>
      <c r="P166" s="1"/>
      <c r="Q166" s="1"/>
      <c r="R166" s="1"/>
      <c r="S166" s="1"/>
      <c r="T166" s="1"/>
      <c r="U166" s="1"/>
      <c r="V166" s="1"/>
      <c r="W166" s="1"/>
      <c r="X166" s="1"/>
      <c r="Y166" s="1"/>
      <c r="Z166" s="1"/>
    </row>
    <row r="167" spans="1:26" ht="15.75" customHeight="1" x14ac:dyDescent="0.25">
      <c r="A167" s="6" t="s">
        <v>5</v>
      </c>
      <c r="B167" s="3" t="s">
        <v>371</v>
      </c>
      <c r="C167" s="3" t="s">
        <v>324</v>
      </c>
      <c r="D167" s="3" t="str">
        <f ca="1">IFERROR(__xludf.DUMMYFUNCTION("GOOGLETRANSLATE(C167,""ES"",""EN"")"),"FINANCING \ Result \ voltage between models in practice")</f>
        <v>FINANCING \ Result \ voltage between models in practice</v>
      </c>
      <c r="E167" s="3" t="s">
        <v>376</v>
      </c>
      <c r="F167" s="3" t="str">
        <f ca="1">IFERROR(__xludf.DUMMYFUNCTION("GOOGLETRANSLATE(E167,""ES"",""EN"")"),"Here we have hospitals that maintain the old model and that has been a living together between hospital experience and the most territorial experience")</f>
        <v>Here we have hospitals that maintain the old model and that has been a living together between hospital experience and the most territorial experience</v>
      </c>
      <c r="G167" s="3" t="s">
        <v>64</v>
      </c>
      <c r="H167" s="28">
        <v>0.51201260338716026</v>
      </c>
      <c r="I167" s="3" t="s">
        <v>51</v>
      </c>
      <c r="J167" s="3" t="str">
        <f ca="1">IFERROR(__xludf.DUMMYFUNCTION("GOOGLETRANSLATE(I167,""ES"",""EN"")"),"Negative effect: CSMC financing logics do not stimulate the implementation of the community mental health model.")</f>
        <v>Negative effect: CSMC financing logics do not stimulate the implementation of the community mental health model.</v>
      </c>
      <c r="K167" s="1"/>
      <c r="L167" s="1"/>
      <c r="M167" s="1"/>
      <c r="N167" s="1"/>
      <c r="O167" s="1"/>
      <c r="P167" s="1"/>
      <c r="Q167" s="1"/>
      <c r="R167" s="1"/>
      <c r="S167" s="1"/>
      <c r="T167" s="1"/>
      <c r="U167" s="1"/>
      <c r="V167" s="1"/>
      <c r="W167" s="1"/>
      <c r="X167" s="1"/>
      <c r="Y167" s="1"/>
      <c r="Z167" s="1"/>
    </row>
    <row r="168" spans="1:26" ht="15.75" customHeight="1" x14ac:dyDescent="0.25">
      <c r="A168" s="6" t="s">
        <v>5</v>
      </c>
      <c r="B168" s="3" t="s">
        <v>371</v>
      </c>
      <c r="C168" s="3" t="s">
        <v>324</v>
      </c>
      <c r="D168" s="3" t="str">
        <f ca="1">IFERROR(__xludf.DUMMYFUNCTION("GOOGLETRANSLATE(C168,""ES"",""EN"")"),"FINANCING \ Result \ voltage between models in practice")</f>
        <v>FINANCING \ Result \ voltage between models in practice</v>
      </c>
      <c r="E168" s="3" t="s">
        <v>377</v>
      </c>
      <c r="F168" s="3" t="str">
        <f ca="1">IFERROR(__xludf.DUMMYFUNCTION("GOOGLETRANSLATE(E168,""ES"",""EN"")"),"I see it very different from hospitals, because they are not in territorial logic, they are not in the logic of being able to do more care with the community or that the user is a bit more active in their process")</f>
        <v>I see it very different from hospitals, because they are not in territorial logic, they are not in the logic of being able to do more care with the community or that the user is a bit more active in their process</v>
      </c>
      <c r="G168" s="3" t="s">
        <v>378</v>
      </c>
      <c r="H168" s="28">
        <v>0.66299067874491269</v>
      </c>
      <c r="I168" s="3" t="s">
        <v>51</v>
      </c>
      <c r="J168" s="3" t="str">
        <f ca="1">IFERROR(__xludf.DUMMYFUNCTION("GOOGLETRANSLATE(I168,""ES"",""EN"")"),"Negative effect: CSMC financing logics do not stimulate the implementation of the community mental health model.")</f>
        <v>Negative effect: CSMC financing logics do not stimulate the implementation of the community mental health model.</v>
      </c>
      <c r="K168" s="1"/>
      <c r="L168" s="1"/>
      <c r="M168" s="1"/>
      <c r="N168" s="1"/>
      <c r="O168" s="1"/>
      <c r="P168" s="1"/>
      <c r="Q168" s="1"/>
      <c r="R168" s="1"/>
      <c r="S168" s="1"/>
      <c r="T168" s="1"/>
      <c r="U168" s="1"/>
      <c r="V168" s="1"/>
      <c r="W168" s="1"/>
      <c r="X168" s="1"/>
      <c r="Y168" s="1"/>
      <c r="Z168" s="1"/>
    </row>
    <row r="169" spans="1:26" ht="15.75" customHeight="1" x14ac:dyDescent="0.25">
      <c r="A169" s="6" t="s">
        <v>5</v>
      </c>
      <c r="B169" s="3" t="s">
        <v>371</v>
      </c>
      <c r="C169" s="3" t="s">
        <v>379</v>
      </c>
      <c r="D169" s="3" t="str">
        <f ca="1">IFERROR(__xludf.DUMMYFUNCTION("GOOGLETRANSLATE(C169,""ES"",""EN"")"),"FINANCING \ Result \ Coverage Population No GES")</f>
        <v>FINANCING \ Result \ Coverage Population No GES</v>
      </c>
      <c r="E169" s="3" t="s">
        <v>380</v>
      </c>
      <c r="F169" s="3" t="str">
        <f ca="1">IFERROR(__xludf.DUMMYFUNCTION("GOOGLETRANSLATE(E169,""ES"",""EN"")"),"In this case, we cover a population that usually remains on the waiting list, everything that is not regularly disorders that does not enter and these centers can address it and that we have a lot of population.")</f>
        <v>In this case, we cover a population that usually remains on the waiting list, everything that is not regularly disorders that does not enter and these centers can address it and that we have a lot of population.</v>
      </c>
      <c r="G169" s="3" t="s">
        <v>381</v>
      </c>
      <c r="H169" s="28">
        <v>0.76145464093475124</v>
      </c>
      <c r="I169" s="3" t="s">
        <v>213</v>
      </c>
      <c r="J169" s="3" t="str">
        <f ca="1">IFERROR(__xludf.DUMMYFUNCTION("GOOGLETRANSLATE(I169,""ES"",""EN"")"),"Better coverage, closeness and context of attention")</f>
        <v>Better coverage, closeness and context of attention</v>
      </c>
      <c r="K169" s="1"/>
      <c r="L169" s="1"/>
      <c r="M169" s="1"/>
      <c r="N169" s="1"/>
      <c r="O169" s="1"/>
      <c r="P169" s="1"/>
      <c r="Q169" s="1"/>
      <c r="R169" s="1"/>
      <c r="S169" s="1"/>
      <c r="T169" s="1"/>
      <c r="U169" s="1"/>
      <c r="V169" s="1"/>
      <c r="W169" s="1"/>
      <c r="X169" s="1"/>
      <c r="Y169" s="1"/>
      <c r="Z169" s="1"/>
    </row>
    <row r="170" spans="1:26" ht="15.75" customHeight="1" x14ac:dyDescent="0.25">
      <c r="A170" s="6" t="s">
        <v>5</v>
      </c>
      <c r="B170" s="3" t="s">
        <v>371</v>
      </c>
      <c r="C170" s="3" t="s">
        <v>379</v>
      </c>
      <c r="D170" s="3" t="str">
        <f ca="1">IFERROR(__xludf.DUMMYFUNCTION("GOOGLETRANSLATE(C170,""ES"",""EN"")"),"FINANCING \ Result \ Coverage Population No GES")</f>
        <v>FINANCING \ Result \ Coverage Population No GES</v>
      </c>
      <c r="E170" s="3" t="s">
        <v>382</v>
      </c>
      <c r="F170" s="3" t="str">
        <f ca="1">IFERROR(__xludf.DUMMYFUNCTION("GOOGLETRANSLATE(E170,""ES"",""EN"")"),"There is a center that has a population surplus and only no GES.")</f>
        <v>There is a center that has a population surplus and only no GES.</v>
      </c>
      <c r="G170" s="3" t="s">
        <v>383</v>
      </c>
      <c r="H170" s="28">
        <v>0.21005645267165551</v>
      </c>
      <c r="I170" s="3" t="s">
        <v>213</v>
      </c>
      <c r="J170" s="3" t="str">
        <f ca="1">IFERROR(__xludf.DUMMYFUNCTION("GOOGLETRANSLATE(I170,""ES"",""EN"")"),"Better coverage, closeness and context of attention")</f>
        <v>Better coverage, closeness and context of attention</v>
      </c>
      <c r="K170" s="1"/>
      <c r="L170" s="1"/>
      <c r="M170" s="1"/>
      <c r="N170" s="1"/>
      <c r="O170" s="1"/>
      <c r="P170" s="1"/>
      <c r="Q170" s="1"/>
      <c r="R170" s="1"/>
      <c r="S170" s="1"/>
      <c r="T170" s="1"/>
      <c r="U170" s="1"/>
      <c r="V170" s="1"/>
      <c r="W170" s="1"/>
      <c r="X170" s="1"/>
      <c r="Y170" s="1"/>
      <c r="Z170" s="1"/>
    </row>
    <row r="171" spans="1:26" ht="15.75" customHeight="1" x14ac:dyDescent="0.25">
      <c r="A171" s="6" t="s">
        <v>5</v>
      </c>
      <c r="B171" s="3" t="s">
        <v>371</v>
      </c>
      <c r="C171" s="3" t="s">
        <v>379</v>
      </c>
      <c r="D171" s="3" t="str">
        <f ca="1">IFERROR(__xludf.DUMMYFUNCTION("GOOGLETRANSLATE(C171,""ES"",""EN"")"),"FINANCING \ Result \ Coverage Population No GES")</f>
        <v>FINANCING \ Result \ Coverage Population No GES</v>
      </c>
      <c r="E171" s="3" t="s">
        <v>384</v>
      </c>
      <c r="F171" s="3" t="str">
        <f ca="1">IFERROR(__xludf.DUMMYFUNCTION("GOOGLETRANSLATE(E171,""ES"",""EN"")"),"Then we cover a population that might not be covered, which are equally serious cases that a GES EH, but that having the guarantee in between would not be prioritized by what happens in hospitals")</f>
        <v>Then we cover a population that might not be covered, which are equally serious cases that a GES EH, but that having the guarantee in between would not be prioritized by what happens in hospitals</v>
      </c>
      <c r="G171" s="3" t="s">
        <v>209</v>
      </c>
      <c r="H171" s="28">
        <v>0.77458316922672976</v>
      </c>
      <c r="I171" s="3" t="s">
        <v>213</v>
      </c>
      <c r="J171" s="3" t="str">
        <f ca="1">IFERROR(__xludf.DUMMYFUNCTION("GOOGLETRANSLATE(I171,""ES"",""EN"")"),"Better coverage, closeness and context of attention")</f>
        <v>Better coverage, closeness and context of attention</v>
      </c>
      <c r="K171" s="1"/>
      <c r="L171" s="1"/>
      <c r="M171" s="1"/>
      <c r="N171" s="1"/>
      <c r="O171" s="1"/>
      <c r="P171" s="1"/>
      <c r="Q171" s="1"/>
      <c r="R171" s="1"/>
      <c r="S171" s="1"/>
      <c r="T171" s="1"/>
      <c r="U171" s="1"/>
      <c r="V171" s="1"/>
      <c r="W171" s="1"/>
      <c r="X171" s="1"/>
      <c r="Y171" s="1"/>
      <c r="Z171" s="1"/>
    </row>
    <row r="172" spans="1:26" ht="15.75" customHeight="1" x14ac:dyDescent="0.25">
      <c r="A172" s="6" t="s">
        <v>5</v>
      </c>
      <c r="B172" s="3" t="s">
        <v>371</v>
      </c>
      <c r="C172" s="3" t="s">
        <v>385</v>
      </c>
      <c r="D172" s="3" t="str">
        <f ca="1">IFERROR(__xludf.DUMMYFUNCTION("GOOGLETRANSLATE(C172,""ES"",""EN"")"),"FINANCING \ RESULT \ MAIN ACHIEVEMENT OF FINANCING THE CSMC \ IMPROVEMENT COVERAGE WHERE")</f>
        <v>FINANCING \ RESULT \ MAIN ACHIEVEMENT OF FINANCING THE CSMC \ IMPROVEMENT COVERAGE WHERE</v>
      </c>
      <c r="E172" s="3" t="s">
        <v>386</v>
      </c>
      <c r="F172" s="3" t="str">
        <f ca="1">IFERROR(__xludf.DUMMYFUNCTION("GOOGLETRANSLATE(E172,""ES"",""EN"")"),"At the country level I believe that an achievement is, given to this true management model in 2017 2018, the possibility of delivering coverage to regions that did not have a mental health center, were delivered and distributed at the country level, not i"&amp;"n Aysén have specialists such as being able to approach the territory of mental health. I think that is an advance.")</f>
        <v>At the country level I believe that an achievement is, given to this true management model in 2017 2018, the possibility of delivering coverage to regions that did not have a mental health center, were delivered and distributed at the country level, not in Aysén have specialists such as being able to approach the territory of mental health. I think that is an advance.</v>
      </c>
      <c r="G172" s="3" t="s">
        <v>387</v>
      </c>
      <c r="H172" s="28">
        <v>1.1520283576211108</v>
      </c>
      <c r="I172" s="3" t="s">
        <v>213</v>
      </c>
      <c r="J172" s="3" t="str">
        <f ca="1">IFERROR(__xludf.DUMMYFUNCTION("GOOGLETRANSLATE(I172,""ES"",""EN"")"),"Better coverage, closeness and context of attention")</f>
        <v>Better coverage, closeness and context of attention</v>
      </c>
      <c r="K172" s="1"/>
      <c r="L172" s="1"/>
      <c r="M172" s="1"/>
      <c r="N172" s="1"/>
      <c r="O172" s="1"/>
      <c r="P172" s="1"/>
      <c r="Q172" s="1"/>
      <c r="R172" s="1"/>
      <c r="S172" s="1"/>
      <c r="T172" s="1"/>
      <c r="U172" s="1"/>
      <c r="V172" s="1"/>
      <c r="W172" s="1"/>
      <c r="X172" s="1"/>
      <c r="Y172" s="1"/>
      <c r="Z172" s="1"/>
    </row>
    <row r="173" spans="1:26" ht="15.75" customHeight="1" x14ac:dyDescent="0.25">
      <c r="A173" s="6" t="s">
        <v>5</v>
      </c>
      <c r="B173" s="3" t="s">
        <v>371</v>
      </c>
      <c r="C173" s="3" t="s">
        <v>388</v>
      </c>
      <c r="D173" s="3" t="str">
        <f ca="1">IFERROR(__xludf.DUMMYFUNCTION("GOOGLETRANSLATE(C173,""ES"",""EN"")"),"FINANCING \ RESULT \ SYSTEM IS FINISHED")</f>
        <v>FINANCING \ RESULT \ SYSTEM IS FINISHED</v>
      </c>
      <c r="E173" s="3" t="s">
        <v>389</v>
      </c>
      <c r="F173" s="3" t="str">
        <f ca="1">IFERROR(__xludf.DUMMYFUNCTION("GOOGLETRANSLATE(E173,""ES"",""EN"")"),"For example, if they are 150 million to transfer and insufficient to maintain five centers. Although not everyone pays for rent, it is insufficient because already drugs are about 100 million. And there comes all the other items that are maintenance, rent"&amp;" and payment of basic services certain internet and internet and telephony, light, water, gas.")</f>
        <v>For example, if they are 150 million to transfer and insufficient to maintain five centers. Although not everyone pays for rent, it is insufficient because already drugs are about 100 million. And there comes all the other items that are maintenance, rent and payment of basic services certain internet and internet and telephony, light, water, gas.</v>
      </c>
      <c r="G173" s="3" t="s">
        <v>390</v>
      </c>
      <c r="H173" s="28">
        <v>1.1750032821320731</v>
      </c>
      <c r="I173" s="3" t="s">
        <v>65</v>
      </c>
      <c r="J173" s="3" t="str">
        <f ca="1">IFERROR(__xludf.DUMMYFUNCTION("GOOGLETRANSLATE(I173,""ES"",""EN"")"),"Negative effect: actors do not identify a CSMC financing system")</f>
        <v>Negative effect: actors do not identify a CSMC financing system</v>
      </c>
      <c r="K173" s="1"/>
      <c r="L173" s="1"/>
      <c r="M173" s="1"/>
      <c r="N173" s="1"/>
      <c r="O173" s="1"/>
      <c r="P173" s="1"/>
      <c r="Q173" s="1"/>
      <c r="R173" s="1"/>
      <c r="S173" s="1"/>
      <c r="T173" s="1"/>
      <c r="U173" s="1"/>
      <c r="V173" s="1"/>
      <c r="W173" s="1"/>
      <c r="X173" s="1"/>
      <c r="Y173" s="1"/>
      <c r="Z173" s="1"/>
    </row>
    <row r="174" spans="1:26" ht="15.75" customHeight="1" x14ac:dyDescent="0.25">
      <c r="A174" s="6" t="s">
        <v>5</v>
      </c>
      <c r="B174" s="3" t="s">
        <v>371</v>
      </c>
      <c r="C174" s="3" t="s">
        <v>388</v>
      </c>
      <c r="D174" s="3" t="str">
        <f ca="1">IFERROR(__xludf.DUMMYFUNCTION("GOOGLETRANSLATE(C174,""ES"",""EN"")"),"FINANCING \ RESULT \ SYSTEM IS FINISHED")</f>
        <v>FINANCING \ RESULT \ SYSTEM IS FINISHED</v>
      </c>
      <c r="E174" s="3" t="s">
        <v>391</v>
      </c>
      <c r="F174" s="3" t="str">
        <f ca="1">IFERROR(__xludf.DUMMYFUNCTION("GOOGLETRANSLATE(E174,""ES"",""EN"")"),"And I understand that the rest of the financing takes over the service as part of its institutional budget.")</f>
        <v>And I understand that the rest of the financing takes over the service as part of its institutional budget.</v>
      </c>
      <c r="G174" s="3" t="s">
        <v>392</v>
      </c>
      <c r="H174" s="28">
        <v>0.36759879217539715</v>
      </c>
      <c r="I174" s="3" t="s">
        <v>65</v>
      </c>
      <c r="J174" s="3" t="str">
        <f ca="1">IFERROR(__xludf.DUMMYFUNCTION("GOOGLETRANSLATE(I174,""ES"",""EN"")"),"Negative effect: actors do not identify a CSMC financing system")</f>
        <v>Negative effect: actors do not identify a CSMC financing system</v>
      </c>
      <c r="K174" s="1"/>
      <c r="L174" s="1"/>
      <c r="M174" s="1"/>
      <c r="N174" s="1"/>
      <c r="O174" s="1"/>
      <c r="P174" s="1"/>
      <c r="Q174" s="1"/>
      <c r="R174" s="1"/>
      <c r="S174" s="1"/>
      <c r="T174" s="1"/>
      <c r="U174" s="1"/>
      <c r="V174" s="1"/>
      <c r="W174" s="1"/>
      <c r="X174" s="1"/>
      <c r="Y174" s="1"/>
      <c r="Z174" s="1"/>
    </row>
    <row r="175" spans="1:26" ht="15.75" customHeight="1" x14ac:dyDescent="0.25">
      <c r="A175" s="12" t="s">
        <v>5</v>
      </c>
      <c r="B175" s="3" t="s">
        <v>371</v>
      </c>
      <c r="C175" s="3" t="s">
        <v>88</v>
      </c>
      <c r="D175" s="3" t="str">
        <f ca="1">IFERROR(__xludf.DUMMYFUNCTION("GOOGLETRANSLATE(C175,""ES"",""EN"")"),"Governance \ Result \ Non -Successful Installation of CSMC")</f>
        <v>Governance \ Result \ Non -Successful Installation of CSMC</v>
      </c>
      <c r="E175" s="3" t="s">
        <v>393</v>
      </c>
      <c r="F175" s="3" t="str">
        <f ca="1">IFERROR(__xludf.DUMMYFUNCTION("GOOGLETRANSLATE(E175,""ES"",""EN"")"),"The first as a disadvantage that we here are not as described by the model. We only have coordinators, therefore we have neither direction or sub -directions. Already the management model for the centers proposes to have a subdirection that see administra"&amp;"tive resources.")</f>
        <v>The first as a disadvantage that we here are not as described by the model. We only have coordinators, therefore we have neither direction or sub -directions. Already the management model for the centers proposes to have a subdirection that see administrative resources.</v>
      </c>
      <c r="G175" s="3" t="s">
        <v>394</v>
      </c>
      <c r="H175" s="28">
        <v>1.0076145464093476</v>
      </c>
      <c r="I175" s="3" t="s">
        <v>90</v>
      </c>
      <c r="J175" s="3" t="str">
        <f ca="1">IFERROR(__xludf.DUMMYFUNCTION("GOOGLETRANSLATE(I175,""ES"",""EN"")"),"Negative effect: questioning of the installation of the CSMC model")</f>
        <v>Negative effect: questioning of the installation of the CSMC model</v>
      </c>
      <c r="K175" s="1"/>
      <c r="L175" s="1"/>
      <c r="M175" s="1"/>
      <c r="N175" s="1"/>
      <c r="O175" s="1"/>
      <c r="P175" s="1"/>
      <c r="Q175" s="1"/>
      <c r="R175" s="1"/>
      <c r="S175" s="1"/>
      <c r="T175" s="1"/>
      <c r="U175" s="1"/>
      <c r="V175" s="1"/>
      <c r="W175" s="1"/>
      <c r="X175" s="1"/>
      <c r="Y175" s="1"/>
      <c r="Z175" s="1"/>
    </row>
    <row r="176" spans="1:26" ht="15.75" customHeight="1" x14ac:dyDescent="0.25">
      <c r="A176" s="6" t="s">
        <v>5</v>
      </c>
      <c r="B176" s="3" t="s">
        <v>371</v>
      </c>
      <c r="C176" s="3" t="s">
        <v>395</v>
      </c>
      <c r="D176" s="3" t="str">
        <f ca="1">IFERROR(__xludf.DUMMYFUNCTION("GOOGLETRANSLATE(C176,""ES"",""EN"")"),"FINANCING \ Result \ Difficulty / complexity for spending \ understanding of the type of expense")</f>
        <v>FINANCING \ Result \ Difficulty / complexity for spending \ understanding of the type of expense</v>
      </c>
      <c r="E176" s="3" t="s">
        <v>396</v>
      </c>
      <c r="F176" s="3" t="str">
        <f ca="1">IFERROR(__xludf.DUMMYFUNCTION("GOOGLETRANSLATE(E176,""ES"",""EN"")"),"There is another difficulty, for example, I do not know if at the country level they do it, but for example, that the centers do not have a small box does not allow for example, if you see a serious transport of transport, mobilization, access, you do not"&amp;" You can ask or manage some support for the transfer")</f>
        <v>There is another difficulty, for example, I do not know if at the country level they do it, but for example, that the centers do not have a small box does not allow for example, if you see a serious transport of transport, mobilization, access, you do not You can ask or manage some support for the transfer</v>
      </c>
      <c r="G176" s="3" t="s">
        <v>397</v>
      </c>
      <c r="H176" s="28">
        <v>0.91899698043849276</v>
      </c>
      <c r="I176" s="3" t="s">
        <v>15</v>
      </c>
      <c r="J176" s="3" t="str">
        <f ca="1">IFERROR(__xludf.DUMMYFUNCTION("GOOGLETRANSLATE(I176,""ES"",""EN"")"),"Negative effect: financing mechanisms end up generating problems to CSMC.")</f>
        <v>Negative effect: financing mechanisms end up generating problems to CSMC.</v>
      </c>
      <c r="K176" s="1"/>
      <c r="L176" s="1"/>
      <c r="M176" s="1"/>
      <c r="N176" s="1"/>
      <c r="O176" s="1"/>
      <c r="P176" s="1"/>
      <c r="Q176" s="1"/>
      <c r="R176" s="1"/>
      <c r="S176" s="1"/>
      <c r="T176" s="1"/>
      <c r="U176" s="1"/>
      <c r="V176" s="1"/>
      <c r="W176" s="1"/>
      <c r="X176" s="1"/>
      <c r="Y176" s="1"/>
      <c r="Z176" s="1"/>
    </row>
    <row r="177" spans="1:26" ht="15.75" customHeight="1" x14ac:dyDescent="0.25">
      <c r="A177" s="6" t="s">
        <v>5</v>
      </c>
      <c r="B177" s="3" t="s">
        <v>371</v>
      </c>
      <c r="C177" s="3" t="s">
        <v>395</v>
      </c>
      <c r="D177" s="3" t="str">
        <f ca="1">IFERROR(__xludf.DUMMYFUNCTION("GOOGLETRANSLATE(C177,""ES"",""EN"")"),"FINANCING \ Result \ Difficulty / complexity for spending \ understanding of the type of expense")</f>
        <v>FINANCING \ Result \ Difficulty / complexity for spending \ understanding of the type of expense</v>
      </c>
      <c r="E177" s="3" t="s">
        <v>398</v>
      </c>
      <c r="F177" s="3" t="str">
        <f ca="1">IFERROR(__xludf.DUMMYFUNCTION("GOOGLETRANSLATE(E177,""ES"",""EN"")"),"I believe that that also influences the adhesion of some users to access some centers, the economic system of users and we have no chance of returning or facilitating access. I think that is a point.")</f>
        <v>I believe that that also influences the adhesion of some users to access some centers, the economic system of users and we have no chance of returning or facilitating access. I think that is a point.</v>
      </c>
      <c r="G177" s="3" t="s">
        <v>399</v>
      </c>
      <c r="H177" s="28">
        <v>0.76801890508074044</v>
      </c>
      <c r="I177" s="3" t="s">
        <v>15</v>
      </c>
      <c r="J177" s="3" t="str">
        <f ca="1">IFERROR(__xludf.DUMMYFUNCTION("GOOGLETRANSLATE(I177,""ES"",""EN"")"),"Negative effect: financing mechanisms end up generating problems to CSMC.")</f>
        <v>Negative effect: financing mechanisms end up generating problems to CSMC.</v>
      </c>
      <c r="K177" s="1"/>
      <c r="L177" s="1"/>
      <c r="M177" s="1"/>
      <c r="N177" s="1"/>
      <c r="O177" s="1"/>
      <c r="P177" s="1"/>
      <c r="Q177" s="1"/>
      <c r="R177" s="1"/>
      <c r="S177" s="1"/>
      <c r="T177" s="1"/>
      <c r="U177" s="1"/>
      <c r="V177" s="1"/>
      <c r="W177" s="1"/>
      <c r="X177" s="1"/>
      <c r="Y177" s="1"/>
      <c r="Z177" s="1"/>
    </row>
    <row r="178" spans="1:26" ht="15.75" customHeight="1" x14ac:dyDescent="0.25">
      <c r="A178" s="6" t="s">
        <v>5</v>
      </c>
      <c r="B178" s="3" t="s">
        <v>371</v>
      </c>
      <c r="C178" s="3" t="s">
        <v>395</v>
      </c>
      <c r="D178" s="3" t="str">
        <f ca="1">IFERROR(__xludf.DUMMYFUNCTION("GOOGLETRANSLATE(C178,""ES"",""EN"")"),"FINANCING \ Result \ Difficulty / complexity for spending \ understanding of the type of expense")</f>
        <v>FINANCING \ Result \ Difficulty / complexity for spending \ understanding of the type of expense</v>
      </c>
      <c r="E178" s="3" t="s">
        <v>400</v>
      </c>
      <c r="F178" s="3" t="str">
        <f ca="1">IFERROR(__xludf.DUMMYFUNCTION("GOOGLETRANSLATE(E178,""ES"",""EN"")"),"For example, if you compare it with a path, when you have the possibility of making cash and paying tickets, or what do I know, the users improve adherence because they have support to access. This does not happen, but people go and access their own means"&amp;". What many times impacts is also the loss of hours of attention.")</f>
        <v>For example, if you compare it with a path, when you have the possibility of making cash and paying tickets, or what do I know, the users improve adherence because they have support to access. This does not happen, but people go and access their own means. What many times impacts is also the loss of hours of attention.</v>
      </c>
      <c r="G178" s="3" t="s">
        <v>401</v>
      </c>
      <c r="H178" s="28">
        <v>1.1421819614021267</v>
      </c>
      <c r="I178" s="3" t="s">
        <v>15</v>
      </c>
      <c r="J178" s="3" t="str">
        <f ca="1">IFERROR(__xludf.DUMMYFUNCTION("GOOGLETRANSLATE(I178,""ES"",""EN"")"),"Negative effect: financing mechanisms end up generating problems to CSMC.")</f>
        <v>Negative effect: financing mechanisms end up generating problems to CSMC.</v>
      </c>
      <c r="K178" s="1"/>
      <c r="L178" s="1"/>
      <c r="M178" s="1"/>
      <c r="N178" s="1"/>
      <c r="O178" s="1"/>
      <c r="P178" s="1"/>
      <c r="Q178" s="1"/>
      <c r="R178" s="1"/>
      <c r="S178" s="1"/>
      <c r="T178" s="1"/>
      <c r="U178" s="1"/>
      <c r="V178" s="1"/>
      <c r="W178" s="1"/>
      <c r="X178" s="1"/>
      <c r="Y178" s="1"/>
      <c r="Z178" s="1"/>
    </row>
    <row r="179" spans="1:26" ht="15.75" customHeight="1" x14ac:dyDescent="0.25">
      <c r="A179" s="2" t="s">
        <v>5</v>
      </c>
      <c r="B179" s="3" t="s">
        <v>371</v>
      </c>
      <c r="C179" s="3" t="s">
        <v>66</v>
      </c>
      <c r="D179" s="3" t="str">
        <f ca="1">IFERROR(__xludf.DUMMYFUNCTION("GOOGLETRANSLATE(C179,""ES"",""EN"")"),"HUMAN RESOURCES \ Result \ resignation of experienced professionals")</f>
        <v>HUMAN RESOURCES \ Result \ resignation of experienced professionals</v>
      </c>
      <c r="E179" s="3" t="s">
        <v>402</v>
      </c>
      <c r="F179" s="3" t="str">
        <f ca="1">IFERROR(__xludf.DUMMYFUNCTION("GOOGLETRANSLATE(E179,""ES"",""EN"")"),"The problem of here is that the degrees for the specialty is the difficulty. The service has it defined that the centers work in degrees 15 and that impacts more than on the financing, because the financing comes for a better degree or at least the latest"&amp;" in the internal transformation that is done here of the resource and makes professionals They rotate more often. They are in a cycle of two or three years, four years maximum and then decide to look for other job expectations with better income. I think "&amp;"that influences us a lot.")</f>
        <v>The problem of here is that the degrees for the specialty is the difficulty. The service has it defined that the centers work in degrees 15 and that impacts more than on the financing, because the financing comes for a better degree or at least the latest in the internal transformation that is done here of the resource and makes professionals They rotate more often. They are in a cycle of two or three years, four years maximum and then decide to look for other job expectations with better income. I think that influences us a lot.</v>
      </c>
      <c r="G179" s="3" t="s">
        <v>403</v>
      </c>
      <c r="H179" s="28">
        <v>1.8084547722200341</v>
      </c>
      <c r="I179" s="3" t="s">
        <v>21</v>
      </c>
      <c r="J179" s="3" t="str">
        <f ca="1">IFERROR(__xludf.DUMMYFUNCTION("GOOGLETRANSLATE(I179,""ES"",""EN"")"),"Negative effects: high rotation of professionals")</f>
        <v>Negative effects: high rotation of professionals</v>
      </c>
      <c r="K179" s="1"/>
      <c r="L179" s="1"/>
      <c r="M179" s="1"/>
      <c r="N179" s="1"/>
      <c r="O179" s="1"/>
      <c r="P179" s="1"/>
      <c r="Q179" s="1"/>
      <c r="R179" s="1"/>
      <c r="S179" s="1"/>
      <c r="T179" s="1"/>
      <c r="U179" s="1"/>
      <c r="V179" s="1"/>
      <c r="W179" s="1"/>
      <c r="X179" s="1"/>
      <c r="Y179" s="1"/>
      <c r="Z179" s="1"/>
    </row>
    <row r="180" spans="1:26" ht="15.75" customHeight="1" x14ac:dyDescent="0.25">
      <c r="A180" s="6" t="s">
        <v>5</v>
      </c>
      <c r="B180" s="3" t="s">
        <v>371</v>
      </c>
      <c r="C180" s="3" t="s">
        <v>388</v>
      </c>
      <c r="D180" s="3" t="str">
        <f ca="1">IFERROR(__xludf.DUMMYFUNCTION("GOOGLETRANSLATE(C180,""ES"",""EN"")"),"FINANCING \ RESULT \ SYSTEM IS FINISHED")</f>
        <v>FINANCING \ RESULT \ SYSTEM IS FINISHED</v>
      </c>
      <c r="E180" s="3" t="s">
        <v>404</v>
      </c>
      <c r="F180" s="3" t="str">
        <f ca="1">IFERROR(__xludf.DUMMYFUNCTION("GOOGLETRANSLATE(E180,""ES"",""EN"")"),"Here the centers lose the same because we cannot advance and minimal improvements that cannot be completed. It is complicated, for example, to look for a new rental because? Because the leases go up, they are appraised to a certain UF, so the value is ext"&amp;"remely expensive")</f>
        <v>Here the centers lose the same because we cannot advance and minimal improvements that cannot be completed. It is complicated, for example, to look for a new rental because? Because the leases go up, they are appraised to a certain UF, so the value is extremely expensive</v>
      </c>
      <c r="G180" s="3" t="s">
        <v>405</v>
      </c>
      <c r="H180" s="28">
        <v>0.84350794275961671</v>
      </c>
      <c r="I180" s="3" t="s">
        <v>65</v>
      </c>
      <c r="J180" s="3" t="str">
        <f ca="1">IFERROR(__xludf.DUMMYFUNCTION("GOOGLETRANSLATE(I180,""ES"",""EN"")"),"Negative effect: actors do not identify a CSMC financing system")</f>
        <v>Negative effect: actors do not identify a CSMC financing system</v>
      </c>
      <c r="K180" s="1"/>
      <c r="L180" s="1"/>
      <c r="M180" s="1"/>
      <c r="N180" s="1"/>
      <c r="O180" s="1"/>
      <c r="P180" s="1"/>
      <c r="Q180" s="1"/>
      <c r="R180" s="1"/>
      <c r="S180" s="1"/>
      <c r="T180" s="1"/>
      <c r="U180" s="1"/>
      <c r="V180" s="1"/>
      <c r="W180" s="1"/>
      <c r="X180" s="1"/>
      <c r="Y180" s="1"/>
      <c r="Z180" s="1"/>
    </row>
    <row r="181" spans="1:26" ht="15.75" customHeight="1" x14ac:dyDescent="0.25">
      <c r="A181" s="6" t="s">
        <v>5</v>
      </c>
      <c r="B181" s="3" t="s">
        <v>371</v>
      </c>
      <c r="C181" s="3" t="s">
        <v>388</v>
      </c>
      <c r="D181" s="3" t="str">
        <f ca="1">IFERROR(__xludf.DUMMYFUNCTION("GOOGLETRANSLATE(C181,""ES"",""EN"")"),"FINANCING \ RESULT \ SYSTEM IS FINISHED")</f>
        <v>FINANCING \ RESULT \ SYSTEM IS FINISHED</v>
      </c>
      <c r="E181" s="3" t="s">
        <v>406</v>
      </c>
      <c r="F181" s="3" t="str">
        <f ca="1">IFERROR(__xludf.DUMMYFUNCTION("GOOGLETRANSLATE(E181,""ES"",""EN"")"),"Then I think the official loses and also loses the user, since if we cannot offer a certain place with all the optimal conditions as I am thinking, such as the simile of a new Cesfam, indeed, users still have a loss, then. A loss if there are inappropriat"&amp;"e accesses, users do not adhere, officials also get tired and run out and bore if the conditions are not the most optimal or the minimum according to their criteria.")</f>
        <v>Then I think the official loses and also loses the user, since if we cannot offer a certain place with all the optimal conditions as I am thinking, such as the simile of a new Cesfam, indeed, users still have a loss, then. A loss if there are inappropriate accesses, users do not adhere, officials also get tired and run out and bore if the conditions are not the most optimal or the minimum according to their criteria.</v>
      </c>
      <c r="G181" s="3" t="s">
        <v>407</v>
      </c>
      <c r="H181" s="28">
        <v>1.5590127346724432</v>
      </c>
      <c r="I181" s="3" t="s">
        <v>65</v>
      </c>
      <c r="J181" s="3" t="str">
        <f ca="1">IFERROR(__xludf.DUMMYFUNCTION("GOOGLETRANSLATE(I181,""ES"",""EN"")"),"Negative effect: actors do not identify a CSMC financing system")</f>
        <v>Negative effect: actors do not identify a CSMC financing system</v>
      </c>
      <c r="K181" s="1"/>
      <c r="L181" s="1"/>
      <c r="M181" s="1"/>
      <c r="N181" s="1"/>
      <c r="O181" s="1"/>
      <c r="P181" s="1"/>
      <c r="Q181" s="1"/>
      <c r="R181" s="1"/>
      <c r="S181" s="1"/>
      <c r="T181" s="1"/>
      <c r="U181" s="1"/>
      <c r="V181" s="1"/>
      <c r="W181" s="1"/>
      <c r="X181" s="1"/>
      <c r="Y181" s="1"/>
      <c r="Z181" s="1"/>
    </row>
    <row r="182" spans="1:26" ht="15.75" customHeight="1" x14ac:dyDescent="0.25">
      <c r="A182" s="2" t="s">
        <v>5</v>
      </c>
      <c r="B182" s="3" t="s">
        <v>371</v>
      </c>
      <c r="C182" s="3" t="s">
        <v>66</v>
      </c>
      <c r="D182" s="3" t="str">
        <f ca="1">IFERROR(__xludf.DUMMYFUNCTION("GOOGLETRANSLATE(C182,""ES"",""EN"")"),"HUMAN RESOURCES \ Result \ resignation of experienced professionals")</f>
        <v>HUMAN RESOURCES \ Result \ resignation of experienced professionals</v>
      </c>
      <c r="E182" s="3" t="s">
        <v>408</v>
      </c>
      <c r="F182" s="3" t="str">
        <f ca="1">IFERROR(__xludf.DUMMYFUNCTION("GOOGLETRANSLATE(E182,""ES"",""EN"")"),"The conditions of salaries do not finally vary the same we lose people who are forming with experience that goes. Then finally they lose, we all lose a little, so to speak. The loss is for everyone.")</f>
        <v>The conditions of salaries do not finally vary the same we lose people who are forming with experience that goes. Then finally they lose, we all lose a little, so to speak. The loss is for everyone.</v>
      </c>
      <c r="G182" s="3" t="s">
        <v>346</v>
      </c>
      <c r="H182" s="28">
        <v>0.72206905605881588</v>
      </c>
      <c r="I182" s="3" t="s">
        <v>21</v>
      </c>
      <c r="J182" s="3" t="str">
        <f ca="1">IFERROR(__xludf.DUMMYFUNCTION("GOOGLETRANSLATE(I182,""ES"",""EN"")"),"Negative effects: high rotation of professionals")</f>
        <v>Negative effects: high rotation of professionals</v>
      </c>
      <c r="K182" s="1"/>
      <c r="L182" s="1"/>
      <c r="M182" s="1"/>
      <c r="N182" s="1"/>
      <c r="O182" s="1"/>
      <c r="P182" s="1"/>
      <c r="Q182" s="1"/>
      <c r="R182" s="1"/>
      <c r="S182" s="1"/>
      <c r="T182" s="1"/>
      <c r="U182" s="1"/>
      <c r="V182" s="1"/>
      <c r="W182" s="1"/>
      <c r="X182" s="1"/>
      <c r="Y182" s="1"/>
      <c r="Z182" s="1"/>
    </row>
    <row r="183" spans="1:26" ht="15.75" customHeight="1" x14ac:dyDescent="0.25">
      <c r="A183" s="6" t="s">
        <v>5</v>
      </c>
      <c r="B183" s="3" t="s">
        <v>371</v>
      </c>
      <c r="C183" s="3" t="s">
        <v>330</v>
      </c>
      <c r="D183" s="3" t="str">
        <f ca="1">IFERROR(__xludf.DUMMYFUNCTION("GOOGLETRANSLATE(C183,""ES"",""EN"")"),"FINANCING \ Result \ Dissimile implementation of CSMC")</f>
        <v>FINANCING \ Result \ Dissimile implementation of CSMC</v>
      </c>
      <c r="E183" s="3" t="s">
        <v>409</v>
      </c>
      <c r="F183" s="3" t="str">
        <f ca="1">IFERROR(__xludf.DUMMYFUNCTION("GOOGLETRANSLATE(E183,""ES"",""EN"")"),"Because a center one needs the human resource, another need the attention rooms, the group rooms, true, that the access is located in a good place so that people can access true, with the locomotion according to and not have to spend two or three passages"&amp;" that in some places within the same city happens to us")</f>
        <v>Because a center one needs the human resource, another need the attention rooms, the group rooms, true, that the access is located in a good place so that people can access true, with the locomotion according to and not have to spend two or three passages that in some places within the same city happens to us</v>
      </c>
      <c r="G183" s="3" t="s">
        <v>156</v>
      </c>
      <c r="H183" s="28">
        <v>1.063410791650256</v>
      </c>
      <c r="I183" s="3" t="s">
        <v>51</v>
      </c>
      <c r="J183" s="3" t="str">
        <f ca="1">IFERROR(__xludf.DUMMYFUNCTION("GOOGLETRANSLATE(I183,""ES"",""EN"")"),"Negative effect: CSMC financing logics do not stimulate the implementation of the community mental health model.")</f>
        <v>Negative effect: CSMC financing logics do not stimulate the implementation of the community mental health model.</v>
      </c>
      <c r="K183" s="1"/>
      <c r="L183" s="1"/>
      <c r="M183" s="1"/>
      <c r="N183" s="1"/>
      <c r="O183" s="1"/>
      <c r="P183" s="1"/>
      <c r="Q183" s="1"/>
      <c r="R183" s="1"/>
      <c r="S183" s="1"/>
      <c r="T183" s="1"/>
      <c r="U183" s="1"/>
      <c r="V183" s="1"/>
      <c r="W183" s="1"/>
      <c r="X183" s="1"/>
      <c r="Y183" s="1"/>
      <c r="Z183" s="1"/>
    </row>
    <row r="184" spans="1:26" ht="15.75" customHeight="1" x14ac:dyDescent="0.25">
      <c r="A184" s="6" t="s">
        <v>5</v>
      </c>
      <c r="B184" s="3" t="s">
        <v>410</v>
      </c>
      <c r="C184" s="3" t="s">
        <v>385</v>
      </c>
      <c r="D184" s="3" t="str">
        <f ca="1">IFERROR(__xludf.DUMMYFUNCTION("GOOGLETRANSLATE(C184,""ES"",""EN"")"),"FINANCING \ RESULT \ MAIN ACHIEVEMENT OF FINANCING THE CSMC \ IMPROVEMENT COVERAGE WHERE")</f>
        <v>FINANCING \ RESULT \ MAIN ACHIEVEMENT OF FINANCING THE CSMC \ IMPROVEMENT COVERAGE WHERE</v>
      </c>
      <c r="E184" s="3" t="s">
        <v>411</v>
      </c>
      <c r="F184" s="3" t="str">
        <f ca="1">IFERROR(__xludf.DUMMYFUNCTION("GOOGLETRANSLATE(E184,""ES"",""EN"")"),"The main achievements of what one could observe has to do with an increase in coverage of attention to the population, that is, to the extent that attention is decentralized and approaches, say, to a place of origin of people.")</f>
        <v>The main achievements of what one could observe has to do with an increase in coverage of attention to the population, that is, to the extent that attention is decentralized and approaches, say, to a place of origin of people.</v>
      </c>
      <c r="G184" s="3" t="s">
        <v>381</v>
      </c>
      <c r="H184" s="28">
        <v>1.0527271077230238</v>
      </c>
      <c r="I184" s="3" t="s">
        <v>213</v>
      </c>
      <c r="J184" s="3" t="str">
        <f ca="1">IFERROR(__xludf.DUMMYFUNCTION("GOOGLETRANSLATE(I184,""ES"",""EN"")"),"Better coverage, closeness and context of attention")</f>
        <v>Better coverage, closeness and context of attention</v>
      </c>
      <c r="K184" s="1"/>
      <c r="L184" s="1"/>
      <c r="M184" s="1"/>
      <c r="N184" s="1"/>
      <c r="O184" s="1"/>
      <c r="P184" s="1"/>
      <c r="Q184" s="1"/>
      <c r="R184" s="1"/>
      <c r="S184" s="1"/>
      <c r="T184" s="1"/>
      <c r="U184" s="1"/>
      <c r="V184" s="1"/>
      <c r="W184" s="1"/>
      <c r="X184" s="1"/>
      <c r="Y184" s="1"/>
      <c r="Z184" s="1"/>
    </row>
    <row r="185" spans="1:26" ht="15.75" customHeight="1" x14ac:dyDescent="0.25">
      <c r="A185" s="6" t="s">
        <v>5</v>
      </c>
      <c r="B185" s="3" t="s">
        <v>410</v>
      </c>
      <c r="C185" s="3" t="s">
        <v>385</v>
      </c>
      <c r="D185" s="3" t="str">
        <f ca="1">IFERROR(__xludf.DUMMYFUNCTION("GOOGLETRANSLATE(C185,""ES"",""EN"")"),"FINANCING \ RESULT \ MAIN ACHIEVEMENT OF FINANCING THE CSMC \ IMPROVEMENT COVERAGE WHERE")</f>
        <v>FINANCING \ RESULT \ MAIN ACHIEVEMENT OF FINANCING THE CSMC \ IMPROVEMENT COVERAGE WHERE</v>
      </c>
      <c r="E185" s="3" t="s">
        <v>412</v>
      </c>
      <c r="F185" s="3" t="str">
        <f ca="1">IFERROR(__xludf.DUMMYFUNCTION("GOOGLETRANSLATE(E185,""ES"",""EN"")"),"One observes very strongly that an increase in coverage is generated, that is, it greatly improves access.")</f>
        <v>One observes very strongly that an increase in coverage is generated, that is, it greatly improves access.</v>
      </c>
      <c r="G185" s="3" t="s">
        <v>413</v>
      </c>
      <c r="H185" s="28">
        <v>0.45829930120700607</v>
      </c>
      <c r="I185" s="3" t="s">
        <v>213</v>
      </c>
      <c r="J185" s="3" t="str">
        <f ca="1">IFERROR(__xludf.DUMMYFUNCTION("GOOGLETRANSLATE(I185,""ES"",""EN"")"),"Better coverage, closeness and context of attention")</f>
        <v>Better coverage, closeness and context of attention</v>
      </c>
      <c r="K185" s="1"/>
      <c r="L185" s="1"/>
      <c r="M185" s="1"/>
      <c r="N185" s="1"/>
      <c r="O185" s="1"/>
      <c r="P185" s="1"/>
      <c r="Q185" s="1"/>
      <c r="R185" s="1"/>
      <c r="S185" s="1"/>
      <c r="T185" s="1"/>
      <c r="U185" s="1"/>
      <c r="V185" s="1"/>
      <c r="W185" s="1"/>
      <c r="X185" s="1"/>
      <c r="Y185" s="1"/>
      <c r="Z185" s="1"/>
    </row>
    <row r="186" spans="1:26" ht="15.75" customHeight="1" x14ac:dyDescent="0.25">
      <c r="A186" s="6" t="s">
        <v>5</v>
      </c>
      <c r="B186" s="3" t="s">
        <v>410</v>
      </c>
      <c r="C186" s="3" t="s">
        <v>414</v>
      </c>
      <c r="D186" s="3" t="str">
        <f ca="1">IFERROR(__xludf.DUMMYFUNCTION("GOOGLETRANSLATE(C186,""ES"",""EN"")"),"FINANCING \ Result \ main achievement of financing the CSMC \ Secondary care with greater care strategies")</f>
        <v>FINANCING \ Result \ main achievement of financing the CSMC \ Secondary care with greater care strategies</v>
      </c>
      <c r="E186" s="3" t="s">
        <v>415</v>
      </c>
      <c r="F186" s="3" t="str">
        <f ca="1">IFERROR(__xludf.DUMMYFUNCTION("GOOGLETRANSLATE(E186,""ES"",""EN"")"),"I believe that also, although not necessarily with respect to as in addition to integrality or a more care offer with more strategies, although one can see that equal ambulatory attention located in hospitals has improved in that. That is, not only the Co"&amp;"sam, but hey, the things look much more inherent since the origin. That. It is done much more as natural.")</f>
        <v>I believe that also, although not necessarily with respect to as in addition to integrality or a more care offer with more strategies, although one can see that equal ambulatory attention located in hospitals has improved in that. That is, not only the Cosam, but hey, the things look much more inherent since the origin. That. It is done much more as natural.</v>
      </c>
      <c r="G186" s="3" t="s">
        <v>251</v>
      </c>
      <c r="H186" s="28">
        <v>1.8014338869225883</v>
      </c>
      <c r="I186" s="3" t="s">
        <v>228</v>
      </c>
      <c r="J186" s="3" t="str">
        <f ca="1">IFERROR(__xludf.DUMMYFUNCTION("GOOGLETRANSLATE(I186,""ES"",""EN"")"),"Clinical achievements")</f>
        <v>Clinical achievements</v>
      </c>
      <c r="K186" s="1"/>
      <c r="L186" s="1"/>
      <c r="M186" s="1"/>
      <c r="N186" s="1"/>
      <c r="O186" s="1"/>
      <c r="P186" s="1"/>
      <c r="Q186" s="1"/>
      <c r="R186" s="1"/>
      <c r="S186" s="1"/>
      <c r="T186" s="1"/>
      <c r="U186" s="1"/>
      <c r="V186" s="1"/>
      <c r="W186" s="1"/>
      <c r="X186" s="1"/>
      <c r="Y186" s="1"/>
      <c r="Z186" s="1"/>
    </row>
    <row r="187" spans="1:26" ht="15.75" customHeight="1" x14ac:dyDescent="0.25">
      <c r="A187" s="6" t="s">
        <v>5</v>
      </c>
      <c r="B187" s="3" t="s">
        <v>410</v>
      </c>
      <c r="C187" s="3" t="s">
        <v>62</v>
      </c>
      <c r="D187" s="3" t="str">
        <f ca="1">IFERROR(__xludf.DUMMYFUNCTION("GOOGLETRANSLATE(C187,""ES"",""EN"")"),"FINANCING \ RESULT \ BUDGET A CSMC WITHOUT INCREASE")</f>
        <v>FINANCING \ RESULT \ BUDGET A CSMC WITHOUT INCREASE</v>
      </c>
      <c r="E187" s="3" t="s">
        <v>416</v>
      </c>
      <c r="F187" s="3" t="str">
        <f ca="1">IFERROR(__xludf.DUMMYFUNCTION("GOOGLETRANSLATE(E187,""ES"",""EN"")"),"It is the health and budget service is how it is defined, how much resource it is possible to associate with these agreements. Now, I would say that during the last three or four years the budget has remained without any increase.")</f>
        <v>It is the health and budget service is how it is defined, how much resource it is possible to associate with these agreements. Now, I would say that during the last three or four years the budget has remained without any increase.</v>
      </c>
      <c r="G187" s="3" t="s">
        <v>417</v>
      </c>
      <c r="H187" s="28">
        <v>1.1525546782829659</v>
      </c>
      <c r="I187" s="3" t="s">
        <v>65</v>
      </c>
      <c r="J187" s="3" t="str">
        <f ca="1">IFERROR(__xludf.DUMMYFUNCTION("GOOGLETRANSLATE(I187,""ES"",""EN"")"),"Negative effect: actors do not identify a CSMC financing system")</f>
        <v>Negative effect: actors do not identify a CSMC financing system</v>
      </c>
      <c r="K187" s="1"/>
      <c r="L187" s="1"/>
      <c r="M187" s="1"/>
      <c r="N187" s="1"/>
      <c r="O187" s="1"/>
      <c r="P187" s="1"/>
      <c r="Q187" s="1"/>
      <c r="R187" s="1"/>
      <c r="S187" s="1"/>
      <c r="T187" s="1"/>
      <c r="U187" s="1"/>
      <c r="V187" s="1"/>
      <c r="W187" s="1"/>
      <c r="X187" s="1"/>
      <c r="Y187" s="1"/>
      <c r="Z187" s="1"/>
    </row>
    <row r="188" spans="1:26" ht="15.75" customHeight="1" x14ac:dyDescent="0.25">
      <c r="A188" s="6" t="s">
        <v>5</v>
      </c>
      <c r="B188" s="3" t="s">
        <v>410</v>
      </c>
      <c r="C188" s="3" t="s">
        <v>62</v>
      </c>
      <c r="D188" s="3" t="str">
        <f ca="1">IFERROR(__xludf.DUMMYFUNCTION("GOOGLETRANSLATE(C188,""ES"",""EN"")"),"FINANCING \ RESULT \ BUDGET A CSMC WITHOUT INCREASE")</f>
        <v>FINANCING \ RESULT \ BUDGET A CSMC WITHOUT INCREASE</v>
      </c>
      <c r="E188" s="3" t="s">
        <v>418</v>
      </c>
      <c r="F188" s="3" t="str">
        <f ca="1">IFERROR(__xludf.DUMMYFUNCTION("GOOGLETRANSLATE(E188,""ES"",""EN"")"),"And well, and at other times we as we had some greater possibility of negotiating within the service, increasing this budget. But that does not happen for a while.")</f>
        <v>And well, and at other times we as we had some greater possibility of negotiating within the service, increasing this budget. But that does not happen for a while.</v>
      </c>
      <c r="G188" s="3" t="s">
        <v>258</v>
      </c>
      <c r="H188" s="28">
        <v>0.83945911607223889</v>
      </c>
      <c r="I188" s="3" t="s">
        <v>65</v>
      </c>
      <c r="J188" s="3" t="str">
        <f ca="1">IFERROR(__xludf.DUMMYFUNCTION("GOOGLETRANSLATE(I188,""ES"",""EN"")"),"Negative effect: actors do not identify a CSMC financing system")</f>
        <v>Negative effect: actors do not identify a CSMC financing system</v>
      </c>
      <c r="K188" s="1"/>
      <c r="L188" s="1"/>
      <c r="M188" s="1"/>
      <c r="N188" s="1"/>
      <c r="O188" s="1"/>
      <c r="P188" s="1"/>
      <c r="Q188" s="1"/>
      <c r="R188" s="1"/>
      <c r="S188" s="1"/>
      <c r="T188" s="1"/>
      <c r="U188" s="1"/>
      <c r="V188" s="1"/>
      <c r="W188" s="1"/>
      <c r="X188" s="1"/>
      <c r="Y188" s="1"/>
      <c r="Z188" s="1"/>
    </row>
    <row r="189" spans="1:26" ht="15.75" customHeight="1" x14ac:dyDescent="0.25">
      <c r="A189" s="7" t="s">
        <v>5</v>
      </c>
      <c r="B189" s="3" t="s">
        <v>410</v>
      </c>
      <c r="C189" s="3" t="s">
        <v>419</v>
      </c>
      <c r="D189" s="3" t="str">
        <f ca="1">IFERROR(__xludf.DUMMYFUNCTION("GOOGLETRANSLATE(C189,""ES"",""EN"")"),"Users \ Resources \ Resources SENDA increases proportion of people with TCD")</f>
        <v>Users \ Resources \ Resources SENDA increases proportion of people with TCD</v>
      </c>
      <c r="E189" s="3" t="s">
        <v>420</v>
      </c>
      <c r="F189" s="3" t="str">
        <f ca="1">IFERROR(__xludf.DUMMYFUNCTION("GOOGLETRANSLATE(E189,""ES"",""EN"")"),"That is, in this scenario where I tell you, for example, that the resources path, in the case of those that have become a very relevant budget percentage, that makes, indeed, the proportion of people with disorders associated with consumption of substance"&amp;"s is much greater than in a hospital establishment or dependence.")</f>
        <v>That is, in this scenario where I tell you, for example, that the resources path, in the case of those that have become a very relevant budget percentage, that makes, indeed, the proportion of people with disorders associated with consumption of substances is much greater than in a hospital establishment or dependence.</v>
      </c>
      <c r="G189" s="3" t="s">
        <v>421</v>
      </c>
      <c r="H189" s="28">
        <v>1.5700154278972682</v>
      </c>
      <c r="I189" s="3" t="s">
        <v>178</v>
      </c>
      <c r="J189" s="3" t="str">
        <f ca="1">IFERROR(__xludf.DUMMYFUNCTION("GOOGLETRANSLATE(I189,""ES"",""EN"")"),"Positive effects: No one is excluded and grateful people from the CSMC")</f>
        <v>Positive effects: No one is excluded and grateful people from the CSMC</v>
      </c>
      <c r="K189" s="1"/>
      <c r="L189" s="1"/>
      <c r="M189" s="1"/>
      <c r="N189" s="1"/>
      <c r="O189" s="1"/>
      <c r="P189" s="1"/>
      <c r="Q189" s="1"/>
      <c r="R189" s="1"/>
      <c r="S189" s="1"/>
      <c r="T189" s="1"/>
      <c r="U189" s="1"/>
      <c r="V189" s="1"/>
      <c r="W189" s="1"/>
      <c r="X189" s="1"/>
      <c r="Y189" s="1"/>
      <c r="Z189" s="1"/>
    </row>
    <row r="190" spans="1:26" ht="15.75" customHeight="1" x14ac:dyDescent="0.25">
      <c r="A190" s="7" t="s">
        <v>5</v>
      </c>
      <c r="B190" s="3" t="s">
        <v>410</v>
      </c>
      <c r="C190" s="3" t="s">
        <v>419</v>
      </c>
      <c r="D190" s="3" t="str">
        <f ca="1">IFERROR(__xludf.DUMMYFUNCTION("GOOGLETRANSLATE(C190,""ES"",""EN"")"),"Users \ Resources \ Resources SENDA increases proportion of people with TCD")</f>
        <v>Users \ Resources \ Resources SENDA increases proportion of people with TCD</v>
      </c>
      <c r="E190" s="3" t="s">
        <v>422</v>
      </c>
      <c r="F190" s="3" t="str">
        <f ca="1">IFERROR(__xludf.DUMMYFUNCTION("GOOGLETRANSLATE(E190,""ES"",""EN"")"),"That is, obviously, for example, that element determines very strongly the people attended clearly. Clearly.")</f>
        <v>That is, obviously, for example, that element determines very strongly the people attended clearly. Clearly.</v>
      </c>
      <c r="G190" s="3" t="s">
        <v>423</v>
      </c>
      <c r="H190" s="28">
        <v>0.54451402123604675</v>
      </c>
      <c r="I190" s="3" t="s">
        <v>178</v>
      </c>
      <c r="J190" s="3" t="str">
        <f ca="1">IFERROR(__xludf.DUMMYFUNCTION("GOOGLETRANSLATE(I190,""ES"",""EN"")"),"Positive effects: No one is excluded and grateful people from the CSMC")</f>
        <v>Positive effects: No one is excluded and grateful people from the CSMC</v>
      </c>
      <c r="K190" s="1"/>
      <c r="L190" s="1"/>
      <c r="M190" s="1"/>
      <c r="N190" s="1"/>
      <c r="O190" s="1"/>
      <c r="P190" s="1"/>
      <c r="Q190" s="1"/>
      <c r="R190" s="1"/>
      <c r="S190" s="1"/>
      <c r="T190" s="1"/>
      <c r="U190" s="1"/>
      <c r="V190" s="1"/>
      <c r="W190" s="1"/>
      <c r="X190" s="1"/>
      <c r="Y190" s="1"/>
      <c r="Z190" s="1"/>
    </row>
    <row r="191" spans="1:26" ht="15.75" customHeight="1" x14ac:dyDescent="0.25">
      <c r="A191" s="7" t="s">
        <v>5</v>
      </c>
      <c r="B191" s="3" t="s">
        <v>410</v>
      </c>
      <c r="C191" s="3" t="s">
        <v>419</v>
      </c>
      <c r="D191" s="3" t="str">
        <f ca="1">IFERROR(__xludf.DUMMYFUNCTION("GOOGLETRANSLATE(C191,""ES"",""EN"")"),"Users \ Resources \ Resources SENDA increases proportion of people with TCD")</f>
        <v>Users \ Resources \ Resources SENDA increases proportion of people with TCD</v>
      </c>
      <c r="E191" s="3" t="s">
        <v>424</v>
      </c>
      <c r="F191" s="3" t="str">
        <f ca="1">IFERROR(__xludf.DUMMYFUNCTION("GOOGLETRANSLATE(E191,""ES"",""EN"")"),"But clearly, that is, anyway the issue, for example of the SENDA Budgets, which I insist that in the case of Cosam they are important proportionally they are also determining there, well, their offer and of course the people who attend.")</f>
        <v>But clearly, that is, anyway the issue, for example of the SENDA Budgets, which I insist that in the case of Cosam they are important proportionally they are also determining there, well, their offer and of course the people who attend.</v>
      </c>
      <c r="G191" s="3" t="s">
        <v>425</v>
      </c>
      <c r="H191" s="28">
        <v>1.1616299119702334</v>
      </c>
      <c r="I191" s="3" t="s">
        <v>178</v>
      </c>
      <c r="J191" s="3" t="str">
        <f ca="1">IFERROR(__xludf.DUMMYFUNCTION("GOOGLETRANSLATE(I191,""ES"",""EN"")"),"Positive effects: No one is excluded and grateful people from the CSMC")</f>
        <v>Positive effects: No one is excluded and grateful people from the CSMC</v>
      </c>
      <c r="K191" s="1"/>
      <c r="L191" s="1"/>
      <c r="M191" s="1"/>
      <c r="N191" s="1"/>
      <c r="O191" s="1"/>
      <c r="P191" s="1"/>
      <c r="Q191" s="1"/>
      <c r="R191" s="1"/>
      <c r="S191" s="1"/>
      <c r="T191" s="1"/>
      <c r="U191" s="1"/>
      <c r="V191" s="1"/>
      <c r="W191" s="1"/>
      <c r="X191" s="1"/>
      <c r="Y191" s="1"/>
      <c r="Z191" s="1"/>
    </row>
    <row r="192" spans="1:26" ht="15.75" customHeight="1" x14ac:dyDescent="0.25">
      <c r="A192" s="11" t="s">
        <v>5</v>
      </c>
      <c r="B192" s="3" t="s">
        <v>410</v>
      </c>
      <c r="C192" s="3" t="s">
        <v>426</v>
      </c>
      <c r="D192" s="3" t="str">
        <f ca="1">IFERROR(__xludf.DUMMYFUNCTION("GOOGLETRANSLATE(C192,""ES"",""EN"")"),"Benefits \ Result \ baskets do not encourage model benefits")</f>
        <v>Benefits \ Result \ baskets do not encourage model benefits</v>
      </c>
      <c r="E192" s="3" t="s">
        <v>427</v>
      </c>
      <c r="F192" s="3" t="str">
        <f ca="1">IFERROR(__xludf.DUMMYFUNCTION("GOOGLETRANSLATE(E192,""ES"",""EN"")"),"That is, because as in the end the payment is associated with any benefit included in the basket. Well, it could have to do with how the baskets are established, let's say what you consider. So, of course, just deliver an medication envelope to pay you, n"&amp;"ot necessarily stimulates comprehensive care.")</f>
        <v>That is, because as in the end the payment is associated with any benefit included in the basket. Well, it could have to do with how the baskets are established, let's say what you consider. So, of course, just deliver an medication envelope to pay you, not necessarily stimulates comprehensive care.</v>
      </c>
      <c r="G192" s="3" t="s">
        <v>428</v>
      </c>
      <c r="H192" s="28">
        <v>1.6290044468645066</v>
      </c>
      <c r="I192" s="3" t="s">
        <v>44</v>
      </c>
      <c r="J192" s="3" t="str">
        <f ca="1">IFERROR(__xludf.DUMMYFUNCTION("GOOGLETRANSLATE(I192,""ES"",""EN"")"),"Negative effects: limit the integrality and continuity of care")</f>
        <v>Negative effects: limit the integrality and continuity of care</v>
      </c>
      <c r="K192" s="1"/>
      <c r="L192" s="1"/>
      <c r="M192" s="1"/>
      <c r="N192" s="1"/>
      <c r="O192" s="1"/>
      <c r="P192" s="1"/>
      <c r="Q192" s="1"/>
      <c r="R192" s="1"/>
      <c r="S192" s="1"/>
      <c r="T192" s="1"/>
      <c r="U192" s="1"/>
      <c r="V192" s="1"/>
      <c r="W192" s="1"/>
      <c r="X192" s="1"/>
      <c r="Y192" s="1"/>
      <c r="Z192" s="1"/>
    </row>
    <row r="193" spans="1:26" ht="15.75" customHeight="1" x14ac:dyDescent="0.25">
      <c r="A193" s="11" t="s">
        <v>5</v>
      </c>
      <c r="B193" s="3" t="s">
        <v>410</v>
      </c>
      <c r="C193" s="3" t="s">
        <v>426</v>
      </c>
      <c r="D193" s="3" t="str">
        <f ca="1">IFERROR(__xludf.DUMMYFUNCTION("GOOGLETRANSLATE(C193,""ES"",""EN"")"),"Benefits \ Result \ baskets do not encourage model benefits")</f>
        <v>Benefits \ Result \ baskets do not encourage model benefits</v>
      </c>
      <c r="E193" s="3" t="s">
        <v>429</v>
      </c>
      <c r="F193" s="3" t="str">
        <f ca="1">IFERROR(__xludf.DUMMYFUNCTION("GOOGLETRANSLATE(E193,""ES"",""EN"")"),"It is rather the other way around. And I would say that more than stimulating a type of benefit with respect to another, such as that it does not stimulate that effectively a benefit is made as the model determines or would expect to be carried out. I do "&amp;"not encourage it.")</f>
        <v>It is rather the other way around. And I would say that more than stimulating a type of benefit with respect to another, such as that it does not stimulate that effectively a benefit is made as the model determines or would expect to be carried out. I do not encourage it.</v>
      </c>
      <c r="G193" s="3" t="s">
        <v>399</v>
      </c>
      <c r="H193" s="28">
        <v>1.0618023414102913</v>
      </c>
      <c r="I193" s="3" t="s">
        <v>44</v>
      </c>
      <c r="J193" s="3" t="str">
        <f ca="1">IFERROR(__xludf.DUMMYFUNCTION("GOOGLETRANSLATE(I193,""ES"",""EN"")"),"Negative effects: limit the integrality and continuity of care")</f>
        <v>Negative effects: limit the integrality and continuity of care</v>
      </c>
      <c r="K193" s="1"/>
      <c r="L193" s="1"/>
      <c r="M193" s="1"/>
      <c r="N193" s="1"/>
      <c r="O193" s="1"/>
      <c r="P193" s="1"/>
      <c r="Q193" s="1"/>
      <c r="R193" s="1"/>
      <c r="S193" s="1"/>
      <c r="T193" s="1"/>
      <c r="U193" s="1"/>
      <c r="V193" s="1"/>
      <c r="W193" s="1"/>
      <c r="X193" s="1"/>
      <c r="Y193" s="1"/>
      <c r="Z193" s="1"/>
    </row>
    <row r="194" spans="1:26" ht="15.75" customHeight="1" x14ac:dyDescent="0.25">
      <c r="A194" s="11" t="s">
        <v>5</v>
      </c>
      <c r="B194" s="3" t="s">
        <v>410</v>
      </c>
      <c r="C194" s="3" t="s">
        <v>430</v>
      </c>
      <c r="D194" s="3" t="str">
        <f ca="1">IFERROR(__xludf.DUMMYFUNCTION("GOOGLETRANSLATE(C194,""ES"",""EN"")"),"Benefits \ Result \ Maintain continuity of care")</f>
        <v>Benefits \ Result \ Maintain continuity of care</v>
      </c>
      <c r="E194" s="3" t="s">
        <v>431</v>
      </c>
      <c r="F194" s="3" t="str">
        <f ca="1">IFERROR(__xludf.DUMMYFUNCTION("GOOGLETRANSLATE(E194,""ES"",""EN"")"),"That is, what clearly does not encourage, clearly does not encourage shared care.")</f>
        <v>That is, what clearly does not encourage, clearly does not encourage shared care.</v>
      </c>
      <c r="G194" s="3" t="s">
        <v>432</v>
      </c>
      <c r="H194" s="28">
        <v>0.41292313277066889</v>
      </c>
      <c r="I194" s="3" t="s">
        <v>44</v>
      </c>
      <c r="J194" s="3" t="str">
        <f ca="1">IFERROR(__xludf.DUMMYFUNCTION("GOOGLETRANSLATE(I194,""ES"",""EN"")"),"Negative effects: limit the integrality and continuity of care")</f>
        <v>Negative effects: limit the integrality and continuity of care</v>
      </c>
      <c r="K194" s="1"/>
      <c r="L194" s="1"/>
      <c r="M194" s="1"/>
      <c r="N194" s="1"/>
      <c r="O194" s="1"/>
      <c r="P194" s="1"/>
      <c r="Q194" s="1"/>
      <c r="R194" s="1"/>
      <c r="S194" s="1"/>
      <c r="T194" s="1"/>
      <c r="U194" s="1"/>
      <c r="V194" s="1"/>
      <c r="W194" s="1"/>
      <c r="X194" s="1"/>
      <c r="Y194" s="1"/>
      <c r="Z194" s="1"/>
    </row>
    <row r="195" spans="1:26" ht="15.75" customHeight="1" x14ac:dyDescent="0.25">
      <c r="A195" s="11" t="s">
        <v>5</v>
      </c>
      <c r="B195" s="3" t="s">
        <v>410</v>
      </c>
      <c r="C195" s="3" t="s">
        <v>430</v>
      </c>
      <c r="D195" s="3" t="str">
        <f ca="1">IFERROR(__xludf.DUMMYFUNCTION("GOOGLETRANSLATE(C195,""ES"",""EN"")"),"Benefits \ Result \ Maintain continuity of care")</f>
        <v>Benefits \ Result \ Maintain continuity of care</v>
      </c>
      <c r="E195" s="3" t="s">
        <v>433</v>
      </c>
      <c r="F195" s="3" t="str">
        <f ca="1">IFERROR(__xludf.DUMMYFUNCTION("GOOGLETRANSLATE(E195,""ES"",""EN"")"),"Many times in very complex situations, for example of a little person who have very difficult situations, let's say intentionally, for example, simultaneous intervention by more than one team, for example, of two establishments. And that is not possible.")</f>
        <v>Many times in very complex situations, for example of a little person who have very difficult situations, let's say intentionally, for example, simultaneous intervention by more than one team, for example, of two establishments. And that is not possible.</v>
      </c>
      <c r="G195" s="3" t="s">
        <v>434</v>
      </c>
      <c r="H195" s="28">
        <v>1.1752427625011344</v>
      </c>
      <c r="I195" s="3" t="s">
        <v>44</v>
      </c>
      <c r="J195" s="3" t="str">
        <f ca="1">IFERROR(__xludf.DUMMYFUNCTION("GOOGLETRANSLATE(I195,""ES"",""EN"")"),"Negative effects: limit the integrality and continuity of care")</f>
        <v>Negative effects: limit the integrality and continuity of care</v>
      </c>
      <c r="K195" s="1"/>
      <c r="L195" s="1"/>
      <c r="M195" s="1"/>
      <c r="N195" s="1"/>
      <c r="O195" s="1"/>
      <c r="P195" s="1"/>
      <c r="Q195" s="1"/>
      <c r="R195" s="1"/>
      <c r="S195" s="1"/>
      <c r="T195" s="1"/>
      <c r="U195" s="1"/>
      <c r="V195" s="1"/>
      <c r="W195" s="1"/>
      <c r="X195" s="1"/>
      <c r="Y195" s="1"/>
      <c r="Z195" s="1"/>
    </row>
    <row r="196" spans="1:26" ht="15.75" customHeight="1" x14ac:dyDescent="0.25">
      <c r="A196" s="11" t="s">
        <v>5</v>
      </c>
      <c r="B196" s="3" t="s">
        <v>410</v>
      </c>
      <c r="C196" s="3" t="s">
        <v>430</v>
      </c>
      <c r="D196" s="3" t="str">
        <f ca="1">IFERROR(__xludf.DUMMYFUNCTION("GOOGLETRANSLATE(C196,""ES"",""EN"")"),"Benefits \ Result \ Maintain continuity of care")</f>
        <v>Benefits \ Result \ Maintain continuity of care</v>
      </c>
      <c r="E196" s="3" t="s">
        <v>435</v>
      </c>
      <c r="F196" s="3" t="str">
        <f ca="1">IFERROR(__xludf.DUMMYFUNCTION("GOOGLETRANSLATE(E196,""ES"",""EN"")"),"Or make a transition, I don't know, more gradual, more to accompany the day hospital and the ambulatory. That is, no, that is, if that is in different establishments, in the background, as you cannot finance attention in two parties. That is, there is one"&amp;" that is not going to pay. Plaster. Then there has been constituted as a limitation.")</f>
        <v>Or make a transition, I don't know, more gradual, more to accompany the day hospital and the ambulatory. That is, no, that is, if that is in different establishments, in the background, as you cannot finance attention in two parties. That is, there is one that is not going to pay. Plaster. Then there has been constituted as a limitation.</v>
      </c>
      <c r="G196" s="3" t="s">
        <v>436</v>
      </c>
      <c r="H196" s="28">
        <v>1.4792630910245939</v>
      </c>
      <c r="I196" s="3" t="s">
        <v>44</v>
      </c>
      <c r="J196" s="3" t="str">
        <f ca="1">IFERROR(__xludf.DUMMYFUNCTION("GOOGLETRANSLATE(I196,""ES"",""EN"")"),"Negative effects: limit the integrality and continuity of care")</f>
        <v>Negative effects: limit the integrality and continuity of care</v>
      </c>
      <c r="K196" s="1"/>
      <c r="L196" s="1"/>
      <c r="M196" s="1"/>
      <c r="N196" s="1"/>
      <c r="O196" s="1"/>
      <c r="P196" s="1"/>
      <c r="Q196" s="1"/>
      <c r="R196" s="1"/>
      <c r="S196" s="1"/>
      <c r="T196" s="1"/>
      <c r="U196" s="1"/>
      <c r="V196" s="1"/>
      <c r="W196" s="1"/>
      <c r="X196" s="1"/>
      <c r="Y196" s="1"/>
      <c r="Z196" s="1"/>
    </row>
    <row r="197" spans="1:26" ht="15.75" customHeight="1" x14ac:dyDescent="0.25">
      <c r="A197" s="6" t="s">
        <v>5</v>
      </c>
      <c r="B197" s="3" t="s">
        <v>410</v>
      </c>
      <c r="C197" s="3" t="s">
        <v>333</v>
      </c>
      <c r="D197" s="3" t="str">
        <f ca="1">IFERROR(__xludf.DUMMYFUNCTION("GOOGLETRANSLATE(C197,""ES"",""EN"")"),"Financing \ Result \ Selection Pathologies with financial revenue")</f>
        <v>Financing \ Result \ Selection Pathologies with financial revenue</v>
      </c>
      <c r="E197" s="3" t="s">
        <v>437</v>
      </c>
      <c r="F197" s="3" t="str">
        <f ca="1">IFERROR(__xludf.DUMMYFUNCTION("GOOGLETRANSLATE(E197,""ES"",""EN"")"),"As if to attend what pays you better to justify the budget attending to fewer people.")</f>
        <v>As if to attend what pays you better to justify the budget attending to fewer people.</v>
      </c>
      <c r="G197" s="3" t="s">
        <v>438</v>
      </c>
      <c r="H197" s="28">
        <v>0.42653598330157005</v>
      </c>
      <c r="I197" s="3" t="s">
        <v>51</v>
      </c>
      <c r="J197" s="3" t="str">
        <f ca="1">IFERROR(__xludf.DUMMYFUNCTION("GOOGLETRANSLATE(I197,""ES"",""EN"")"),"Negative effect: CSMC financing logics do not stimulate the implementation of the community mental health model.")</f>
        <v>Negative effect: CSMC financing logics do not stimulate the implementation of the community mental health model.</v>
      </c>
      <c r="K197" s="1"/>
      <c r="L197" s="1"/>
      <c r="M197" s="1"/>
      <c r="N197" s="1"/>
      <c r="O197" s="1"/>
      <c r="P197" s="1"/>
      <c r="Q197" s="1"/>
      <c r="R197" s="1"/>
      <c r="S197" s="1"/>
      <c r="T197" s="1"/>
      <c r="U197" s="1"/>
      <c r="V197" s="1"/>
      <c r="W197" s="1"/>
      <c r="X197" s="1"/>
      <c r="Y197" s="1"/>
      <c r="Z197" s="1"/>
    </row>
    <row r="198" spans="1:26" ht="15.75" customHeight="1" x14ac:dyDescent="0.25">
      <c r="A198" s="6" t="s">
        <v>5</v>
      </c>
      <c r="B198" s="3" t="s">
        <v>410</v>
      </c>
      <c r="C198" s="3" t="s">
        <v>333</v>
      </c>
      <c r="D198" s="3" t="str">
        <f ca="1">IFERROR(__xludf.DUMMYFUNCTION("GOOGLETRANSLATE(C198,""ES"",""EN"")"),"Financing \ Result \ Selection Pathologies with financial revenue")</f>
        <v>Financing \ Result \ Selection Pathologies with financial revenue</v>
      </c>
      <c r="E198" s="3" t="s">
        <v>439</v>
      </c>
      <c r="F198" s="3" t="str">
        <f ca="1">IFERROR(__xludf.DUMMYFUNCTION("GOOGLETRANSLATE(E198,""ES"",""EN"")"),"That is, to that extent it is also established when you prioritize, for example, the attention of alcohol and drugs that are better paid and that I do not know what, of course, of course, to have more resources destined for those equipment regarding anoth"&amp;"er in which They will actually pay you the same, as I say, just delivering medications, I don't know.")</f>
        <v>That is, to that extent it is also established when you prioritize, for example, the attention of alcohol and drugs that are better paid and that I do not know what, of course, of course, to have more resources destined for those equipment regarding another in which They will actually pay you the same, as I say, just delivering medications, I don't know.</v>
      </c>
      <c r="G198" s="3" t="s">
        <v>440</v>
      </c>
      <c r="H198" s="28">
        <v>1.4611126236500591</v>
      </c>
      <c r="I198" s="3" t="s">
        <v>51</v>
      </c>
      <c r="J198" s="3" t="str">
        <f ca="1">IFERROR(__xludf.DUMMYFUNCTION("GOOGLETRANSLATE(I198,""ES"",""EN"")"),"Negative effect: CSMC financing logics do not stimulate the implementation of the community mental health model.")</f>
        <v>Negative effect: CSMC financing logics do not stimulate the implementation of the community mental health model.</v>
      </c>
      <c r="K198" s="1"/>
      <c r="L198" s="1"/>
      <c r="M198" s="1"/>
      <c r="N198" s="1"/>
      <c r="O198" s="1"/>
      <c r="P198" s="1"/>
      <c r="Q198" s="1"/>
      <c r="R198" s="1"/>
      <c r="S198" s="1"/>
      <c r="T198" s="1"/>
      <c r="U198" s="1"/>
      <c r="V198" s="1"/>
      <c r="W198" s="1"/>
      <c r="X198" s="1"/>
      <c r="Y198" s="1"/>
      <c r="Z198" s="1"/>
    </row>
    <row r="199" spans="1:26" ht="15.75" customHeight="1" x14ac:dyDescent="0.25">
      <c r="A199" s="6" t="s">
        <v>5</v>
      </c>
      <c r="B199" s="3" t="s">
        <v>410</v>
      </c>
      <c r="C199" s="3" t="s">
        <v>441</v>
      </c>
      <c r="D199" s="3" t="str">
        <f ca="1">IFERROR(__xludf.DUMMYFUNCTION("GOOGLETRANSLATE(C199,""ES"",""EN"")"),"FINANCING \ Result \ main achievement of financing the CSMC \ Achievement Transdisciplinary Equipment")</f>
        <v>FINANCING \ Result \ main achievement of financing the CSMC \ Achievement Transdisciplinary Equipment</v>
      </c>
      <c r="E199" s="3" t="s">
        <v>442</v>
      </c>
      <c r="F199" s="3" t="str">
        <f ca="1">IFERROR(__xludf.DUMMYFUNCTION("GOOGLETRANSLATE(E199,""ES"",""EN"")"),"Now we have also seen that indeed, the measure, for example, in which one is incorporated I do not know, or that we have been incorporating Ges attention, that is, this has been a stimulus for Cosam's professional diversification. Today all Cosam have, fo"&amp;"r example, nursing staff, who did not have before.")</f>
        <v>Now we have also seen that indeed, the measure, for example, in which one is incorporated I do not know, or that we have been incorporating Ges attention, that is, this has been a stimulus for Cosam's professional diversification. Today all Cosam have, for example, nursing staff, who did not have before.</v>
      </c>
      <c r="G199" s="3" t="s">
        <v>350</v>
      </c>
      <c r="H199" s="28">
        <v>1.4202740720573555</v>
      </c>
      <c r="I199" s="3" t="s">
        <v>228</v>
      </c>
      <c r="J199" s="3" t="str">
        <f ca="1">IFERROR(__xludf.DUMMYFUNCTION("GOOGLETRANSLATE(I199,""ES"",""EN"")"),"Clinical achievements")</f>
        <v>Clinical achievements</v>
      </c>
      <c r="K199" s="1"/>
      <c r="L199" s="1"/>
      <c r="M199" s="1"/>
      <c r="N199" s="1"/>
      <c r="O199" s="1"/>
      <c r="P199" s="1"/>
      <c r="Q199" s="1"/>
      <c r="R199" s="1"/>
      <c r="S199" s="1"/>
      <c r="T199" s="1"/>
      <c r="U199" s="1"/>
      <c r="V199" s="1"/>
      <c r="W199" s="1"/>
      <c r="X199" s="1"/>
      <c r="Y199" s="1"/>
      <c r="Z199" s="1"/>
    </row>
    <row r="200" spans="1:26" ht="15.75" customHeight="1" x14ac:dyDescent="0.25">
      <c r="A200" s="6" t="s">
        <v>5</v>
      </c>
      <c r="B200" s="3" t="s">
        <v>410</v>
      </c>
      <c r="C200" s="3" t="s">
        <v>441</v>
      </c>
      <c r="D200" s="3" t="str">
        <f ca="1">IFERROR(__xludf.DUMMYFUNCTION("GOOGLETRANSLATE(C200,""ES"",""EN"")"),"FINANCING \ Result \ main achievement of financing the CSMC \ Achievement Transdisciplinary Equipment")</f>
        <v>FINANCING \ Result \ main achievement of financing the CSMC \ Achievement Transdisciplinary Equipment</v>
      </c>
      <c r="E200" s="3" t="s">
        <v>443</v>
      </c>
      <c r="F200" s="3" t="str">
        <f ca="1">IFERROR(__xludf.DUMMYFUNCTION("GOOGLETRANSLATE(E200,""ES"",""EN"")"),"That is, professional resources, if one looks like this they were psychologists, social workers, occupational therapists. And that I believe has been effectively, to the extent that it has been advancing through this mechanism, that the one that exists, i"&amp;"n defining a broader population. That is, that has demanded that they add professionals to the team that were not part of the team.")</f>
        <v>That is, professional resources, if one looks like this they were psychologists, social workers, occupational therapists. And that I believe has been effectively, to the extent that it has been advancing through this mechanism, that the one that exists, in defining a broader population. That is, that has demanded that they add professionals to the team that were not part of the team.</v>
      </c>
      <c r="G200" s="3" t="s">
        <v>444</v>
      </c>
      <c r="H200" s="28">
        <v>1.8649605227334602</v>
      </c>
      <c r="I200" s="3" t="s">
        <v>228</v>
      </c>
      <c r="J200" s="3" t="str">
        <f ca="1">IFERROR(__xludf.DUMMYFUNCTION("GOOGLETRANSLATE(I200,""ES"",""EN"")"),"Clinical achievements")</f>
        <v>Clinical achievements</v>
      </c>
      <c r="K200" s="1"/>
      <c r="L200" s="1"/>
      <c r="M200" s="1"/>
      <c r="N200" s="1"/>
      <c r="O200" s="1"/>
      <c r="P200" s="1"/>
      <c r="Q200" s="1"/>
      <c r="R200" s="1"/>
      <c r="S200" s="1"/>
      <c r="T200" s="1"/>
      <c r="U200" s="1"/>
      <c r="V200" s="1"/>
      <c r="W200" s="1"/>
      <c r="X200" s="1"/>
      <c r="Y200" s="1"/>
      <c r="Z200" s="1"/>
    </row>
    <row r="201" spans="1:26" ht="15.75" customHeight="1" x14ac:dyDescent="0.25">
      <c r="A201" s="6" t="s">
        <v>5</v>
      </c>
      <c r="B201" s="3" t="s">
        <v>410</v>
      </c>
      <c r="C201" s="3" t="s">
        <v>445</v>
      </c>
      <c r="D201" s="3" t="str">
        <f ca="1">IFERROR(__xludf.DUMMYFUNCTION("GOOGLETRANSLATE(C201,""ES"",""EN"")"),"Financing \ Result \ Financing mechanisms do not stimulate model installation")</f>
        <v>Financing \ Result \ Financing mechanisms do not stimulate model installation</v>
      </c>
      <c r="E201" s="3" t="s">
        <v>446</v>
      </c>
      <c r="F201" s="3" t="str">
        <f ca="1">IFERROR(__xludf.DUMMYFUNCTION("GOOGLETRANSLATE(E201,""ES"",""EN"")"),"That is, in summary, I would say that it is not, they have not been mechanisms that allow to stimulate or favor the installation of a model. Not? Yes, not at all")</f>
        <v>That is, in summary, I would say that it is not, they have not been mechanisms that allow to stimulate or favor the installation of a model. Not? Yes, not at all</v>
      </c>
      <c r="G201" s="3" t="s">
        <v>447</v>
      </c>
      <c r="H201" s="28">
        <v>0.67156729285779104</v>
      </c>
      <c r="I201" s="3" t="s">
        <v>51</v>
      </c>
      <c r="J201" s="3" t="str">
        <f ca="1">IFERROR(__xludf.DUMMYFUNCTION("GOOGLETRANSLATE(I201,""ES"",""EN"")"),"Negative effect: CSMC financing logics do not stimulate the implementation of the community mental health model.")</f>
        <v>Negative effect: CSMC financing logics do not stimulate the implementation of the community mental health model.</v>
      </c>
      <c r="K201" s="1"/>
      <c r="L201" s="1"/>
      <c r="M201" s="1"/>
      <c r="N201" s="1"/>
      <c r="O201" s="1"/>
      <c r="P201" s="1"/>
      <c r="Q201" s="1"/>
      <c r="R201" s="1"/>
      <c r="S201" s="1"/>
      <c r="T201" s="1"/>
      <c r="U201" s="1"/>
      <c r="V201" s="1"/>
      <c r="W201" s="1"/>
      <c r="X201" s="1"/>
      <c r="Y201" s="1"/>
      <c r="Z201" s="1"/>
    </row>
    <row r="202" spans="1:26" ht="15.75" customHeight="1" x14ac:dyDescent="0.25">
      <c r="A202" s="6" t="s">
        <v>5</v>
      </c>
      <c r="B202" s="3" t="s">
        <v>410</v>
      </c>
      <c r="C202" s="3" t="s">
        <v>445</v>
      </c>
      <c r="D202" s="3" t="str">
        <f ca="1">IFERROR(__xludf.DUMMYFUNCTION("GOOGLETRANSLATE(C202,""ES"",""EN"")"),"Financing \ Result \ Financing mechanisms do not stimulate model installation")</f>
        <v>Financing \ Result \ Financing mechanisms do not stimulate model installation</v>
      </c>
      <c r="E202" s="3" t="s">
        <v>448</v>
      </c>
      <c r="F202" s="3" t="str">
        <f ca="1">IFERROR(__xludf.DUMMYFUNCTION("GOOGLETRANSLATE(E202,""ES"",""EN"")"),"We make an effort, as I would say, as if, well, work the elements of the model, on the one hand, trying to uncheck them of these rather administrative and financial modalities.")</f>
        <v>We make an effort, as I would say, as if, well, work the elements of the model, on the one hand, trying to uncheck them of these rather administrative and financial modalities.</v>
      </c>
      <c r="G202" s="3" t="s">
        <v>449</v>
      </c>
      <c r="H202" s="28">
        <v>0.94382430347581447</v>
      </c>
      <c r="I202" s="3" t="s">
        <v>51</v>
      </c>
      <c r="J202" s="3" t="str">
        <f ca="1">IFERROR(__xludf.DUMMYFUNCTION("GOOGLETRANSLATE(I202,""ES"",""EN"")"),"Negative effect: CSMC financing logics do not stimulate the implementation of the community mental health model.")</f>
        <v>Negative effect: CSMC financing logics do not stimulate the implementation of the community mental health model.</v>
      </c>
      <c r="K202" s="1"/>
      <c r="L202" s="1"/>
      <c r="M202" s="1"/>
      <c r="N202" s="1"/>
      <c r="O202" s="1"/>
      <c r="P202" s="1"/>
      <c r="Q202" s="1"/>
      <c r="R202" s="1"/>
      <c r="S202" s="1"/>
      <c r="T202" s="1"/>
      <c r="U202" s="1"/>
      <c r="V202" s="1"/>
      <c r="W202" s="1"/>
      <c r="X202" s="1"/>
      <c r="Y202" s="1"/>
      <c r="Z202" s="1"/>
    </row>
    <row r="203" spans="1:26" ht="15.75" customHeight="1" x14ac:dyDescent="0.25">
      <c r="A203" s="6" t="s">
        <v>5</v>
      </c>
      <c r="B203" s="3" t="s">
        <v>410</v>
      </c>
      <c r="C203" s="3" t="s">
        <v>445</v>
      </c>
      <c r="D203" s="3" t="str">
        <f ca="1">IFERROR(__xludf.DUMMYFUNCTION("GOOGLETRANSLATE(C203,""ES"",""EN"")"),"Financing \ Result \ Financing mechanisms do not stimulate model installation")</f>
        <v>Financing \ Result \ Financing mechanisms do not stimulate model installation</v>
      </c>
      <c r="E203" s="3" t="s">
        <v>450</v>
      </c>
      <c r="F203" s="3" t="str">
        <f ca="1">IFERROR(__xludf.DUMMYFUNCTION("GOOGLETRANSLATE(E203,""ES"",""EN"")"),"So, that is, we, for example, in this service we always talk about alcohol and drug programs, alcohol and drug equipment, never, either a path or Senda program, for example, something that one sees it with a very high But very frequency in other places, l"&amp;"et's say to people as from the financing of their contract identifies with an institution with which it is not appropriate to identify because finally, of course, Senda is a financier of an alcohol and drug program installed in a Cosam , and you are part "&amp;"of a Cosam, and a team from Cosam and that, as has been the speech and the program is of the center is not from the path, for many lucas that we say")</f>
        <v>So, that is, we, for example, in this service we always talk about alcohol and drug programs, alcohol and drug equipment, never, either a path or Senda program, for example, something that one sees it with a very high But very frequency in other places, let's say to people as from the financing of their contract identifies with an institution with which it is not appropriate to identify because finally, of course, Senda is a financier of an alcohol and drug program installed in a Cosam , and you are part of a Cosam, and a team from Cosam and that, as has been the speech and the program is of the center is not from the path, for many lucas that we say</v>
      </c>
      <c r="G203" s="3" t="s">
        <v>451</v>
      </c>
      <c r="H203" s="28">
        <v>3.1400308557945364</v>
      </c>
      <c r="I203" s="3" t="s">
        <v>51</v>
      </c>
      <c r="J203" s="3" t="str">
        <f ca="1">IFERROR(__xludf.DUMMYFUNCTION("GOOGLETRANSLATE(I203,""ES"",""EN"")"),"Negative effect: CSMC financing logics do not stimulate the implementation of the community mental health model.")</f>
        <v>Negative effect: CSMC financing logics do not stimulate the implementation of the community mental health model.</v>
      </c>
      <c r="K203" s="1"/>
      <c r="L203" s="1"/>
      <c r="M203" s="1"/>
      <c r="N203" s="1"/>
      <c r="O203" s="1"/>
      <c r="P203" s="1"/>
      <c r="Q203" s="1"/>
      <c r="R203" s="1"/>
      <c r="S203" s="1"/>
      <c r="T203" s="1"/>
      <c r="U203" s="1"/>
      <c r="V203" s="1"/>
      <c r="W203" s="1"/>
      <c r="X203" s="1"/>
      <c r="Y203" s="1"/>
      <c r="Z203" s="1"/>
    </row>
    <row r="204" spans="1:26" ht="15.75" customHeight="1" x14ac:dyDescent="0.25">
      <c r="A204" s="2" t="s">
        <v>5</v>
      </c>
      <c r="B204" s="3" t="s">
        <v>410</v>
      </c>
      <c r="C204" s="3" t="s">
        <v>24</v>
      </c>
      <c r="D204" s="3" t="str">
        <f ca="1">IFERROR(__xludf.DUMMYFUNCTION("GOOGLETRANSLATE(C204,""ES"",""EN"")"),"Human Resources \ Financial Logic Results in the Organization of Teams")</f>
        <v>Human Resources \ Financial Logic Results in the Organization of Teams</v>
      </c>
      <c r="E204" s="3" t="s">
        <v>452</v>
      </c>
      <c r="F204" s="3" t="str">
        <f ca="1">IFERROR(__xludf.DUMMYFUNCTION("GOOGLETRANSLATE(E204,""ES"",""EN"")"),"We had to review many curriculum, many applications and I looked at people's curriculum and where they described their functions, I don't know my function, I worked in such part and my function was PPV's attention, Ges First Episode, PPV of I don't know w"&amp;"hat. What's that? Pucha that is that, a psychologist, that is, not even attended people with schizophrenia, understood PPV, Ges, attended I don't know what else. So that thing I find it, well, I imagine that in those places people will organize through th"&amp;"ose logics say, I don't know, it calls me a lot, much attention, right? So yes, it may determine the constitution of the teams and that elements and the identity of the people. That finds him very crazy. I find that very crazy that.")</f>
        <v>We had to review many curriculum, many applications and I looked at people's curriculum and where they described their functions, I don't know my function, I worked in such part and my function was PPV's attention, Ges First Episode, PPV of I don't know what. What's that? Pucha that is that, a psychologist, that is, not even attended people with schizophrenia, understood PPV, Ges, attended I don't know what else. So that thing I find it, well, I imagine that in those places people will organize through those logics say, I don't know, it calls me a lot, much attention, right? So yes, it may determine the constitution of the teams and that elements and the identity of the people. That finds him very crazy. I find that very crazy that.</v>
      </c>
      <c r="G204" s="3" t="s">
        <v>453</v>
      </c>
      <c r="H204" s="28">
        <v>3.3487612306016876</v>
      </c>
      <c r="I204" s="3" t="s">
        <v>27</v>
      </c>
      <c r="J204" s="3" t="str">
        <f ca="1">IFERROR(__xludf.DUMMYFUNCTION("GOOGLETRANSLATE(I204,""ES"",""EN"")"),"Negative effects: a multidisciplinary approach has not been achieved")</f>
        <v>Negative effects: a multidisciplinary approach has not been achieved</v>
      </c>
      <c r="K204" s="1"/>
      <c r="L204" s="1"/>
      <c r="M204" s="1"/>
      <c r="N204" s="1"/>
      <c r="O204" s="1"/>
      <c r="P204" s="1"/>
      <c r="Q204" s="1"/>
      <c r="R204" s="1"/>
      <c r="S204" s="1"/>
      <c r="T204" s="1"/>
      <c r="U204" s="1"/>
      <c r="V204" s="1"/>
      <c r="W204" s="1"/>
      <c r="X204" s="1"/>
      <c r="Y204" s="1"/>
      <c r="Z204" s="1"/>
    </row>
    <row r="205" spans="1:26" ht="15.75" customHeight="1" x14ac:dyDescent="0.25">
      <c r="A205" s="6" t="s">
        <v>5</v>
      </c>
      <c r="B205" s="3" t="s">
        <v>410</v>
      </c>
      <c r="C205" s="3" t="s">
        <v>445</v>
      </c>
      <c r="D205" s="3" t="str">
        <f ca="1">IFERROR(__xludf.DUMMYFUNCTION("GOOGLETRANSLATE(C205,""ES"",""EN"")"),"Financing \ Result \ Financing mechanisms do not stimulate model installation")</f>
        <v>Financing \ Result \ Financing mechanisms do not stimulate model installation</v>
      </c>
      <c r="E205" s="3" t="s">
        <v>454</v>
      </c>
      <c r="F205" s="3" t="str">
        <f ca="1">IFERROR(__xludf.DUMMYFUNCTION("GOOGLETRANSLATE(E205,""ES"",""EN"")"),"I think that the same is very intentional strongly so that it does not happen so much. But of course, as it marks from the identity of professionals and of course practices. Where people, just like their practice is reduced or focused on ultra specific th"&amp;"ings from where groups that finance their contract or salaries come from, which are not even sometimes contract.")</f>
        <v>I think that the same is very intentional strongly so that it does not happen so much. But of course, as it marks from the identity of professionals and of course practices. Where people, just like their practice is reduced or focused on ultra specific things from where groups that finance their contract or salaries come from, which are not even sometimes contract.</v>
      </c>
      <c r="G205" s="3" t="s">
        <v>455</v>
      </c>
      <c r="H205" s="28">
        <v>1.7152191668935473</v>
      </c>
      <c r="I205" s="3" t="s">
        <v>51</v>
      </c>
      <c r="J205" s="3" t="str">
        <f ca="1">IFERROR(__xludf.DUMMYFUNCTION("GOOGLETRANSLATE(I205,""ES"",""EN"")"),"Negative effect: CSMC financing logics do not stimulate the implementation of the community mental health model.")</f>
        <v>Negative effect: CSMC financing logics do not stimulate the implementation of the community mental health model.</v>
      </c>
      <c r="K205" s="1"/>
      <c r="L205" s="1"/>
      <c r="M205" s="1"/>
      <c r="N205" s="1"/>
      <c r="O205" s="1"/>
      <c r="P205" s="1"/>
      <c r="Q205" s="1"/>
      <c r="R205" s="1"/>
      <c r="S205" s="1"/>
      <c r="T205" s="1"/>
      <c r="U205" s="1"/>
      <c r="V205" s="1"/>
      <c r="W205" s="1"/>
      <c r="X205" s="1"/>
      <c r="Y205" s="1"/>
      <c r="Z205" s="1"/>
    </row>
    <row r="206" spans="1:26" ht="15.75" customHeight="1" x14ac:dyDescent="0.25">
      <c r="A206" s="6" t="s">
        <v>5</v>
      </c>
      <c r="B206" s="3" t="s">
        <v>456</v>
      </c>
      <c r="C206" s="3" t="s">
        <v>388</v>
      </c>
      <c r="D206" s="3" t="str">
        <f ca="1">IFERROR(__xludf.DUMMYFUNCTION("GOOGLETRANSLATE(C206,""ES"",""EN"")"),"FINANCING \ RESULT \ SYSTEM IS FINISHED")</f>
        <v>FINANCING \ RESULT \ SYSTEM IS FINISHED</v>
      </c>
      <c r="E206" s="3" t="s">
        <v>457</v>
      </c>
      <c r="F206" s="3" t="str">
        <f ca="1">IFERROR(__xludf.DUMMYFUNCTION("GOOGLETRANSLATE(E206,""ES"",""EN"")"),"It should also be noted that the resources that are for mental health historically has been very low. It is low for health and for mental health we all know and it is news, it is not true, that this is very low.")</f>
        <v>It should also be noted that the resources that are for mental health historically has been very low. It is low for health and for mental health we all know and it is news, it is not true, that this is very low.</v>
      </c>
      <c r="G206" s="3" t="s">
        <v>207</v>
      </c>
      <c r="H206" s="28">
        <v>1.1191047162270185</v>
      </c>
      <c r="I206" s="3" t="s">
        <v>65</v>
      </c>
      <c r="J206" s="3" t="str">
        <f ca="1">IFERROR(__xludf.DUMMYFUNCTION("GOOGLETRANSLATE(I206,""ES"",""EN"")"),"Negative effect: actors do not identify a CSMC financing system")</f>
        <v>Negative effect: actors do not identify a CSMC financing system</v>
      </c>
      <c r="K206" s="1"/>
      <c r="L206" s="1"/>
      <c r="M206" s="1"/>
      <c r="N206" s="1"/>
      <c r="O206" s="1"/>
      <c r="P206" s="1"/>
      <c r="Q206" s="1"/>
      <c r="R206" s="1"/>
      <c r="S206" s="1"/>
      <c r="T206" s="1"/>
      <c r="U206" s="1"/>
      <c r="V206" s="1"/>
      <c r="W206" s="1"/>
      <c r="X206" s="1"/>
      <c r="Y206" s="1"/>
      <c r="Z206" s="1"/>
    </row>
    <row r="207" spans="1:26" ht="15.75" customHeight="1" x14ac:dyDescent="0.25">
      <c r="A207" s="2" t="s">
        <v>5</v>
      </c>
      <c r="B207" s="3" t="s">
        <v>456</v>
      </c>
      <c r="C207" s="3" t="s">
        <v>85</v>
      </c>
      <c r="D207" s="3" t="str">
        <f ca="1">IFERROR(__xludf.DUMMYFUNCTION("GOOGLETRANSLATE(C207,""ES"",""EN"")"),"Human Resources \ Result \ Lack of specialists")</f>
        <v>Human Resources \ Result \ Lack of specialists</v>
      </c>
      <c r="E207" s="3" t="s">
        <v>458</v>
      </c>
      <c r="F207" s="3" t="str">
        <f ca="1">IFERROR(__xludf.DUMMYFUNCTION("GOOGLETRANSLATE(E207,""ES"",""EN"")"),"There is always specialist failure.")</f>
        <v>There is always specialist failure.</v>
      </c>
      <c r="G207" s="3" t="s">
        <v>459</v>
      </c>
      <c r="H207" s="28">
        <v>0.20250466293631761</v>
      </c>
      <c r="I207" s="3" t="s">
        <v>10</v>
      </c>
      <c r="J207" s="3" t="str">
        <f ca="1">IFERROR(__xludf.DUMMYFUNCTION("GOOGLETRANSLATE(I207,""ES"",""EN"")"),"Negative effects: staff does not cover the demand for care")</f>
        <v>Negative effects: staff does not cover the demand for care</v>
      </c>
      <c r="K207" s="1"/>
      <c r="L207" s="1"/>
      <c r="M207" s="1"/>
      <c r="N207" s="1"/>
      <c r="O207" s="1"/>
      <c r="P207" s="1"/>
      <c r="Q207" s="1"/>
      <c r="R207" s="1"/>
      <c r="S207" s="1"/>
      <c r="T207" s="1"/>
      <c r="U207" s="1"/>
      <c r="V207" s="1"/>
      <c r="W207" s="1"/>
      <c r="X207" s="1"/>
      <c r="Y207" s="1"/>
      <c r="Z207" s="1"/>
    </row>
    <row r="208" spans="1:26" ht="15.75" customHeight="1" x14ac:dyDescent="0.25">
      <c r="A208" s="31" t="s">
        <v>5</v>
      </c>
      <c r="B208" s="3" t="s">
        <v>456</v>
      </c>
      <c r="C208" s="3" t="s">
        <v>85</v>
      </c>
      <c r="D208" s="3" t="str">
        <f ca="1">IFERROR(__xludf.DUMMYFUNCTION("GOOGLETRANSLATE(C208,""ES"",""EN"")"),"Human Resources \ Result \ Lack of specialists")</f>
        <v>Human Resources \ Result \ Lack of specialists</v>
      </c>
      <c r="E208" s="3" t="s">
        <v>460</v>
      </c>
      <c r="F208" s="3" t="str">
        <f ca="1">IFERROR(__xludf.DUMMYFUNCTION("GOOGLETRANSLATE(E208,""ES"",""EN"")"),"There is failure of them, it is not a topic to the best to say it, but remembering that there are only 30 or 33 psychiatrists registered in the fonasa, so all the rest of the people have to access private, true, particular and that because the market Free"&amp;" any consultation value.")</f>
        <v>There is failure of them, it is not a topic to the best to say it, but remembering that there are only 30 or 33 psychiatrists registered in the fonasa, so all the rest of the people have to access private, true, particular and that because the market Free any consultation value.</v>
      </c>
      <c r="G208" s="3" t="s">
        <v>461</v>
      </c>
      <c r="H208" s="28">
        <v>1.5134559019451106</v>
      </c>
      <c r="I208" s="3" t="s">
        <v>10</v>
      </c>
      <c r="J208" s="3" t="str">
        <f ca="1">IFERROR(__xludf.DUMMYFUNCTION("GOOGLETRANSLATE(I208,""ES"",""EN"")"),"Negative effects: staff does not cover the demand for care")</f>
        <v>Negative effects: staff does not cover the demand for care</v>
      </c>
      <c r="K208" s="1"/>
      <c r="L208" s="1"/>
      <c r="M208" s="1"/>
      <c r="N208" s="1"/>
      <c r="O208" s="1"/>
      <c r="P208" s="1"/>
      <c r="Q208" s="1"/>
      <c r="R208" s="1"/>
      <c r="S208" s="1"/>
      <c r="T208" s="1"/>
      <c r="U208" s="1"/>
      <c r="V208" s="1"/>
      <c r="W208" s="1"/>
      <c r="X208" s="1"/>
      <c r="Y208" s="1"/>
      <c r="Z208" s="1"/>
    </row>
    <row r="209" spans="1:26" ht="15.75" customHeight="1" x14ac:dyDescent="0.25">
      <c r="A209" s="6" t="s">
        <v>5</v>
      </c>
      <c r="B209" s="3" t="s">
        <v>462</v>
      </c>
      <c r="C209" s="3" t="s">
        <v>463</v>
      </c>
      <c r="D209" s="3" t="str">
        <f ca="1">IFERROR(__xludf.DUMMYFUNCTION("GOOGLETRANSLATE(C209,""ES"",""EN"")"),"FINANCING \ Result \ CSMC are diffuse from financing")</f>
        <v>FINANCING \ Result \ CSMC are diffuse from financing</v>
      </c>
      <c r="E209" s="3" t="s">
        <v>464</v>
      </c>
      <c r="F209" s="3" t="str">
        <f ca="1">IFERROR(__xludf.DUMMYFUNCTION("GOOGLETRANSLATE(E209,""ES"",""EN"")"),"They can explain part of the deficit that health services have all years and as they are in a bag, they are not clearly how much they are, because without knowing it in reality I imagine that it is a copy and maybe even amplified of the management problem"&amp;" And of traceability of the information that I have of the hospitals, which is a large hospital, does not know its cost. These small hospitals with which they are or small centers that are working full capacity The problem of data and management must be d"&amp;"ouble, at least. I don't know if I explain, because they have nothing, they have no capacity to do management.")</f>
        <v>They can explain part of the deficit that health services have all years and as they are in a bag, they are not clearly how much they are, because without knowing it in reality I imagine that it is a copy and maybe even amplified of the management problem And of traceability of the information that I have of the hospitals, which is a large hospital, does not know its cost. These small hospitals with which they are or small centers that are working full capacity The problem of data and management must be double, at least. I don't know if I explain, because they have nothing, they have no capacity to do management.</v>
      </c>
      <c r="G209" s="3" t="s">
        <v>465</v>
      </c>
      <c r="H209" s="28">
        <v>1.8656826568265683</v>
      </c>
      <c r="I209" s="3" t="s">
        <v>65</v>
      </c>
      <c r="J209" s="3" t="str">
        <f ca="1">IFERROR(__xludf.DUMMYFUNCTION("GOOGLETRANSLATE(I209,""ES"",""EN"")"),"Negative effect: actors do not identify a CSMC financing system")</f>
        <v>Negative effect: actors do not identify a CSMC financing system</v>
      </c>
      <c r="K209" s="1"/>
      <c r="L209" s="1"/>
      <c r="M209" s="1"/>
      <c r="N209" s="1"/>
      <c r="O209" s="1"/>
      <c r="P209" s="1"/>
      <c r="Q209" s="1"/>
      <c r="R209" s="1"/>
      <c r="S209" s="1"/>
      <c r="T209" s="1"/>
      <c r="U209" s="1"/>
      <c r="V209" s="1"/>
      <c r="W209" s="1"/>
      <c r="X209" s="1"/>
      <c r="Y209" s="1"/>
      <c r="Z209" s="1"/>
    </row>
    <row r="210" spans="1:26" ht="15.75" customHeight="1" x14ac:dyDescent="0.25">
      <c r="A210" s="6" t="s">
        <v>5</v>
      </c>
      <c r="B210" s="3" t="s">
        <v>466</v>
      </c>
      <c r="C210" s="3" t="s">
        <v>210</v>
      </c>
      <c r="D210" s="3" t="str">
        <f ca="1">IFERROR(__xludf.DUMMYFUNCTION("GOOGLETRANSLATE(C210,""ES"",""EN"")"),"FINANCING \ Result \ main achievement of financing the CSMC \ Achievement to be in the community")</f>
        <v>FINANCING \ Result \ main achievement of financing the CSMC \ Achievement to be in the community</v>
      </c>
      <c r="E210" s="3" t="s">
        <v>467</v>
      </c>
      <c r="F210" s="3" t="str">
        <f ca="1">IFERROR(__xludf.DUMMYFUNCTION("GOOGLETRANSLATE(E210,""ES"",""EN"")"),"Let's see, I believe that one of the important achievements has been to bring mental health care to communities, to people, understanding the dynamics of the particular that different territories have in our country. That is, perhaps managing to identify "&amp;"that territories feed people and people feed the territories in their particularities. Therefore, generating different health problems according to this different reality. I think that has been a tremendous, a tremendous achievement.")</f>
        <v>Let's see, I believe that one of the important achievements has been to bring mental health care to communities, to people, understanding the dynamics of the particular that different territories have in our country. That is, perhaps managing to identify that territories feed people and people feed the territories in their particularities. Therefore, generating different health problems according to this different reality. I think that has been a tremendous, a tremendous achievement.</v>
      </c>
      <c r="G210" s="3" t="s">
        <v>468</v>
      </c>
      <c r="H210" s="28">
        <v>1.4454956579640985</v>
      </c>
      <c r="I210" s="3" t="s">
        <v>213</v>
      </c>
      <c r="J210" s="3" t="str">
        <f ca="1">IFERROR(__xludf.DUMMYFUNCTION("GOOGLETRANSLATE(I210,""ES"",""EN"")"),"Better coverage, closeness and context of attention")</f>
        <v>Better coverage, closeness and context of attention</v>
      </c>
      <c r="K210" s="1"/>
      <c r="L210" s="1"/>
      <c r="M210" s="1"/>
      <c r="N210" s="1"/>
      <c r="O210" s="1"/>
      <c r="P210" s="1"/>
      <c r="Q210" s="1"/>
      <c r="R210" s="1"/>
      <c r="S210" s="1"/>
      <c r="T210" s="1"/>
      <c r="U210" s="1"/>
      <c r="V210" s="1"/>
      <c r="W210" s="1"/>
      <c r="X210" s="1"/>
      <c r="Y210" s="1"/>
      <c r="Z210" s="1"/>
    </row>
    <row r="211" spans="1:26" ht="15.75" customHeight="1" x14ac:dyDescent="0.25">
      <c r="A211" s="6" t="s">
        <v>5</v>
      </c>
      <c r="B211" s="3" t="s">
        <v>466</v>
      </c>
      <c r="C211" s="3" t="s">
        <v>469</v>
      </c>
      <c r="D211" s="3" t="str">
        <f ca="1">IFERROR(__xludf.DUMMYFUNCTION("GOOGLETRANSLATE(C211,""ES"",""EN"")"),"FINANCING \ Result \ main achievement of financing the CSMC \ higher network articulation")</f>
        <v>FINANCING \ Result \ main achievement of financing the CSMC \ higher network articulation</v>
      </c>
      <c r="E211" s="3" t="s">
        <v>470</v>
      </c>
      <c r="F211" s="3" t="str">
        <f ca="1">IFERROR(__xludf.DUMMYFUNCTION("GOOGLETRANSLATE(E211,""ES"",""EN"")"),"I also have the feeling that the network has been better to articulate, that is, to have less fragmentation. Particularly with regard to the relationship of these nodes with primary care, which provides to have a better continuity of care and say the best"&amp;", a better relationship of shared care perhaps, or equipment depending on those of users and Mental health results.")</f>
        <v>I also have the feeling that the network has been better to articulate, that is, to have less fragmentation. Particularly with regard to the relationship of these nodes with primary care, which provides to have a better continuity of care and say the best, a better relationship of shared care perhaps, or equipment depending on those of users and Mental health results.</v>
      </c>
      <c r="G211" s="3" t="s">
        <v>471</v>
      </c>
      <c r="H211" s="28">
        <v>1.1375301722942042</v>
      </c>
      <c r="I211" s="3" t="s">
        <v>213</v>
      </c>
      <c r="J211" s="3" t="str">
        <f ca="1">IFERROR(__xludf.DUMMYFUNCTION("GOOGLETRANSLATE(I211,""ES"",""EN"")"),"Better coverage, closeness and context of attention")</f>
        <v>Better coverage, closeness and context of attention</v>
      </c>
      <c r="K211" s="1"/>
      <c r="L211" s="1"/>
      <c r="M211" s="1"/>
      <c r="N211" s="1"/>
      <c r="O211" s="1"/>
      <c r="P211" s="1"/>
      <c r="Q211" s="1"/>
      <c r="R211" s="1"/>
      <c r="S211" s="1"/>
      <c r="T211" s="1"/>
      <c r="U211" s="1"/>
      <c r="V211" s="1"/>
      <c r="W211" s="1"/>
      <c r="X211" s="1"/>
      <c r="Y211" s="1"/>
      <c r="Z211" s="1"/>
    </row>
    <row r="212" spans="1:26" ht="15.75" customHeight="1" x14ac:dyDescent="0.25">
      <c r="A212" s="11" t="s">
        <v>5</v>
      </c>
      <c r="B212" s="3" t="s">
        <v>466</v>
      </c>
      <c r="C212" s="3" t="s">
        <v>216</v>
      </c>
      <c r="D212" s="3" t="str">
        <f ca="1">IFERROR(__xludf.DUMMYFUNCTION("GOOGLETRANSLATE(C212,""ES"",""EN"")"),"Benefits \ Result \ intrabox clinical benefit predominates")</f>
        <v>Benefits \ Result \ intrabox clinical benefit predominates</v>
      </c>
      <c r="E212" s="3" t="s">
        <v>472</v>
      </c>
      <c r="F212" s="3" t="str">
        <f ca="1">IFERROR(__xludf.DUMMYFUNCTION("GOOGLETRANSLATE(E212,""ES"",""EN"")"),"The most clinics, which are generally affected, have less affectation or are perhaps less or less touched by budget fluctuations. So they are the clinics, the intra box in general, which are less affected.")</f>
        <v>The most clinics, which are generally affected, have less affectation or are perhaps less or less touched by budget fluctuations. So they are the clinics, the intra box in general, which are less affected.</v>
      </c>
      <c r="G212" s="3" t="s">
        <v>473</v>
      </c>
      <c r="H212" s="28">
        <v>0.66587132036733898</v>
      </c>
      <c r="I212" s="3" t="s">
        <v>44</v>
      </c>
      <c r="J212" s="3" t="str">
        <f ca="1">IFERROR(__xludf.DUMMYFUNCTION("GOOGLETRANSLATE(I212,""ES"",""EN"")"),"Negative effects: limit the integrality and continuity of care")</f>
        <v>Negative effects: limit the integrality and continuity of care</v>
      </c>
      <c r="K212" s="1"/>
      <c r="L212" s="1"/>
      <c r="M212" s="1"/>
      <c r="N212" s="1"/>
      <c r="O212" s="1"/>
      <c r="P212" s="1"/>
      <c r="Q212" s="1"/>
      <c r="R212" s="1"/>
      <c r="S212" s="1"/>
      <c r="T212" s="1"/>
      <c r="U212" s="1"/>
      <c r="V212" s="1"/>
      <c r="W212" s="1"/>
      <c r="X212" s="1"/>
      <c r="Y212" s="1"/>
      <c r="Z212" s="1"/>
    </row>
    <row r="213" spans="1:26" ht="15.75" customHeight="1" x14ac:dyDescent="0.25">
      <c r="A213" s="11" t="s">
        <v>5</v>
      </c>
      <c r="B213" s="3" t="s">
        <v>466</v>
      </c>
      <c r="C213" s="3" t="s">
        <v>474</v>
      </c>
      <c r="D213" s="3" t="str">
        <f ca="1">IFERROR(__xludf.DUMMYFUNCTION("GOOGLETRANSLATE(C213,""ES"",""EN"")"),"Benefits \ Result \ Community benefits the most affected")</f>
        <v>Benefits \ Result \ Community benefits the most affected</v>
      </c>
      <c r="E213" s="3" t="s">
        <v>475</v>
      </c>
      <c r="F213" s="3" t="str">
        <f ca="1">IFERROR(__xludf.DUMMYFUNCTION("GOOGLETRANSLATE(E213,""ES"",""EN"")"),"And those that require greater resources, greater deployment of resources that are generally the most community, are the ones that are most affected. Sometimes also, because for example, when we generate activities, for example in the community, it is als"&amp;"o good to appear with, I do not know, with a juice or with a coffee. And sometimes those things are also super difficult to acquire. And that also of course affects, because people do not arrive or people feel no, that they have not given us enough time t"&amp;"o build space as a cozy space.")</f>
        <v>And those that require greater resources, greater deployment of resources that are generally the most community, are the ones that are most affected. Sometimes also, because for example, when we generate activities, for example in the community, it is also good to appear with, I do not know, with a juice or with a coffee. And sometimes those things are also super difficult to acquire. And that also of course affects, because people do not arrive or people feel no, that they have not given us enough time to build space as a cozy space.</v>
      </c>
      <c r="G213" s="3" t="s">
        <v>476</v>
      </c>
      <c r="H213" s="28">
        <v>1.4815636878173293</v>
      </c>
      <c r="I213" s="3" t="s">
        <v>477</v>
      </c>
      <c r="J213" s="3" t="str">
        <f ca="1">IFERROR(__xludf.DUMMYFUNCTION("GOOGLETRANSLATE(I213,""ES"",""EN"")"),"Negative effects: community activities are the most affected negatively")</f>
        <v>Negative effects: community activities are the most affected negatively</v>
      </c>
      <c r="K213" s="1"/>
      <c r="L213" s="1"/>
      <c r="M213" s="1"/>
      <c r="N213" s="1"/>
      <c r="O213" s="1"/>
      <c r="P213" s="1"/>
      <c r="Q213" s="1"/>
      <c r="R213" s="1"/>
      <c r="S213" s="1"/>
      <c r="T213" s="1"/>
      <c r="U213" s="1"/>
      <c r="V213" s="1"/>
      <c r="W213" s="1"/>
      <c r="X213" s="1"/>
      <c r="Y213" s="1"/>
      <c r="Z213" s="1"/>
    </row>
    <row r="214" spans="1:26" ht="15.75" customHeight="1" x14ac:dyDescent="0.25">
      <c r="A214" s="6" t="s">
        <v>5</v>
      </c>
      <c r="B214" s="3" t="s">
        <v>466</v>
      </c>
      <c r="C214" s="3" t="s">
        <v>48</v>
      </c>
      <c r="D214" s="3" t="str">
        <f ca="1">IFERROR(__xludf.DUMMYFUNCTION("GOOGLETRANSLATE(C214,""ES"",""EN"")"),"Financing \ Result \ Retrings in the Community Model")</f>
        <v>Financing \ Result \ Retrings in the Community Model</v>
      </c>
      <c r="E214" s="3" t="s">
        <v>478</v>
      </c>
      <c r="F214" s="3" t="str">
        <f ca="1">IFERROR(__xludf.DUMMYFUNCTION("GOOGLETRANSLATE(E214,""ES"",""EN"")"),"For example, our psychiatric hospital today is absolutely fragmented from the network. He is a psychiatric first and maintains some monovalence characteristics, but on the other hand he also has one, this ministerial limbo among psychiatric hospitals, whi"&amp;"ch is a tremendous issue, because we. I insist fed up with the ministry we have, people travel there and I would like anyone who were in general hospitals, but that does not happen there are there and are cold. And if suddenly they expect a hospitalized p"&amp;"erson in a week, no, he does not talk with a psychologist, as a tremendous. And that lack of resources also makes this tension super fragmented the rest of the network.")</f>
        <v>For example, our psychiatric hospital today is absolutely fragmented from the network. He is a psychiatric first and maintains some monovalence characteristics, but on the other hand he also has one, this ministerial limbo among psychiatric hospitals, which is a tremendous issue, because we. I insist fed up with the ministry we have, people travel there and I would like anyone who were in general hospitals, but that does not happen there are there and are cold. And if suddenly they expect a hospitalized person in a week, no, he does not talk with a psychologist, as a tremendous. And that lack of resources also makes this tension super fragmented the rest of the network.</v>
      </c>
      <c r="G214" s="3" t="s">
        <v>479</v>
      </c>
      <c r="H214" s="28">
        <v>1.994839497267153</v>
      </c>
      <c r="I214" s="3" t="s">
        <v>51</v>
      </c>
      <c r="J214" s="3" t="str">
        <f ca="1">IFERROR(__xludf.DUMMYFUNCTION("GOOGLETRANSLATE(I214,""ES"",""EN"")"),"Negative effect: CSMC financing logics do not stimulate the implementation of the community mental health model.")</f>
        <v>Negative effect: CSMC financing logics do not stimulate the implementation of the community mental health model.</v>
      </c>
      <c r="K214" s="1"/>
      <c r="L214" s="1"/>
      <c r="M214" s="1"/>
      <c r="N214" s="1"/>
      <c r="O214" s="1"/>
      <c r="P214" s="1"/>
      <c r="Q214" s="1"/>
      <c r="R214" s="1"/>
      <c r="S214" s="1"/>
      <c r="T214" s="1"/>
      <c r="U214" s="1"/>
      <c r="V214" s="1"/>
      <c r="W214" s="1"/>
      <c r="X214" s="1"/>
      <c r="Y214" s="1"/>
      <c r="Z214" s="1"/>
    </row>
    <row r="215" spans="1:26" ht="15.75" customHeight="1" x14ac:dyDescent="0.25">
      <c r="A215" s="6" t="s">
        <v>5</v>
      </c>
      <c r="B215" s="3" t="s">
        <v>466</v>
      </c>
      <c r="C215" s="3" t="s">
        <v>48</v>
      </c>
      <c r="D215" s="3" t="str">
        <f ca="1">IFERROR(__xludf.DUMMYFUNCTION("GOOGLETRANSLATE(C215,""ES"",""EN"")"),"Financing \ Result \ Retrings in the Community Model")</f>
        <v>Financing \ Result \ Retrings in the Community Model</v>
      </c>
      <c r="E215" s="3" t="s">
        <v>480</v>
      </c>
      <c r="F215" s="3" t="str">
        <f ca="1">IFERROR(__xludf.DUMMYFUNCTION("GOOGLETRANSLATE(E215,""ES"",""EN"")"),"For example, when we generate non -voluntary hospitalizations, administrative hospitalizations, because sometimes the rest of the network does not have the slightest idea that its user returned to their community, either to the Cosam device or in the back"&amp;"ground the primary care node , but not many times that we do not know why the hospital never reported, basically because it does not have how to do it. Hence the fragmentation is deep and clear, in the background we cannot generate continuity of care.")</f>
        <v>For example, when we generate non -voluntary hospitalizations, administrative hospitalizations, because sometimes the rest of the network does not have the slightest idea that its user returned to their community, either to the Cosam device or in the background the primary care node , but not many times that we do not know why the hospital never reported, basically because it does not have how to do it. Hence the fragmentation is deep and clear, in the background we cannot generate continuity of care.</v>
      </c>
      <c r="G215" s="3" t="s">
        <v>481</v>
      </c>
      <c r="H215" s="28">
        <v>1.3983297727714119</v>
      </c>
      <c r="I215" s="3" t="s">
        <v>51</v>
      </c>
      <c r="J215" s="3" t="str">
        <f ca="1">IFERROR(__xludf.DUMMYFUNCTION("GOOGLETRANSLATE(I215,""ES"",""EN"")"),"Negative effect: CSMC financing logics do not stimulate the implementation of the community mental health model.")</f>
        <v>Negative effect: CSMC financing logics do not stimulate the implementation of the community mental health model.</v>
      </c>
      <c r="K215" s="1"/>
      <c r="L215" s="1"/>
      <c r="M215" s="1"/>
      <c r="N215" s="1"/>
      <c r="O215" s="1"/>
      <c r="P215" s="1"/>
      <c r="Q215" s="1"/>
      <c r="R215" s="1"/>
      <c r="S215" s="1"/>
      <c r="T215" s="1"/>
      <c r="U215" s="1"/>
      <c r="V215" s="1"/>
      <c r="W215" s="1"/>
      <c r="X215" s="1"/>
      <c r="Y215" s="1"/>
      <c r="Z215" s="1"/>
    </row>
    <row r="216" spans="1:26" ht="15.75" customHeight="1" x14ac:dyDescent="0.25">
      <c r="A216" s="11" t="s">
        <v>5</v>
      </c>
      <c r="B216" s="3" t="s">
        <v>466</v>
      </c>
      <c r="C216" s="3" t="s">
        <v>474</v>
      </c>
      <c r="D216" s="3" t="str">
        <f ca="1">IFERROR(__xludf.DUMMYFUNCTION("GOOGLETRANSLATE(C216,""ES"",""EN"")"),"Benefits \ Result \ Community benefits the most affected")</f>
        <v>Benefits \ Result \ Community benefits the most affected</v>
      </c>
      <c r="E216" s="3" t="s">
        <v>482</v>
      </c>
      <c r="F216" s="3" t="str">
        <f ca="1">IFERROR(__xludf.DUMMYFUNCTION("GOOGLETRANSLATE(E216,""ES"",""EN"")"),"For example, we recently ago, in one of San Antonio's outpatient mental health devices, which I do not like to say that they are Cosam because I am an enemy of euphemisms and the things that are called but are not. So there, for example, given the lack of"&amp;" resources, or given the change of no longer having some things as in security, the decision was made, for example, to suspend mental health consultancies towards the surrounding communes for six or seven months . That means that for six or seven months p"&amp;"rimary care made the endurance with cases of complexity that does not correspond to resolve. So, that tremendously affects the team and also because it occurs as a thing that there is responsibility between team and actually the responsibility is of decis"&amp;"ion makers.")</f>
        <v>For example, we recently ago, in one of San Antonio's outpatient mental health devices, which I do not like to say that they are Cosam because I am an enemy of euphemisms and the things that are called but are not. So there, for example, given the lack of resources, or given the change of no longer having some things as in security, the decision was made, for example, to suspend mental health consultancies towards the surrounding communes for six or seven months . That means that for six or seven months primary care made the endurance with cases of complexity that does not correspond to resolve. So, that tremendously affects the team and also because it occurs as a thing that there is responsibility between team and actually the responsibility is of decision makers.</v>
      </c>
      <c r="G216" s="3" t="s">
        <v>483</v>
      </c>
      <c r="H216" s="28">
        <v>2.2556390977443606</v>
      </c>
      <c r="I216" s="3" t="s">
        <v>477</v>
      </c>
      <c r="J216" s="3" t="str">
        <f ca="1">IFERROR(__xludf.DUMMYFUNCTION("GOOGLETRANSLATE(I216,""ES"",""EN"")"),"Negative effects: community activities are the most affected negatively")</f>
        <v>Negative effects: community activities are the most affected negatively</v>
      </c>
      <c r="K216" s="1"/>
      <c r="L216" s="1"/>
      <c r="M216" s="1"/>
      <c r="N216" s="1"/>
      <c r="O216" s="1"/>
      <c r="P216" s="1"/>
      <c r="Q216" s="1"/>
      <c r="R216" s="1"/>
      <c r="S216" s="1"/>
      <c r="T216" s="1"/>
      <c r="U216" s="1"/>
      <c r="V216" s="1"/>
      <c r="W216" s="1"/>
      <c r="X216" s="1"/>
      <c r="Y216" s="1"/>
      <c r="Z216" s="1"/>
    </row>
    <row r="217" spans="1:26" ht="15.75" customHeight="1" x14ac:dyDescent="0.25">
      <c r="A217" s="11" t="s">
        <v>5</v>
      </c>
      <c r="B217" s="3" t="s">
        <v>466</v>
      </c>
      <c r="C217" s="3" t="s">
        <v>474</v>
      </c>
      <c r="D217" s="3" t="str">
        <f ca="1">IFERROR(__xludf.DUMMYFUNCTION("GOOGLETRANSLATE(C217,""ES"",""EN"")"),"Benefits \ Result \ Community benefits the most affected")</f>
        <v>Benefits \ Result \ Community benefits the most affected</v>
      </c>
      <c r="E217" s="3" t="s">
        <v>484</v>
      </c>
      <c r="F217" s="3" t="str">
        <f ca="1">IFERROR(__xludf.DUMMYFUNCTION("GOOGLETRANSLATE(E217,""ES"",""EN"")"),"Within the action guidelines, community participation as a framework, as an axis too relevant, is little incorporated into the budgets, is also little incorporated into the goods, in the services they are given, they are given purchase.")</f>
        <v>Within the action guidelines, community participation as a framework, as an axis too relevant, is little incorporated into the budgets, is also little incorporated into the goods, in the services they are given, they are given purchase.</v>
      </c>
      <c r="G217" s="3" t="s">
        <v>485</v>
      </c>
      <c r="H217" s="28">
        <v>0.71581166939488938</v>
      </c>
      <c r="I217" s="3" t="s">
        <v>477</v>
      </c>
      <c r="J217" s="3" t="str">
        <f ca="1">IFERROR(__xludf.DUMMYFUNCTION("GOOGLETRANSLATE(I217,""ES"",""EN"")"),"Negative effects: community activities are the most affected negatively")</f>
        <v>Negative effects: community activities are the most affected negatively</v>
      </c>
      <c r="K217" s="1"/>
      <c r="L217" s="1"/>
      <c r="M217" s="1"/>
      <c r="N217" s="1"/>
      <c r="O217" s="1"/>
      <c r="P217" s="1"/>
      <c r="Q217" s="1"/>
      <c r="R217" s="1"/>
      <c r="S217" s="1"/>
      <c r="T217" s="1"/>
      <c r="U217" s="1"/>
      <c r="V217" s="1"/>
      <c r="W217" s="1"/>
      <c r="X217" s="1"/>
      <c r="Y217" s="1"/>
      <c r="Z217" s="1"/>
    </row>
    <row r="218" spans="1:26" ht="15.75" customHeight="1" x14ac:dyDescent="0.25">
      <c r="A218" s="11" t="s">
        <v>5</v>
      </c>
      <c r="B218" s="3" t="s">
        <v>466</v>
      </c>
      <c r="C218" s="3" t="s">
        <v>474</v>
      </c>
      <c r="D218" s="3" t="str">
        <f ca="1">IFERROR(__xludf.DUMMYFUNCTION("GOOGLETRANSLATE(C218,""ES"",""EN"")"),"Benefits \ Result \ Community benefits the most affected")</f>
        <v>Benefits \ Result \ Community benefits the most affected</v>
      </c>
      <c r="E218" s="3" t="s">
        <v>486</v>
      </c>
      <c r="F218" s="3" t="str">
        <f ca="1">IFERROR(__xludf.DUMMYFUNCTION("GOOGLETRANSLATE(E218,""ES"",""EN"")"),"For example, here at the Cosam ""Domingo Asún"", we have had an interesting experience and where we have been able to do things with users with resources, but I would tell you that it is like a very particular experience and in general the participation o"&amp;"f the users It is relegated, it has no competitive budget.")</f>
        <v>For example, here at the Cosam "Domingo Asún", we have had an interesting experience and where we have been able to do things with users with resources, but I would tell you that it is like a very particular experience and in general the participation of the users It is relegated, it has no competitive budget.</v>
      </c>
      <c r="G218" s="3" t="s">
        <v>487</v>
      </c>
      <c r="H218" s="28">
        <v>0.90170074633077157</v>
      </c>
      <c r="I218" s="3" t="s">
        <v>477</v>
      </c>
      <c r="J218" s="3" t="str">
        <f ca="1">IFERROR(__xludf.DUMMYFUNCTION("GOOGLETRANSLATE(I218,""ES"",""EN"")"),"Negative effects: community activities are the most affected negatively")</f>
        <v>Negative effects: community activities are the most affected negatively</v>
      </c>
      <c r="K218" s="1"/>
      <c r="L218" s="1"/>
      <c r="M218" s="1"/>
      <c r="N218" s="1"/>
      <c r="O218" s="1"/>
      <c r="P218" s="1"/>
      <c r="Q218" s="1"/>
      <c r="R218" s="1"/>
      <c r="S218" s="1"/>
      <c r="T218" s="1"/>
      <c r="U218" s="1"/>
      <c r="V218" s="1"/>
      <c r="W218" s="1"/>
      <c r="X218" s="1"/>
      <c r="Y218" s="1"/>
      <c r="Z218" s="1"/>
    </row>
    <row r="219" spans="1:26" ht="15.75" customHeight="1" x14ac:dyDescent="0.25">
      <c r="A219" s="11" t="s">
        <v>5</v>
      </c>
      <c r="B219" s="3" t="s">
        <v>466</v>
      </c>
      <c r="C219" s="3" t="s">
        <v>474</v>
      </c>
      <c r="D219" s="3" t="str">
        <f ca="1">IFERROR(__xludf.DUMMYFUNCTION("GOOGLETRANSLATE(C219,""ES"",""EN"")"),"Benefits \ Result \ Community benefits the most affected")</f>
        <v>Benefits \ Result \ Community benefits the most affected</v>
      </c>
      <c r="E219" s="3" t="s">
        <v>488</v>
      </c>
      <c r="F219" s="3" t="str">
        <f ca="1">IFERROR(__xludf.DUMMYFUNCTION("GOOGLETRANSLATE(E219,""ES"",""EN"")"),"For example, the funds of alcoholism and mental health centers, which for us are six million pesos in the year, but quite a little and that in general we try to distribute among as many organizations as possible. Then they are 500 Lucas projects, they are"&amp;" small projects, but that makes people a lot of sense.")</f>
        <v>For example, the funds of alcoholism and mental health centers, which for us are six million pesos in the year, but quite a little and that in general we try to distribute among as many organizations as possible. Then they are 500 Lucas projects, they are small projects, but that makes people a lot of sense.</v>
      </c>
      <c r="G219" s="3" t="s">
        <v>421</v>
      </c>
      <c r="H219" s="28">
        <v>0.95996448686291369</v>
      </c>
      <c r="I219" s="3" t="s">
        <v>477</v>
      </c>
      <c r="J219" s="3" t="str">
        <f ca="1">IFERROR(__xludf.DUMMYFUNCTION("GOOGLETRANSLATE(I219,""ES"",""EN"")"),"Negative effects: community activities are the most affected negatively")</f>
        <v>Negative effects: community activities are the most affected negatively</v>
      </c>
      <c r="K219" s="1"/>
      <c r="L219" s="1"/>
      <c r="M219" s="1"/>
      <c r="N219" s="1"/>
      <c r="O219" s="1"/>
      <c r="P219" s="1"/>
      <c r="Q219" s="1"/>
      <c r="R219" s="1"/>
      <c r="S219" s="1"/>
      <c r="T219" s="1"/>
      <c r="U219" s="1"/>
      <c r="V219" s="1"/>
      <c r="W219" s="1"/>
      <c r="X219" s="1"/>
      <c r="Y219" s="1"/>
      <c r="Z219" s="1"/>
    </row>
    <row r="220" spans="1:26" ht="15.75" customHeight="1" x14ac:dyDescent="0.25">
      <c r="A220" s="11" t="s">
        <v>5</v>
      </c>
      <c r="B220" s="3" t="s">
        <v>466</v>
      </c>
      <c r="C220" s="3" t="s">
        <v>474</v>
      </c>
      <c r="D220" s="3" t="str">
        <f ca="1">IFERROR(__xludf.DUMMYFUNCTION("GOOGLETRANSLATE(C220,""ES"",""EN"")"),"Benefits \ Result \ Community benefits the most affected")</f>
        <v>Benefits \ Result \ Community benefits the most affected</v>
      </c>
      <c r="E220" s="3" t="s">
        <v>489</v>
      </c>
      <c r="F220" s="3" t="str">
        <f ca="1">IFERROR(__xludf.DUMMYFUNCTION("GOOGLETRANSLATE(E220,""ES"",""EN"")"),"Now also precisely with those projects that are, which are funds that have a more free disposition we have often had to solve gaps in the system, for example, in San Antonio the professionals died of cold because they had no stoves. Then the teams talked "&amp;"to user organizations for users to compete to obtain these funds, to buy the stove and not to be cold. Yes, because there was no financing associated with subtitle 29 to give purchase to the stove and there was not much availability to make a purchase of "&amp;"air conditioning system.")</f>
        <v>Now also precisely with those projects that are, which are funds that have a more free disposition we have often had to solve gaps in the system, for example, in San Antonio the professionals died of cold because they had no stoves. Then the teams talked to user organizations for users to compete to obtain these funds, to buy the stove and not to be cold. Yes, because there was no financing associated with subtitle 29 to give purchase to the stove and there was not much availability to make a purchase of air conditioning system.</v>
      </c>
      <c r="G220" s="3" t="s">
        <v>490</v>
      </c>
      <c r="H220" s="28">
        <v>1.7368143606248092</v>
      </c>
      <c r="I220" s="3" t="s">
        <v>477</v>
      </c>
      <c r="J220" s="3" t="str">
        <f ca="1">IFERROR(__xludf.DUMMYFUNCTION("GOOGLETRANSLATE(I220,""ES"",""EN"")"),"Negative effects: community activities are the most affected negatively")</f>
        <v>Negative effects: community activities are the most affected negatively</v>
      </c>
      <c r="K220" s="1"/>
      <c r="L220" s="1"/>
      <c r="M220" s="1"/>
      <c r="N220" s="1"/>
      <c r="O220" s="1"/>
      <c r="P220" s="1"/>
      <c r="Q220" s="1"/>
      <c r="R220" s="1"/>
      <c r="S220" s="1"/>
      <c r="T220" s="1"/>
      <c r="U220" s="1"/>
      <c r="V220" s="1"/>
      <c r="W220" s="1"/>
      <c r="X220" s="1"/>
      <c r="Y220" s="1"/>
      <c r="Z220" s="1"/>
    </row>
    <row r="221" spans="1:26" ht="15.75" customHeight="1" x14ac:dyDescent="0.25">
      <c r="A221" s="12" t="s">
        <v>5</v>
      </c>
      <c r="B221" s="3" t="s">
        <v>466</v>
      </c>
      <c r="C221" s="3" t="s">
        <v>491</v>
      </c>
      <c r="D221" s="3" t="str">
        <f ca="1">IFERROR(__xludf.DUMMYFUNCTION("GOOGLETRANSLATE(C221,""ES"",""EN"")"),"Governance \ Result \ Community ends up being irrelevant")</f>
        <v>Governance \ Result \ Community ends up being irrelevant</v>
      </c>
      <c r="E221" s="3" t="s">
        <v>492</v>
      </c>
      <c r="F221" s="3" t="str">
        <f ca="1">IFERROR(__xludf.DUMMYFUNCTION("GOOGLETRANSLATE(E221,""ES"",""EN"")"),"I would tell you that the source of community participation or participation of users, perhaps what second has greater benefits is precisely the participation or intersectoral relationship.")</f>
        <v>I would tell you that the source of community participation or participation of users, perhaps what second has greater benefits is precisely the participation or intersectoral relationship.</v>
      </c>
      <c r="G221" s="3" t="s">
        <v>493</v>
      </c>
      <c r="H221" s="28">
        <v>0.55211830313791865</v>
      </c>
      <c r="I221" s="3" t="s">
        <v>494</v>
      </c>
      <c r="J221" s="3" t="str">
        <f ca="1">IFERROR(__xludf.DUMMYFUNCTION("GOOGLETRANSLATE(I221,""ES"",""EN"")"),"Negative effect: participation ends up being less relevant")</f>
        <v>Negative effect: participation ends up being less relevant</v>
      </c>
      <c r="K221" s="1"/>
      <c r="L221" s="1"/>
      <c r="M221" s="1"/>
      <c r="N221" s="1"/>
      <c r="O221" s="1"/>
      <c r="P221" s="1"/>
      <c r="Q221" s="1"/>
      <c r="R221" s="1"/>
      <c r="S221" s="1"/>
      <c r="T221" s="1"/>
      <c r="U221" s="1"/>
      <c r="V221" s="1"/>
      <c r="W221" s="1"/>
      <c r="X221" s="1"/>
      <c r="Y221" s="1"/>
      <c r="Z221" s="1"/>
    </row>
    <row r="222" spans="1:26" ht="15.75" customHeight="1" x14ac:dyDescent="0.25">
      <c r="A222" s="12" t="s">
        <v>5</v>
      </c>
      <c r="B222" s="3" t="s">
        <v>466</v>
      </c>
      <c r="C222" s="3" t="s">
        <v>491</v>
      </c>
      <c r="D222" s="3" t="str">
        <f ca="1">IFERROR(__xludf.DUMMYFUNCTION("GOOGLETRANSLATE(C222,""ES"",""EN"")"),"Governance \ Result \ Community ends up being irrelevant")</f>
        <v>Governance \ Result \ Community ends up being irrelevant</v>
      </c>
      <c r="E222" s="3" t="s">
        <v>495</v>
      </c>
      <c r="F222" s="3" t="str">
        <f ca="1">IFERROR(__xludf.DUMMYFUNCTION("GOOGLETRANSLATE(E222,""ES"",""EN"")"),"But I also believe that there is something that is not only a budget, but it is also as rather of a thought model and it is like in the end, that the centers happen that instead of feeling part of the community, They feel an intervening entity of the comm"&amp;"unity and the intersector. Then, deep down, there are many times an action that rather tends to do, such as modeling or modulating the action of another sector, rather than trying to generate joint activities.")</f>
        <v>But I also believe that there is something that is not only a budget, but it is also as rather of a thought model and it is like in the end, that the centers happen that instead of feeling part of the community, They feel an intervening entity of the community and the intersector. Then, deep down, there are many times an action that rather tends to do, such as modeling or modulating the action of another sector, rather than trying to generate joint activities.</v>
      </c>
      <c r="G222" s="3" t="s">
        <v>496</v>
      </c>
      <c r="H222" s="28">
        <v>1.3705851344227729</v>
      </c>
      <c r="I222" s="3" t="s">
        <v>494</v>
      </c>
      <c r="J222" s="3" t="str">
        <f ca="1">IFERROR(__xludf.DUMMYFUNCTION("GOOGLETRANSLATE(I222,""ES"",""EN"")"),"Negative effect: participation ends up being less relevant")</f>
        <v>Negative effect: participation ends up being less relevant</v>
      </c>
      <c r="K222" s="1"/>
      <c r="L222" s="1"/>
      <c r="M222" s="1"/>
      <c r="N222" s="1"/>
      <c r="O222" s="1"/>
      <c r="P222" s="1"/>
      <c r="Q222" s="1"/>
      <c r="R222" s="1"/>
      <c r="S222" s="1"/>
      <c r="T222" s="1"/>
      <c r="U222" s="1"/>
      <c r="V222" s="1"/>
      <c r="W222" s="1"/>
      <c r="X222" s="1"/>
      <c r="Y222" s="1"/>
      <c r="Z222" s="1"/>
    </row>
    <row r="223" spans="1:26" ht="15.75" customHeight="1" x14ac:dyDescent="0.25">
      <c r="A223" s="11" t="s">
        <v>5</v>
      </c>
      <c r="B223" s="3" t="s">
        <v>466</v>
      </c>
      <c r="C223" s="3" t="s">
        <v>474</v>
      </c>
      <c r="D223" s="3" t="str">
        <f ca="1">IFERROR(__xludf.DUMMYFUNCTION("GOOGLETRANSLATE(C223,""ES"",""EN"")"),"Benefits \ Result \ Community benefits the most affected")</f>
        <v>Benefits \ Result \ Community benefits the most affected</v>
      </c>
      <c r="E223" s="3" t="s">
        <v>497</v>
      </c>
      <c r="F223" s="3" t="str">
        <f ca="1">IFERROR(__xludf.DUMMYFUNCTION("GOOGLETRANSLATE(E223,""ES"",""EN"")"),"And that is also affected, because the truth is that the, this type, activities, for example, that we have with the intersector are generally in camaraderie contexts, labor relations, work meetings. That is also the ones that look closely below the budget"&amp;".")</f>
        <v>And that is also affected, because the truth is that the, this type, activities, for example, that we have with the intersector are generally in camaraderie contexts, labor relations, work meetings. That is also the ones that look closely below the budget.</v>
      </c>
      <c r="G223" s="3" t="s">
        <v>498</v>
      </c>
      <c r="H223" s="28">
        <v>0.8129179036151265</v>
      </c>
      <c r="I223" s="3" t="s">
        <v>477</v>
      </c>
      <c r="J223" s="3" t="str">
        <f ca="1">IFERROR(__xludf.DUMMYFUNCTION("GOOGLETRANSLATE(I223,""ES"",""EN"")"),"Negative effects: community activities are the most affected negatively")</f>
        <v>Negative effects: community activities are the most affected negatively</v>
      </c>
      <c r="K223" s="1"/>
      <c r="L223" s="1"/>
      <c r="M223" s="1"/>
      <c r="N223" s="1"/>
      <c r="O223" s="1"/>
      <c r="P223" s="1"/>
      <c r="Q223" s="1"/>
      <c r="R223" s="1"/>
      <c r="S223" s="1"/>
      <c r="T223" s="1"/>
      <c r="U223" s="1"/>
      <c r="V223" s="1"/>
      <c r="W223" s="1"/>
      <c r="X223" s="1"/>
      <c r="Y223" s="1"/>
      <c r="Z223" s="1"/>
    </row>
    <row r="224" spans="1:26" ht="15.75" customHeight="1" x14ac:dyDescent="0.25">
      <c r="A224" s="2" t="s">
        <v>5</v>
      </c>
      <c r="B224" s="3" t="s">
        <v>466</v>
      </c>
      <c r="C224" s="3" t="s">
        <v>66</v>
      </c>
      <c r="D224" s="3" t="str">
        <f ca="1">IFERROR(__xludf.DUMMYFUNCTION("GOOGLETRANSLATE(C224,""ES"",""EN"")"),"HUMAN RESOURCES \ Result \ resignation of experienced professionals")</f>
        <v>HUMAN RESOURCES \ Result \ resignation of experienced professionals</v>
      </c>
      <c r="E224" s="3" t="s">
        <v>499</v>
      </c>
      <c r="F224" s="3" t="str">
        <f ca="1">IFERROR(__xludf.DUMMYFUNCTION("GOOGLETRANSLATE(E224,""ES"",""EN"")"),"I believe that when we work in mental health, we cannot, we need, we cannot be an employment agency in a public system, starting for that, we cannot generate professionals and after those professionals go out to the private or to another system that can r"&amp;"emunerate them better.")</f>
        <v>I believe that when we work in mental health, we cannot, we need, we cannot be an employment agency in a public system, starting for that, we cannot generate professionals and after those professionals go out to the private or to another system that can remunerate them better.</v>
      </c>
      <c r="G224" s="3" t="s">
        <v>203</v>
      </c>
      <c r="H224" s="28">
        <v>0.82679022278944592</v>
      </c>
      <c r="I224" s="3" t="s">
        <v>21</v>
      </c>
      <c r="J224" s="3" t="str">
        <f ca="1">IFERROR(__xludf.DUMMYFUNCTION("GOOGLETRANSLATE(I224,""ES"",""EN"")"),"Negative effects: high rotation of professionals")</f>
        <v>Negative effects: high rotation of professionals</v>
      </c>
      <c r="K224" s="1"/>
      <c r="L224" s="1"/>
      <c r="M224" s="1"/>
      <c r="N224" s="1"/>
      <c r="O224" s="1"/>
      <c r="P224" s="1"/>
      <c r="Q224" s="1"/>
      <c r="R224" s="1"/>
      <c r="S224" s="1"/>
      <c r="T224" s="1"/>
      <c r="U224" s="1"/>
      <c r="V224" s="1"/>
      <c r="W224" s="1"/>
      <c r="X224" s="1"/>
      <c r="Y224" s="1"/>
      <c r="Z224" s="1"/>
    </row>
    <row r="225" spans="1:26" ht="15.75" customHeight="1" x14ac:dyDescent="0.25">
      <c r="A225" s="6" t="s">
        <v>5</v>
      </c>
      <c r="B225" s="3" t="s">
        <v>466</v>
      </c>
      <c r="C225" s="3" t="s">
        <v>388</v>
      </c>
      <c r="D225" s="3" t="str">
        <f ca="1">IFERROR(__xludf.DUMMYFUNCTION("GOOGLETRANSLATE(C225,""ES"",""EN"")"),"FINANCING \ RESULT \ SYSTEM IS FINISHED")</f>
        <v>FINANCING \ RESULT \ SYSTEM IS FINISHED</v>
      </c>
      <c r="E225" s="3" t="s">
        <v>500</v>
      </c>
      <c r="F225" s="3" t="str">
        <f ca="1">IFERROR(__xludf.DUMMYFUNCTION("GOOGLETRANSLATE(E225,""ES"",""EN"")"),"Much more, much more assertive, much more focused on recovery. But that with what there is today is absolutely impossible. Then we end up as in a loop where we are in the same, deep down. And no, we cannot advance because we don't have enough resources to"&amp;" move forward.")</f>
        <v>Much more, much more assertive, much more focused on recovery. But that with what there is today is absolutely impossible. Then we end up as in a loop where we are in the same, deep down. And no, we cannot advance because we don't have enough resources to move forward.</v>
      </c>
      <c r="G225" s="3" t="s">
        <v>38</v>
      </c>
      <c r="H225" s="28">
        <v>0.80736897594539858</v>
      </c>
      <c r="I225" s="3" t="s">
        <v>65</v>
      </c>
      <c r="J225" s="3" t="str">
        <f ca="1">IFERROR(__xludf.DUMMYFUNCTION("GOOGLETRANSLATE(I225,""ES"",""EN"")"),"Negative effect: actors do not identify a CSMC financing system")</f>
        <v>Negative effect: actors do not identify a CSMC financing system</v>
      </c>
      <c r="K225" s="1"/>
      <c r="L225" s="1"/>
      <c r="M225" s="1"/>
      <c r="N225" s="1"/>
      <c r="O225" s="1"/>
      <c r="P225" s="1"/>
      <c r="Q225" s="1"/>
      <c r="R225" s="1"/>
      <c r="S225" s="1"/>
      <c r="T225" s="1"/>
      <c r="U225" s="1"/>
      <c r="V225" s="1"/>
      <c r="W225" s="1"/>
      <c r="X225" s="1"/>
      <c r="Y225" s="1"/>
      <c r="Z225" s="1"/>
    </row>
    <row r="226" spans="1:26" ht="15.75" customHeight="1" x14ac:dyDescent="0.25">
      <c r="A226" s="6" t="s">
        <v>5</v>
      </c>
      <c r="B226" s="3" t="s">
        <v>501</v>
      </c>
      <c r="C226" s="3" t="s">
        <v>463</v>
      </c>
      <c r="D226" s="3" t="str">
        <f ca="1">IFERROR(__xludf.DUMMYFUNCTION("GOOGLETRANSLATE(C226,""ES"",""EN"")"),"FINANCING \ Result \ CSMC are diffuse from financing")</f>
        <v>FINANCING \ Result \ CSMC are diffuse from financing</v>
      </c>
      <c r="E226" s="3" t="s">
        <v>502</v>
      </c>
      <c r="F226" s="3" t="str">
        <f ca="1">IFERROR(__xludf.DUMMYFUNCTION("GOOGLETRANSLATE(E226,""ES"",""EN"")"),"They are diffuse, they are diffuse, it is known that they exist. But I think no, they do not take, they do not take, they are not part of a much more global strategy, in my opinion. And seen this I mean, I want to refer exclusively to the financing trial.")</f>
        <v>They are diffuse, they are diffuse, it is known that they exist. But I think no, they do not take, they do not take, they are not part of a much more global strategy, in my opinion. And seen this I mean, I want to refer exclusively to the financing trial.</v>
      </c>
      <c r="G226" s="3" t="s">
        <v>209</v>
      </c>
      <c r="H226" s="28">
        <v>0.54942496624295756</v>
      </c>
      <c r="I226" s="3" t="s">
        <v>65</v>
      </c>
      <c r="J226" s="3" t="str">
        <f ca="1">IFERROR(__xludf.DUMMYFUNCTION("GOOGLETRANSLATE(I226,""ES"",""EN"")"),"Negative effect: actors do not identify a CSMC financing system")</f>
        <v>Negative effect: actors do not identify a CSMC financing system</v>
      </c>
      <c r="K226" s="1"/>
      <c r="L226" s="1"/>
      <c r="M226" s="1"/>
      <c r="N226" s="1"/>
      <c r="O226" s="1"/>
      <c r="P226" s="1"/>
      <c r="Q226" s="1"/>
      <c r="R226" s="1"/>
      <c r="S226" s="1"/>
      <c r="T226" s="1"/>
      <c r="U226" s="1"/>
      <c r="V226" s="1"/>
      <c r="W226" s="1"/>
      <c r="X226" s="1"/>
      <c r="Y226" s="1"/>
      <c r="Z226" s="1"/>
    </row>
    <row r="227" spans="1:26" ht="15.75" customHeight="1" x14ac:dyDescent="0.25">
      <c r="A227" s="6" t="s">
        <v>5</v>
      </c>
      <c r="B227" s="3" t="s">
        <v>501</v>
      </c>
      <c r="C227" s="3" t="s">
        <v>463</v>
      </c>
      <c r="D227" s="3" t="str">
        <f ca="1">IFERROR(__xludf.DUMMYFUNCTION("GOOGLETRANSLATE(C227,""ES"",""EN"")"),"FINANCING \ Result \ CSMC are diffuse from financing")</f>
        <v>FINANCING \ Result \ CSMC are diffuse from financing</v>
      </c>
      <c r="E227" s="3" t="s">
        <v>503</v>
      </c>
      <c r="F227" s="3" t="str">
        <f ca="1">IFERROR(__xludf.DUMMYFUNCTION("GOOGLETRANSLATE(E227,""ES"",""EN"")"),"A more global strategy, more medium and long term, not true, and more and more evolutionary. I mean, not true as we start.")</f>
        <v>A more global strategy, more medium and long term, not true, and more and more evolutionary. I mean, not true as we start.</v>
      </c>
      <c r="G227" s="3" t="s">
        <v>504</v>
      </c>
      <c r="H227" s="28">
        <v>0.30032127392093866</v>
      </c>
      <c r="I227" s="3" t="s">
        <v>65</v>
      </c>
      <c r="J227" s="3" t="str">
        <f ca="1">IFERROR(__xludf.DUMMYFUNCTION("GOOGLETRANSLATE(I227,""ES"",""EN"")"),"Negative effect: actors do not identify a CSMC financing system")</f>
        <v>Negative effect: actors do not identify a CSMC financing system</v>
      </c>
      <c r="K227" s="1"/>
      <c r="L227" s="1"/>
      <c r="M227" s="1"/>
      <c r="N227" s="1"/>
      <c r="O227" s="1"/>
      <c r="P227" s="1"/>
      <c r="Q227" s="1"/>
      <c r="R227" s="1"/>
      <c r="S227" s="1"/>
      <c r="T227" s="1"/>
      <c r="U227" s="1"/>
      <c r="V227" s="1"/>
      <c r="W227" s="1"/>
      <c r="X227" s="1"/>
      <c r="Y227" s="1"/>
      <c r="Z227" s="1"/>
    </row>
    <row r="228" spans="1:26" ht="15.75" customHeight="1" x14ac:dyDescent="0.25">
      <c r="A228" s="6" t="s">
        <v>5</v>
      </c>
      <c r="B228" s="3" t="s">
        <v>501</v>
      </c>
      <c r="C228" s="3" t="s">
        <v>463</v>
      </c>
      <c r="D228" s="3" t="str">
        <f ca="1">IFERROR(__xludf.DUMMYFUNCTION("GOOGLETRANSLATE(C228,""ES"",""EN"")"),"FINANCING \ Result \ CSMC are diffuse from financing")</f>
        <v>FINANCING \ Result \ CSMC are diffuse from financing</v>
      </c>
      <c r="E228" s="3" t="s">
        <v>505</v>
      </c>
      <c r="F228" s="3" t="str">
        <f ca="1">IFERROR(__xludf.DUMMYFUNCTION("GOOGLETRANSLATE(E228,""ES"",""EN"")"),"Look, I left and I remember all this 43 -year -old story. I remember, I was in Chile, he was Chilean Finance Director, when a group of students of the FECH and the Chilean School of Psychology went to raise a project of a Cosam in Pudahuel. And well, they"&amp;" had nothing. They had some ideas and had some things and what we did there, well, as always, not true, this matter of looking and saying here there is something that can be done. We made this effort. I am talking about the year 93, 92, and there this eff"&amp;"ort was made. And there I started from my personal contact, to always understand that there was a problem here, that there was a super, super vulnerable population and I had to see the development of this, development of this and a long time later already"&amp;" being in the ministry . Now, from the Ministry of Health, not true and being undersecretary the Álvaro Eraz")</f>
        <v>Look, I left and I remember all this 43 -year -old story. I remember, I was in Chile, he was Chilean Finance Director, when a group of students of the FECH and the Chilean School of Psychology went to raise a project of a Cosam in Pudahuel. And well, they had nothing. They had some ideas and had some things and what we did there, well, as always, not true, this matter of looking and saying here there is something that can be done. We made this effort. I am talking about the year 93, 92, and there this effort was made. And there I started from my personal contact, to always understand that there was a problem here, that there was a super, super vulnerable population and I had to see the development of this, development of this and a long time later already being in the ministry . Now, from the Ministry of Health, not true and being undersecretary the Álvaro Eraz</v>
      </c>
      <c r="G228" s="3" t="s">
        <v>506</v>
      </c>
      <c r="H228" s="28">
        <v>2.4677562043115895</v>
      </c>
      <c r="I228" s="3" t="s">
        <v>65</v>
      </c>
      <c r="J228" s="3" t="str">
        <f ca="1">IFERROR(__xludf.DUMMYFUNCTION("GOOGLETRANSLATE(I228,""ES"",""EN"")"),"Negative effect: actors do not identify a CSMC financing system")</f>
        <v>Negative effect: actors do not identify a CSMC financing system</v>
      </c>
      <c r="K228" s="1"/>
      <c r="L228" s="1"/>
      <c r="M228" s="1"/>
      <c r="N228" s="1"/>
      <c r="O228" s="1"/>
      <c r="P228" s="1"/>
      <c r="Q228" s="1"/>
      <c r="R228" s="1"/>
      <c r="S228" s="1"/>
      <c r="T228" s="1"/>
      <c r="U228" s="1"/>
      <c r="V228" s="1"/>
      <c r="W228" s="1"/>
      <c r="X228" s="1"/>
      <c r="Y228" s="1"/>
      <c r="Z228" s="1"/>
    </row>
    <row r="229" spans="1:26" ht="15.75" customHeight="1" x14ac:dyDescent="0.25">
      <c r="A229" s="6" t="s">
        <v>5</v>
      </c>
      <c r="B229" s="3" t="s">
        <v>501</v>
      </c>
      <c r="C229" s="3" t="s">
        <v>463</v>
      </c>
      <c r="D229" s="3" t="str">
        <f ca="1">IFERROR(__xludf.DUMMYFUNCTION("GOOGLETRANSLATE(C229,""ES"",""EN"")"),"FINANCING \ Result \ CSMC are diffuse from financing")</f>
        <v>FINANCING \ Result \ CSMC are diffuse from financing</v>
      </c>
      <c r="E229" s="3" t="s">
        <v>507</v>
      </c>
      <c r="F229" s="3" t="str">
        <f ca="1">IFERROR(__xludf.DUMMYFUNCTION("GOOGLETRANSLATE(E229,""ES"",""EN"")"),"What I saw there? I saw a very associated health center and very close to the community, very poor and very poor in resources, with a lot of difficulty of permanent financing strategies that would give sustainability to this. But with one with a diversity"&amp;" of problems that reflected that contact with the population, where there were women's workshops affected by intrafamily violence workshop for addiction of addiction and obviously health care. That community relationship, not true, of insertion, I think i"&amp;"t is diffuse, is diffuse from the point of view of the first national health strategy, with population look, that is, with a view of the specific populations.")</f>
        <v>What I saw there? I saw a very associated health center and very close to the community, very poor and very poor in resources, with a lot of difficulty of permanent financing strategies that would give sustainability to this. But with one with a diversity of problems that reflected that contact with the population, where there were women's workshops affected by intrafamily violence workshop for addiction of addiction and obviously health care. That community relationship, not true, of insertion, I think it is diffuse, is diffuse from the point of view of the first national health strategy, with population look, that is, with a view of the specific populations.</v>
      </c>
      <c r="G229" s="3" t="s">
        <v>508</v>
      </c>
      <c r="H229" s="28">
        <v>1.587745029566513</v>
      </c>
      <c r="I229" s="3" t="s">
        <v>65</v>
      </c>
      <c r="J229" s="3" t="str">
        <f ca="1">IFERROR(__xludf.DUMMYFUNCTION("GOOGLETRANSLATE(I229,""ES"",""EN"")"),"Negative effect: actors do not identify a CSMC financing system")</f>
        <v>Negative effect: actors do not identify a CSMC financing system</v>
      </c>
      <c r="K229" s="1"/>
      <c r="L229" s="1"/>
      <c r="M229" s="1"/>
      <c r="N229" s="1"/>
      <c r="O229" s="1"/>
      <c r="P229" s="1"/>
      <c r="Q229" s="1"/>
      <c r="R229" s="1"/>
      <c r="S229" s="1"/>
      <c r="T229" s="1"/>
      <c r="U229" s="1"/>
      <c r="V229" s="1"/>
      <c r="W229" s="1"/>
      <c r="X229" s="1"/>
      <c r="Y229" s="1"/>
      <c r="Z229" s="1"/>
    </row>
    <row r="230" spans="1:26" ht="15.75" customHeight="1" x14ac:dyDescent="0.25">
      <c r="A230" s="6" t="s">
        <v>5</v>
      </c>
      <c r="B230" s="3" t="s">
        <v>501</v>
      </c>
      <c r="C230" s="3" t="s">
        <v>463</v>
      </c>
      <c r="D230" s="3" t="str">
        <f ca="1">IFERROR(__xludf.DUMMYFUNCTION("GOOGLETRANSLATE(C230,""ES"",""EN"")"),"FINANCING \ Result \ CSMC are diffuse from financing")</f>
        <v>FINANCING \ Result \ CSMC are diffuse from financing</v>
      </c>
      <c r="E230" s="3" t="s">
        <v>509</v>
      </c>
      <c r="F230" s="3" t="str">
        <f ca="1">IFERROR(__xludf.DUMMYFUNCTION("GOOGLETRANSLATE(E230,""ES"",""EN"")"),"Then those looks are not discussed anywhere. Ah, there is talk of giving visibility, priority to this, but my, mi, mi, my, my first relationship with this was to discover that there was a budget program that was having discussions every year and that they"&amp;" presented themselves and a strategy of growing , but I think it's a diffuse strategy.")</f>
        <v>Then those looks are not discussed anywhere. Ah, there is talk of giving visibility, priority to this, but my, mi, mi, my, my first relationship with this was to discover that there was a budget program that was having discussions every year and that they presented themselves and a strategy of growing , but I think it's a diffuse strategy.</v>
      </c>
      <c r="G230" s="3" t="s">
        <v>387</v>
      </c>
      <c r="H230" s="28">
        <v>0.81715323369185644</v>
      </c>
      <c r="I230" s="3" t="s">
        <v>65</v>
      </c>
      <c r="J230" s="3" t="str">
        <f ca="1">IFERROR(__xludf.DUMMYFUNCTION("GOOGLETRANSLATE(I230,""ES"",""EN"")"),"Negative effect: actors do not identify a CSMC financing system")</f>
        <v>Negative effect: actors do not identify a CSMC financing system</v>
      </c>
      <c r="K230" s="1"/>
      <c r="L230" s="1"/>
      <c r="M230" s="1"/>
      <c r="N230" s="1"/>
      <c r="O230" s="1"/>
      <c r="P230" s="1"/>
      <c r="Q230" s="1"/>
      <c r="R230" s="1"/>
      <c r="S230" s="1"/>
      <c r="T230" s="1"/>
      <c r="U230" s="1"/>
      <c r="V230" s="1"/>
      <c r="W230" s="1"/>
      <c r="X230" s="1"/>
      <c r="Y230" s="1"/>
      <c r="Z230" s="1"/>
    </row>
    <row r="231" spans="1:26" ht="15.75" customHeight="1" x14ac:dyDescent="0.25">
      <c r="A231" s="6" t="s">
        <v>5</v>
      </c>
      <c r="B231" s="3" t="s">
        <v>501</v>
      </c>
      <c r="C231" s="3" t="s">
        <v>463</v>
      </c>
      <c r="D231" s="3" t="str">
        <f ca="1">IFERROR(__xludf.DUMMYFUNCTION("GOOGLETRANSLATE(C231,""ES"",""EN"")"),"FINANCING \ Result \ CSMC are diffuse from financing")</f>
        <v>FINANCING \ Result \ CSMC are diffuse from financing</v>
      </c>
      <c r="E231" s="3" t="s">
        <v>510</v>
      </c>
      <c r="F231" s="3" t="str">
        <f ca="1">IFERROR(__xludf.DUMMYFUNCTION("GOOGLETRANSLATE(E231,""ES"",""EN"")"),"Cosam is not expressed in this way that I tell you the point of view of understanding, but also where this is going. Even you give money or assign resources to a program that has such a structure or has such coverage, but when you want to measure how this"&amp;" program imagines you and how this strategy evolves in 10 more years")</f>
        <v>Cosam is not expressed in this way that I tell you the point of view of understanding, but also where this is going. Even you give money or assign resources to a program that has such a structure or has such coverage, but when you want to measure how this program imagines you and how this strategy evolves in 10 more years</v>
      </c>
      <c r="G231" s="3" t="s">
        <v>511</v>
      </c>
      <c r="H231" s="28">
        <v>0.78223215532895651</v>
      </c>
      <c r="I231" s="3" t="s">
        <v>65</v>
      </c>
      <c r="J231" s="3" t="str">
        <f ca="1">IFERROR(__xludf.DUMMYFUNCTION("GOOGLETRANSLATE(I231,""ES"",""EN"")"),"Negative effect: actors do not identify a CSMC financing system")</f>
        <v>Negative effect: actors do not identify a CSMC financing system</v>
      </c>
      <c r="K231" s="1"/>
      <c r="L231" s="1"/>
      <c r="M231" s="1"/>
      <c r="N231" s="1"/>
      <c r="O231" s="1"/>
      <c r="P231" s="1"/>
      <c r="Q231" s="1"/>
      <c r="R231" s="1"/>
      <c r="S231" s="1"/>
      <c r="T231" s="1"/>
      <c r="U231" s="1"/>
      <c r="V231" s="1"/>
      <c r="W231" s="1"/>
      <c r="X231" s="1"/>
      <c r="Y231" s="1"/>
      <c r="Z231" s="1"/>
    </row>
    <row r="232" spans="1:26" ht="15.75" customHeight="1" x14ac:dyDescent="0.25">
      <c r="A232" s="6" t="s">
        <v>5</v>
      </c>
      <c r="B232" s="3" t="s">
        <v>501</v>
      </c>
      <c r="C232" s="3" t="s">
        <v>463</v>
      </c>
      <c r="D232" s="3" t="str">
        <f ca="1">IFERROR(__xludf.DUMMYFUNCTION("GOOGLETRANSLATE(C232,""ES"",""EN"")"),"FINANCING \ Result \ CSMC are diffuse from financing")</f>
        <v>FINANCING \ Result \ CSMC are diffuse from financing</v>
      </c>
      <c r="E232" s="3" t="s">
        <v>512</v>
      </c>
      <c r="F232" s="3" t="str">
        <f ca="1">IFERROR(__xludf.DUMMYFUNCTION("GOOGLETRANSLATE(E232,""ES"",""EN"")"),"I remember, from Minoletti and Pem Jean, and all those people who were at that time when I was in the Ministry, when we started with the health program and still still in this thought, thinking of that minute, what was the National Plan of mental health a"&amp;"nd what was going to be the medium and long term strategy on this. I believe that as I see the story, I thought Olga seemed to produce a tobacconist as a plan, with a rather, soft growth curve. No, no, there is no exponential growth, but the discussion of"&amp;" mental health in Chile would no longer be at the level that is, nor would we be in the percentage of resources that today occupies mental health")</f>
        <v>I remember, from Minoletti and Pem Jean, and all those people who were at that time when I was in the Ministry, when we started with the health program and still still in this thought, thinking of that minute, what was the National Plan of mental health and what was going to be the medium and long term strategy on this. I believe that as I see the story, I thought Olga seemed to produce a tobacconist as a plan, with a rather, soft growth curve. No, no, there is no exponential growth, but the discussion of mental health in Chile would no longer be at the level that is, nor would we be in the percentage of resources that today occupies mental health</v>
      </c>
      <c r="G232" s="3" t="s">
        <v>513</v>
      </c>
      <c r="H232" s="28">
        <v>1.6343064673837129</v>
      </c>
      <c r="I232" s="3" t="s">
        <v>65</v>
      </c>
      <c r="J232" s="3" t="str">
        <f ca="1">IFERROR(__xludf.DUMMYFUNCTION("GOOGLETRANSLATE(I232,""ES"",""EN"")"),"Negative effect: actors do not identify a CSMC financing system")</f>
        <v>Negative effect: actors do not identify a CSMC financing system</v>
      </c>
      <c r="K232" s="1"/>
      <c r="L232" s="1"/>
      <c r="M232" s="1"/>
      <c r="N232" s="1"/>
      <c r="O232" s="1"/>
      <c r="P232" s="1"/>
      <c r="Q232" s="1"/>
      <c r="R232" s="1"/>
      <c r="S232" s="1"/>
      <c r="T232" s="1"/>
      <c r="U232" s="1"/>
      <c r="V232" s="1"/>
      <c r="W232" s="1"/>
      <c r="X232" s="1"/>
      <c r="Y232" s="1"/>
      <c r="Z232" s="1"/>
    </row>
    <row r="233" spans="1:26" ht="15.75" customHeight="1" x14ac:dyDescent="0.25">
      <c r="A233" s="6" t="s">
        <v>5</v>
      </c>
      <c r="B233" s="3" t="s">
        <v>501</v>
      </c>
      <c r="C233" s="3" t="s">
        <v>463</v>
      </c>
      <c r="D233" s="3" t="str">
        <f ca="1">IFERROR(__xludf.DUMMYFUNCTION("GOOGLETRANSLATE(C233,""ES"",""EN"")"),"FINANCING \ Result \ CSMC are diffuse from financing")</f>
        <v>FINANCING \ Result \ CSMC are diffuse from financing</v>
      </c>
      <c r="E233" s="3" t="s">
        <v>514</v>
      </c>
      <c r="F233" s="3" t="str">
        <f ca="1">IFERROR(__xludf.DUMMYFUNCTION("GOOGLETRANSLATE(E233,""ES"",""EN"")"),"And I think, it is still insisting that that as long as it is not present and leaves this diffuse environment, this mist in the one that is in my opinion, as very low")</f>
        <v>And I think, it is still insisting that that as long as it is not present and leaves this diffuse environment, this mist in the one that is in my opinion, as very low</v>
      </c>
      <c r="G233" s="3" t="s">
        <v>515</v>
      </c>
      <c r="H233" s="28">
        <v>0.37481957442845831</v>
      </c>
      <c r="I233" s="3" t="s">
        <v>65</v>
      </c>
      <c r="J233" s="3" t="str">
        <f ca="1">IFERROR(__xludf.DUMMYFUNCTION("GOOGLETRANSLATE(I233,""ES"",""EN"")"),"Negative effect: actors do not identify a CSMC financing system")</f>
        <v>Negative effect: actors do not identify a CSMC financing system</v>
      </c>
      <c r="K233" s="1"/>
      <c r="L233" s="1"/>
      <c r="M233" s="1"/>
      <c r="N233" s="1"/>
      <c r="O233" s="1"/>
      <c r="P233" s="1"/>
      <c r="Q233" s="1"/>
      <c r="R233" s="1"/>
      <c r="S233" s="1"/>
      <c r="T233" s="1"/>
      <c r="U233" s="1"/>
      <c r="V233" s="1"/>
      <c r="W233" s="1"/>
      <c r="X233" s="1"/>
      <c r="Y233" s="1"/>
      <c r="Z233" s="1"/>
    </row>
    <row r="234" spans="1:26" ht="15.75" customHeight="1" x14ac:dyDescent="0.25">
      <c r="A234" s="6" t="s">
        <v>5</v>
      </c>
      <c r="B234" s="3" t="s">
        <v>501</v>
      </c>
      <c r="C234" s="3" t="s">
        <v>463</v>
      </c>
      <c r="D234" s="3" t="str">
        <f ca="1">IFERROR(__xludf.DUMMYFUNCTION("GOOGLETRANSLATE(C234,""ES"",""EN"")"),"FINANCING \ Result \ CSMC are diffuse from financing")</f>
        <v>FINANCING \ Result \ CSMC are diffuse from financing</v>
      </c>
      <c r="E234" s="3" t="s">
        <v>516</v>
      </c>
      <c r="F234" s="3" t="str">
        <f ca="1">IFERROR(__xludf.DUMMYFUNCTION("GOOGLETRANSLATE(E234,""ES"",""EN"")"),"I said it has to be cancer, mental health, childhood. I understand, it has to be express, you have to read mental health. One because it will be a concern in the budget discussion. Many parliamentarians will raise their hands and say that mental health, d"&amp;"o we want to know, and silver? And the question? Eh, there is a program, the Mental Health Law has just been signed. Recently a law. Well, there is the program healthily as an expression of government. Then we cannot put a list of others mental health. Lo"&amp;"ok, I tell you just because that is not, it is not in the discussion. If your speech of cancer is, the types that make packages, high costs, if you see mental health, is not, is not in the conversation.")</f>
        <v>I said it has to be cancer, mental health, childhood. I understand, it has to be express, you have to read mental health. One because it will be a concern in the budget discussion. Many parliamentarians will raise their hands and say that mental health, do we want to know, and silver? And the question? Eh, there is a program, the Mental Health Law has just been signed. Recently a law. Well, there is the program healthily as an expression of government. Then we cannot put a list of others mental health. Look, I tell you just because that is not, it is not in the discussion. If your speech of cancer is, the types that make packages, high costs, if you see mental health, is not, is not in the conversation.</v>
      </c>
      <c r="G234" s="3" t="s">
        <v>517</v>
      </c>
      <c r="H234" s="28">
        <v>1.7670065651627325</v>
      </c>
      <c r="I234" s="3" t="s">
        <v>65</v>
      </c>
      <c r="J234" s="3" t="str">
        <f ca="1">IFERROR(__xludf.DUMMYFUNCTION("GOOGLETRANSLATE(I234,""ES"",""EN"")"),"Negative effect: actors do not identify a CSMC financing system")</f>
        <v>Negative effect: actors do not identify a CSMC financing system</v>
      </c>
      <c r="K234" s="1"/>
      <c r="L234" s="1"/>
      <c r="M234" s="1"/>
      <c r="N234" s="1"/>
      <c r="O234" s="1"/>
      <c r="P234" s="1"/>
      <c r="Q234" s="1"/>
      <c r="R234" s="1"/>
      <c r="S234" s="1"/>
      <c r="T234" s="1"/>
      <c r="U234" s="1"/>
      <c r="V234" s="1"/>
      <c r="W234" s="1"/>
      <c r="X234" s="1"/>
      <c r="Y234" s="1"/>
      <c r="Z234" s="1"/>
    </row>
    <row r="235" spans="1:26" ht="15.75" customHeight="1" x14ac:dyDescent="0.25">
      <c r="A235" s="6" t="s">
        <v>5</v>
      </c>
      <c r="B235" s="3" t="s">
        <v>518</v>
      </c>
      <c r="C235" s="3" t="s">
        <v>210</v>
      </c>
      <c r="D235" s="3" t="str">
        <f ca="1">IFERROR(__xludf.DUMMYFUNCTION("GOOGLETRANSLATE(C235,""ES"",""EN"")"),"FINANCING \ Result \ main achievement of financing the CSMC \ Achievement to be in the community")</f>
        <v>FINANCING \ Result \ main achievement of financing the CSMC \ Achievement to be in the community</v>
      </c>
      <c r="E235" s="3" t="s">
        <v>519</v>
      </c>
      <c r="F235" s="3" t="str">
        <f ca="1">IFERROR(__xludf.DUMMYFUNCTION("GOOGLETRANSLATE(E235,""ES"",""EN"")"),"I feel that in reality, the main achievement of the Community Mental Health Center has to do with that, with its name. It is to bring, bring the specialty to communities, family and people, being a little more included in the territory itself.")</f>
        <v>I feel that in reality, the main achievement of the Community Mental Health Center has to do with that, with its name. It is to bring, bring the specialty to communities, family and people, being a little more included in the territory itself.</v>
      </c>
      <c r="G235" s="3" t="s">
        <v>520</v>
      </c>
      <c r="H235" s="28">
        <v>1.1528229382205144</v>
      </c>
      <c r="I235" s="3" t="s">
        <v>213</v>
      </c>
      <c r="J235" s="3" t="str">
        <f ca="1">IFERROR(__xludf.DUMMYFUNCTION("GOOGLETRANSLATE(I235,""ES"",""EN"")"),"Better coverage, closeness and context of attention")</f>
        <v>Better coverage, closeness and context of attention</v>
      </c>
      <c r="K235" s="1"/>
      <c r="L235" s="1"/>
      <c r="M235" s="1"/>
      <c r="N235" s="1"/>
      <c r="O235" s="1"/>
      <c r="P235" s="1"/>
      <c r="Q235" s="1"/>
      <c r="R235" s="1"/>
      <c r="S235" s="1"/>
      <c r="T235" s="1"/>
      <c r="U235" s="1"/>
      <c r="V235" s="1"/>
      <c r="W235" s="1"/>
      <c r="X235" s="1"/>
      <c r="Y235" s="1"/>
      <c r="Z235" s="1"/>
    </row>
    <row r="236" spans="1:26" ht="15.75" customHeight="1" x14ac:dyDescent="0.25">
      <c r="A236" s="6" t="s">
        <v>5</v>
      </c>
      <c r="B236" s="3" t="s">
        <v>521</v>
      </c>
      <c r="C236" s="3" t="s">
        <v>522</v>
      </c>
      <c r="D236" s="3" t="str">
        <f ca="1">IFERROR(__xludf.DUMMYFUNCTION("GOOGLETRANSLATE(C236,""ES"",""EN"")"),"FINANCING \ Result \ main achievement of financing the CSMC \ achievements in the relationship of users with the CSMC")</f>
        <v>FINANCING \ Result \ main achievement of financing the CSMC \ achievements in the relationship of users with the CSMC</v>
      </c>
      <c r="E236" s="3" t="s">
        <v>523</v>
      </c>
      <c r="F236" s="3" t="str">
        <f ca="1">IFERROR(__xludf.DUMMYFUNCTION("GOOGLETRANSLATE(E236,""ES"",""EN"")"),"It is like this horizontality or this respect, respect for people. And feel that they are part of that they are part of this center, not as someone who comes,")</f>
        <v>It is like this horizontality or this respect, respect for people. And feel that they are part of that they are part of this center, not as someone who comes,</v>
      </c>
      <c r="G236" s="3" t="s">
        <v>524</v>
      </c>
      <c r="H236" s="28">
        <v>0.57438661182810957</v>
      </c>
      <c r="I236" s="3" t="s">
        <v>525</v>
      </c>
      <c r="J236" s="3" t="str">
        <f ca="1">IFERROR(__xludf.DUMMYFUNCTION("GOOGLETRANSLATE(I236,""ES"",""EN"")"),"Greater possibility of user participation")</f>
        <v>Greater possibility of user participation</v>
      </c>
      <c r="K236" s="1"/>
      <c r="L236" s="1"/>
      <c r="M236" s="1"/>
      <c r="N236" s="1"/>
      <c r="O236" s="1"/>
      <c r="P236" s="1"/>
      <c r="Q236" s="1"/>
      <c r="R236" s="1"/>
      <c r="S236" s="1"/>
      <c r="T236" s="1"/>
      <c r="U236" s="1"/>
      <c r="V236" s="1"/>
      <c r="W236" s="1"/>
      <c r="X236" s="1"/>
      <c r="Y236" s="1"/>
      <c r="Z236" s="1"/>
    </row>
    <row r="237" spans="1:26" ht="15.75" customHeight="1" x14ac:dyDescent="0.25">
      <c r="A237" s="6" t="s">
        <v>5</v>
      </c>
      <c r="B237" s="3" t="s">
        <v>521</v>
      </c>
      <c r="C237" s="3" t="s">
        <v>522</v>
      </c>
      <c r="D237" s="3" t="str">
        <f ca="1">IFERROR(__xludf.DUMMYFUNCTION("GOOGLETRANSLATE(C237,""ES"",""EN"")"),"FINANCING \ Result \ main achievement of financing the CSMC \ achievements in the relationship of users with the CSMC")</f>
        <v>FINANCING \ Result \ main achievement of financing the CSMC \ achievements in the relationship of users with the CSMC</v>
      </c>
      <c r="E237" s="3" t="s">
        <v>526</v>
      </c>
      <c r="F237" s="3" t="str">
        <f ca="1">IFERROR(__xludf.DUMMYFUNCTION("GOOGLETRANSLATE(E237,""ES"",""EN"")"),"It is not that they are terribly involved, they are not, and very little involved in the decisions that are made, because the structure is not for that, but in terms of, I would say that of the identity that we have with our users")</f>
        <v>It is not that they are terribly involved, they are not, and very little involved in the decisions that are made, because the structure is not for that, but in terms of, I would say that of the identity that we have with our users</v>
      </c>
      <c r="G237" s="3" t="s">
        <v>425</v>
      </c>
      <c r="H237" s="28">
        <v>0.90767267054318534</v>
      </c>
      <c r="I237" s="3" t="s">
        <v>525</v>
      </c>
      <c r="J237" s="3" t="str">
        <f ca="1">IFERROR(__xludf.DUMMYFUNCTION("GOOGLETRANSLATE(I237,""ES"",""EN"")"),"Greater possibility of user participation")</f>
        <v>Greater possibility of user participation</v>
      </c>
      <c r="K237" s="1"/>
      <c r="L237" s="1"/>
      <c r="M237" s="1"/>
      <c r="N237" s="1"/>
      <c r="O237" s="1"/>
      <c r="P237" s="1"/>
      <c r="Q237" s="1"/>
      <c r="R237" s="1"/>
      <c r="S237" s="1"/>
      <c r="T237" s="1"/>
      <c r="U237" s="1"/>
      <c r="V237" s="1"/>
      <c r="W237" s="1"/>
      <c r="X237" s="1"/>
      <c r="Y237" s="1"/>
      <c r="Z237" s="1"/>
    </row>
    <row r="238" spans="1:26" ht="15.75" customHeight="1" x14ac:dyDescent="0.25">
      <c r="A238" s="6" t="s">
        <v>5</v>
      </c>
      <c r="B238" s="3" t="s">
        <v>521</v>
      </c>
      <c r="C238" s="3" t="s">
        <v>522</v>
      </c>
      <c r="D238" s="3" t="str">
        <f ca="1">IFERROR(__xludf.DUMMYFUNCTION("GOOGLETRANSLATE(C238,""ES"",""EN"")"),"FINANCING \ Result \ main achievement of financing the CSMC \ achievements in the relationship of users with the CSMC")</f>
        <v>FINANCING \ Result \ main achievement of financing the CSMC \ achievements in the relationship of users with the CSMC</v>
      </c>
      <c r="E238" s="3" t="s">
        <v>527</v>
      </c>
      <c r="F238" s="3" t="str">
        <f ca="1">IFERROR(__xludf.DUMMYFUNCTION("GOOGLETRANSLATE(E238,""ES"",""EN"")"),"They are part of this center of their history, because they are people who are being treated with us for a long time.")</f>
        <v>They are part of this center of their history, because they are people who are being treated with us for a long time.</v>
      </c>
      <c r="G238" s="3" t="s">
        <v>528</v>
      </c>
      <c r="H238" s="28">
        <v>0.43610835342504606</v>
      </c>
      <c r="I238" s="3" t="s">
        <v>525</v>
      </c>
      <c r="J238" s="3" t="str">
        <f ca="1">IFERROR(__xludf.DUMMYFUNCTION("GOOGLETRANSLATE(I238,""ES"",""EN"")"),"Greater possibility of user participation")</f>
        <v>Greater possibility of user participation</v>
      </c>
      <c r="K238" s="1"/>
      <c r="L238" s="1"/>
      <c r="M238" s="1"/>
      <c r="N238" s="1"/>
      <c r="O238" s="1"/>
      <c r="P238" s="1"/>
      <c r="Q238" s="1"/>
      <c r="R238" s="1"/>
      <c r="S238" s="1"/>
      <c r="T238" s="1"/>
      <c r="U238" s="1"/>
      <c r="V238" s="1"/>
      <c r="W238" s="1"/>
      <c r="X238" s="1"/>
      <c r="Y238" s="1"/>
      <c r="Z238" s="1"/>
    </row>
    <row r="239" spans="1:26" ht="15.75" customHeight="1" x14ac:dyDescent="0.25">
      <c r="A239" s="6" t="s">
        <v>5</v>
      </c>
      <c r="B239" s="3" t="s">
        <v>521</v>
      </c>
      <c r="C239" s="3" t="s">
        <v>529</v>
      </c>
      <c r="D239" s="3" t="str">
        <f ca="1">IFERROR(__xludf.DUMMYFUNCTION("GOOGLETRANSLATE(C239,""ES"",""EN"")"),"FINANCING \ Result \ main achievement of financing the CSMC \ achievement less hospitalization")</f>
        <v>FINANCING \ Result \ main achievement of financing the CSMC \ achievement less hospitalization</v>
      </c>
      <c r="E239" s="3" t="s">
        <v>530</v>
      </c>
      <c r="F239" s="3" t="str">
        <f ca="1">IFERROR(__xludf.DUMMYFUNCTION("GOOGLETRANSLATE(E239,""ES"",""EN"")"),"The other thing that, which is important is to have left the hospital as a center, to have left the hospital I think it gives to this distance of the most biomedical that makes what relationships are different.")</f>
        <v>The other thing that, which is important is to have left the hospital as a center, to have left the hospital I think it gives to this distance of the most biomedical that makes what relationships are different.</v>
      </c>
      <c r="G239" s="3" t="s">
        <v>207</v>
      </c>
      <c r="H239" s="28">
        <v>0.74457523755495669</v>
      </c>
      <c r="I239" s="3" t="s">
        <v>228</v>
      </c>
      <c r="J239" s="3" t="str">
        <f ca="1">IFERROR(__xludf.DUMMYFUNCTION("GOOGLETRANSLATE(I239,""ES"",""EN"")"),"Clinical achievements")</f>
        <v>Clinical achievements</v>
      </c>
      <c r="K239" s="1"/>
      <c r="L239" s="1"/>
      <c r="M239" s="1"/>
      <c r="N239" s="1"/>
      <c r="O239" s="1"/>
      <c r="P239" s="1"/>
      <c r="Q239" s="1"/>
      <c r="R239" s="1"/>
      <c r="S239" s="1"/>
      <c r="T239" s="1"/>
      <c r="U239" s="1"/>
      <c r="V239" s="1"/>
      <c r="W239" s="1"/>
      <c r="X239" s="1"/>
      <c r="Y239" s="1"/>
      <c r="Z239" s="1"/>
    </row>
    <row r="240" spans="1:26" ht="15.75" customHeight="1" x14ac:dyDescent="0.25">
      <c r="A240" s="6" t="s">
        <v>5</v>
      </c>
      <c r="B240" s="3" t="s">
        <v>521</v>
      </c>
      <c r="C240" s="3" t="s">
        <v>225</v>
      </c>
      <c r="D240" s="3" t="str">
        <f ca="1">IFERROR(__xludf.DUMMYFUNCTION("GOOGLETRANSLATE(C240,""ES"",""EN"")"),"FINANCING \ Result \ main achievement of financing CSMC \ Clinical Achievement")</f>
        <v>FINANCING \ Result \ main achievement of financing CSMC \ Clinical Achievement</v>
      </c>
      <c r="E240" s="3" t="s">
        <v>531</v>
      </c>
      <c r="F240" s="3" t="str">
        <f ca="1">IFERROR(__xludf.DUMMYFUNCTION("GOOGLETRANSLATE(E240,""ES"",""EN"")"),"Notice that community mental health centers not only tried as diagnosis and things, but something much more comprehensive in relation.")</f>
        <v>Notice that community mental health centers not only tried as diagnosis and things, but something much more comprehensive in relation.</v>
      </c>
      <c r="G240" s="3" t="s">
        <v>81</v>
      </c>
      <c r="H240" s="28">
        <v>0.54247624450432563</v>
      </c>
      <c r="I240" s="3" t="s">
        <v>228</v>
      </c>
      <c r="J240" s="3" t="str">
        <f ca="1">IFERROR(__xludf.DUMMYFUNCTION("GOOGLETRANSLATE(I240,""ES"",""EN"")"),"Clinical achievements")</f>
        <v>Clinical achievements</v>
      </c>
      <c r="K240" s="1"/>
      <c r="L240" s="1"/>
      <c r="M240" s="1"/>
      <c r="N240" s="1"/>
      <c r="O240" s="1"/>
      <c r="P240" s="1"/>
      <c r="Q240" s="1"/>
      <c r="R240" s="1"/>
      <c r="S240" s="1"/>
      <c r="T240" s="1"/>
      <c r="U240" s="1"/>
      <c r="V240" s="1"/>
      <c r="W240" s="1"/>
      <c r="X240" s="1"/>
      <c r="Y240" s="1"/>
      <c r="Z240" s="1"/>
    </row>
    <row r="241" spans="1:26" ht="15.75" customHeight="1" x14ac:dyDescent="0.25">
      <c r="A241" s="6" t="s">
        <v>5</v>
      </c>
      <c r="B241" s="3" t="s">
        <v>521</v>
      </c>
      <c r="C241" s="3" t="s">
        <v>48</v>
      </c>
      <c r="D241" s="3" t="str">
        <f ca="1">IFERROR(__xludf.DUMMYFUNCTION("GOOGLETRANSLATE(C241,""ES"",""EN"")"),"Financing \ Result \ Retrings in the Community Model")</f>
        <v>Financing \ Result \ Retrings in the Community Model</v>
      </c>
      <c r="E241" s="3" t="s">
        <v>532</v>
      </c>
      <c r="F241" s="3" t="str">
        <f ca="1">IFERROR(__xludf.DUMMYFUNCTION("GOOGLETRANSLATE(E241,""ES"",""EN"")"),"And now it seems as superficial, but I don't know how to explain it.")</f>
        <v>And now it seems as superficial, but I don't know how to explain it.</v>
      </c>
      <c r="G241" s="3" t="s">
        <v>533</v>
      </c>
      <c r="H241" s="28">
        <v>0.23046376400510565</v>
      </c>
      <c r="I241" s="3" t="s">
        <v>51</v>
      </c>
      <c r="J241" s="3" t="str">
        <f ca="1">IFERROR(__xludf.DUMMYFUNCTION("GOOGLETRANSLATE(I241,""ES"",""EN"")"),"Negative effect: CSMC financing logics do not stimulate the implementation of the community mental health model.")</f>
        <v>Negative effect: CSMC financing logics do not stimulate the implementation of the community mental health model.</v>
      </c>
      <c r="K241" s="1"/>
      <c r="L241" s="1"/>
      <c r="M241" s="1"/>
      <c r="N241" s="1"/>
      <c r="O241" s="1"/>
      <c r="P241" s="1"/>
      <c r="Q241" s="1"/>
      <c r="R241" s="1"/>
      <c r="S241" s="1"/>
      <c r="T241" s="1"/>
      <c r="U241" s="1"/>
      <c r="V241" s="1"/>
      <c r="W241" s="1"/>
      <c r="X241" s="1"/>
      <c r="Y241" s="1"/>
      <c r="Z241" s="1"/>
    </row>
    <row r="242" spans="1:26" ht="15.75" customHeight="1" x14ac:dyDescent="0.25">
      <c r="A242" s="6" t="s">
        <v>5</v>
      </c>
      <c r="B242" s="3" t="s">
        <v>521</v>
      </c>
      <c r="C242" s="3" t="s">
        <v>48</v>
      </c>
      <c r="D242" s="3" t="str">
        <f ca="1">IFERROR(__xludf.DUMMYFUNCTION("GOOGLETRANSLATE(C242,""ES"",""EN"")"),"Financing \ Result \ Retrings in the Community Model")</f>
        <v>Financing \ Result \ Retrings in the Community Model</v>
      </c>
      <c r="E242" s="3" t="s">
        <v>534</v>
      </c>
      <c r="F242" s="3" t="str">
        <f ca="1">IFERROR(__xludf.DUMMYFUNCTION("GOOGLETRANSLATE(E242,""ES"",""EN"")"),"We had activities in this center that were as expected by users. They were expected because I think it was like the few spaces they had to celebrate or to share, to relate otherwise to us, just as we could play, compete, we did those things and that we ha"&amp;"d achieved. And lately it has been like a setback in that regard.")</f>
        <v>We had activities in this center that were as expected by users. They were expected because I think it was like the few spaces they had to celebrate or to share, to relate otherwise to us, just as we could play, compete, we did those things and that we had achieved. And lately it has been like a setback in that regard.</v>
      </c>
      <c r="G242" s="3" t="s">
        <v>535</v>
      </c>
      <c r="H242" s="28">
        <v>1.3969649695078712</v>
      </c>
      <c r="I242" s="3" t="s">
        <v>51</v>
      </c>
      <c r="J242" s="3" t="str">
        <f ca="1">IFERROR(__xludf.DUMMYFUNCTION("GOOGLETRANSLATE(I242,""ES"",""EN"")"),"Negative effect: CSMC financing logics do not stimulate the implementation of the community mental health model.")</f>
        <v>Negative effect: CSMC financing logics do not stimulate the implementation of the community mental health model.</v>
      </c>
      <c r="K242" s="1"/>
      <c r="L242" s="1"/>
      <c r="M242" s="1"/>
      <c r="N242" s="1"/>
      <c r="O242" s="1"/>
      <c r="P242" s="1"/>
      <c r="Q242" s="1"/>
      <c r="R242" s="1"/>
      <c r="S242" s="1"/>
      <c r="T242" s="1"/>
      <c r="U242" s="1"/>
      <c r="V242" s="1"/>
      <c r="W242" s="1"/>
      <c r="X242" s="1"/>
      <c r="Y242" s="1"/>
      <c r="Z242" s="1"/>
    </row>
    <row r="243" spans="1:26" ht="15.75" customHeight="1" x14ac:dyDescent="0.25">
      <c r="A243" s="6" t="s">
        <v>5</v>
      </c>
      <c r="B243" s="3" t="s">
        <v>521</v>
      </c>
      <c r="C243" s="3" t="s">
        <v>48</v>
      </c>
      <c r="D243" s="3" t="str">
        <f ca="1">IFERROR(__xludf.DUMMYFUNCTION("GOOGLETRANSLATE(C243,""ES"",""EN"")"),"Financing \ Result \ Retrings in the Community Model")</f>
        <v>Financing \ Result \ Retrings in the Community Model</v>
      </c>
      <c r="E243" s="3" t="s">
        <v>536</v>
      </c>
      <c r="F243" s="3" t="str">
        <f ca="1">IFERROR(__xludf.DUMMYFUNCTION("GOOGLETRANSLATE(E243,""ES"",""EN"")"),"Then I would say that we had managed to position ourselves as in that area, but these years, I do not know if with the pandemic or a little earlier, I do not know, as an atrocious thing. None of that, nothing.")</f>
        <v>Then I would say that we had managed to position ourselves as in that area, but these years, I do not know if with the pandemic or a little earlier, I do not know, as an atrocious thing. None of that, nothing.</v>
      </c>
      <c r="G243" s="3" t="s">
        <v>537</v>
      </c>
      <c r="H243" s="28">
        <v>0.64884413558360521</v>
      </c>
      <c r="I243" s="3" t="s">
        <v>51</v>
      </c>
      <c r="J243" s="3" t="str">
        <f ca="1">IFERROR(__xludf.DUMMYFUNCTION("GOOGLETRANSLATE(I243,""ES"",""EN"")"),"Negative effect: CSMC financing logics do not stimulate the implementation of the community mental health model.")</f>
        <v>Negative effect: CSMC financing logics do not stimulate the implementation of the community mental health model.</v>
      </c>
      <c r="K243" s="1"/>
      <c r="L243" s="1"/>
      <c r="M243" s="1"/>
      <c r="N243" s="1"/>
      <c r="O243" s="1"/>
      <c r="P243" s="1"/>
      <c r="Q243" s="1"/>
      <c r="R243" s="1"/>
      <c r="S243" s="1"/>
      <c r="T243" s="1"/>
      <c r="U243" s="1"/>
      <c r="V243" s="1"/>
      <c r="W243" s="1"/>
      <c r="X243" s="1"/>
      <c r="Y243" s="1"/>
      <c r="Z243" s="1"/>
    </row>
    <row r="244" spans="1:26" ht="15.75" customHeight="1" x14ac:dyDescent="0.25">
      <c r="A244" s="6" t="s">
        <v>5</v>
      </c>
      <c r="B244" s="3" t="s">
        <v>521</v>
      </c>
      <c r="C244" s="3" t="s">
        <v>48</v>
      </c>
      <c r="D244" s="3" t="str">
        <f ca="1">IFERROR(__xludf.DUMMYFUNCTION("GOOGLETRANSLATE(C244,""ES"",""EN"")"),"Financing \ Result \ Retrings in the Community Model")</f>
        <v>Financing \ Result \ Retrings in the Community Model</v>
      </c>
      <c r="E244" s="3" t="s">
        <v>538</v>
      </c>
      <c r="F244" s="3" t="str">
        <f ca="1">IFERROR(__xludf.DUMMYFUNCTION("GOOGLETRANSLATE(E244,""ES"",""EN"")"),"That I think we had managed to make some equity in terms of health closeness to people with psychic disabilities. In terms of facilitating, if they cost them a lot to come, we were going.")</f>
        <v>That I think we had managed to make some equity in terms of health closeness to people with psychic disabilities. In terms of facilitating, if they cost them a lot to come, we were going.</v>
      </c>
      <c r="G244" s="3" t="s">
        <v>449</v>
      </c>
      <c r="H244" s="28">
        <v>0.73748404481633811</v>
      </c>
      <c r="I244" s="3" t="s">
        <v>51</v>
      </c>
      <c r="J244" s="3" t="str">
        <f ca="1">IFERROR(__xludf.DUMMYFUNCTION("GOOGLETRANSLATE(I244,""ES"",""EN"")"),"Negative effect: CSMC financing logics do not stimulate the implementation of the community mental health model.")</f>
        <v>Negative effect: CSMC financing logics do not stimulate the implementation of the community mental health model.</v>
      </c>
      <c r="K244" s="1"/>
      <c r="L244" s="1"/>
      <c r="M244" s="1"/>
      <c r="N244" s="1"/>
      <c r="O244" s="1"/>
      <c r="P244" s="1"/>
      <c r="Q244" s="1"/>
      <c r="R244" s="1"/>
      <c r="S244" s="1"/>
      <c r="T244" s="1"/>
      <c r="U244" s="1"/>
      <c r="V244" s="1"/>
      <c r="W244" s="1"/>
      <c r="X244" s="1"/>
      <c r="Y244" s="1"/>
      <c r="Z244" s="1"/>
    </row>
    <row r="245" spans="1:26" ht="15.75" customHeight="1" x14ac:dyDescent="0.25">
      <c r="A245" s="6" t="s">
        <v>5</v>
      </c>
      <c r="B245" s="3" t="s">
        <v>521</v>
      </c>
      <c r="C245" s="3" t="s">
        <v>48</v>
      </c>
      <c r="D245" s="3" t="str">
        <f ca="1">IFERROR(__xludf.DUMMYFUNCTION("GOOGLETRANSLATE(C245,""ES"",""EN"")"),"Financing \ Result \ Retrings in the Community Model")</f>
        <v>Financing \ Result \ Retrings in the Community Model</v>
      </c>
      <c r="E245" s="3" t="s">
        <v>539</v>
      </c>
      <c r="F245" s="3" t="str">
        <f ca="1">IFERROR(__xludf.DUMMYFUNCTION("GOOGLETRANSLATE(E245,""ES"",""EN"")"),"There was even more collaboration, there was more collaboration, in economic term or economic facilities that no longer occur. That had been achieved, and it is no longer")</f>
        <v>There was even more collaboration, there was more collaboration, in economic term or economic facilities that no longer occur. That had been achieved, and it is no longer</v>
      </c>
      <c r="G245" s="3" t="s">
        <v>540</v>
      </c>
      <c r="H245" s="28">
        <v>0.54602184087363492</v>
      </c>
      <c r="I245" s="3" t="s">
        <v>51</v>
      </c>
      <c r="J245" s="3" t="str">
        <f ca="1">IFERROR(__xludf.DUMMYFUNCTION("GOOGLETRANSLATE(I245,""ES"",""EN"")"),"Negative effect: CSMC financing logics do not stimulate the implementation of the community mental health model.")</f>
        <v>Negative effect: CSMC financing logics do not stimulate the implementation of the community mental health model.</v>
      </c>
      <c r="K245" s="1"/>
      <c r="L245" s="1"/>
      <c r="M245" s="1"/>
      <c r="N245" s="1"/>
      <c r="O245" s="1"/>
      <c r="P245" s="1"/>
      <c r="Q245" s="1"/>
      <c r="R245" s="1"/>
      <c r="S245" s="1"/>
      <c r="T245" s="1"/>
      <c r="U245" s="1"/>
      <c r="V245" s="1"/>
      <c r="W245" s="1"/>
      <c r="X245" s="1"/>
      <c r="Y245" s="1"/>
      <c r="Z245" s="1"/>
    </row>
    <row r="246" spans="1:26" ht="15.75" customHeight="1" x14ac:dyDescent="0.25">
      <c r="A246" s="6" t="s">
        <v>5</v>
      </c>
      <c r="B246" s="3" t="s">
        <v>521</v>
      </c>
      <c r="C246" s="3" t="s">
        <v>48</v>
      </c>
      <c r="D246" s="3" t="str">
        <f ca="1">IFERROR(__xludf.DUMMYFUNCTION("GOOGLETRANSLATE(C246,""ES"",""EN"")"),"Financing \ Result \ Retrings in the Community Model")</f>
        <v>Financing \ Result \ Retrings in the Community Model</v>
      </c>
      <c r="E246" s="3" t="s">
        <v>541</v>
      </c>
      <c r="F246" s="3" t="str">
        <f ca="1">IFERROR(__xludf.DUMMYFUNCTION("GOOGLETRANSLATE(E246,""ES"",""EN"")"),"It had already been achieved as positioning mental health and community psychiatry. At one point I felt that we could do many things because it was understood, what it was. But like that was over. As I feel there has been a setback.")</f>
        <v>It had already been achieved as positioning mental health and community psychiatry. At one point I felt that we could do many things because it was understood, what it was. But like that was over. As I feel there has been a setback.</v>
      </c>
      <c r="G246" s="3" t="s">
        <v>542</v>
      </c>
      <c r="H246" s="28">
        <v>0.8828534959580201</v>
      </c>
      <c r="I246" s="3" t="s">
        <v>51</v>
      </c>
      <c r="J246" s="3" t="str">
        <f ca="1">IFERROR(__xludf.DUMMYFUNCTION("GOOGLETRANSLATE(I246,""ES"",""EN"")"),"Negative effect: CSMC financing logics do not stimulate the implementation of the community mental health model.")</f>
        <v>Negative effect: CSMC financing logics do not stimulate the implementation of the community mental health model.</v>
      </c>
      <c r="K246" s="1"/>
      <c r="L246" s="1"/>
      <c r="M246" s="1"/>
      <c r="N246" s="1"/>
      <c r="O246" s="1"/>
      <c r="P246" s="1"/>
      <c r="Q246" s="1"/>
      <c r="R246" s="1"/>
      <c r="S246" s="1"/>
      <c r="T246" s="1"/>
      <c r="U246" s="1"/>
      <c r="V246" s="1"/>
      <c r="W246" s="1"/>
      <c r="X246" s="1"/>
      <c r="Y246" s="1"/>
      <c r="Z246" s="1"/>
    </row>
    <row r="247" spans="1:26" ht="15.75" customHeight="1" x14ac:dyDescent="0.25">
      <c r="A247" s="6" t="s">
        <v>5</v>
      </c>
      <c r="B247" s="3" t="s">
        <v>521</v>
      </c>
      <c r="C247" s="3" t="s">
        <v>48</v>
      </c>
      <c r="D247" s="3" t="str">
        <f ca="1">IFERROR(__xludf.DUMMYFUNCTION("GOOGLETRANSLATE(C247,""ES"",""EN"")"),"Financing \ Result \ Retrings in the Community Model")</f>
        <v>Financing \ Result \ Retrings in the Community Model</v>
      </c>
      <c r="E247" s="3" t="s">
        <v>543</v>
      </c>
      <c r="F247" s="3" t="str">
        <f ca="1">IFERROR(__xludf.DUMMYFUNCTION("GOOGLETRANSLATE(E247,""ES"",""EN"")"),"We did it at some point. It was not completely. It was not totally the model although it is true, but there was as a vision closer to the model, which now I do not see it at all.")</f>
        <v>We did it at some point. It was not completely. It was not totally the model although it is true, but there was as a vision closer to the model, which now I do not see it at all.</v>
      </c>
      <c r="G247" s="3" t="s">
        <v>329</v>
      </c>
      <c r="H247" s="28">
        <v>0.63111615373705854</v>
      </c>
      <c r="I247" s="3" t="s">
        <v>51</v>
      </c>
      <c r="J247" s="3" t="str">
        <f ca="1">IFERROR(__xludf.DUMMYFUNCTION("GOOGLETRANSLATE(I247,""ES"",""EN"")"),"Negative effect: CSMC financing logics do not stimulate the implementation of the community mental health model.")</f>
        <v>Negative effect: CSMC financing logics do not stimulate the implementation of the community mental health model.</v>
      </c>
      <c r="K247" s="1"/>
      <c r="L247" s="1"/>
      <c r="M247" s="1"/>
      <c r="N247" s="1"/>
      <c r="O247" s="1"/>
      <c r="P247" s="1"/>
      <c r="Q247" s="1"/>
      <c r="R247" s="1"/>
      <c r="S247" s="1"/>
      <c r="T247" s="1"/>
      <c r="U247" s="1"/>
      <c r="V247" s="1"/>
      <c r="W247" s="1"/>
      <c r="X247" s="1"/>
      <c r="Y247" s="1"/>
      <c r="Z247" s="1"/>
    </row>
    <row r="248" spans="1:26" ht="15.75" customHeight="1" x14ac:dyDescent="0.25">
      <c r="A248" s="6" t="s">
        <v>5</v>
      </c>
      <c r="B248" s="3" t="s">
        <v>521</v>
      </c>
      <c r="C248" s="3" t="s">
        <v>324</v>
      </c>
      <c r="D248" s="3" t="str">
        <f ca="1">IFERROR(__xludf.DUMMYFUNCTION("GOOGLETRANSLATE(C248,""ES"",""EN"")"),"FINANCING \ Result \ voltage between models in practice")</f>
        <v>FINANCING \ Result \ voltage between models in practice</v>
      </c>
      <c r="E248" s="3" t="s">
        <v>544</v>
      </c>
      <c r="F248" s="3" t="str">
        <f ca="1">IFERROR(__xludf.DUMMYFUNCTION("GOOGLETRANSLATE(E248,""ES"",""EN"")"),"If you have to make so many monthly consultations and you have that, it has been a change as difficult to carry because it is as as it is contained in a certain way to the form of a community center, I say, because they already evaluate you, you evaluate "&amp;"and in production")</f>
        <v>If you have to make so many monthly consultations and you have that, it has been a change as difficult to carry because it is as as it is contained in a certain way to the form of a community center, I say, because they already evaluate you, you evaluate and in production</v>
      </c>
      <c r="G248" s="3" t="s">
        <v>545</v>
      </c>
      <c r="H248" s="28">
        <v>0.94667423060558786</v>
      </c>
      <c r="I248" s="3" t="s">
        <v>51</v>
      </c>
      <c r="J248" s="3" t="str">
        <f ca="1">IFERROR(__xludf.DUMMYFUNCTION("GOOGLETRANSLATE(I248,""ES"",""EN"")"),"Negative effect: CSMC financing logics do not stimulate the implementation of the community mental health model.")</f>
        <v>Negative effect: CSMC financing logics do not stimulate the implementation of the community mental health model.</v>
      </c>
      <c r="K248" s="1"/>
      <c r="L248" s="1"/>
      <c r="M248" s="1"/>
      <c r="N248" s="1"/>
      <c r="O248" s="1"/>
      <c r="P248" s="1"/>
      <c r="Q248" s="1"/>
      <c r="R248" s="1"/>
      <c r="S248" s="1"/>
      <c r="T248" s="1"/>
      <c r="U248" s="1"/>
      <c r="V248" s="1"/>
      <c r="W248" s="1"/>
      <c r="X248" s="1"/>
      <c r="Y248" s="1"/>
      <c r="Z248" s="1"/>
    </row>
    <row r="249" spans="1:26" ht="15.75" customHeight="1" x14ac:dyDescent="0.25">
      <c r="A249" s="6" t="s">
        <v>5</v>
      </c>
      <c r="B249" s="3" t="s">
        <v>521</v>
      </c>
      <c r="C249" s="3" t="s">
        <v>324</v>
      </c>
      <c r="D249" s="3" t="str">
        <f ca="1">IFERROR(__xludf.DUMMYFUNCTION("GOOGLETRANSLATE(C249,""ES"",""EN"")"),"FINANCING \ Result \ voltage between models in practice")</f>
        <v>FINANCING \ Result \ voltage between models in practice</v>
      </c>
      <c r="E249" s="3" t="s">
        <v>546</v>
      </c>
      <c r="F249" s="3" t="str">
        <f ca="1">IFERROR(__xludf.DUMMYFUNCTION("GOOGLETRANSLATE(E249,""ES"",""EN"")"),"One before could be we have this difficulty, let's talk, let's see what we can do. But now you have to schedule the committee hours. You have to do that amount of committee without thinking that there have to be problems. Let's say, I don't know how to sa"&amp;"y it, but a non -programmable issue. The truth is that this cannot be programmed and we have to program it.")</f>
        <v>One before could be we have this difficulty, let's talk, let's see what we can do. But now you have to schedule the committee hours. You have to do that amount of committee without thinking that there have to be problems. Let's say, I don't know how to say it, but a non -programmable issue. The truth is that this cannot be programmed and we have to program it.</v>
      </c>
      <c r="G249" s="3" t="s">
        <v>547</v>
      </c>
      <c r="H249" s="28">
        <v>1.2976882711672104</v>
      </c>
      <c r="I249" s="3" t="s">
        <v>51</v>
      </c>
      <c r="J249" s="3" t="str">
        <f ca="1">IFERROR(__xludf.DUMMYFUNCTION("GOOGLETRANSLATE(I249,""ES"",""EN"")"),"Negative effect: CSMC financing logics do not stimulate the implementation of the community mental health model.")</f>
        <v>Negative effect: CSMC financing logics do not stimulate the implementation of the community mental health model.</v>
      </c>
      <c r="K249" s="1"/>
      <c r="L249" s="1"/>
      <c r="M249" s="1"/>
      <c r="N249" s="1"/>
      <c r="O249" s="1"/>
      <c r="P249" s="1"/>
      <c r="Q249" s="1"/>
      <c r="R249" s="1"/>
      <c r="S249" s="1"/>
      <c r="T249" s="1"/>
      <c r="U249" s="1"/>
      <c r="V249" s="1"/>
      <c r="W249" s="1"/>
      <c r="X249" s="1"/>
      <c r="Y249" s="1"/>
      <c r="Z249" s="1"/>
    </row>
    <row r="250" spans="1:26" ht="15.75" customHeight="1" x14ac:dyDescent="0.25">
      <c r="A250" s="6" t="s">
        <v>5</v>
      </c>
      <c r="B250" s="3" t="s">
        <v>521</v>
      </c>
      <c r="C250" s="3" t="s">
        <v>324</v>
      </c>
      <c r="D250" s="3" t="str">
        <f ca="1">IFERROR(__xludf.DUMMYFUNCTION("GOOGLETRANSLATE(C250,""ES"",""EN"")"),"FINANCING \ Result \ voltage between models in practice")</f>
        <v>FINANCING \ Result \ voltage between models in practice</v>
      </c>
      <c r="E250" s="3" t="s">
        <v>548</v>
      </c>
      <c r="F250" s="3" t="str">
        <f ca="1">IFERROR(__xludf.DUMMYFUNCTION("GOOGLETRANSLATE(E250,""ES"",""EN"")"),"Well, before the pandemic, we were not authorized resources to do a community activity, so they were as traditional, it was not authorized")</f>
        <v>Well, before the pandemic, we were not authorized resources to do a community activity, so they were as traditional, it was not authorized</v>
      </c>
      <c r="G250" s="3" t="s">
        <v>549</v>
      </c>
      <c r="H250" s="28">
        <v>0.53183945539639765</v>
      </c>
      <c r="I250" s="3" t="s">
        <v>51</v>
      </c>
      <c r="J250" s="3" t="str">
        <f ca="1">IFERROR(__xludf.DUMMYFUNCTION("GOOGLETRANSLATE(I250,""ES"",""EN"")"),"Negative effect: CSMC financing logics do not stimulate the implementation of the community mental health model.")</f>
        <v>Negative effect: CSMC financing logics do not stimulate the implementation of the community mental health model.</v>
      </c>
      <c r="K250" s="1"/>
      <c r="L250" s="1"/>
      <c r="M250" s="1"/>
      <c r="N250" s="1"/>
      <c r="O250" s="1"/>
      <c r="P250" s="1"/>
      <c r="Q250" s="1"/>
      <c r="R250" s="1"/>
      <c r="S250" s="1"/>
      <c r="T250" s="1"/>
      <c r="U250" s="1"/>
      <c r="V250" s="1"/>
      <c r="W250" s="1"/>
      <c r="X250" s="1"/>
      <c r="Y250" s="1"/>
      <c r="Z250" s="1"/>
    </row>
    <row r="251" spans="1:26" ht="15.75" customHeight="1" x14ac:dyDescent="0.25">
      <c r="A251" s="6" t="s">
        <v>5</v>
      </c>
      <c r="B251" s="3" t="s">
        <v>521</v>
      </c>
      <c r="C251" s="3" t="s">
        <v>324</v>
      </c>
      <c r="D251" s="3" t="str">
        <f ca="1">IFERROR(__xludf.DUMMYFUNCTION("GOOGLETRANSLATE(C251,""ES"",""EN"")"),"FINANCING \ Result \ voltage between models in practice")</f>
        <v>FINANCING \ Result \ voltage between models in practice</v>
      </c>
      <c r="E251" s="3" t="s">
        <v>550</v>
      </c>
      <c r="F251" s="3" t="str">
        <f ca="1">IFERROR(__xludf.DUMMYFUNCTION("GOOGLETRANSLATE(E251,""ES"",""EN"")"),"Or and an equal group not enthusiastic because we said how we are not going to do anything, people are going to ask as not. I have the feeling that people of very scarce resources have very few chances of recreation. So these events were expected and I th"&amp;"ink they are still expected. That does not make us sorry to say, how are we going to do anything.
Speaker2: [00:19:46] And a group motivated ourselves and there was a doctor also at that time that moved, let's do it the same as I know, and taking the nam"&amp;"e of an organization that there are, because we as a service can ask for collaboration in nothing. The party was armed and everything was done and everything. But in general, such activities was no longer authorized, there is no money for that, that is.")</f>
        <v>Or and an equal group not enthusiastic because we said how we are not going to do anything, people are going to ask as not. I have the feeling that people of very scarce resources have very few chances of recreation. So these events were expected and I think they are still expected. That does not make us sorry to say, how are we going to do anything.
Speaker2: [00:19:46] And a group motivated ourselves and there was a doctor also at that time that moved, let's do it the same as I know, and taking the name of an organization that there are, because we as a service can ask for collaboration in nothing. The party was armed and everything was done and everything. But in general, such activities was no longer authorized, there is no money for that, that is.</v>
      </c>
      <c r="G251" s="3" t="s">
        <v>551</v>
      </c>
      <c r="H251" s="28">
        <v>2.5599205786413273</v>
      </c>
      <c r="I251" s="3" t="s">
        <v>51</v>
      </c>
      <c r="J251" s="3" t="str">
        <f ca="1">IFERROR(__xludf.DUMMYFUNCTION("GOOGLETRANSLATE(I251,""ES"",""EN"")"),"Negative effect: CSMC financing logics do not stimulate the implementation of the community mental health model.")</f>
        <v>Negative effect: CSMC financing logics do not stimulate the implementation of the community mental health model.</v>
      </c>
      <c r="K251" s="1"/>
      <c r="L251" s="1"/>
      <c r="M251" s="1"/>
      <c r="N251" s="1"/>
      <c r="O251" s="1"/>
      <c r="P251" s="1"/>
      <c r="Q251" s="1"/>
      <c r="R251" s="1"/>
      <c r="S251" s="1"/>
      <c r="T251" s="1"/>
      <c r="U251" s="1"/>
      <c r="V251" s="1"/>
      <c r="W251" s="1"/>
      <c r="X251" s="1"/>
      <c r="Y251" s="1"/>
      <c r="Z251" s="1"/>
    </row>
    <row r="252" spans="1:26" ht="15.75" customHeight="1" x14ac:dyDescent="0.25">
      <c r="A252" s="2" t="s">
        <v>5</v>
      </c>
      <c r="B252" s="3" t="s">
        <v>521</v>
      </c>
      <c r="C252" s="3" t="s">
        <v>66</v>
      </c>
      <c r="D252" s="3" t="str">
        <f ca="1">IFERROR(__xludf.DUMMYFUNCTION("GOOGLETRANSLATE(C252,""ES"",""EN"")"),"HUMAN RESOURCES \ Result \ resignation of experienced professionals")</f>
        <v>HUMAN RESOURCES \ Result \ resignation of experienced professionals</v>
      </c>
      <c r="E252" s="3" t="s">
        <v>552</v>
      </c>
      <c r="F252" s="3" t="str">
        <f ca="1">IFERROR(__xludf.DUMMYFUNCTION("GOOGLETRANSLATE(E252,""ES"",""EN"")"),"To us, for example, now we go two psychologists, formed a long time ago in the center, a long time ago here in the center. Excellent professionals. As I tell you, formed, because it is a school, I believe that no, the community mental health center is not"&amp;" learned anywhere else than here, I say. And they leave and go to primary care.")</f>
        <v>To us, for example, now we go two psychologists, formed a long time ago in the center, a long time ago here in the center. Excellent professionals. As I tell you, formed, because it is a school, I believe that no, the community mental health center is not learned anywhere else than here, I say. And they leave and go to primary care.</v>
      </c>
      <c r="G252" s="3" t="s">
        <v>306</v>
      </c>
      <c r="H252" s="28">
        <v>1.2551411147354985</v>
      </c>
      <c r="I252" s="3" t="s">
        <v>21</v>
      </c>
      <c r="J252" s="3" t="str">
        <f ca="1">IFERROR(__xludf.DUMMYFUNCTION("GOOGLETRANSLATE(I252,""ES"",""EN"")"),"Negative effects: high rotation of professionals")</f>
        <v>Negative effects: high rotation of professionals</v>
      </c>
      <c r="K252" s="1"/>
      <c r="L252" s="1"/>
      <c r="M252" s="1"/>
      <c r="N252" s="1"/>
      <c r="O252" s="1"/>
      <c r="P252" s="1"/>
      <c r="Q252" s="1"/>
      <c r="R252" s="1"/>
      <c r="S252" s="1"/>
      <c r="T252" s="1"/>
      <c r="U252" s="1"/>
      <c r="V252" s="1"/>
      <c r="W252" s="1"/>
      <c r="X252" s="1"/>
      <c r="Y252" s="1"/>
      <c r="Z252" s="1"/>
    </row>
    <row r="253" spans="1:26" ht="15.75" customHeight="1" x14ac:dyDescent="0.25">
      <c r="A253" s="2" t="s">
        <v>5</v>
      </c>
      <c r="B253" s="3" t="s">
        <v>521</v>
      </c>
      <c r="C253" s="3" t="s">
        <v>66</v>
      </c>
      <c r="D253" s="3" t="str">
        <f ca="1">IFERROR(__xludf.DUMMYFUNCTION("GOOGLETRANSLATE(C253,""ES"",""EN"")"),"HUMAN RESOURCES \ Result \ resignation of experienced professionals")</f>
        <v>HUMAN RESOURCES \ Result \ resignation of experienced professionals</v>
      </c>
      <c r="E253" s="3" t="s">
        <v>553</v>
      </c>
      <c r="F253" s="3" t="str">
        <f ca="1">IFERROR(__xludf.DUMMYFUNCTION("GOOGLETRANSLATE(E253,""ES"",""EN"")"),"Here are the people who have specialized, who have more tool, who have had more trajectory, but salaries are a horrible disincentive. The official career is a horror, that is, there is no. That is, if you manage to enter the plant, then you have to fight "&amp;"a degree. It is awful.")</f>
        <v>Here are the people who have specialized, who have more tool, who have had more trajectory, but salaries are a horrible disincentive. The official career is a horror, that is, there is no. That is, if you manage to enter the plant, then you have to fight a degree. It is awful.</v>
      </c>
      <c r="G253" s="3" t="s">
        <v>554</v>
      </c>
      <c r="H253" s="28">
        <v>1.0636789107927953</v>
      </c>
      <c r="I253" s="3" t="s">
        <v>21</v>
      </c>
      <c r="J253" s="3" t="str">
        <f ca="1">IFERROR(__xludf.DUMMYFUNCTION("GOOGLETRANSLATE(I253,""ES"",""EN"")"),"Negative effects: high rotation of professionals")</f>
        <v>Negative effects: high rotation of professionals</v>
      </c>
      <c r="K253" s="1"/>
      <c r="L253" s="1"/>
      <c r="M253" s="1"/>
      <c r="N253" s="1"/>
      <c r="O253" s="1"/>
      <c r="P253" s="1"/>
      <c r="Q253" s="1"/>
      <c r="R253" s="1"/>
      <c r="S253" s="1"/>
      <c r="T253" s="1"/>
      <c r="U253" s="1"/>
      <c r="V253" s="1"/>
      <c r="W253" s="1"/>
      <c r="X253" s="1"/>
      <c r="Y253" s="1"/>
      <c r="Z253" s="1"/>
    </row>
    <row r="254" spans="1:26" ht="15.75" customHeight="1" x14ac:dyDescent="0.25">
      <c r="A254" s="2" t="s">
        <v>5</v>
      </c>
      <c r="B254" s="3" t="s">
        <v>521</v>
      </c>
      <c r="C254" s="3" t="s">
        <v>66</v>
      </c>
      <c r="D254" s="3" t="str">
        <f ca="1">IFERROR(__xludf.DUMMYFUNCTION("GOOGLETRANSLATE(C254,""ES"",""EN"")"),"HUMAN RESOURCES \ Result \ resignation of experienced professionals")</f>
        <v>HUMAN RESOURCES \ Result \ resignation of experienced professionals</v>
      </c>
      <c r="E254" s="3" t="s">
        <v>555</v>
      </c>
      <c r="F254" s="3" t="str">
        <f ca="1">IFERROR(__xludf.DUMMYFUNCTION("GOOGLETRANSLATE(E254,""ES"",""EN"")"),"The little ones told us, we are not going because we want to leave if we like to work here, but thinking about the future, their children, they need to improve their income and here they will not get it. No, the truth is that they will not get it. And tha"&amp;"t is a large disincentive.")</f>
        <v>The little ones told us, we are not going because we want to leave if we like to work here, but thinking about the future, their children, they need to improve their income and here they will not get it. No, the truth is that they will not get it. And that is a large disincentive.</v>
      </c>
      <c r="G254" s="3" t="s">
        <v>195</v>
      </c>
      <c r="H254" s="28">
        <v>0.95731101971351584</v>
      </c>
      <c r="I254" s="3" t="s">
        <v>21</v>
      </c>
      <c r="J254" s="3" t="str">
        <f ca="1">IFERROR(__xludf.DUMMYFUNCTION("GOOGLETRANSLATE(I254,""ES"",""EN"")"),"Negative effects: high rotation of professionals")</f>
        <v>Negative effects: high rotation of professionals</v>
      </c>
      <c r="K254" s="1"/>
      <c r="L254" s="1"/>
      <c r="M254" s="1"/>
      <c r="N254" s="1"/>
      <c r="O254" s="1"/>
      <c r="P254" s="1"/>
      <c r="Q254" s="1"/>
      <c r="R254" s="1"/>
      <c r="S254" s="1"/>
      <c r="T254" s="1"/>
      <c r="U254" s="1"/>
      <c r="V254" s="1"/>
      <c r="W254" s="1"/>
      <c r="X254" s="1"/>
      <c r="Y254" s="1"/>
      <c r="Z254" s="1"/>
    </row>
    <row r="255" spans="1:26" ht="15.75" customHeight="1" x14ac:dyDescent="0.25">
      <c r="A255" s="6" t="s">
        <v>5</v>
      </c>
      <c r="B255" s="3" t="s">
        <v>521</v>
      </c>
      <c r="C255" s="3" t="s">
        <v>324</v>
      </c>
      <c r="D255" s="3" t="str">
        <f ca="1">IFERROR(__xludf.DUMMYFUNCTION("GOOGLETRANSLATE(C255,""ES"",""EN"")"),"FINANCING \ Result \ voltage between models in practice")</f>
        <v>FINANCING \ Result \ voltage between models in practice</v>
      </c>
      <c r="E255" s="3" t="s">
        <v>556</v>
      </c>
      <c r="F255" s="3" t="str">
        <f ca="1">IFERROR(__xludf.DUMMYFUNCTION("GOOGLETRANSLATE(E255,""ES"",""EN"")"),"Operations that go to the, are professionals who come to the provinces, to the communes, that I know, to the regions and, come to the regions such as freeing waiting lists and we have no waiting list. I don't know, there will be two or three on the waitin"&amp;"g list. But I don't know what vision the director has, that thirty and thirty -two quotas had to be filled so that they were treated by these psychiatrists that were coming once. Once. I don't know, Em to me, to me and the rest of the team seemed to him, "&amp;"that it made no sense, no fruit to do that. That it was also a like a violation of the person, because why you were going to go there if it was already here, we already knew its history to tell another psychiatrist and then return here, it will continue w"&amp;"ith us . That is neither feet nor head. Not even the new ones, because again one, two or three who were waiting to be treated, they are treated by the psychiatrist and then they return to us again the story, because obvious, the psychiatrist has to evalua"&amp;"te it. And well, and where do you leave? Because patients fonasa c and d still had to pay their attention to the hospital, the silver left. For us a meaningless job to start, to call people, explain to him to be, and that it was because we had as if or if"&amp;" he filled the thirty and so many quotas so that the operation was successful.")</f>
        <v>Operations that go to the, are professionals who come to the provinces, to the communes, that I know, to the regions and, come to the regions such as freeing waiting lists and we have no waiting list. I don't know, there will be two or three on the waiting list. But I don't know what vision the director has, that thirty and thirty -two quotas had to be filled so that they were treated by these psychiatrists that were coming once. Once. I don't know, Em to me, to me and the rest of the team seemed to him, that it made no sense, no fruit to do that. That it was also a like a violation of the person, because why you were going to go there if it was already here, we already knew its history to tell another psychiatrist and then return here, it will continue with us . That is neither feet nor head. Not even the new ones, because again one, two or three who were waiting to be treated, they are treated by the psychiatrist and then they return to us again the story, because obvious, the psychiatrist has to evaluate it. And well, and where do you leave? Because patients fonasa c and d still had to pay their attention to the hospital, the silver left. For us a meaningless job to start, to call people, explain to him to be, and that it was because we had as if or if he filled the thirty and so many quotas so that the operation was successful.</v>
      </c>
      <c r="G255" s="3" t="s">
        <v>557</v>
      </c>
      <c r="H255" s="28">
        <v>5.038292440788541</v>
      </c>
      <c r="I255" s="3" t="s">
        <v>51</v>
      </c>
      <c r="J255" s="3" t="str">
        <f ca="1">IFERROR(__xludf.DUMMYFUNCTION("GOOGLETRANSLATE(I255,""ES"",""EN"")"),"Negative effect: CSMC financing logics do not stimulate the implementation of the community mental health model.")</f>
        <v>Negative effect: CSMC financing logics do not stimulate the implementation of the community mental health model.</v>
      </c>
      <c r="K255" s="1"/>
      <c r="L255" s="1"/>
      <c r="M255" s="1"/>
      <c r="N255" s="1"/>
      <c r="O255" s="1"/>
      <c r="P255" s="1"/>
      <c r="Q255" s="1"/>
      <c r="R255" s="1"/>
      <c r="S255" s="1"/>
      <c r="T255" s="1"/>
      <c r="U255" s="1"/>
      <c r="V255" s="1"/>
      <c r="W255" s="1"/>
      <c r="X255" s="1"/>
      <c r="Y255" s="1"/>
      <c r="Z255" s="1"/>
    </row>
    <row r="256" spans="1:26" ht="15.75" customHeight="1" x14ac:dyDescent="0.25">
      <c r="A256" s="6" t="s">
        <v>5</v>
      </c>
      <c r="B256" s="3" t="s">
        <v>521</v>
      </c>
      <c r="C256" s="3" t="s">
        <v>324</v>
      </c>
      <c r="D256" s="3" t="str">
        <f ca="1">IFERROR(__xludf.DUMMYFUNCTION("GOOGLETRANSLATE(C256,""ES"",""EN"")"),"FINANCING \ Result \ voltage between models in practice")</f>
        <v>FINANCING \ Result \ voltage between models in practice</v>
      </c>
      <c r="E256" s="3" t="s">
        <v>558</v>
      </c>
      <c r="F256" s="3" t="str">
        <f ca="1">IFERROR(__xludf.DUMMYFUNCTION("GOOGLETRANSLATE(E256,""ES"",""EN"")"),"The system does, I talked with a colleague, I told him that this system makes work for us difficult, it makes it impossible. I say that it makes it difficult because buying something is slow and blurred, so if you want to do something, you have to think a"&amp;"bout as several months before, because if you approve it, the question will come to you I do not know when.")</f>
        <v>The system does, I talked with a colleague, I told him that this system makes work for us difficult, it makes it impossible. I say that it makes it difficult because buying something is slow and blurred, so if you want to do something, you have to think about as several months before, because if you approve it, the question will come to you I do not know when.</v>
      </c>
      <c r="G256" s="3" t="s">
        <v>559</v>
      </c>
      <c r="H256" s="28">
        <v>1.2480499219968799</v>
      </c>
      <c r="I256" s="3" t="s">
        <v>51</v>
      </c>
      <c r="J256" s="3" t="str">
        <f ca="1">IFERROR(__xludf.DUMMYFUNCTION("GOOGLETRANSLATE(I256,""ES"",""EN"")"),"Negative effect: CSMC financing logics do not stimulate the implementation of the community mental health model.")</f>
        <v>Negative effect: CSMC financing logics do not stimulate the implementation of the community mental health model.</v>
      </c>
      <c r="K256" s="1"/>
      <c r="L256" s="1"/>
      <c r="M256" s="1"/>
      <c r="N256" s="1"/>
      <c r="O256" s="1"/>
      <c r="P256" s="1"/>
      <c r="Q256" s="1"/>
      <c r="R256" s="1"/>
      <c r="S256" s="1"/>
      <c r="T256" s="1"/>
      <c r="U256" s="1"/>
      <c r="V256" s="1"/>
      <c r="W256" s="1"/>
      <c r="X256" s="1"/>
      <c r="Y256" s="1"/>
      <c r="Z256" s="1"/>
    </row>
    <row r="257" spans="1:26" ht="15.75" customHeight="1" x14ac:dyDescent="0.25">
      <c r="A257" s="6" t="s">
        <v>5</v>
      </c>
      <c r="B257" s="3" t="s">
        <v>521</v>
      </c>
      <c r="C257" s="3" t="s">
        <v>324</v>
      </c>
      <c r="D257" s="3" t="str">
        <f ca="1">IFERROR(__xludf.DUMMYFUNCTION("GOOGLETRANSLATE(C257,""ES"",""EN"")"),"FINANCING \ Result \ voltage between models in practice")</f>
        <v>FINANCING \ Result \ voltage between models in practice</v>
      </c>
      <c r="E257" s="3" t="s">
        <v>560</v>
      </c>
      <c r="F257" s="3" t="str">
        <f ca="1">IFERROR(__xludf.DUMMYFUNCTION("GOOGLETRANSLATE(E257,""ES"",""EN"")"),"The deputy director is privileged, well, I do not know if, it is understandable with the question of the pandemic, that for him it was more important to buy mask or gloves that, I do not know, what pastilleros or that other matter or collations. Because o"&amp;"bviously collations for what then, collations for users? Not therefore, forget it. And for us the collation is so important, because it is a motivation, because it makes the environment richer, because I do not know, it gives it another warmth. If you wan"&amp;"t to be a workshop of something, how are you not going to have something? It is like fome then. I mean, I see it that way. I don't know if my gaze will be very concrete. My experience, it is said that people expect one to have more than the pure word.")</f>
        <v>The deputy director is privileged, well, I do not know if, it is understandable with the question of the pandemic, that for him it was more important to buy mask or gloves that, I do not know, what pastilleros or that other matter or collations. Because obviously collations for what then, collations for users? Not therefore, forget it. And for us the collation is so important, because it is a motivation, because it makes the environment richer, because I do not know, it gives it another warmth. If you want to be a workshop of something, how are you not going to have something? It is like fome then. I mean, I see it that way. I don't know if my gaze will be very concrete. My experience, it is said that people expect one to have more than the pure word.</v>
      </c>
      <c r="G257" s="3" t="s">
        <v>561</v>
      </c>
      <c r="H257" s="28">
        <v>2.4712806694085945</v>
      </c>
      <c r="I257" s="3" t="s">
        <v>51</v>
      </c>
      <c r="J257" s="3" t="str">
        <f ca="1">IFERROR(__xludf.DUMMYFUNCTION("GOOGLETRANSLATE(I257,""ES"",""EN"")"),"Negative effect: CSMC financing logics do not stimulate the implementation of the community mental health model.")</f>
        <v>Negative effect: CSMC financing logics do not stimulate the implementation of the community mental health model.</v>
      </c>
      <c r="K257" s="1"/>
      <c r="L257" s="1"/>
      <c r="M257" s="1"/>
      <c r="N257" s="1"/>
      <c r="O257" s="1"/>
      <c r="P257" s="1"/>
      <c r="Q257" s="1"/>
      <c r="R257" s="1"/>
      <c r="S257" s="1"/>
      <c r="T257" s="1"/>
      <c r="U257" s="1"/>
      <c r="V257" s="1"/>
      <c r="W257" s="1"/>
      <c r="X257" s="1"/>
      <c r="Y257" s="1"/>
      <c r="Z257" s="1"/>
    </row>
    <row r="258" spans="1:26" ht="15.75" customHeight="1" x14ac:dyDescent="0.25">
      <c r="A258" s="6" t="s">
        <v>5</v>
      </c>
      <c r="B258" s="3" t="s">
        <v>521</v>
      </c>
      <c r="C258" s="3" t="s">
        <v>324</v>
      </c>
      <c r="D258" s="3" t="str">
        <f ca="1">IFERROR(__xludf.DUMMYFUNCTION("GOOGLETRANSLATE(C258,""ES"",""EN"")"),"FINANCING \ Result \ voltage between models in practice")</f>
        <v>FINANCING \ Result \ voltage between models in practice</v>
      </c>
      <c r="E258" s="3" t="s">
        <v>562</v>
      </c>
      <c r="F258" s="3" t="str">
        <f ca="1">IFERROR(__xludf.DUMMYFUNCTION("GOOGLETRANSLATE(E258,""ES"",""EN"")"),"We have two printers, there is a printer. That is the other the purchase system is expensive, it is very expensive. If one compares what is in the Framework Agreement, the famous agreement, with what is sold in the market, that is to be cheaper to buy it "&amp;"to the store than to acquire it by this agreement. That is, much more silver is spent and the things of the quality one wants, no, they are not of the quality one needs and more on top are much more expensive. That is not explained, who made that fix. The"&amp;"re is a Cannon printer there that charges you the lease of the machine and charges per print sheet. Every sheet that you print has a value and that is cheaper to buy a printer that is the center? The thing is that we have another printer that is from the "&amp;"center, but not now there are two. The one that charges the rent and the impressions of leaves, plus the other. Then I don't know who came up, how you get to that, who asked for the printer, who asked for that printer, I don't know.")</f>
        <v>We have two printers, there is a printer. That is the other the purchase system is expensive, it is very expensive. If one compares what is in the Framework Agreement, the famous agreement, with what is sold in the market, that is to be cheaper to buy it to the store than to acquire it by this agreement. That is, much more silver is spent and the things of the quality one wants, no, they are not of the quality one needs and more on top are much more expensive. That is not explained, who made that fix. There is a Cannon printer there that charges you the lease of the machine and charges per print sheet. Every sheet that you print has a value and that is cheaper to buy a printer that is the center? The thing is that we have another printer that is from the center, but not now there are two. The one that charges the rent and the impressions of leaves, plus the other. Then I don't know who came up, how you get to that, who asked for the printer, who asked for that printer, I don't know.</v>
      </c>
      <c r="G258" s="3" t="s">
        <v>563</v>
      </c>
      <c r="H258" s="28">
        <v>3.3860445326903985</v>
      </c>
      <c r="I258" s="3" t="s">
        <v>51</v>
      </c>
      <c r="J258" s="3" t="str">
        <f ca="1">IFERROR(__xludf.DUMMYFUNCTION("GOOGLETRANSLATE(I258,""ES"",""EN"")"),"Negative effect: CSMC financing logics do not stimulate the implementation of the community mental health model.")</f>
        <v>Negative effect: CSMC financing logics do not stimulate the implementation of the community mental health model.</v>
      </c>
      <c r="K258" s="1"/>
      <c r="L258" s="1"/>
      <c r="M258" s="1"/>
      <c r="N258" s="1"/>
      <c r="O258" s="1"/>
      <c r="P258" s="1"/>
      <c r="Q258" s="1"/>
      <c r="R258" s="1"/>
      <c r="S258" s="1"/>
      <c r="T258" s="1"/>
      <c r="U258" s="1"/>
      <c r="V258" s="1"/>
      <c r="W258" s="1"/>
      <c r="X258" s="1"/>
      <c r="Y258" s="1"/>
      <c r="Z258" s="1"/>
    </row>
    <row r="259" spans="1:26" ht="15.75" customHeight="1" x14ac:dyDescent="0.25">
      <c r="A259" s="6" t="s">
        <v>5</v>
      </c>
      <c r="B259" s="3" t="s">
        <v>564</v>
      </c>
      <c r="C259" s="3" t="s">
        <v>388</v>
      </c>
      <c r="D259" s="3" t="str">
        <f ca="1">IFERROR(__xludf.DUMMYFUNCTION("GOOGLETRANSLATE(C259,""ES"",""EN"")"),"FINANCING \ RESULT \ SYSTEM IS FINISHED")</f>
        <v>FINANCING \ RESULT \ SYSTEM IS FINISHED</v>
      </c>
      <c r="E259" s="3" t="s">
        <v>565</v>
      </c>
      <c r="F259" s="3" t="str">
        <f ca="1">IFERROR(__xludf.DUMMYFUNCTION("GOOGLETRANSLATE(E259,""ES"",""EN"")"),"In general terms, what gives the [Health Service] service does not reach the magnitude of the coverage that is being delivered today. The system is absolutely definanced.")</f>
        <v>In general terms, what gives the [Health Service] service does not reach the magnitude of the coverage that is being delivered today. The system is absolutely definanced.</v>
      </c>
      <c r="G259" s="3" t="s">
        <v>258</v>
      </c>
      <c r="H259" s="28">
        <v>0.54860328568886785</v>
      </c>
      <c r="I259" s="3" t="s">
        <v>65</v>
      </c>
      <c r="J259" s="3" t="str">
        <f ca="1">IFERROR(__xludf.DUMMYFUNCTION("GOOGLETRANSLATE(I259,""ES"",""EN"")"),"Negative effect: actors do not identify a CSMC financing system")</f>
        <v>Negative effect: actors do not identify a CSMC financing system</v>
      </c>
      <c r="K259" s="1"/>
      <c r="L259" s="1"/>
      <c r="M259" s="1"/>
      <c r="N259" s="1"/>
      <c r="O259" s="1"/>
      <c r="P259" s="1"/>
      <c r="Q259" s="1"/>
      <c r="R259" s="1"/>
      <c r="S259" s="1"/>
      <c r="T259" s="1"/>
      <c r="U259" s="1"/>
      <c r="V259" s="1"/>
      <c r="W259" s="1"/>
      <c r="X259" s="1"/>
      <c r="Y259" s="1"/>
      <c r="Z259" s="1"/>
    </row>
    <row r="260" spans="1:26" ht="15.75" customHeight="1" x14ac:dyDescent="0.25">
      <c r="A260" s="6" t="s">
        <v>5</v>
      </c>
      <c r="B260" s="3" t="s">
        <v>564</v>
      </c>
      <c r="C260" s="3" t="s">
        <v>388</v>
      </c>
      <c r="D260" s="3" t="str">
        <f ca="1">IFERROR(__xludf.DUMMYFUNCTION("GOOGLETRANSLATE(C260,""ES"",""EN"")"),"FINANCING \ RESULT \ SYSTEM IS FINISHED")</f>
        <v>FINANCING \ RESULT \ SYSTEM IS FINISHED</v>
      </c>
      <c r="E260" s="3" t="s">
        <v>566</v>
      </c>
      <c r="F260" s="3" t="str">
        <f ca="1">IFERROR(__xludf.DUMMYFUNCTION("GOOGLETRANSLATE(E260,""ES"",""EN"")"),"Then if you add and subtraction does not reach the financing to give the width that corresponds to the benefits you are delivering.")</f>
        <v>Then if you add and subtraction does not reach the financing to give the width that corresponds to the benefits you are delivering.</v>
      </c>
      <c r="G260" s="3" t="s">
        <v>318</v>
      </c>
      <c r="H260" s="28">
        <v>0.38550501156515038</v>
      </c>
      <c r="I260" s="3" t="s">
        <v>65</v>
      </c>
      <c r="J260" s="3" t="str">
        <f ca="1">IFERROR(__xludf.DUMMYFUNCTION("GOOGLETRANSLATE(I260,""ES"",""EN"")"),"Negative effect: actors do not identify a CSMC financing system")</f>
        <v>Negative effect: actors do not identify a CSMC financing system</v>
      </c>
      <c r="K260" s="1"/>
      <c r="L260" s="1"/>
      <c r="M260" s="1"/>
      <c r="N260" s="1"/>
      <c r="O260" s="1"/>
      <c r="P260" s="1"/>
      <c r="Q260" s="1"/>
      <c r="R260" s="1"/>
      <c r="S260" s="1"/>
      <c r="T260" s="1"/>
      <c r="U260" s="1"/>
      <c r="V260" s="1"/>
      <c r="W260" s="1"/>
      <c r="X260" s="1"/>
      <c r="Y260" s="1"/>
      <c r="Z260" s="1"/>
    </row>
    <row r="261" spans="1:26" ht="15.75" customHeight="1" x14ac:dyDescent="0.25">
      <c r="A261" s="6" t="s">
        <v>5</v>
      </c>
      <c r="B261" s="3" t="s">
        <v>564</v>
      </c>
      <c r="C261" s="9" t="s">
        <v>333</v>
      </c>
      <c r="D261" s="3" t="str">
        <f ca="1">IFERROR(__xludf.DUMMYFUNCTION("GOOGLETRANSLATE(C261,""ES"",""EN"")"),"Financing \ Result \ Selection Pathologies with financial revenue")</f>
        <v>Financing \ Result \ Selection Pathologies with financial revenue</v>
      </c>
      <c r="E261" s="9" t="s">
        <v>567</v>
      </c>
      <c r="F261" s="3" t="str">
        <f ca="1">IFERROR(__xludf.DUMMYFUNCTION("GOOGLETRANSLATE(E261,""ES"",""EN"")"),"That is also that the basket is shrinking.")</f>
        <v>That is also that the basket is shrinking.</v>
      </c>
      <c r="G261" s="9" t="s">
        <v>568</v>
      </c>
      <c r="H261" s="29">
        <v>0.16902912045548898</v>
      </c>
      <c r="I261" s="3" t="s">
        <v>51</v>
      </c>
      <c r="J261" s="3" t="str">
        <f ca="1">IFERROR(__xludf.DUMMYFUNCTION("GOOGLETRANSLATE(I261,""ES"",""EN"")"),"Negative effect: CSMC financing logics do not stimulate the implementation of the community mental health model.")</f>
        <v>Negative effect: CSMC financing logics do not stimulate the implementation of the community mental health model.</v>
      </c>
      <c r="K261" s="1"/>
      <c r="L261" s="1"/>
      <c r="M261" s="1"/>
      <c r="N261" s="1"/>
      <c r="O261" s="1"/>
      <c r="P261" s="1"/>
      <c r="Q261" s="1"/>
      <c r="R261" s="1"/>
      <c r="S261" s="1"/>
      <c r="T261" s="1"/>
      <c r="U261" s="1"/>
      <c r="V261" s="1"/>
      <c r="W261" s="1"/>
      <c r="X261" s="1"/>
      <c r="Y261" s="1"/>
      <c r="Z261" s="1"/>
    </row>
    <row r="262" spans="1:26" ht="15.75" customHeight="1" x14ac:dyDescent="0.25">
      <c r="A262" s="2" t="s">
        <v>5</v>
      </c>
      <c r="B262" s="3" t="s">
        <v>564</v>
      </c>
      <c r="C262" s="3" t="s">
        <v>569</v>
      </c>
      <c r="D262" s="3" t="str">
        <f ca="1">IFERROR(__xludf.DUMMYFUNCTION("GOOGLETRANSLATE(C262,""ES"",""EN"")"),"Human Resources \ Result \ Cost in Personal Life")</f>
        <v>Human Resources \ Result \ Cost in Personal Life</v>
      </c>
      <c r="E262" s="3" t="s">
        <v>570</v>
      </c>
      <c r="F262" s="3" t="str">
        <f ca="1">IFERROR(__xludf.DUMMYFUNCTION("GOOGLETRANSLATE(E262,""ES"",""EN"")"),"We had no devices in Macul, we had no money and finally financed exclusively with their own money and people said yes, but do not spend in Bencina. But what you spend on benzina or micro is quite lower than that it meant, because it multiplied.")</f>
        <v>We had no devices in Macul, we had no money and finally financed exclusively with their own money and people said yes, but do not spend in Bencina. But what you spend on benzina or micro is quite lower than that it meant, because it multiplied.</v>
      </c>
      <c r="G262" s="3" t="s">
        <v>571</v>
      </c>
      <c r="H262" s="28">
        <v>0.83921475594567352</v>
      </c>
      <c r="I262" s="3" t="s">
        <v>10</v>
      </c>
      <c r="J262" s="3" t="str">
        <f ca="1">IFERROR(__xludf.DUMMYFUNCTION("GOOGLETRANSLATE(I262,""ES"",""EN"")"),"Negative effects: staff does not cover the demand for care")</f>
        <v>Negative effects: staff does not cover the demand for care</v>
      </c>
      <c r="K262" s="1"/>
      <c r="L262" s="1"/>
      <c r="M262" s="1"/>
      <c r="N262" s="1"/>
      <c r="O262" s="1"/>
      <c r="P262" s="1"/>
      <c r="Q262" s="1"/>
      <c r="R262" s="1"/>
      <c r="S262" s="1"/>
      <c r="T262" s="1"/>
      <c r="U262" s="1"/>
      <c r="V262" s="1"/>
      <c r="W262" s="1"/>
      <c r="X262" s="1"/>
      <c r="Y262" s="1"/>
      <c r="Z262" s="1"/>
    </row>
    <row r="263" spans="1:26" ht="15.75" customHeight="1" x14ac:dyDescent="0.25">
      <c r="A263" s="2" t="s">
        <v>5</v>
      </c>
      <c r="B263" s="3" t="s">
        <v>564</v>
      </c>
      <c r="C263" s="3" t="s">
        <v>569</v>
      </c>
      <c r="D263" s="3" t="str">
        <f ca="1">IFERROR(__xludf.DUMMYFUNCTION("GOOGLETRANSLATE(C263,""ES"",""EN"")"),"Human Resources \ Result \ Cost in Personal Life")</f>
        <v>Human Resources \ Result \ Cost in Personal Life</v>
      </c>
      <c r="E263" s="3" t="s">
        <v>572</v>
      </c>
      <c r="F263" s="3" t="str">
        <f ca="1">IFERROR(__xludf.DUMMYFUNCTION("GOOGLETRANSLATE(E263,""ES"",""EN"")"),"In addition, there was a particular cost because patients called you at ten, eleven, at twelve o'clock at night and more, they stayed with your phone number. That cost is not reflected anywhere. Finally, which is a fairly important cost.")</f>
        <v>In addition, there was a particular cost because patients called you at ten, eleven, at twelve o'clock at night and more, they stayed with your phone number. That cost is not reflected anywhere. Finally, which is a fairly important cost.</v>
      </c>
      <c r="G263" s="3" t="s">
        <v>573</v>
      </c>
      <c r="H263" s="28">
        <v>0.74135579147144293</v>
      </c>
      <c r="I263" s="3" t="s">
        <v>10</v>
      </c>
      <c r="J263" s="3" t="str">
        <f ca="1">IFERROR(__xludf.DUMMYFUNCTION("GOOGLETRANSLATE(I263,""ES"",""EN"")"),"Negative effects: staff does not cover the demand for care")</f>
        <v>Negative effects: staff does not cover the demand for care</v>
      </c>
      <c r="K263" s="1"/>
      <c r="L263" s="1"/>
      <c r="M263" s="1"/>
      <c r="N263" s="1"/>
      <c r="O263" s="1"/>
      <c r="P263" s="1"/>
      <c r="Q263" s="1"/>
      <c r="R263" s="1"/>
      <c r="S263" s="1"/>
      <c r="T263" s="1"/>
      <c r="U263" s="1"/>
      <c r="V263" s="1"/>
      <c r="W263" s="1"/>
      <c r="X263" s="1"/>
      <c r="Y263" s="1"/>
      <c r="Z263" s="1"/>
    </row>
    <row r="264" spans="1:26" ht="15.75" customHeight="1" x14ac:dyDescent="0.25">
      <c r="A264" s="2" t="s">
        <v>5</v>
      </c>
      <c r="B264" s="3" t="s">
        <v>564</v>
      </c>
      <c r="C264" s="3" t="s">
        <v>574</v>
      </c>
      <c r="D264" s="3" t="str">
        <f ca="1">IFERROR(__xludf.DUMMYFUNCTION("GOOGLETRANSLATE(C264,""ES"",""EN"")"),"Human Resources \ Result \ Labor overload")</f>
        <v>Human Resources \ Result \ Labor overload</v>
      </c>
      <c r="E264" s="3" t="s">
        <v>575</v>
      </c>
      <c r="F264" s="3" t="str">
        <f ca="1">IFERROR(__xludf.DUMMYFUNCTION("GOOGLETRANSLATE(E264,""ES"",""EN"")"),"It is the officials who are finally on defendants in a system that does not have as the economic remuneration itself.")</f>
        <v>It is the officials who are finally on defendants in a system that does not have as the economic remuneration itself.</v>
      </c>
      <c r="G264" s="3" t="s">
        <v>576</v>
      </c>
      <c r="H264" s="28">
        <v>0.40922839689223656</v>
      </c>
      <c r="I264" s="3" t="s">
        <v>10</v>
      </c>
      <c r="J264" s="3" t="str">
        <f ca="1">IFERROR(__xludf.DUMMYFUNCTION("GOOGLETRANSLATE(I264,""ES"",""EN"")"),"Negative effects: staff does not cover the demand for care")</f>
        <v>Negative effects: staff does not cover the demand for care</v>
      </c>
      <c r="K264" s="1"/>
      <c r="L264" s="1"/>
      <c r="M264" s="1"/>
      <c r="N264" s="1"/>
      <c r="O264" s="1"/>
      <c r="P264" s="1"/>
      <c r="Q264" s="1"/>
      <c r="R264" s="1"/>
      <c r="S264" s="1"/>
      <c r="T264" s="1"/>
      <c r="U264" s="1"/>
      <c r="V264" s="1"/>
      <c r="W264" s="1"/>
      <c r="X264" s="1"/>
      <c r="Y264" s="1"/>
      <c r="Z264" s="1"/>
    </row>
    <row r="265" spans="1:26" ht="15.75" customHeight="1" x14ac:dyDescent="0.25">
      <c r="A265" s="2" t="s">
        <v>5</v>
      </c>
      <c r="B265" s="3" t="s">
        <v>564</v>
      </c>
      <c r="C265" s="3" t="s">
        <v>574</v>
      </c>
      <c r="D265" s="3" t="str">
        <f ca="1">IFERROR(__xludf.DUMMYFUNCTION("GOOGLETRANSLATE(C265,""ES"",""EN"")"),"Human Resources \ Result \ Labor overload")</f>
        <v>Human Resources \ Result \ Labor overload</v>
      </c>
      <c r="E265" s="3" t="s">
        <v>577</v>
      </c>
      <c r="F265" s="3" t="str">
        <f ca="1">IFERROR(__xludf.DUMMYFUNCTION("GOOGLETRANSLATE(E265,""ES"",""EN"")"),"Because finally the remuneration is the pleasure of continuing to work, to say we are doing well and look back and say we have attended a lot more population than the one that corresponds to a much higher personnel cost finally")</f>
        <v>Because finally the remuneration is the pleasure of continuing to work, to say we are doing well and look back and say we have attended a lot more population than the one that corresponds to a much higher personnel cost finally</v>
      </c>
      <c r="G265" s="3" t="s">
        <v>367</v>
      </c>
      <c r="H265" s="28">
        <v>0.6909435976513848</v>
      </c>
      <c r="I265" s="3" t="s">
        <v>10</v>
      </c>
      <c r="J265" s="3" t="str">
        <f ca="1">IFERROR(__xludf.DUMMYFUNCTION("GOOGLETRANSLATE(I265,""ES"",""EN"")"),"Negative effects: staff does not cover the demand for care")</f>
        <v>Negative effects: staff does not cover the demand for care</v>
      </c>
      <c r="K265" s="1"/>
      <c r="L265" s="1"/>
      <c r="M265" s="1"/>
      <c r="N265" s="1"/>
      <c r="O265" s="1"/>
      <c r="P265" s="1"/>
      <c r="Q265" s="1"/>
      <c r="R265" s="1"/>
      <c r="S265" s="1"/>
      <c r="T265" s="1"/>
      <c r="U265" s="1"/>
      <c r="V265" s="1"/>
      <c r="W265" s="1"/>
      <c r="X265" s="1"/>
      <c r="Y265" s="1"/>
      <c r="Z265" s="1"/>
    </row>
    <row r="266" spans="1:26" ht="15.75" customHeight="1" x14ac:dyDescent="0.25">
      <c r="A266" s="2" t="s">
        <v>5</v>
      </c>
      <c r="B266" s="3" t="s">
        <v>564</v>
      </c>
      <c r="C266" s="3" t="s">
        <v>578</v>
      </c>
      <c r="D266" s="3" t="str">
        <f ca="1">IFERROR(__xludf.DUMMYFUNCTION("GOOGLETRANSLATE(C266,""ES"",""EN"")"),"HUMAN RESOURCES \ Result \ Personnel endowment")</f>
        <v>HUMAN RESOURCES \ Result \ Personnel endowment</v>
      </c>
      <c r="E266" s="3" t="s">
        <v>579</v>
      </c>
      <c r="F266" s="3" t="str">
        <f ca="1">IFERROR(__xludf.DUMMYFUNCTION("GOOGLETRANSLATE(E266,""ES"",""EN"")"),"Now in general they have expanded in terms of number of areas that are working")</f>
        <v>Now in general they have expanded in terms of number of areas that are working</v>
      </c>
      <c r="G266" s="3" t="s">
        <v>580</v>
      </c>
      <c r="H266" s="28">
        <v>0.24316469960263329</v>
      </c>
      <c r="I266" s="3" t="s">
        <v>10</v>
      </c>
      <c r="J266" s="3" t="str">
        <f ca="1">IFERROR(__xludf.DUMMYFUNCTION("GOOGLETRANSLATE(I266,""ES"",""EN"")"),"Negative effects: staff does not cover the demand for care")</f>
        <v>Negative effects: staff does not cover the demand for care</v>
      </c>
      <c r="K266" s="1"/>
      <c r="L266" s="1"/>
      <c r="M266" s="1"/>
      <c r="N266" s="1"/>
      <c r="O266" s="1"/>
      <c r="P266" s="1"/>
      <c r="Q266" s="1"/>
      <c r="R266" s="1"/>
      <c r="S266" s="1"/>
      <c r="T266" s="1"/>
      <c r="U266" s="1"/>
      <c r="V266" s="1"/>
      <c r="W266" s="1"/>
      <c r="X266" s="1"/>
      <c r="Y266" s="1"/>
      <c r="Z266" s="1"/>
    </row>
    <row r="267" spans="1:26" ht="15.75" customHeight="1" x14ac:dyDescent="0.25">
      <c r="A267" s="2" t="s">
        <v>5</v>
      </c>
      <c r="B267" s="3" t="s">
        <v>564</v>
      </c>
      <c r="C267" s="3" t="s">
        <v>578</v>
      </c>
      <c r="D267" s="3" t="str">
        <f ca="1">IFERROR(__xludf.DUMMYFUNCTION("GOOGLETRANSLATE(C267,""ES"",""EN"")"),"HUMAN RESOURCES \ Result \ Personnel endowment")</f>
        <v>HUMAN RESOURCES \ Result \ Personnel endowment</v>
      </c>
      <c r="E267" s="3" t="s">
        <v>581</v>
      </c>
      <c r="F267" s="3" t="str">
        <f ca="1">IFERROR(__xludf.DUMMYFUNCTION("GOOGLETRANSLATE(E267,""ES"",""EN"")"),"I entered the Cosam, we were 18, including Lo the personnel of Sub, secretariat, toilet staff. Therefore, we were 15. Today that has expanded. We are 50, in 12 years.")</f>
        <v>I entered the Cosam, we were 18, including Lo the personnel of Sub, secretariat, toilet staff. Therefore, we were 15. Today that has expanded. We are 50, in 12 years.</v>
      </c>
      <c r="G267" s="3" t="s">
        <v>582</v>
      </c>
      <c r="H267" s="28">
        <v>0.5219144771958959</v>
      </c>
      <c r="I267" s="3" t="s">
        <v>10</v>
      </c>
      <c r="J267" s="3" t="str">
        <f ca="1">IFERROR(__xludf.DUMMYFUNCTION("GOOGLETRANSLATE(I267,""ES"",""EN"")"),"Negative effects: staff does not cover the demand for care")</f>
        <v>Negative effects: staff does not cover the demand for care</v>
      </c>
      <c r="K267" s="1"/>
      <c r="L267" s="1"/>
      <c r="M267" s="1"/>
      <c r="N267" s="1"/>
      <c r="O267" s="1"/>
      <c r="P267" s="1"/>
      <c r="Q267" s="1"/>
      <c r="R267" s="1"/>
      <c r="S267" s="1"/>
      <c r="T267" s="1"/>
      <c r="U267" s="1"/>
      <c r="V267" s="1"/>
      <c r="W267" s="1"/>
      <c r="X267" s="1"/>
      <c r="Y267" s="1"/>
      <c r="Z267" s="1"/>
    </row>
    <row r="268" spans="1:26" ht="15.75" customHeight="1" x14ac:dyDescent="0.25">
      <c r="A268" s="2" t="s">
        <v>5</v>
      </c>
      <c r="B268" s="3" t="s">
        <v>564</v>
      </c>
      <c r="C268" s="3" t="s">
        <v>578</v>
      </c>
      <c r="D268" s="3" t="str">
        <f ca="1">IFERROR(__xludf.DUMMYFUNCTION("GOOGLETRANSLATE(C268,""ES"",""EN"")"),"HUMAN RESOURCES \ Result \ Personnel endowment")</f>
        <v>HUMAN RESOURCES \ Result \ Personnel endowment</v>
      </c>
      <c r="E268" s="3" t="s">
        <v>583</v>
      </c>
      <c r="F268" s="3" t="str">
        <f ca="1">IFERROR(__xludf.DUMMYFUNCTION("GOOGLETRANSLATE(E268,""ES"",""EN"")"),"E has tripled the plant, then at the best if it was convenient when the baskets were just made, if this system was convenient, because it was a system that gave the coverage and also gave for the staff.")</f>
        <v>E has tripled the plant, then at the best if it was convenient when the baskets were just made, if this system was convenient, because it was a system that gave the coverage and also gave for the staff.</v>
      </c>
      <c r="G268" s="3" t="s">
        <v>584</v>
      </c>
      <c r="H268" s="28">
        <v>0.62866971116778358</v>
      </c>
      <c r="I268" s="3" t="s">
        <v>10</v>
      </c>
      <c r="J268" s="3" t="str">
        <f ca="1">IFERROR(__xludf.DUMMYFUNCTION("GOOGLETRANSLATE(I268,""ES"",""EN"")"),"Negative effects: staff does not cover the demand for care")</f>
        <v>Negative effects: staff does not cover the demand for care</v>
      </c>
      <c r="K268" s="1"/>
      <c r="L268" s="1"/>
      <c r="M268" s="1"/>
      <c r="N268" s="1"/>
      <c r="O268" s="1"/>
      <c r="P268" s="1"/>
      <c r="Q268" s="1"/>
      <c r="R268" s="1"/>
      <c r="S268" s="1"/>
      <c r="T268" s="1"/>
      <c r="U268" s="1"/>
      <c r="V268" s="1"/>
      <c r="W268" s="1"/>
      <c r="X268" s="1"/>
      <c r="Y268" s="1"/>
      <c r="Z268" s="1"/>
    </row>
    <row r="269" spans="1:26" ht="15.75" customHeight="1" x14ac:dyDescent="0.25">
      <c r="A269" s="2" t="s">
        <v>5</v>
      </c>
      <c r="B269" s="3" t="s">
        <v>564</v>
      </c>
      <c r="C269" s="3" t="s">
        <v>578</v>
      </c>
      <c r="D269" s="3" t="str">
        <f ca="1">IFERROR(__xludf.DUMMYFUNCTION("GOOGLETRANSLATE(C269,""ES"",""EN"")"),"HUMAN RESOURCES \ Result \ Personnel endowment")</f>
        <v>HUMAN RESOURCES \ Result \ Personnel endowment</v>
      </c>
      <c r="E269" s="3" t="s">
        <v>585</v>
      </c>
      <c r="F269" s="3" t="str">
        <f ca="1">IFERROR(__xludf.DUMMYFUNCTION("GOOGLETRANSLATE(E269,""ES"",""EN"")"),"But with the population demand, it began to expand and have the need to hire more people to be able to give the width to the demand. But no, that was not reflected in the increase in the basket or the number N that we had to enter the boom.")</f>
        <v>But with the population demand, it began to expand and have the need to hire more people to be able to give the width to the demand. But no, that was not reflected in the increase in the basket or the number N that we had to enter the boom.</v>
      </c>
      <c r="G269" s="3" t="s">
        <v>26</v>
      </c>
      <c r="H269" s="28">
        <v>0.73245952197378572</v>
      </c>
      <c r="I269" s="3" t="s">
        <v>10</v>
      </c>
      <c r="J269" s="3" t="str">
        <f ca="1">IFERROR(__xludf.DUMMYFUNCTION("GOOGLETRANSLATE(I269,""ES"",""EN"")"),"Negative effects: staff does not cover the demand for care")</f>
        <v>Negative effects: staff does not cover the demand for care</v>
      </c>
      <c r="K269" s="1"/>
      <c r="L269" s="1"/>
      <c r="M269" s="1"/>
      <c r="N269" s="1"/>
      <c r="O269" s="1"/>
      <c r="P269" s="1"/>
      <c r="Q269" s="1"/>
      <c r="R269" s="1"/>
      <c r="S269" s="1"/>
      <c r="T269" s="1"/>
      <c r="U269" s="1"/>
      <c r="V269" s="1"/>
      <c r="W269" s="1"/>
      <c r="X269" s="1"/>
      <c r="Y269" s="1"/>
      <c r="Z269" s="1"/>
    </row>
    <row r="270" spans="1:26" ht="15.75" customHeight="1" x14ac:dyDescent="0.25">
      <c r="A270" s="11" t="s">
        <v>5</v>
      </c>
      <c r="B270" s="3" t="s">
        <v>564</v>
      </c>
      <c r="C270" s="3" t="s">
        <v>586</v>
      </c>
      <c r="D270" s="3" t="str">
        <f ca="1">IFERROR(__xludf.DUMMYFUNCTION("GOOGLETRANSLATE(C270,""ES"",""EN"")"),"Benefits \ Result \ Induced Diagnosis")</f>
        <v>Benefits \ Result \ Induced Diagnosis</v>
      </c>
      <c r="E270" s="3" t="s">
        <v>587</v>
      </c>
      <c r="F270" s="3" t="str">
        <f ca="1">IFERROR(__xludf.DUMMYFUNCTION("GOOGLETRANSLATE(E270,""ES"",""EN"")"),"And then the system also makes you pigeonhole people with a certain diagnosis to pay you that certain basket.")</f>
        <v>And then the system also makes you pigeonhole people with a certain diagnosis to pay you that certain basket.</v>
      </c>
      <c r="G270" s="3" t="s">
        <v>588</v>
      </c>
      <c r="H270" s="28">
        <v>0.39736670422869347</v>
      </c>
      <c r="I270" s="3" t="s">
        <v>278</v>
      </c>
      <c r="J270" s="3" t="str">
        <f ca="1">IFERROR(__xludf.DUMMYFUNCTION("GOOGLETRANSLATE(I270,""ES"",""EN"")"),"Negative effects: centered on diagnose")</f>
        <v>Negative effects: centered on diagnose</v>
      </c>
      <c r="K270" s="1"/>
      <c r="L270" s="1"/>
      <c r="M270" s="1"/>
      <c r="N270" s="1"/>
      <c r="O270" s="1"/>
      <c r="P270" s="1"/>
      <c r="Q270" s="1"/>
      <c r="R270" s="1"/>
      <c r="S270" s="1"/>
      <c r="T270" s="1"/>
      <c r="U270" s="1"/>
      <c r="V270" s="1"/>
      <c r="W270" s="1"/>
      <c r="X270" s="1"/>
      <c r="Y270" s="1"/>
      <c r="Z270" s="1"/>
    </row>
    <row r="271" spans="1:26" ht="15.75" customHeight="1" x14ac:dyDescent="0.25">
      <c r="A271" s="11" t="s">
        <v>5</v>
      </c>
      <c r="B271" s="3" t="s">
        <v>564</v>
      </c>
      <c r="C271" s="3" t="s">
        <v>586</v>
      </c>
      <c r="D271" s="3" t="str">
        <f ca="1">IFERROR(__xludf.DUMMYFUNCTION("GOOGLETRANSLATE(C271,""ES"",""EN"")"),"Benefits \ Result \ Induced Diagnosis")</f>
        <v>Benefits \ Result \ Induced Diagnosis</v>
      </c>
      <c r="E271" s="3" t="s">
        <v>589</v>
      </c>
      <c r="F271" s="3" t="str">
        <f ca="1">IFERROR(__xludf.DUMMYFUNCTION("GOOGLETRANSLATE(E271,""ES"",""EN"")"),"But finally, it is not the right thing to do, because we have much more demand for anxious disorders than pure depression, because pure depression are quite lower. Here comes depression, panic disorder, personality disorder and other associated things are"&amp;" not pure depressions, domestic violence, which today is like a social determinant. But generally abuses and trauma stories and posttraumatic stress is a cat bag. It is much broader.")</f>
        <v>But finally, it is not the right thing to do, because we have much more demand for anxious disorders than pure depression, because pure depression are quite lower. Here comes depression, panic disorder, personality disorder and other associated things are not pure depressions, domestic violence, which today is like a social determinant. But generally abuses and trauma stories and posttraumatic stress is a cat bag. It is much broader.</v>
      </c>
      <c r="G271" s="3" t="s">
        <v>590</v>
      </c>
      <c r="H271" s="28">
        <v>1.4471265049522568</v>
      </c>
      <c r="I271" s="3" t="s">
        <v>278</v>
      </c>
      <c r="J271" s="3" t="str">
        <f ca="1">IFERROR(__xludf.DUMMYFUNCTION("GOOGLETRANSLATE(I271,""ES"",""EN"")"),"Negative effects: centered on diagnose")</f>
        <v>Negative effects: centered on diagnose</v>
      </c>
      <c r="K271" s="1"/>
      <c r="L271" s="1"/>
      <c r="M271" s="1"/>
      <c r="N271" s="1"/>
      <c r="O271" s="1"/>
      <c r="P271" s="1"/>
      <c r="Q271" s="1"/>
      <c r="R271" s="1"/>
      <c r="S271" s="1"/>
      <c r="T271" s="1"/>
      <c r="U271" s="1"/>
      <c r="V271" s="1"/>
      <c r="W271" s="1"/>
      <c r="X271" s="1"/>
      <c r="Y271" s="1"/>
      <c r="Z271" s="1"/>
    </row>
    <row r="272" spans="1:26" ht="15.75" customHeight="1" x14ac:dyDescent="0.25">
      <c r="A272" s="6" t="s">
        <v>5</v>
      </c>
      <c r="B272" s="3" t="s">
        <v>564</v>
      </c>
      <c r="C272" s="3" t="s">
        <v>591</v>
      </c>
      <c r="D272" s="3" t="str">
        <f ca="1">IFERROR(__xludf.DUMMYFUNCTION("GOOGLETRANSLATE(C272,""ES"",""EN"")"),"FINANCING \ Result \ main achievement of financing the CSMC \ ordering management")</f>
        <v>FINANCING \ Result \ main achievement of financing the CSMC \ ordering management</v>
      </c>
      <c r="E272" s="3" t="s">
        <v>592</v>
      </c>
      <c r="F272" s="3" t="str">
        <f ca="1">IFERROR(__xludf.DUMMYFUNCTION("GOOGLETRANSLATE(E272,""ES"",""EN"")"),"It has contributed [the basket mechanism] that one, in one way or another, order the management and from there well.")</f>
        <v>It has contributed [the basket mechanism] that one, in one way or another, order the management and from there well.</v>
      </c>
      <c r="G272" s="3" t="s">
        <v>593</v>
      </c>
      <c r="H272" s="28">
        <v>0.32619654824743488</v>
      </c>
      <c r="I272" s="3" t="s">
        <v>228</v>
      </c>
      <c r="J272" s="3" t="str">
        <f ca="1">IFERROR(__xludf.DUMMYFUNCTION("GOOGLETRANSLATE(I272,""ES"",""EN"")"),"Clinical achievements")</f>
        <v>Clinical achievements</v>
      </c>
      <c r="K272" s="1"/>
      <c r="L272" s="1"/>
      <c r="M272" s="1"/>
      <c r="N272" s="1"/>
      <c r="O272" s="1"/>
      <c r="P272" s="1"/>
      <c r="Q272" s="1"/>
      <c r="R272" s="1"/>
      <c r="S272" s="1"/>
      <c r="T272" s="1"/>
      <c r="U272" s="1"/>
      <c r="V272" s="1"/>
      <c r="W272" s="1"/>
      <c r="X272" s="1"/>
      <c r="Y272" s="1"/>
      <c r="Z272" s="1"/>
    </row>
    <row r="273" spans="1:26" ht="15.75" customHeight="1" x14ac:dyDescent="0.25">
      <c r="A273" s="11" t="s">
        <v>5</v>
      </c>
      <c r="B273" s="3" t="s">
        <v>564</v>
      </c>
      <c r="C273" s="3" t="s">
        <v>586</v>
      </c>
      <c r="D273" s="3" t="str">
        <f ca="1">IFERROR(__xludf.DUMMYFUNCTION("GOOGLETRANSLATE(C273,""ES"",""EN"")"),"Benefits \ Result \ Induced Diagnosis")</f>
        <v>Benefits \ Result \ Induced Diagnosis</v>
      </c>
      <c r="E273" s="3" t="s">
        <v>594</v>
      </c>
      <c r="F273" s="3" t="str">
        <f ca="1">IFERROR(__xludf.DUMMYFUNCTION("GOOGLETRANSLATE(E273,""ES"",""EN"")"),"But it has also hindered [the basket mechanism] because you have had to put diagnoses that do not correspond. There are baskets that do not exist and the budget is limited, as I tell you, because no one could have an unlimited budget.")</f>
        <v>But it has also hindered [the basket mechanism] because you have had to put diagnoses that do not correspond. There are baskets that do not exist and the budget is limited, as I tell you, because no one could have an unlimited budget.</v>
      </c>
      <c r="G273" s="3" t="s">
        <v>473</v>
      </c>
      <c r="H273" s="28">
        <v>0.71170155981258532</v>
      </c>
      <c r="I273" s="3" t="s">
        <v>278</v>
      </c>
      <c r="J273" s="3" t="str">
        <f ca="1">IFERROR(__xludf.DUMMYFUNCTION("GOOGLETRANSLATE(I273,""ES"",""EN"")"),"Negative effects: centered on diagnose")</f>
        <v>Negative effects: centered on diagnose</v>
      </c>
      <c r="K273" s="1"/>
      <c r="L273" s="1"/>
      <c r="M273" s="1"/>
      <c r="N273" s="1"/>
      <c r="O273" s="1"/>
      <c r="P273" s="1"/>
      <c r="Q273" s="1"/>
      <c r="R273" s="1"/>
      <c r="S273" s="1"/>
      <c r="T273" s="1"/>
      <c r="U273" s="1"/>
      <c r="V273" s="1"/>
      <c r="W273" s="1"/>
      <c r="X273" s="1"/>
      <c r="Y273" s="1"/>
      <c r="Z273" s="1"/>
    </row>
    <row r="274" spans="1:26" ht="15.75" customHeight="1" x14ac:dyDescent="0.25">
      <c r="A274" s="6" t="s">
        <v>5</v>
      </c>
      <c r="B274" s="3" t="s">
        <v>564</v>
      </c>
      <c r="C274" s="3" t="s">
        <v>595</v>
      </c>
      <c r="D274" s="3" t="str">
        <f ca="1">IFERROR(__xludf.DUMMYFUNCTION("GOOGLETRANSLATE(C274,""ES"",""EN"")"),"FINANCING \ Result \ Difficulty / complexity for spending \ payment of benefits contrary to the management model")</f>
        <v>FINANCING \ Result \ Difficulty / complexity for spending \ payment of benefits contrary to the management model</v>
      </c>
      <c r="E274" s="3" t="s">
        <v>596</v>
      </c>
      <c r="F274" s="3" t="str">
        <f ca="1">IFERROR(__xludf.DUMMYFUNCTION("GOOGLETRANSLATE(E274,""ES"",""EN"")"),"Financing does not cover social determinants,")</f>
        <v>Financing does not cover social determinants,</v>
      </c>
      <c r="G274" s="3" t="s">
        <v>597</v>
      </c>
      <c r="H274" s="28">
        <v>0.16013285095783167</v>
      </c>
      <c r="I274" s="3" t="s">
        <v>15</v>
      </c>
      <c r="J274" s="3" t="str">
        <f ca="1">IFERROR(__xludf.DUMMYFUNCTION("GOOGLETRANSLATE(I274,""ES"",""EN"")"),"Negative effect: financing mechanisms end up generating problems to CSMC.")</f>
        <v>Negative effect: financing mechanisms end up generating problems to CSMC.</v>
      </c>
      <c r="K274" s="1"/>
      <c r="L274" s="1"/>
      <c r="M274" s="1"/>
      <c r="N274" s="1"/>
      <c r="O274" s="1"/>
      <c r="P274" s="1"/>
      <c r="Q274" s="1"/>
      <c r="R274" s="1"/>
      <c r="S274" s="1"/>
      <c r="T274" s="1"/>
      <c r="U274" s="1"/>
      <c r="V274" s="1"/>
      <c r="W274" s="1"/>
      <c r="X274" s="1"/>
      <c r="Y274" s="1"/>
      <c r="Z274" s="1"/>
    </row>
    <row r="275" spans="1:26" ht="15.75" customHeight="1" x14ac:dyDescent="0.25">
      <c r="A275" s="6" t="s">
        <v>5</v>
      </c>
      <c r="B275" s="3" t="s">
        <v>564</v>
      </c>
      <c r="C275" s="3" t="s">
        <v>595</v>
      </c>
      <c r="D275" s="3" t="str">
        <f ca="1">IFERROR(__xludf.DUMMYFUNCTION("GOOGLETRANSLATE(C275,""ES"",""EN"")"),"FINANCING \ Result \ Difficulty / complexity for spending \ payment of benefits contrary to the management model")</f>
        <v>FINANCING \ Result \ Difficulty / complexity for spending \ payment of benefits contrary to the management model</v>
      </c>
      <c r="E275" s="3" t="s">
        <v>598</v>
      </c>
      <c r="F275" s="3" t="str">
        <f ca="1">IFERROR(__xludf.DUMMYFUNCTION("GOOGLETRANSLATE(E275,""ES"",""EN"")"),"Nor does it cover community work.")</f>
        <v>Nor does it cover community work.</v>
      </c>
      <c r="G275" s="3" t="s">
        <v>599</v>
      </c>
      <c r="H275" s="28">
        <v>0.10972065713777356</v>
      </c>
      <c r="I275" s="3" t="s">
        <v>15</v>
      </c>
      <c r="J275" s="3" t="str">
        <f ca="1">IFERROR(__xludf.DUMMYFUNCTION("GOOGLETRANSLATE(I275,""ES"",""EN"")"),"Negative effect: financing mechanisms end up generating problems to CSMC.")</f>
        <v>Negative effect: financing mechanisms end up generating problems to CSMC.</v>
      </c>
      <c r="K275" s="1"/>
      <c r="L275" s="1"/>
      <c r="M275" s="1"/>
      <c r="N275" s="1"/>
      <c r="O275" s="1"/>
      <c r="P275" s="1"/>
      <c r="Q275" s="1"/>
      <c r="R275" s="1"/>
      <c r="S275" s="1"/>
      <c r="T275" s="1"/>
      <c r="U275" s="1"/>
      <c r="V275" s="1"/>
      <c r="W275" s="1"/>
      <c r="X275" s="1"/>
      <c r="Y275" s="1"/>
      <c r="Z275" s="1"/>
    </row>
    <row r="276" spans="1:26" ht="15.75" customHeight="1" x14ac:dyDescent="0.25">
      <c r="A276" s="6" t="s">
        <v>5</v>
      </c>
      <c r="B276" s="3" t="s">
        <v>564</v>
      </c>
      <c r="C276" s="3" t="s">
        <v>595</v>
      </c>
      <c r="D276" s="3" t="str">
        <f ca="1">IFERROR(__xludf.DUMMYFUNCTION("GOOGLETRANSLATE(C276,""ES"",""EN"")"),"FINANCING \ Result \ Difficulty / complexity for spending \ payment of benefits contrary to the management model")</f>
        <v>FINANCING \ Result \ Difficulty / complexity for spending \ payment of benefits contrary to the management model</v>
      </c>
      <c r="E276" s="3" t="s">
        <v>600</v>
      </c>
      <c r="F276" s="3" t="str">
        <f ca="1">IFERROR(__xludf.DUMMYFUNCTION("GOOGLETRANSLATE(E276,""ES"",""EN"")"),"In fact there are no community -groomed community indicators, so to speak, because no, no, there is no.")</f>
        <v>In fact there are no community -groomed community indicators, so to speak, because no, no, there is no.</v>
      </c>
      <c r="G276" s="3" t="s">
        <v>601</v>
      </c>
      <c r="H276" s="28">
        <v>0.27281893126149104</v>
      </c>
      <c r="I276" s="3" t="s">
        <v>15</v>
      </c>
      <c r="J276" s="3" t="str">
        <f ca="1">IFERROR(__xludf.DUMMYFUNCTION("GOOGLETRANSLATE(I276,""ES"",""EN"")"),"Negative effect: financing mechanisms end up generating problems to CSMC.")</f>
        <v>Negative effect: financing mechanisms end up generating problems to CSMC.</v>
      </c>
      <c r="K276" s="1"/>
      <c r="L276" s="1"/>
      <c r="M276" s="1"/>
      <c r="N276" s="1"/>
      <c r="O276" s="1"/>
      <c r="P276" s="1"/>
      <c r="Q276" s="1"/>
      <c r="R276" s="1"/>
      <c r="S276" s="1"/>
      <c r="T276" s="1"/>
      <c r="U276" s="1"/>
      <c r="V276" s="1"/>
      <c r="W276" s="1"/>
      <c r="X276" s="1"/>
      <c r="Y276" s="1"/>
      <c r="Z276" s="1"/>
    </row>
    <row r="277" spans="1:26" ht="15.75" customHeight="1" x14ac:dyDescent="0.25">
      <c r="A277" s="2" t="s">
        <v>5</v>
      </c>
      <c r="B277" s="3" t="s">
        <v>564</v>
      </c>
      <c r="C277" s="3" t="s">
        <v>574</v>
      </c>
      <c r="D277" s="3" t="str">
        <f ca="1">IFERROR(__xludf.DUMMYFUNCTION("GOOGLETRANSLATE(C277,""ES"",""EN"")"),"Human Resources \ Result \ Labor overload")</f>
        <v>Human Resources \ Result \ Labor overload</v>
      </c>
      <c r="E277" s="3" t="s">
        <v>602</v>
      </c>
      <c r="F277" s="3" t="str">
        <f ca="1">IFERROR(__xludf.DUMMYFUNCTION("GOOGLETRANSLATE(E277,""ES"",""EN"")"),"I think they are demanded equipment")</f>
        <v>I think they are demanded equipment</v>
      </c>
      <c r="G277" s="3" t="s">
        <v>459</v>
      </c>
      <c r="H277" s="28">
        <v>0.11268608030365933</v>
      </c>
      <c r="I277" s="3" t="s">
        <v>10</v>
      </c>
      <c r="J277" s="3" t="str">
        <f ca="1">IFERROR(__xludf.DUMMYFUNCTION("GOOGLETRANSLATE(I277,""ES"",""EN"")"),"Negative effects: staff does not cover the demand for care")</f>
        <v>Negative effects: staff does not cover the demand for care</v>
      </c>
      <c r="K277" s="1"/>
      <c r="L277" s="1"/>
      <c r="M277" s="1"/>
      <c r="N277" s="1"/>
      <c r="O277" s="1"/>
      <c r="P277" s="1"/>
      <c r="Q277" s="1"/>
      <c r="R277" s="1"/>
      <c r="S277" s="1"/>
      <c r="T277" s="1"/>
      <c r="U277" s="1"/>
      <c r="V277" s="1"/>
      <c r="W277" s="1"/>
      <c r="X277" s="1"/>
      <c r="Y277" s="1"/>
      <c r="Z277" s="1"/>
    </row>
    <row r="278" spans="1:26" ht="15.75" customHeight="1" x14ac:dyDescent="0.25">
      <c r="A278" s="2" t="s">
        <v>5</v>
      </c>
      <c r="B278" s="3" t="s">
        <v>564</v>
      </c>
      <c r="C278" s="3" t="s">
        <v>569</v>
      </c>
      <c r="D278" s="3" t="str">
        <f ca="1">IFERROR(__xludf.DUMMYFUNCTION("GOOGLETRANSLATE(C278,""ES"",""EN"")"),"Human Resources \ Result \ Cost in Personal Life")</f>
        <v>Human Resources \ Result \ Cost in Personal Life</v>
      </c>
      <c r="E278" s="3" t="s">
        <v>603</v>
      </c>
      <c r="F278" s="3" t="str">
        <f ca="1">IFERROR(__xludf.DUMMYFUNCTION("GOOGLETRANSLATE(E278,""ES"",""EN"")"),"It has not existed, because there has also been a space for the reception of what this means in the individual life of each and in the working life of each one.")</f>
        <v>It has not existed, because there has also been a space for the reception of what this means in the individual life of each and in the working life of each one.</v>
      </c>
      <c r="G278" s="3" t="s">
        <v>57</v>
      </c>
      <c r="H278" s="28">
        <v>0.46557143704406617</v>
      </c>
      <c r="I278" s="3" t="s">
        <v>10</v>
      </c>
      <c r="J278" s="3" t="str">
        <f ca="1">IFERROR(__xludf.DUMMYFUNCTION("GOOGLETRANSLATE(I278,""ES"",""EN"")"),"Negative effects: staff does not cover the demand for care")</f>
        <v>Negative effects: staff does not cover the demand for care</v>
      </c>
      <c r="K278" s="1"/>
      <c r="L278" s="1"/>
      <c r="M278" s="1"/>
      <c r="N278" s="1"/>
      <c r="O278" s="1"/>
      <c r="P278" s="1"/>
      <c r="Q278" s="1"/>
      <c r="R278" s="1"/>
      <c r="S278" s="1"/>
      <c r="T278" s="1"/>
      <c r="U278" s="1"/>
      <c r="V278" s="1"/>
      <c r="W278" s="1"/>
      <c r="X278" s="1"/>
      <c r="Y278" s="1"/>
      <c r="Z278" s="1"/>
    </row>
    <row r="279" spans="1:26" ht="15.75" customHeight="1" x14ac:dyDescent="0.25">
      <c r="A279" s="2" t="s">
        <v>5</v>
      </c>
      <c r="B279" s="3" t="s">
        <v>564</v>
      </c>
      <c r="C279" s="3" t="s">
        <v>569</v>
      </c>
      <c r="D279" s="3" t="str">
        <f ca="1">IFERROR(__xludf.DUMMYFUNCTION("GOOGLETRANSLATE(C279,""ES"",""EN"")"),"Human Resources \ Result \ Cost in Personal Life")</f>
        <v>Human Resources \ Result \ Cost in Personal Life</v>
      </c>
      <c r="E279" s="3" t="s">
        <v>604</v>
      </c>
      <c r="F279" s="3" t="str">
        <f ca="1">IFERROR(__xludf.DUMMYFUNCTION("GOOGLETRANSLATE(E279,""ES"",""EN"")"),"I believe that one as well as that they already tell us that we have to do this and we do it without stopping the final reflection of what will generate both in the families of users and in the personal families and the individual life of each.")</f>
        <v>I believe that one as well as that they already tell us that we have to do this and we do it without stopping the final reflection of what will generate both in the families of users and in the personal families and the individual life of each.</v>
      </c>
      <c r="G279" s="3" t="s">
        <v>605</v>
      </c>
      <c r="H279" s="28">
        <v>0.75025206096910024</v>
      </c>
      <c r="I279" s="3" t="s">
        <v>10</v>
      </c>
      <c r="J279" s="3" t="str">
        <f ca="1">IFERROR(__xludf.DUMMYFUNCTION("GOOGLETRANSLATE(I279,""ES"",""EN"")"),"Negative effects: staff does not cover the demand for care")</f>
        <v>Negative effects: staff does not cover the demand for care</v>
      </c>
      <c r="K279" s="1"/>
      <c r="L279" s="1"/>
      <c r="M279" s="1"/>
      <c r="N279" s="1"/>
      <c r="O279" s="1"/>
      <c r="P279" s="1"/>
      <c r="Q279" s="1"/>
      <c r="R279" s="1"/>
      <c r="S279" s="1"/>
      <c r="T279" s="1"/>
      <c r="U279" s="1"/>
      <c r="V279" s="1"/>
      <c r="W279" s="1"/>
      <c r="X279" s="1"/>
      <c r="Y279" s="1"/>
      <c r="Z279" s="1"/>
    </row>
    <row r="280" spans="1:26" ht="15.75" customHeight="1" x14ac:dyDescent="0.25">
      <c r="A280" s="2" t="s">
        <v>5</v>
      </c>
      <c r="B280" s="3" t="s">
        <v>564</v>
      </c>
      <c r="C280" s="3" t="s">
        <v>574</v>
      </c>
      <c r="D280" s="3" t="str">
        <f ca="1">IFERROR(__xludf.DUMMYFUNCTION("GOOGLETRANSLATE(C280,""ES"",""EN"")"),"Human Resources \ Result \ Labor overload")</f>
        <v>Human Resources \ Result \ Labor overload</v>
      </c>
      <c r="E280" s="3" t="s">
        <v>606</v>
      </c>
      <c r="F280" s="3" t="str">
        <f ca="1">IFERROR(__xludf.DUMMYFUNCTION("GOOGLETRANSLATE(E280,""ES"",""EN"")"),"Or I have had psychologists and psychiatrists who have come from the private world and do not support the care pressure of the centers, because finally here you have performance.")</f>
        <v>Or I have had psychologists and psychiatrists who have come from the private world and do not support the care pressure of the centers, because finally here you have performance.</v>
      </c>
      <c r="G280" s="3" t="s">
        <v>189</v>
      </c>
      <c r="H280" s="28">
        <v>0.48632939920526658</v>
      </c>
      <c r="I280" s="3" t="s">
        <v>10</v>
      </c>
      <c r="J280" s="3" t="str">
        <f ca="1">IFERROR(__xludf.DUMMYFUNCTION("GOOGLETRANSLATE(I280,""ES"",""EN"")"),"Negative effects: staff does not cover the demand for care")</f>
        <v>Negative effects: staff does not cover the demand for care</v>
      </c>
      <c r="K280" s="1"/>
      <c r="L280" s="1"/>
      <c r="M280" s="1"/>
      <c r="N280" s="1"/>
      <c r="O280" s="1"/>
      <c r="P280" s="1"/>
      <c r="Q280" s="1"/>
      <c r="R280" s="1"/>
      <c r="S280" s="1"/>
      <c r="T280" s="1"/>
      <c r="U280" s="1"/>
      <c r="V280" s="1"/>
      <c r="W280" s="1"/>
      <c r="X280" s="1"/>
      <c r="Y280" s="1"/>
      <c r="Z280" s="1"/>
    </row>
    <row r="281" spans="1:26" ht="15.75" customHeight="1" x14ac:dyDescent="0.25">
      <c r="A281" s="11" t="s">
        <v>5</v>
      </c>
      <c r="B281" s="3" t="s">
        <v>564</v>
      </c>
      <c r="C281" s="3" t="s">
        <v>607</v>
      </c>
      <c r="D281" s="3" t="str">
        <f ca="1">IFERROR(__xludf.DUMMYFUNCTION("GOOGLETRANSLATE(C281,""ES"",""EN"")"),"Benefits \ you will not achieve a thousand things")</f>
        <v>Benefits \ you will not achieve a thousand things</v>
      </c>
      <c r="E281" s="3" t="s">
        <v>608</v>
      </c>
      <c r="F281" s="3" t="str">
        <f ca="1">IFERROR(__xludf.DUMMYFUNCTION("GOOGLETRANSLATE(E281,""ES"",""EN"")"),"Financing, of course, affects you, because maybe I could want to do a thousand things that no, no, you will not achieve, because they are not within the chances of doing so.")</f>
        <v>Financing, of course, affects you, because maybe I could want to do a thousand things that no, no, you will not achieve, because they are not within the chances of doing so.</v>
      </c>
      <c r="G281" s="3" t="s">
        <v>609</v>
      </c>
      <c r="H281" s="28">
        <v>0.51598363086412424</v>
      </c>
      <c r="I281" s="3" t="s">
        <v>44</v>
      </c>
      <c r="J281" s="3" t="str">
        <f ca="1">IFERROR(__xludf.DUMMYFUNCTION("GOOGLETRANSLATE(I281,""ES"",""EN"")"),"Negative effects: limit the integrality and continuity of care")</f>
        <v>Negative effects: limit the integrality and continuity of care</v>
      </c>
      <c r="K281" s="1"/>
      <c r="L281" s="1"/>
      <c r="M281" s="1"/>
      <c r="N281" s="1"/>
      <c r="O281" s="1"/>
      <c r="P281" s="1"/>
      <c r="Q281" s="1"/>
      <c r="R281" s="1"/>
      <c r="S281" s="1"/>
      <c r="T281" s="1"/>
      <c r="U281" s="1"/>
      <c r="V281" s="1"/>
      <c r="W281" s="1"/>
      <c r="X281" s="1"/>
      <c r="Y281" s="1"/>
      <c r="Z281" s="1"/>
    </row>
    <row r="282" spans="1:26" ht="15.75" customHeight="1" x14ac:dyDescent="0.25">
      <c r="A282" s="12" t="s">
        <v>5</v>
      </c>
      <c r="B282" s="3" t="s">
        <v>564</v>
      </c>
      <c r="C282" s="3" t="s">
        <v>491</v>
      </c>
      <c r="D282" s="3" t="str">
        <f ca="1">IFERROR(__xludf.DUMMYFUNCTION("GOOGLETRANSLATE(C282,""ES"",""EN"")"),"Governance \ Result \ Community ends up being irrelevant")</f>
        <v>Governance \ Result \ Community ends up being irrelevant</v>
      </c>
      <c r="E282" s="3" t="s">
        <v>610</v>
      </c>
      <c r="F282" s="3" t="str">
        <f ca="1">IFERROR(__xludf.DUMMYFUNCTION("GOOGLETRANSLATE(E282,""ES"",""EN"")"),"But and the community ceases to be really important, because since it is not paid it does not matter if you do, you don't. And from there the disincentive. But there are people who do want to do community things and then we are going, we are demanding the"&amp;" team, we are doing meetings that do not correspond to ask people, in short.")</f>
        <v>But and the community ceases to be really important, because since it is not paid it does not matter if you do, you don't. And from there the disincentive. But there are people who do want to do community things and then we are going, we are demanding the team, we are doing meetings that do not correspond to ask people, in short.</v>
      </c>
      <c r="G282" s="3" t="s">
        <v>287</v>
      </c>
      <c r="H282" s="28">
        <v>1.0201055690647056</v>
      </c>
      <c r="I282" s="3" t="s">
        <v>494</v>
      </c>
      <c r="J282" s="3" t="str">
        <f ca="1">IFERROR(__xludf.DUMMYFUNCTION("GOOGLETRANSLATE(I282,""ES"",""EN"")"),"Negative effect: participation ends up being less relevant")</f>
        <v>Negative effect: participation ends up being less relevant</v>
      </c>
      <c r="K282" s="1"/>
      <c r="L282" s="1"/>
      <c r="M282" s="1"/>
      <c r="N282" s="1"/>
      <c r="O282" s="1"/>
      <c r="P282" s="1"/>
      <c r="Q282" s="1"/>
      <c r="R282" s="1"/>
      <c r="S282" s="1"/>
      <c r="T282" s="1"/>
      <c r="U282" s="1"/>
      <c r="V282" s="1"/>
      <c r="W282" s="1"/>
      <c r="X282" s="1"/>
      <c r="Y282" s="1"/>
      <c r="Z282" s="1"/>
    </row>
    <row r="283" spans="1:26" ht="15.75" customHeight="1" x14ac:dyDescent="0.25">
      <c r="A283" s="12" t="s">
        <v>5</v>
      </c>
      <c r="B283" s="3" t="s">
        <v>564</v>
      </c>
      <c r="C283" s="3" t="s">
        <v>491</v>
      </c>
      <c r="D283" s="3" t="str">
        <f ca="1">IFERROR(__xludf.DUMMYFUNCTION("GOOGLETRANSLATE(C283,""ES"",""EN"")"),"Governance \ Result \ Community ends up being irrelevant")</f>
        <v>Governance \ Result \ Community ends up being irrelevant</v>
      </c>
      <c r="E283" s="3" t="s">
        <v>611</v>
      </c>
      <c r="F283" s="3" t="str">
        <f ca="1">IFERROR(__xludf.DUMMYFUNCTION("GOOGLETRANSLATE(E283,""ES"",""EN"")"),"I believe that Cosam de Macul in general has fed up community activities, but it does work with the community, I would say that little, with the community in conversations, in conversation, in which we go to the population and make a meeting of the Board "&amp;"of Neighbors to see what they are, which they want, that as, as they visualize mental health, as they feel that their needs are being met, in this Cosam little happens.")</f>
        <v>I believe that Cosam de Macul in general has fed up community activities, but it does work with the community, I would say that little, with the community in conversations, in conversation, in which we go to the population and make a meeting of the Board of Neighbors to see what they are, which they want, that as, as they visualize mental health, as they feel that their needs are being met, in this Cosam little happens.</v>
      </c>
      <c r="G283" s="3" t="s">
        <v>612</v>
      </c>
      <c r="H283" s="28">
        <v>1.337405847814483</v>
      </c>
      <c r="I283" s="3" t="s">
        <v>494</v>
      </c>
      <c r="J283" s="3" t="str">
        <f ca="1">IFERROR(__xludf.DUMMYFUNCTION("GOOGLETRANSLATE(I283,""ES"",""EN"")"),"Negative effect: participation ends up being less relevant")</f>
        <v>Negative effect: participation ends up being less relevant</v>
      </c>
      <c r="K283" s="1"/>
      <c r="L283" s="1"/>
      <c r="M283" s="1"/>
      <c r="N283" s="1"/>
      <c r="O283" s="1"/>
      <c r="P283" s="1"/>
      <c r="Q283" s="1"/>
      <c r="R283" s="1"/>
      <c r="S283" s="1"/>
      <c r="T283" s="1"/>
      <c r="U283" s="1"/>
      <c r="V283" s="1"/>
      <c r="W283" s="1"/>
      <c r="X283" s="1"/>
      <c r="Y283" s="1"/>
      <c r="Z283" s="1"/>
    </row>
    <row r="284" spans="1:26" ht="15.75" customHeight="1" x14ac:dyDescent="0.25">
      <c r="A284" s="12" t="s">
        <v>5</v>
      </c>
      <c r="B284" s="3" t="s">
        <v>564</v>
      </c>
      <c r="C284" s="3" t="s">
        <v>88</v>
      </c>
      <c r="D284" s="3" t="str">
        <f ca="1">IFERROR(__xludf.DUMMYFUNCTION("GOOGLETRANSLATE(C284,""ES"",""EN"")"),"Governance \ Result \ Non -Successful Installation of CSMC")</f>
        <v>Governance \ Result \ Non -Successful Installation of CSMC</v>
      </c>
      <c r="E284" s="3" t="s">
        <v>613</v>
      </c>
      <c r="F284" s="3" t="str">
        <f ca="1">IFERROR(__xludf.DUMMYFUNCTION("GOOGLETRANSLATE(E284,""ES"",""EN"")"),"I believe that we, as as a community center, have had super little voice in the policies of what a mental health center means, and why do I say this? Because just as cardiovascular programs were installed in primary care and are a success, as well as I do"&amp;"n't know, the COPD program and other thousands of programs in primary care and all successfully, with good indicators before the pandemic, because After the pandemic let's not talk")</f>
        <v>I believe that we, as as a community center, have had super little voice in the policies of what a mental health center means, and why do I say this? Because just as cardiovascular programs were installed in primary care and are a success, as well as I don't know, the COPD program and other thousands of programs in primary care and all successfully, with good indicators before the pandemic, because After the pandemic let's not talk</v>
      </c>
      <c r="G284" s="3" t="s">
        <v>614</v>
      </c>
      <c r="H284" s="28">
        <v>1.3759563489709981</v>
      </c>
      <c r="I284" s="3" t="s">
        <v>90</v>
      </c>
      <c r="J284" s="3" t="str">
        <f ca="1">IFERROR(__xludf.DUMMYFUNCTION("GOOGLETRANSLATE(I284,""ES"",""EN"")"),"Negative effect: questioning of the installation of the CSMC model")</f>
        <v>Negative effect: questioning of the installation of the CSMC model</v>
      </c>
      <c r="K284" s="1"/>
      <c r="L284" s="1"/>
      <c r="M284" s="1"/>
      <c r="N284" s="1"/>
      <c r="O284" s="1"/>
      <c r="P284" s="1"/>
      <c r="Q284" s="1"/>
      <c r="R284" s="1"/>
      <c r="S284" s="1"/>
      <c r="T284" s="1"/>
      <c r="U284" s="1"/>
      <c r="V284" s="1"/>
      <c r="W284" s="1"/>
      <c r="X284" s="1"/>
      <c r="Y284" s="1"/>
      <c r="Z284" s="1"/>
    </row>
    <row r="285" spans="1:26" ht="15.75" customHeight="1" x14ac:dyDescent="0.25">
      <c r="A285" s="6" t="s">
        <v>5</v>
      </c>
      <c r="B285" s="3" t="s">
        <v>615</v>
      </c>
      <c r="C285" s="3" t="s">
        <v>210</v>
      </c>
      <c r="D285" s="3" t="str">
        <f ca="1">IFERROR(__xludf.DUMMYFUNCTION("GOOGLETRANSLATE(C285,""ES"",""EN"")"),"FINANCING \ Result \ main achievement of financing the CSMC \ Achievement to be in the community")</f>
        <v>FINANCING \ Result \ main achievement of financing the CSMC \ Achievement to be in the community</v>
      </c>
      <c r="E285" s="3" t="s">
        <v>616</v>
      </c>
      <c r="F285" s="3" t="str">
        <f ca="1">IFERROR(__xludf.DUMMYFUNCTION("GOOGLETRANSLATE(E285,""ES"",""EN"")"),"The main achievement is that you approach the community")</f>
        <v>The main achievement is that you approach the community</v>
      </c>
      <c r="G285" s="3" t="s">
        <v>597</v>
      </c>
      <c r="H285" s="28">
        <v>0.20167314012548551</v>
      </c>
      <c r="I285" s="3" t="s">
        <v>213</v>
      </c>
      <c r="J285" s="3" t="str">
        <f ca="1">IFERROR(__xludf.DUMMYFUNCTION("GOOGLETRANSLATE(I285,""ES"",""EN"")"),"Better coverage, closeness and context of attention")</f>
        <v>Better coverage, closeness and context of attention</v>
      </c>
      <c r="K285" s="1"/>
      <c r="L285" s="1"/>
      <c r="M285" s="1"/>
      <c r="N285" s="1"/>
      <c r="O285" s="1"/>
      <c r="P285" s="1"/>
      <c r="Q285" s="1"/>
      <c r="R285" s="1"/>
      <c r="S285" s="1"/>
      <c r="T285" s="1"/>
      <c r="U285" s="1"/>
      <c r="V285" s="1"/>
      <c r="W285" s="1"/>
      <c r="X285" s="1"/>
      <c r="Y285" s="1"/>
      <c r="Z285" s="1"/>
    </row>
    <row r="286" spans="1:26" ht="15.75" customHeight="1" x14ac:dyDescent="0.25">
      <c r="A286" s="6" t="s">
        <v>5</v>
      </c>
      <c r="B286" s="3" t="s">
        <v>615</v>
      </c>
      <c r="C286" s="3" t="s">
        <v>617</v>
      </c>
      <c r="D286" s="3" t="str">
        <f ca="1">IFERROR(__xludf.DUMMYFUNCTION("GOOGLETRANSLATE(C286,""ES"",""EN"")"),"FINANCING \ Result \ main achievement of financing the CSMC \ achievement more than clinical")</f>
        <v>FINANCING \ Result \ main achievement of financing the CSMC \ achievement more than clinical</v>
      </c>
      <c r="E286" s="3" t="s">
        <v>618</v>
      </c>
      <c r="F286" s="3" t="str">
        <f ca="1">IFERROR(__xludf.DUMMYFUNCTION("GOOGLETRANSLATE(E286,""ES"",""EN"")"),"That is, it is a job beyond the clinical")</f>
        <v>That is, it is a job beyond the clinical</v>
      </c>
      <c r="G286" s="3" t="s">
        <v>619</v>
      </c>
      <c r="H286" s="28">
        <v>0.15685688676426648</v>
      </c>
      <c r="I286" s="3" t="s">
        <v>213</v>
      </c>
      <c r="J286" s="3" t="str">
        <f ca="1">IFERROR(__xludf.DUMMYFUNCTION("GOOGLETRANSLATE(I286,""ES"",""EN"")"),"Better coverage, closeness and context of attention")</f>
        <v>Better coverage, closeness and context of attention</v>
      </c>
      <c r="K286" s="1"/>
      <c r="L286" s="1"/>
      <c r="M286" s="1"/>
      <c r="N286" s="1"/>
      <c r="O286" s="1"/>
      <c r="P286" s="1"/>
      <c r="Q286" s="1"/>
      <c r="R286" s="1"/>
      <c r="S286" s="1"/>
      <c r="T286" s="1"/>
      <c r="U286" s="1"/>
      <c r="V286" s="1"/>
      <c r="W286" s="1"/>
      <c r="X286" s="1"/>
      <c r="Y286" s="1"/>
      <c r="Z286" s="1"/>
    </row>
    <row r="287" spans="1:26" ht="15.75" customHeight="1" x14ac:dyDescent="0.25">
      <c r="A287" s="6" t="s">
        <v>5</v>
      </c>
      <c r="B287" s="3" t="s">
        <v>615</v>
      </c>
      <c r="C287" s="3" t="s">
        <v>210</v>
      </c>
      <c r="D287" s="3" t="str">
        <f ca="1">IFERROR(__xludf.DUMMYFUNCTION("GOOGLETRANSLATE(C287,""ES"",""EN"")"),"FINANCING \ Result \ main achievement of financing the CSMC \ Achievement to be in the community")</f>
        <v>FINANCING \ Result \ main achievement of financing the CSMC \ Achievement to be in the community</v>
      </c>
      <c r="E287" s="3" t="s">
        <v>620</v>
      </c>
      <c r="F287" s="3" t="str">
        <f ca="1">IFERROR(__xludf.DUMMYFUNCTION("GOOGLETRANSLATE(E287,""ES"",""EN"")"),"It is a job designed in the territorial,")</f>
        <v>It is a job designed in the territorial,</v>
      </c>
      <c r="G287" s="3" t="s">
        <v>621</v>
      </c>
      <c r="H287" s="28">
        <v>0.14938751120406335</v>
      </c>
      <c r="I287" s="3" t="s">
        <v>213</v>
      </c>
      <c r="J287" s="3" t="str">
        <f ca="1">IFERROR(__xludf.DUMMYFUNCTION("GOOGLETRANSLATE(I287,""ES"",""EN"")"),"Better coverage, closeness and context of attention")</f>
        <v>Better coverage, closeness and context of attention</v>
      </c>
      <c r="K287" s="1"/>
      <c r="L287" s="1"/>
      <c r="M287" s="1"/>
      <c r="N287" s="1"/>
      <c r="O287" s="1"/>
      <c r="P287" s="1"/>
      <c r="Q287" s="1"/>
      <c r="R287" s="1"/>
      <c r="S287" s="1"/>
      <c r="T287" s="1"/>
      <c r="U287" s="1"/>
      <c r="V287" s="1"/>
      <c r="W287" s="1"/>
      <c r="X287" s="1"/>
      <c r="Y287" s="1"/>
      <c r="Z287" s="1"/>
    </row>
    <row r="288" spans="1:26" ht="15.75" customHeight="1" x14ac:dyDescent="0.25">
      <c r="A288" s="6" t="s">
        <v>5</v>
      </c>
      <c r="B288" s="3" t="s">
        <v>615</v>
      </c>
      <c r="C288" s="3" t="s">
        <v>622</v>
      </c>
      <c r="D288" s="3" t="str">
        <f ca="1">IFERROR(__xludf.DUMMYFUNCTION("GOOGLETRANSLATE(C288,""ES"",""EN"")"),"FINANCING \ Result \ main achievement of financing CSMC \ incorporation of the patient")</f>
        <v>FINANCING \ Result \ main achievement of financing CSMC \ incorporation of the patient</v>
      </c>
      <c r="E288" s="3" t="s">
        <v>623</v>
      </c>
      <c r="F288" s="3" t="str">
        <f ca="1">IFERROR(__xludf.DUMMYFUNCTION("GOOGLETRANSLATE(E288,""ES"",""EN"")"),"where patient participation is super novel and inclusive.")</f>
        <v>where patient participation is super novel and inclusive.</v>
      </c>
      <c r="G288" s="3" t="s">
        <v>624</v>
      </c>
      <c r="H288" s="28">
        <v>0.24648939348670451</v>
      </c>
      <c r="I288" s="3" t="s">
        <v>525</v>
      </c>
      <c r="J288" s="3" t="str">
        <f ca="1">IFERROR(__xludf.DUMMYFUNCTION("GOOGLETRANSLATE(I288,""ES"",""EN"")"),"Greater possibility of user participation")</f>
        <v>Greater possibility of user participation</v>
      </c>
      <c r="K288" s="1"/>
      <c r="L288" s="1"/>
      <c r="M288" s="1"/>
      <c r="N288" s="1"/>
      <c r="O288" s="1"/>
      <c r="P288" s="1"/>
      <c r="Q288" s="1"/>
      <c r="R288" s="1"/>
      <c r="S288" s="1"/>
      <c r="T288" s="1"/>
      <c r="U288" s="1"/>
      <c r="V288" s="1"/>
      <c r="W288" s="1"/>
      <c r="X288" s="1"/>
      <c r="Y288" s="1"/>
      <c r="Z288" s="1"/>
    </row>
    <row r="289" spans="1:26" ht="15.75" customHeight="1" x14ac:dyDescent="0.25">
      <c r="A289" s="6" t="s">
        <v>5</v>
      </c>
      <c r="B289" s="3" t="s">
        <v>615</v>
      </c>
      <c r="C289" s="3" t="s">
        <v>622</v>
      </c>
      <c r="D289" s="3" t="str">
        <f ca="1">IFERROR(__xludf.DUMMYFUNCTION("GOOGLETRANSLATE(C289,""ES"",""EN"")"),"FINANCING \ Result \ main achievement of financing CSMC \ incorporation of the patient")</f>
        <v>FINANCING \ Result \ main achievement of financing CSMC \ incorporation of the patient</v>
      </c>
      <c r="E289" s="3" t="s">
        <v>625</v>
      </c>
      <c r="F289" s="3" t="str">
        <f ca="1">IFERROR(__xludf.DUMMYFUNCTION("GOOGLETRANSLATE(E289,""ES"",""EN"")"),"Or I think that the opening of what these community centers are in the community, not attached to these hospitals, which generally expanded the possibility of incorporating the patient")</f>
        <v>Or I think that the opening of what these community centers are in the community, not attached to these hospitals, which generally expanded the possibility of incorporating the patient</v>
      </c>
      <c r="G289" s="3" t="s">
        <v>626</v>
      </c>
      <c r="H289" s="28">
        <v>0.68718255153869134</v>
      </c>
      <c r="I289" s="3" t="s">
        <v>525</v>
      </c>
      <c r="J289" s="3" t="str">
        <f ca="1">IFERROR(__xludf.DUMMYFUNCTION("GOOGLETRANSLATE(I289,""ES"",""EN"")"),"Greater possibility of user participation")</f>
        <v>Greater possibility of user participation</v>
      </c>
      <c r="K289" s="1"/>
      <c r="L289" s="1"/>
      <c r="M289" s="1"/>
      <c r="N289" s="1"/>
      <c r="O289" s="1"/>
      <c r="P289" s="1"/>
      <c r="Q289" s="1"/>
      <c r="R289" s="1"/>
      <c r="S289" s="1"/>
      <c r="T289" s="1"/>
      <c r="U289" s="1"/>
      <c r="V289" s="1"/>
      <c r="W289" s="1"/>
      <c r="X289" s="1"/>
      <c r="Y289" s="1"/>
      <c r="Z289" s="1"/>
    </row>
    <row r="290" spans="1:26" ht="15.75" customHeight="1" x14ac:dyDescent="0.25">
      <c r="A290" s="6" t="s">
        <v>5</v>
      </c>
      <c r="B290" s="3" t="s">
        <v>615</v>
      </c>
      <c r="C290" s="3" t="s">
        <v>385</v>
      </c>
      <c r="D290" s="3" t="str">
        <f ca="1">IFERROR(__xludf.DUMMYFUNCTION("GOOGLETRANSLATE(C290,""ES"",""EN"")"),"FINANCING \ RESULT \ MAIN ACHIEVEMENT OF FINANCING THE CSMC \ IMPROVEMENT COVERAGE WHERE")</f>
        <v>FINANCING \ RESULT \ MAIN ACHIEVEMENT OF FINANCING THE CSMC \ IMPROVEMENT COVERAGE WHERE</v>
      </c>
      <c r="E290" s="3" t="s">
        <v>627</v>
      </c>
      <c r="F290" s="3" t="str">
        <f ca="1">IFERROR(__xludf.DUMMYFUNCTION("GOOGLETRANSLATE(E290,""ES"",""EN"")"),"to arrive as a public health where it is required, where it is needed.")</f>
        <v>to arrive as a public health where it is required, where it is needed.</v>
      </c>
      <c r="G290" s="3" t="s">
        <v>624</v>
      </c>
      <c r="H290" s="28">
        <v>0.24648939348670451</v>
      </c>
      <c r="I290" s="3" t="s">
        <v>213</v>
      </c>
      <c r="J290" s="3" t="str">
        <f ca="1">IFERROR(__xludf.DUMMYFUNCTION("GOOGLETRANSLATE(I290,""ES"",""EN"")"),"Better coverage, closeness and context of attention")</f>
        <v>Better coverage, closeness and context of attention</v>
      </c>
      <c r="K290" s="1"/>
      <c r="L290" s="1"/>
      <c r="M290" s="1"/>
      <c r="N290" s="1"/>
      <c r="O290" s="1"/>
      <c r="P290" s="1"/>
      <c r="Q290" s="1"/>
      <c r="R290" s="1"/>
      <c r="S290" s="1"/>
      <c r="T290" s="1"/>
      <c r="U290" s="1"/>
      <c r="V290" s="1"/>
      <c r="W290" s="1"/>
      <c r="X290" s="1"/>
      <c r="Y290" s="1"/>
      <c r="Z290" s="1"/>
    </row>
    <row r="291" spans="1:26" ht="15.75" customHeight="1" x14ac:dyDescent="0.25">
      <c r="A291" s="6" t="s">
        <v>5</v>
      </c>
      <c r="B291" s="3" t="s">
        <v>615</v>
      </c>
      <c r="C291" s="3" t="s">
        <v>622</v>
      </c>
      <c r="D291" s="3" t="str">
        <f ca="1">IFERROR(__xludf.DUMMYFUNCTION("GOOGLETRANSLATE(C291,""ES"",""EN"")"),"FINANCING \ Result \ main achievement of financing CSMC \ incorporation of the patient")</f>
        <v>FINANCING \ Result \ main achievement of financing CSMC \ incorporation of the patient</v>
      </c>
      <c r="E291" s="3" t="s">
        <v>628</v>
      </c>
      <c r="F291" s="3" t="str">
        <f ca="1">IFERROR(__xludf.DUMMYFUNCTION("GOOGLETRANSLATE(E291,""ES"",""EN"")"),"In how it has been, as in spite of everything that was commenting, of the economic difficulties of the centers, but it has been a commitment to have a participation of patients with patients, including patients")</f>
        <v>In how it has been, as in spite of everything that was commenting, of the economic difficulties of the centers, but it has been a commitment to have a participation of patients with patients, including patients</v>
      </c>
      <c r="G291" s="3" t="s">
        <v>629</v>
      </c>
      <c r="H291" s="28">
        <v>0.85150881386316102</v>
      </c>
      <c r="I291" s="3" t="s">
        <v>525</v>
      </c>
      <c r="J291" s="3" t="str">
        <f ca="1">IFERROR(__xludf.DUMMYFUNCTION("GOOGLETRANSLATE(I291,""ES"",""EN"")"),"Greater possibility of user participation")</f>
        <v>Greater possibility of user participation</v>
      </c>
      <c r="K291" s="1"/>
      <c r="L291" s="1"/>
      <c r="M291" s="1"/>
      <c r="N291" s="1"/>
      <c r="O291" s="1"/>
      <c r="P291" s="1"/>
      <c r="Q291" s="1"/>
      <c r="R291" s="1"/>
      <c r="S291" s="1"/>
      <c r="T291" s="1"/>
      <c r="U291" s="1"/>
      <c r="V291" s="1"/>
      <c r="W291" s="1"/>
      <c r="X291" s="1"/>
      <c r="Y291" s="1"/>
      <c r="Z291" s="1"/>
    </row>
    <row r="292" spans="1:26" ht="15.75" customHeight="1" x14ac:dyDescent="0.25">
      <c r="A292" s="6" t="s">
        <v>5</v>
      </c>
      <c r="B292" s="3" t="s">
        <v>615</v>
      </c>
      <c r="C292" s="3" t="s">
        <v>622</v>
      </c>
      <c r="D292" s="3" t="str">
        <f ca="1">IFERROR(__xludf.DUMMYFUNCTION("GOOGLETRANSLATE(C292,""ES"",""EN"")"),"FINANCING \ Result \ main achievement of financing CSMC \ incorporation of the patient")</f>
        <v>FINANCING \ Result \ main achievement of financing CSMC \ incorporation of the patient</v>
      </c>
      <c r="E292" s="3" t="s">
        <v>630</v>
      </c>
      <c r="F292" s="3" t="str">
        <f ca="1">IFERROR(__xludf.DUMMYFUNCTION("GOOGLETRANSLATE(E292,""ES"",""EN"")"),"Have the human group in some way the human talents incorporated in what is the user's need.")</f>
        <v>Have the human group in some way the human talents incorporated in what is the user's need.</v>
      </c>
      <c r="G292" s="3" t="s">
        <v>593</v>
      </c>
      <c r="H292" s="28">
        <v>0.41081565581117419</v>
      </c>
      <c r="I292" s="3" t="s">
        <v>525</v>
      </c>
      <c r="J292" s="3" t="str">
        <f ca="1">IFERROR(__xludf.DUMMYFUNCTION("GOOGLETRANSLATE(I292,""ES"",""EN"")"),"Greater possibility of user participation")</f>
        <v>Greater possibility of user participation</v>
      </c>
      <c r="K292" s="1"/>
      <c r="L292" s="1"/>
      <c r="M292" s="1"/>
      <c r="N292" s="1"/>
      <c r="O292" s="1"/>
      <c r="P292" s="1"/>
      <c r="Q292" s="1"/>
      <c r="R292" s="1"/>
      <c r="S292" s="1"/>
      <c r="T292" s="1"/>
      <c r="U292" s="1"/>
      <c r="V292" s="1"/>
      <c r="W292" s="1"/>
      <c r="X292" s="1"/>
      <c r="Y292" s="1"/>
      <c r="Z292" s="1"/>
    </row>
    <row r="293" spans="1:26" ht="15.75" customHeight="1" x14ac:dyDescent="0.25">
      <c r="A293" s="2" t="s">
        <v>5</v>
      </c>
      <c r="B293" s="3" t="s">
        <v>615</v>
      </c>
      <c r="C293" s="3" t="s">
        <v>631</v>
      </c>
      <c r="D293" s="3" t="str">
        <f ca="1">IFERROR(__xludf.DUMMYFUNCTION("GOOGLETRANSLATE(C293,""ES"",""EN"")"),"Human Resources \ Result \ job stability")</f>
        <v>Human Resources \ Result \ job stability</v>
      </c>
      <c r="E293" s="3" t="s">
        <v>632</v>
      </c>
      <c r="F293" s="3" t="str">
        <f ca="1">IFERROR(__xludf.DUMMYFUNCTION("GOOGLETRANSLATE(E293,""ES"",""EN"")"),"Look at financing like us we are attached to a hospital, we have never had big problems, for example, in terms of the continuity of human resource.")</f>
        <v>Look at financing like us we are attached to a hospital, we have never had big problems, for example, in terms of the continuity of human resource.</v>
      </c>
      <c r="G293" s="3" t="s">
        <v>633</v>
      </c>
      <c r="H293" s="28">
        <v>0.6311622348371676</v>
      </c>
      <c r="I293" s="3" t="s">
        <v>21</v>
      </c>
      <c r="J293" s="3" t="str">
        <f ca="1">IFERROR(__xludf.DUMMYFUNCTION("GOOGLETRANSLATE(I293,""ES"",""EN"")"),"Negative effects: high rotation of professionals")</f>
        <v>Negative effects: high rotation of professionals</v>
      </c>
      <c r="K293" s="1"/>
      <c r="L293" s="1"/>
      <c r="M293" s="1"/>
      <c r="N293" s="1"/>
      <c r="O293" s="1"/>
      <c r="P293" s="1"/>
      <c r="Q293" s="1"/>
      <c r="R293" s="1"/>
      <c r="S293" s="1"/>
      <c r="T293" s="1"/>
      <c r="U293" s="1"/>
      <c r="V293" s="1"/>
      <c r="W293" s="1"/>
      <c r="X293" s="1"/>
      <c r="Y293" s="1"/>
      <c r="Z293" s="1"/>
    </row>
    <row r="294" spans="1:26" ht="15.75" customHeight="1" x14ac:dyDescent="0.25">
      <c r="A294" s="2" t="s">
        <v>5</v>
      </c>
      <c r="B294" s="3" t="s">
        <v>615</v>
      </c>
      <c r="C294" s="3" t="s">
        <v>631</v>
      </c>
      <c r="D294" s="3" t="str">
        <f ca="1">IFERROR(__xludf.DUMMYFUNCTION("GOOGLETRANSLATE(C294,""ES"",""EN"")"),"Human Resources \ Result \ job stability")</f>
        <v>Human Resources \ Result \ job stability</v>
      </c>
      <c r="E294" s="3" t="s">
        <v>634</v>
      </c>
      <c r="F294" s="3" t="str">
        <f ca="1">IFERROR(__xludf.DUMMYFUNCTION("GOOGLETRANSLATE(E294,""ES"",""EN"")"),"The human resource is constant, that is, I would say that it has been increasing and and strictly controls and user monitoring. But it is more than anything because we are attached to a large ship.")</f>
        <v>The human resource is constant, that is, I would say that it has been increasing and and strictly controls and user monitoring. But it is more than anything because we are attached to a large ship.</v>
      </c>
      <c r="G294" s="3" t="s">
        <v>635</v>
      </c>
      <c r="H294" s="28">
        <v>1.3482222886166717</v>
      </c>
      <c r="I294" s="3" t="s">
        <v>21</v>
      </c>
      <c r="J294" s="3" t="str">
        <f ca="1">IFERROR(__xludf.DUMMYFUNCTION("GOOGLETRANSLATE(I294,""ES"",""EN"")"),"Negative effects: high rotation of professionals")</f>
        <v>Negative effects: high rotation of professionals</v>
      </c>
      <c r="K294" s="1"/>
      <c r="L294" s="1"/>
      <c r="M294" s="1"/>
      <c r="N294" s="1"/>
      <c r="O294" s="1"/>
      <c r="P294" s="1"/>
      <c r="Q294" s="1"/>
      <c r="R294" s="1"/>
      <c r="S294" s="1"/>
      <c r="T294" s="1"/>
      <c r="U294" s="1"/>
      <c r="V294" s="1"/>
      <c r="W294" s="1"/>
      <c r="X294" s="1"/>
      <c r="Y294" s="1"/>
      <c r="Z294" s="1"/>
    </row>
    <row r="295" spans="1:26" ht="15.75" customHeight="1" x14ac:dyDescent="0.25">
      <c r="A295" s="2" t="s">
        <v>5</v>
      </c>
      <c r="B295" s="3" t="s">
        <v>615</v>
      </c>
      <c r="C295" s="3" t="s">
        <v>631</v>
      </c>
      <c r="D295" s="3" t="str">
        <f ca="1">IFERROR(__xludf.DUMMYFUNCTION("GOOGLETRANSLATE(C295,""ES"",""EN"")"),"Human Resources \ Result \ job stability")</f>
        <v>Human Resources \ Result \ job stability</v>
      </c>
      <c r="E295" s="3" t="s">
        <v>636</v>
      </c>
      <c r="F295" s="3" t="str">
        <f ca="1">IFERROR(__xludf.DUMMYFUNCTION("GOOGLETRANSLATE(E295,""ES"",""EN"")"),"You already know that the Regional Hospital is one of the largest in the country. So, within that community it is like the support we have. But if we were a hybrid between municipality and hospital or between service and hospital, I don't know if that cou"&amp;"ld be done, because I have known local experiences that have also had to restructure.")</f>
        <v>You already know that the Regional Hospital is one of the largest in the country. So, within that community it is like the support we have. But if we were a hybrid between municipality and hospital or between service and hospital, I don't know if that could be done, because I have known local experiences that have also had to restructure.</v>
      </c>
      <c r="G295" s="3" t="s">
        <v>559</v>
      </c>
      <c r="H295" s="28">
        <v>1.3146100985957574</v>
      </c>
      <c r="I295" s="3" t="s">
        <v>21</v>
      </c>
      <c r="J295" s="3" t="str">
        <f ca="1">IFERROR(__xludf.DUMMYFUNCTION("GOOGLETRANSLATE(I295,""ES"",""EN"")"),"Negative effects: high rotation of professionals")</f>
        <v>Negative effects: high rotation of professionals</v>
      </c>
      <c r="K295" s="1"/>
      <c r="L295" s="1"/>
      <c r="M295" s="1"/>
      <c r="N295" s="1"/>
      <c r="O295" s="1"/>
      <c r="P295" s="1"/>
      <c r="Q295" s="1"/>
      <c r="R295" s="1"/>
      <c r="S295" s="1"/>
      <c r="T295" s="1"/>
      <c r="U295" s="1"/>
      <c r="V295" s="1"/>
      <c r="W295" s="1"/>
      <c r="X295" s="1"/>
      <c r="Y295" s="1"/>
      <c r="Z295" s="1"/>
    </row>
    <row r="296" spans="1:26" ht="15.75" customHeight="1" x14ac:dyDescent="0.25">
      <c r="A296" s="2" t="s">
        <v>5</v>
      </c>
      <c r="B296" s="3" t="s">
        <v>615</v>
      </c>
      <c r="C296" s="3" t="s">
        <v>637</v>
      </c>
      <c r="D296" s="3" t="str">
        <f ca="1">IFERROR(__xludf.DUMMYFUNCTION("GOOGLETRANSLATE(C296,""ES"",""EN"")"),"HUMAN RESOURCES \ Result \ job instability")</f>
        <v>HUMAN RESOURCES \ Result \ job instability</v>
      </c>
      <c r="E296" s="3" t="s">
        <v>638</v>
      </c>
      <c r="F296" s="3" t="str">
        <f ca="1">IFERROR(__xludf.DUMMYFUNCTION("GOOGLETRANSLATE(E296,""ES"",""EN"")"),"In the case of Cosam San Pedro, which also belongs to the regional now, which in some minute had to fire several officials because the agreement he had with the municipality with the DAS was ended in those years, so that caused the human resource to be re"&amp;"duced And therefore, obviously the quality of care")</f>
        <v>In the case of Cosam San Pedro, which also belongs to the regional now, which in some minute had to fire several officials because the agreement he had with the municipality with the DAS was ended in those years, so that caused the human resource to be reduced And therefore, obviously the quality of care</v>
      </c>
      <c r="G296" s="3" t="s">
        <v>639</v>
      </c>
      <c r="H296" s="28">
        <v>1.1726919629518973</v>
      </c>
      <c r="I296" s="3" t="s">
        <v>21</v>
      </c>
      <c r="J296" s="3" t="str">
        <f ca="1">IFERROR(__xludf.DUMMYFUNCTION("GOOGLETRANSLATE(I296,""ES"",""EN"")"),"Negative effects: high rotation of professionals")</f>
        <v>Negative effects: high rotation of professionals</v>
      </c>
      <c r="K296" s="1"/>
      <c r="L296" s="1"/>
      <c r="M296" s="1"/>
      <c r="N296" s="1"/>
      <c r="O296" s="1"/>
      <c r="P296" s="1"/>
      <c r="Q296" s="1"/>
      <c r="R296" s="1"/>
      <c r="S296" s="1"/>
      <c r="T296" s="1"/>
      <c r="U296" s="1"/>
      <c r="V296" s="1"/>
      <c r="W296" s="1"/>
      <c r="X296" s="1"/>
      <c r="Y296" s="1"/>
      <c r="Z296" s="1"/>
    </row>
    <row r="297" spans="1:26" ht="15.75" customHeight="1" x14ac:dyDescent="0.25">
      <c r="A297" s="2" t="s">
        <v>5</v>
      </c>
      <c r="B297" s="3" t="s">
        <v>615</v>
      </c>
      <c r="C297" s="3" t="s">
        <v>640</v>
      </c>
      <c r="D297" s="3" t="str">
        <f ca="1">IFERROR(__xludf.DUMMYFUNCTION("GOOGLETRANSLATE(C297,""ES"",""EN"")"),"Human Resources \ Result \ Service Providers and No Public Officials")</f>
        <v>Human Resources \ Result \ Service Providers and No Public Officials</v>
      </c>
      <c r="E297" s="3" t="s">
        <v>641</v>
      </c>
      <c r="F297" s="3" t="str">
        <f ca="1">IFERROR(__xludf.DUMMYFUNCTION("GOOGLETRANSLATE(E297,""ES"",""EN"")"),"There has been no response from that of the Regional Hospital as a center, as the establishment on which we depend, nor on the health service, nor the Ministry. I did recently, say, a formal request to incorporate into the group of the human resource that"&amp;" I have here, that will incorporate it into the possibilities that hospitals have every year to travel from the fees to the contracts. And there were no positive results for us.")</f>
        <v>There has been no response from that of the Regional Hospital as a center, as the establishment on which we depend, nor on the health service, nor the Ministry. I did recently, say, a formal request to incorporate into the group of the human resource that I have here, that will incorporate it into the possibilities that hospitals have every year to travel from the fees to the contracts. And there were no positive results for us.</v>
      </c>
      <c r="G297" s="3" t="s">
        <v>642</v>
      </c>
      <c r="H297" s="28">
        <v>1.8001195100089633</v>
      </c>
      <c r="I297" s="3" t="s">
        <v>21</v>
      </c>
      <c r="J297" s="3" t="str">
        <f ca="1">IFERROR(__xludf.DUMMYFUNCTION("GOOGLETRANSLATE(I297,""ES"",""EN"")"),"Negative effects: high rotation of professionals")</f>
        <v>Negative effects: high rotation of professionals</v>
      </c>
      <c r="K297" s="1"/>
      <c r="L297" s="1"/>
      <c r="M297" s="1"/>
      <c r="N297" s="1"/>
      <c r="O297" s="1"/>
      <c r="P297" s="1"/>
      <c r="Q297" s="1"/>
      <c r="R297" s="1"/>
      <c r="S297" s="1"/>
      <c r="T297" s="1"/>
      <c r="U297" s="1"/>
      <c r="V297" s="1"/>
      <c r="W297" s="1"/>
      <c r="X297" s="1"/>
      <c r="Y297" s="1"/>
      <c r="Z297" s="1"/>
    </row>
    <row r="298" spans="1:26" ht="15.75" customHeight="1" x14ac:dyDescent="0.25">
      <c r="A298" s="12" t="s">
        <v>5</v>
      </c>
      <c r="B298" s="3" t="s">
        <v>615</v>
      </c>
      <c r="C298" s="3" t="s">
        <v>643</v>
      </c>
      <c r="D298" s="3" t="str">
        <f ca="1">IFERROR(__xludf.DUMMYFUNCTION("GOOGLETRANSLATE(C298,""ES"",""EN"")"),"Governance \ Result \ Limited possibility of working with groups")</f>
        <v>Governance \ Result \ Limited possibility of working with groups</v>
      </c>
      <c r="E298" s="3" t="s">
        <v>644</v>
      </c>
      <c r="F298" s="3" t="str">
        <f ca="1">IFERROR(__xludf.DUMMYFUNCTION("GOOGLETRANSLATE(E298,""ES"",""EN"")"),"Our Cosam emerged from the independence of a unit, which was a hospital unit of the psychiatry service. And so we start, say, to work. So I believe that it is directly related to the possibilities of growing and working more coordinated and with the group"&amp;"s, with users, with greater participation.")</f>
        <v>Our Cosam emerged from the independence of a unit, which was a hospital unit of the psychiatry service. And so we start, say, to work. So I believe that it is directly related to the possibilities of growing and working more coordinated and with the groups, with users, with greater participation.</v>
      </c>
      <c r="G298" s="3" t="s">
        <v>511</v>
      </c>
      <c r="H298" s="28">
        <v>1.2548550941141319</v>
      </c>
      <c r="I298" s="3" t="s">
        <v>494</v>
      </c>
      <c r="J298" s="3" t="str">
        <f ca="1">IFERROR(__xludf.DUMMYFUNCTION("GOOGLETRANSLATE(I298,""ES"",""EN"")"),"Negative effect: participation ends up being less relevant")</f>
        <v>Negative effect: participation ends up being less relevant</v>
      </c>
      <c r="K298" s="1"/>
      <c r="L298" s="1"/>
      <c r="M298" s="1"/>
      <c r="N298" s="1"/>
      <c r="O298" s="1"/>
      <c r="P298" s="1"/>
      <c r="Q298" s="1"/>
      <c r="R298" s="1"/>
      <c r="S298" s="1"/>
      <c r="T298" s="1"/>
      <c r="U298" s="1"/>
      <c r="V298" s="1"/>
      <c r="W298" s="1"/>
      <c r="X298" s="1"/>
      <c r="Y298" s="1"/>
      <c r="Z298" s="1"/>
    </row>
    <row r="299" spans="1:26" ht="15.75" customHeight="1" x14ac:dyDescent="0.25">
      <c r="A299" s="6" t="s">
        <v>5</v>
      </c>
      <c r="B299" s="3" t="s">
        <v>615</v>
      </c>
      <c r="C299" s="3" t="s">
        <v>645</v>
      </c>
      <c r="D299" s="3" t="str">
        <f ca="1">IFERROR(__xludf.DUMMYFUNCTION("GOOGLETRANSLATE(C299,""ES"",""EN"")"),"Financing \ Result \ Impossible Territorialized Work")</f>
        <v>Financing \ Result \ Impossible Territorialized Work</v>
      </c>
      <c r="E299" s="3" t="s">
        <v>646</v>
      </c>
      <c r="F299" s="3" t="str">
        <f ca="1">IFERROR(__xludf.DUMMYFUNCTION("GOOGLETRANSLATE(E299,""ES"",""EN"")"),"So as I have the path path, I see a lot of territories, many communes, like the great Santiago that you were you, I do not know for Maipú, Florida, what do I know. I see several communes that consider great conception, Chiguayante, Florida, which is a com"&amp;"munity or a slightly more rural and hualqui town, which is also rural. Therefore, the same is an impact in terms of accessibility to patients. I have to move with the team, let's say to all these territories, no longer fulfilling as the community objectiv"&amp;"e.")</f>
        <v>So as I have the path path, I see a lot of territories, many communes, like the great Santiago that you were you, I do not know for Maipú, Florida, what do I know. I see several communes that consider great conception, Chiguayante, Florida, which is a community or a slightly more rural and hualqui town, which is also rural. Therefore, the same is an impact in terms of accessibility to patients. I have to move with the team, let's say to all these territories, no longer fulfilling as the community objective.</v>
      </c>
      <c r="G299" s="3" t="s">
        <v>647</v>
      </c>
      <c r="H299" s="28">
        <v>1.9607110845533313</v>
      </c>
      <c r="I299" s="3" t="s">
        <v>15</v>
      </c>
      <c r="J299" s="3" t="str">
        <f ca="1">IFERROR(__xludf.DUMMYFUNCTION("GOOGLETRANSLATE(I299,""ES"",""EN"")"),"Negative effect: financing mechanisms end up generating problems to CSMC.")</f>
        <v>Negative effect: financing mechanisms end up generating problems to CSMC.</v>
      </c>
      <c r="K299" s="1"/>
      <c r="L299" s="1"/>
      <c r="M299" s="1"/>
      <c r="N299" s="1"/>
      <c r="O299" s="1"/>
      <c r="P299" s="1"/>
      <c r="Q299" s="1"/>
      <c r="R299" s="1"/>
      <c r="S299" s="1"/>
      <c r="T299" s="1"/>
      <c r="U299" s="1"/>
      <c r="V299" s="1"/>
      <c r="W299" s="1"/>
      <c r="X299" s="1"/>
      <c r="Y299" s="1"/>
      <c r="Z299" s="1"/>
    </row>
    <row r="300" spans="1:26" ht="15.75" customHeight="1" x14ac:dyDescent="0.25">
      <c r="A300" s="6" t="s">
        <v>5</v>
      </c>
      <c r="B300" s="3" t="s">
        <v>615</v>
      </c>
      <c r="C300" s="3" t="s">
        <v>645</v>
      </c>
      <c r="D300" s="3" t="str">
        <f ca="1">IFERROR(__xludf.DUMMYFUNCTION("GOOGLETRANSLATE(C300,""ES"",""EN"")"),"Financing \ Result \ Impossible Territorialized Work")</f>
        <v>Financing \ Result \ Impossible Territorialized Work</v>
      </c>
      <c r="E300" s="3" t="s">
        <v>648</v>
      </c>
      <c r="F300" s="3" t="str">
        <f ca="1">IFERROR(__xludf.DUMMYFUNCTION("GOOGLETRANSLATE(E300,""ES"",""EN"")"),"That is, I should be territorialized, maybe here in Concepción with the Cesfam that I have attached according to the amount of human resources I have, that I know.")</f>
        <v>That is, I should be territorialized, maybe here in Concepción with the Cesfam that I have attached according to the amount of human resources I have, that I know.</v>
      </c>
      <c r="G300" s="3" t="s">
        <v>649</v>
      </c>
      <c r="H300" s="28">
        <v>0.63489692261726915</v>
      </c>
      <c r="I300" s="3" t="s">
        <v>15</v>
      </c>
      <c r="J300" s="3" t="str">
        <f ca="1">IFERROR(__xludf.DUMMYFUNCTION("GOOGLETRANSLATE(I300,""ES"",""EN"")"),"Negative effect: financing mechanisms end up generating problems to CSMC.")</f>
        <v>Negative effect: financing mechanisms end up generating problems to CSMC.</v>
      </c>
      <c r="K300" s="1"/>
      <c r="L300" s="1"/>
      <c r="M300" s="1"/>
      <c r="N300" s="1"/>
      <c r="O300" s="1"/>
      <c r="P300" s="1"/>
      <c r="Q300" s="1"/>
      <c r="R300" s="1"/>
      <c r="S300" s="1"/>
      <c r="T300" s="1"/>
      <c r="U300" s="1"/>
      <c r="V300" s="1"/>
      <c r="W300" s="1"/>
      <c r="X300" s="1"/>
      <c r="Y300" s="1"/>
      <c r="Z300" s="1"/>
    </row>
    <row r="301" spans="1:26" ht="15.75" customHeight="1" x14ac:dyDescent="0.25">
      <c r="A301" s="6" t="s">
        <v>5</v>
      </c>
      <c r="B301" s="3" t="s">
        <v>615</v>
      </c>
      <c r="C301" s="3" t="s">
        <v>645</v>
      </c>
      <c r="D301" s="3" t="str">
        <f ca="1">IFERROR(__xludf.DUMMYFUNCTION("GOOGLETRANSLATE(C301,""ES"",""EN"")"),"Financing \ Result \ Impossible Territorialized Work")</f>
        <v>Financing \ Result \ Impossible Territorialized Work</v>
      </c>
      <c r="E301" s="3" t="s">
        <v>650</v>
      </c>
      <c r="F301" s="3" t="str">
        <f ca="1">IFERROR(__xludf.DUMMYFUNCTION("GOOGLETRANSLATE(E301,""ES"",""EN"")"),"So, in all ways if you see in logic it is opposed to what establishes the management model of a cosam, which is territoriality, which is to be where you attend patients, be right there, because this issue occurs, Let's say of having these agreements attac"&amp;"hed, which are agreements that somehow facilitate the appeal, but that, in short, we also say somehow does not give us the possibility of working territorially.")</f>
        <v>So, in all ways if you see in logic it is opposed to what establishes the management model of a cosam, which is territoriality, which is to be where you attend patients, be right there, because this issue occurs, Let's say of having these agreements attached, which are agreements that somehow facilitate the appeal, but that, in short, we also say somehow does not give us the possibility of working territorially.</v>
      </c>
      <c r="G301" s="3" t="s">
        <v>651</v>
      </c>
      <c r="H301" s="28">
        <v>1.7067523155064237</v>
      </c>
      <c r="I301" s="3" t="s">
        <v>15</v>
      </c>
      <c r="J301" s="3" t="str">
        <f ca="1">IFERROR(__xludf.DUMMYFUNCTION("GOOGLETRANSLATE(I301,""ES"",""EN"")"),"Negative effect: financing mechanisms end up generating problems to CSMC.")</f>
        <v>Negative effect: financing mechanisms end up generating problems to CSMC.</v>
      </c>
      <c r="K301" s="1"/>
      <c r="L301" s="1"/>
      <c r="M301" s="1"/>
      <c r="N301" s="1"/>
      <c r="O301" s="1"/>
      <c r="P301" s="1"/>
      <c r="Q301" s="1"/>
      <c r="R301" s="1"/>
      <c r="S301" s="1"/>
      <c r="T301" s="1"/>
      <c r="U301" s="1"/>
      <c r="V301" s="1"/>
      <c r="W301" s="1"/>
      <c r="X301" s="1"/>
      <c r="Y301" s="1"/>
      <c r="Z301" s="1"/>
    </row>
    <row r="302" spans="1:26" ht="15.75" customHeight="1" x14ac:dyDescent="0.25">
      <c r="A302" s="7" t="s">
        <v>5</v>
      </c>
      <c r="B302" s="3" t="s">
        <v>615</v>
      </c>
      <c r="C302" s="3" t="s">
        <v>652</v>
      </c>
      <c r="D302" s="3" t="str">
        <f ca="1">IFERROR(__xludf.DUMMYFUNCTION("GOOGLETRANSLATE(C302,""ES"",""EN"")"),"Users \ Result \ Dynamics of attention are interrupted")</f>
        <v>Users \ Result \ Dynamics of attention are interrupted</v>
      </c>
      <c r="E302" s="3" t="s">
        <v>653</v>
      </c>
      <c r="F302" s="3" t="str">
        <f ca="1">IFERROR(__xludf.DUMMYFUNCTION("GOOGLETRANSLATE(E302,""ES"",""EN"")"),"So it is a topic for us in general we do not live here because generally our patients are as I said to and B. But it can happen to us that we do not know. Then, the dynamics of attention are somewhat equally interrupted.")</f>
        <v>So it is a topic for us in general we do not live here because generally our patients are as I said to and B. But it can happen to us that we do not know. Then, the dynamics of attention are somewhat equally interrupted.</v>
      </c>
      <c r="G302" s="3" t="s">
        <v>654</v>
      </c>
      <c r="H302" s="28">
        <v>1.0233044517478338</v>
      </c>
      <c r="I302" s="3" t="s">
        <v>33</v>
      </c>
      <c r="J302" s="3" t="str">
        <f ca="1">IFERROR(__xludf.DUMMYFUNCTION("GOOGLETRANSLATE(I302,""ES"",""EN"")"),"Negative effects: lack of family integration ...")</f>
        <v>Negative effects: lack of family integration ...</v>
      </c>
      <c r="K302" s="1"/>
      <c r="L302" s="1"/>
      <c r="M302" s="1"/>
      <c r="N302" s="1"/>
      <c r="O302" s="1"/>
      <c r="P302" s="1"/>
      <c r="Q302" s="1"/>
      <c r="R302" s="1"/>
      <c r="S302" s="1"/>
      <c r="T302" s="1"/>
      <c r="U302" s="1"/>
      <c r="V302" s="1"/>
      <c r="W302" s="1"/>
      <c r="X302" s="1"/>
      <c r="Y302" s="1"/>
      <c r="Z302" s="1"/>
    </row>
    <row r="303" spans="1:26" ht="15.75" customHeight="1" x14ac:dyDescent="0.25">
      <c r="A303" s="6" t="s">
        <v>5</v>
      </c>
      <c r="B303" s="3" t="s">
        <v>655</v>
      </c>
      <c r="C303" s="3" t="s">
        <v>656</v>
      </c>
      <c r="D303" s="3" t="str">
        <f ca="1">IFERROR(__xludf.DUMMYFUNCTION("GOOGLETRANSLATE(C303,""ES"",""EN"")"),"Financing \ Result \ main achievement of financing the CSMC \ Achievement is having a mental health center")</f>
        <v>Financing \ Result \ main achievement of financing the CSMC \ Achievement is having a mental health center</v>
      </c>
      <c r="E303" s="3" t="s">
        <v>657</v>
      </c>
      <c r="F303" s="3" t="str">
        <f ca="1">IFERROR(__xludf.DUMMYFUNCTION("GOOGLETRANSLATE(E303,""ES"",""EN"")"),"As first, it seems to me that it is an achievement that exists to leave and that there is a community mental health center. Hopefully in the heart of the territory that has a link with primary care, which has a link with the neighbors themselves, not nece"&amp;"ssarily user. And also with the rest of the network we are not going to say tertiary or secondary")</f>
        <v>As first, it seems to me that it is an achievement that exists to leave and that there is a community mental health center. Hopefully in the heart of the territory that has a link with primary care, which has a link with the neighbors themselves, not necessarily user. And also with the rest of the network we are not going to say tertiary or secondary</v>
      </c>
      <c r="G303" s="3" t="s">
        <v>658</v>
      </c>
      <c r="H303" s="28">
        <v>0.43183220234423197</v>
      </c>
      <c r="I303" s="3" t="s">
        <v>213</v>
      </c>
      <c r="J303" s="3" t="str">
        <f ca="1">IFERROR(__xludf.DUMMYFUNCTION("GOOGLETRANSLATE(I303,""ES"",""EN"")"),"Better coverage, closeness and context of attention")</f>
        <v>Better coverage, closeness and context of attention</v>
      </c>
      <c r="K303" s="1"/>
      <c r="L303" s="1"/>
      <c r="M303" s="1"/>
      <c r="N303" s="1"/>
      <c r="O303" s="1"/>
      <c r="P303" s="1"/>
      <c r="Q303" s="1"/>
      <c r="R303" s="1"/>
      <c r="S303" s="1"/>
      <c r="T303" s="1"/>
      <c r="U303" s="1"/>
      <c r="V303" s="1"/>
      <c r="W303" s="1"/>
      <c r="X303" s="1"/>
      <c r="Y303" s="1"/>
      <c r="Z303" s="1"/>
    </row>
    <row r="304" spans="1:26" ht="15.75" customHeight="1" x14ac:dyDescent="0.25">
      <c r="A304" s="6" t="s">
        <v>5</v>
      </c>
      <c r="B304" s="3" t="s">
        <v>655</v>
      </c>
      <c r="C304" s="3" t="s">
        <v>529</v>
      </c>
      <c r="D304" s="3" t="str">
        <f ca="1">IFERROR(__xludf.DUMMYFUNCTION("GOOGLETRANSLATE(C304,""ES"",""EN"")"),"FINANCING \ Result \ main achievement of financing the CSMC \ achievement less hospitalization")</f>
        <v>FINANCING \ Result \ main achievement of financing the CSMC \ achievement less hospitalization</v>
      </c>
      <c r="E304" s="3" t="s">
        <v>659</v>
      </c>
      <c r="F304" s="3" t="str">
        <f ca="1">IFERROR(__xludf.DUMMYFUNCTION("GOOGLETRANSLATE(E304,""ES"",""EN"")"),"Rather with the beds and hospitals that should exist, because something like tertiary attention and nothing is left, it would be the program of Clozapina Bed Hospital day and with which that works we should already be more or less satisfied from the point"&amp;" In view of how things have evolved in the years. Leave from the. As of this territorial migration or return of the ancient asylums to have attention in the territory. Good quality, with prepared professionals. I think it is a very important historical ac"&amp;"hievement.")</f>
        <v>Rather with the beds and hospitals that should exist, because something like tertiary attention and nothing is left, it would be the program of Clozapina Bed Hospital day and with which that works we should already be more or less satisfied from the point In view of how things have evolved in the years. Leave from the. As of this territorial migration or return of the ancient asylums to have attention in the territory. Good quality, with prepared professionals. I think it is a very important historical achievement.</v>
      </c>
      <c r="G304" s="3" t="s">
        <v>660</v>
      </c>
      <c r="H304" s="28">
        <v>0.68723010487353486</v>
      </c>
      <c r="I304" s="3" t="s">
        <v>228</v>
      </c>
      <c r="J304" s="3" t="str">
        <f ca="1">IFERROR(__xludf.DUMMYFUNCTION("GOOGLETRANSLATE(I304,""ES"",""EN"")"),"Clinical achievements")</f>
        <v>Clinical achievements</v>
      </c>
      <c r="K304" s="1"/>
      <c r="L304" s="1"/>
      <c r="M304" s="1"/>
      <c r="N304" s="1"/>
      <c r="O304" s="1"/>
      <c r="P304" s="1"/>
      <c r="Q304" s="1"/>
      <c r="R304" s="1"/>
      <c r="S304" s="1"/>
      <c r="T304" s="1"/>
      <c r="U304" s="1"/>
      <c r="V304" s="1"/>
      <c r="W304" s="1"/>
      <c r="X304" s="1"/>
      <c r="Y304" s="1"/>
      <c r="Z304" s="1"/>
    </row>
    <row r="305" spans="1:26" ht="15.75" customHeight="1" x14ac:dyDescent="0.25">
      <c r="A305" s="6" t="s">
        <v>5</v>
      </c>
      <c r="B305" s="3" t="s">
        <v>655</v>
      </c>
      <c r="C305" s="3" t="s">
        <v>388</v>
      </c>
      <c r="D305" s="3" t="str">
        <f ca="1">IFERROR(__xludf.DUMMYFUNCTION("GOOGLETRANSLATE(C305,""ES"",""EN"")"),"FINANCING \ RESULT \ SYSTEM IS FINISHED")</f>
        <v>FINANCING \ RESULT \ SYSTEM IS FINISHED</v>
      </c>
      <c r="E305" s="3" t="s">
        <v>661</v>
      </c>
      <c r="F305" s="3" t="str">
        <f ca="1">IFERROR(__xludf.DUMMYFUNCTION("GOOGLETRANSLATE(E305,""ES"",""EN"")"),"The demands are not covered or satisfied with the mere fact that the device exists. Because just like us in community mental health centers we have been advancing, the needs are also increasingly pressing and more complex.")</f>
        <v>The demands are not covered or satisfied with the mere fact that the device exists. Because just like us in community mental health centers we have been advancing, the needs are also increasingly pressing and more complex.</v>
      </c>
      <c r="G305" s="3" t="s">
        <v>320</v>
      </c>
      <c r="H305" s="28">
        <v>0.30104873534855026</v>
      </c>
      <c r="I305" s="3" t="s">
        <v>65</v>
      </c>
      <c r="J305" s="3" t="str">
        <f ca="1">IFERROR(__xludf.DUMMYFUNCTION("GOOGLETRANSLATE(I305,""ES"",""EN"")"),"Negative effect: actors do not identify a CSMC financing system")</f>
        <v>Negative effect: actors do not identify a CSMC financing system</v>
      </c>
      <c r="K305" s="1"/>
      <c r="L305" s="1"/>
      <c r="M305" s="1"/>
      <c r="N305" s="1"/>
      <c r="O305" s="1"/>
      <c r="P305" s="1"/>
      <c r="Q305" s="1"/>
      <c r="R305" s="1"/>
      <c r="S305" s="1"/>
      <c r="T305" s="1"/>
      <c r="U305" s="1"/>
      <c r="V305" s="1"/>
      <c r="W305" s="1"/>
      <c r="X305" s="1"/>
      <c r="Y305" s="1"/>
      <c r="Z305" s="1"/>
    </row>
    <row r="306" spans="1:26" ht="15.75" customHeight="1" x14ac:dyDescent="0.25">
      <c r="A306" s="6" t="s">
        <v>5</v>
      </c>
      <c r="B306" s="3" t="s">
        <v>655</v>
      </c>
      <c r="C306" s="3" t="s">
        <v>225</v>
      </c>
      <c r="D306" s="3" t="str">
        <f ca="1">IFERROR(__xludf.DUMMYFUNCTION("GOOGLETRANSLATE(C306,""ES"",""EN"")"),"FINANCING \ Result \ main achievement of financing CSMC \ Clinical Achievement")</f>
        <v>FINANCING \ Result \ main achievement of financing CSMC \ Clinical Achievement</v>
      </c>
      <c r="E306" s="3" t="s">
        <v>662</v>
      </c>
      <c r="F306" s="3" t="str">
        <f ca="1">IFERROR(__xludf.DUMMYFUNCTION("GOOGLETRANSLATE(E306,""ES"",""EN"")"),"On the other hand, many greatly grateful people of their existence, because they find an exit to a situation and a problem and a disease and a condition.")</f>
        <v>On the other hand, many greatly grateful people of their existence, because they find an exit to a situation and a problem and a disease and a condition.</v>
      </c>
      <c r="G306" s="3" t="s">
        <v>524</v>
      </c>
      <c r="H306" s="28">
        <v>0.19987661937075882</v>
      </c>
      <c r="I306" s="3" t="s">
        <v>228</v>
      </c>
      <c r="J306" s="3" t="str">
        <f ca="1">IFERROR(__xludf.DUMMYFUNCTION("GOOGLETRANSLATE(I306,""ES"",""EN"")"),"Clinical achievements")</f>
        <v>Clinical achievements</v>
      </c>
      <c r="K306" s="1"/>
      <c r="L306" s="1"/>
      <c r="M306" s="1"/>
      <c r="N306" s="1"/>
      <c r="O306" s="1"/>
      <c r="P306" s="1"/>
      <c r="Q306" s="1"/>
      <c r="R306" s="1"/>
      <c r="S306" s="1"/>
      <c r="T306" s="1"/>
      <c r="U306" s="1"/>
      <c r="V306" s="1"/>
      <c r="W306" s="1"/>
      <c r="X306" s="1"/>
      <c r="Y306" s="1"/>
      <c r="Z306" s="1"/>
    </row>
    <row r="307" spans="1:26" ht="15.75" customHeight="1" x14ac:dyDescent="0.25">
      <c r="A307" s="6" t="s">
        <v>5</v>
      </c>
      <c r="B307" s="3" t="s">
        <v>655</v>
      </c>
      <c r="C307" s="3" t="s">
        <v>656</v>
      </c>
      <c r="D307" s="3" t="str">
        <f ca="1">IFERROR(__xludf.DUMMYFUNCTION("GOOGLETRANSLATE(C307,""ES"",""EN"")"),"Financing \ Result \ main achievement of financing the CSMC \ Achievement is having a mental health center")</f>
        <v>Financing \ Result \ main achievement of financing the CSMC \ Achievement is having a mental health center</v>
      </c>
      <c r="E307" s="3" t="s">
        <v>663</v>
      </c>
      <c r="F307" s="3" t="str">
        <f ca="1">IFERROR(__xludf.DUMMYFUNCTION("GOOGLETRANSLATE(E307,""ES"",""EN"")"),"Also in some cases does not depend on each situation where but could not be financed. If not, I wouldn't have found a return. As to be able to rearm your project, your life, your family, your community. So what seems to me, we allow them that their existe"&amp;"nce is an achievement.")</f>
        <v>Also in some cases does not depend on each situation where but could not be financed. If not, I wouldn't have found a return. As to be able to rearm your project, your life, your family, your community. So what seems to me, we allow them that their existence is an achievement.</v>
      </c>
      <c r="G307" s="3" t="s">
        <v>520</v>
      </c>
      <c r="H307" s="28">
        <v>0.33682911782850095</v>
      </c>
      <c r="I307" s="3" t="s">
        <v>213</v>
      </c>
      <c r="J307" s="3" t="str">
        <f ca="1">IFERROR(__xludf.DUMMYFUNCTION("GOOGLETRANSLATE(I307,""ES"",""EN"")"),"Better coverage, closeness and context of attention")</f>
        <v>Better coverage, closeness and context of attention</v>
      </c>
      <c r="K307" s="1"/>
      <c r="L307" s="1"/>
      <c r="M307" s="1"/>
      <c r="N307" s="1"/>
      <c r="O307" s="1"/>
      <c r="P307" s="1"/>
      <c r="Q307" s="1"/>
      <c r="R307" s="1"/>
      <c r="S307" s="1"/>
      <c r="T307" s="1"/>
      <c r="U307" s="1"/>
      <c r="V307" s="1"/>
      <c r="W307" s="1"/>
      <c r="X307" s="1"/>
      <c r="Y307" s="1"/>
      <c r="Z307" s="1"/>
    </row>
    <row r="308" spans="1:26" ht="15.75" customHeight="1" x14ac:dyDescent="0.25">
      <c r="A308" s="6" t="s">
        <v>5</v>
      </c>
      <c r="B308" s="3" t="s">
        <v>655</v>
      </c>
      <c r="C308" s="3" t="s">
        <v>225</v>
      </c>
      <c r="D308" s="3" t="str">
        <f ca="1">IFERROR(__xludf.DUMMYFUNCTION("GOOGLETRANSLATE(C308,""ES"",""EN"")"),"FINANCING \ Result \ main achievement of financing CSMC \ Clinical Achievement")</f>
        <v>FINANCING \ Result \ main achievement of financing CSMC \ Clinical Achievement</v>
      </c>
      <c r="E308" s="3" t="s">
        <v>664</v>
      </c>
      <c r="F308" s="3" t="str">
        <f ca="1">IFERROR(__xludf.DUMMYFUNCTION("GOOGLETRANSLATE(E308,""ES"",""EN"")"),"Many of our patients do not want to leave because they feel comfortable and well treated and understood here.")</f>
        <v>Many of our patients do not want to leave because they feel comfortable and well treated and understood here.</v>
      </c>
      <c r="G308" s="3" t="s">
        <v>665</v>
      </c>
      <c r="H308" s="28">
        <v>0.13078346699568166</v>
      </c>
      <c r="I308" s="3" t="s">
        <v>228</v>
      </c>
      <c r="J308" s="3" t="str">
        <f ca="1">IFERROR(__xludf.DUMMYFUNCTION("GOOGLETRANSLATE(I308,""ES"",""EN"")"),"Clinical achievements")</f>
        <v>Clinical achievements</v>
      </c>
      <c r="K308" s="1"/>
      <c r="L308" s="1"/>
      <c r="M308" s="1"/>
      <c r="N308" s="1"/>
      <c r="O308" s="1"/>
      <c r="P308" s="1"/>
      <c r="Q308" s="1"/>
      <c r="R308" s="1"/>
      <c r="S308" s="1"/>
      <c r="T308" s="1"/>
      <c r="U308" s="1"/>
      <c r="V308" s="1"/>
      <c r="W308" s="1"/>
      <c r="X308" s="1"/>
      <c r="Y308" s="1"/>
      <c r="Z308" s="1"/>
    </row>
    <row r="309" spans="1:26" ht="15.75" customHeight="1" x14ac:dyDescent="0.25">
      <c r="A309" s="6" t="s">
        <v>5</v>
      </c>
      <c r="B309" s="3" t="s">
        <v>655</v>
      </c>
      <c r="C309" s="3" t="s">
        <v>666</v>
      </c>
      <c r="D309" s="3" t="str">
        <f ca="1">IFERROR(__xludf.DUMMYFUNCTION("GOOGLETRANSLATE(C309,""ES"",""EN"")"),"FINANCING \ Result \ main achievement of financing the CSMC \ assessment of municipal social services")</f>
        <v>FINANCING \ Result \ main achievement of financing the CSMC \ assessment of municipal social services</v>
      </c>
      <c r="E309" s="3" t="s">
        <v>667</v>
      </c>
      <c r="F309" s="3" t="str">
        <f ca="1">IFERROR(__xludf.DUMMYFUNCTION("GOOGLETRANSLATE(E309,""ES"",""EN"")"),"There is also a demand like social services and those of the rest of the municipal departments, where they see us as an alternative. Sometimes, perhaps too soon, it is even like there is something slightly that has to do with something that comes out of t"&amp;"he norm, it goes from such a demand. It seems to me that it is a very good invitation, I do take it to also educate the rest of the devices. Hey? And it also implies that they have us in mind that it is something that is a resource with which the other de"&amp;"partments tell and need.")</f>
        <v>There is also a demand like social services and those of the rest of the municipal departments, where they see us as an alternative. Sometimes, perhaps too soon, it is even like there is something slightly that has to do with something that comes out of the norm, it goes from such a demand. It seems to me that it is a very good invitation, I do take it to also educate the rest of the devices. Hey? And it also implies that they have us in mind that it is something that is a resource with which the other departments tell and need.</v>
      </c>
      <c r="G309" s="3" t="s">
        <v>668</v>
      </c>
      <c r="H309" s="28">
        <v>0.68352868599629857</v>
      </c>
      <c r="I309" s="3" t="s">
        <v>213</v>
      </c>
      <c r="J309" s="3" t="str">
        <f ca="1">IFERROR(__xludf.DUMMYFUNCTION("GOOGLETRANSLATE(I309,""ES"",""EN"")"),"Better coverage, closeness and context of attention")</f>
        <v>Better coverage, closeness and context of attention</v>
      </c>
      <c r="K309" s="1"/>
      <c r="L309" s="1"/>
      <c r="M309" s="1"/>
      <c r="N309" s="1"/>
      <c r="O309" s="1"/>
      <c r="P309" s="1"/>
      <c r="Q309" s="1"/>
      <c r="R309" s="1"/>
      <c r="S309" s="1"/>
      <c r="T309" s="1"/>
      <c r="U309" s="1"/>
      <c r="V309" s="1"/>
      <c r="W309" s="1"/>
      <c r="X309" s="1"/>
      <c r="Y309" s="1"/>
      <c r="Z309" s="1"/>
    </row>
    <row r="310" spans="1:26" ht="15.75" customHeight="1" x14ac:dyDescent="0.25">
      <c r="A310" s="6" t="s">
        <v>5</v>
      </c>
      <c r="B310" s="3" t="s">
        <v>655</v>
      </c>
      <c r="C310" s="3" t="s">
        <v>324</v>
      </c>
      <c r="D310" s="3" t="str">
        <f ca="1">IFERROR(__xludf.DUMMYFUNCTION("GOOGLETRANSLATE(C310,""ES"",""EN"")"),"FINANCING \ Result \ voltage between models in practice")</f>
        <v>FINANCING \ Result \ voltage between models in practice</v>
      </c>
      <c r="E310" s="3" t="s">
        <v>669</v>
      </c>
      <c r="F310" s="3" t="str">
        <f ca="1">IFERROR(__xludf.DUMMYFUNCTION("GOOGLETRANSLATE(E310,""ES"",""EN"")"),"The clinic not only occurs inside the box. The clinic not only occurs when it is performed by the doctor. It also happens outside, not only with networks, but in the territory, when one understands the community as the installation of capacities in others"&amp;" who hope they are not patient, to help, that is people who help people. But on a second level, and more from the point of view of comprehensive public health, one thinks of. In other issues, such as the infrastructure of the enclosure, but of, for exampl"&amp;"e, the improvement of the neighborhood around. For example, there is a place nearby where users or mental health enthusiasts can get together. There is a neighborhood board that does not have to have problems because it does not make a little cold. The he"&amp;"ater comes to us, the light is cut. People not only want or need a pool, they are waiting when they say about Mides or who ask me for a tempered pool.")</f>
        <v>The clinic not only occurs inside the box. The clinic not only occurs when it is performed by the doctor. It also happens outside, not only with networks, but in the territory, when one understands the community as the installation of capacities in others who hope they are not patient, to help, that is people who help people. But on a second level, and more from the point of view of comprehensive public health, one thinks of. In other issues, such as the infrastructure of the enclosure, but of, for example, the improvement of the neighborhood around. For example, there is a place nearby where users or mental health enthusiasts can get together. There is a neighborhood board that does not have to have problems because it does not make a little cold. The heater comes to us, the light is cut. People not only want or need a pool, they are waiting when they say about Mides or who ask me for a tempered pool.</v>
      </c>
      <c r="G310" s="3" t="s">
        <v>670</v>
      </c>
      <c r="H310" s="28">
        <v>1.1425046267735965</v>
      </c>
      <c r="I310" s="3" t="s">
        <v>51</v>
      </c>
      <c r="J310" s="3" t="str">
        <f ca="1">IFERROR(__xludf.DUMMYFUNCTION("GOOGLETRANSLATE(I310,""ES"",""EN"")"),"Negative effect: CSMC financing logics do not stimulate the implementation of the community mental health model.")</f>
        <v>Negative effect: CSMC financing logics do not stimulate the implementation of the community mental health model.</v>
      </c>
      <c r="K310" s="1"/>
      <c r="L310" s="1"/>
      <c r="M310" s="1"/>
      <c r="N310" s="1"/>
      <c r="O310" s="1"/>
      <c r="P310" s="1"/>
      <c r="Q310" s="1"/>
      <c r="R310" s="1"/>
      <c r="S310" s="1"/>
      <c r="T310" s="1"/>
      <c r="U310" s="1"/>
      <c r="V310" s="1"/>
      <c r="W310" s="1"/>
      <c r="X310" s="1"/>
      <c r="Y310" s="1"/>
      <c r="Z310" s="1"/>
    </row>
    <row r="311" spans="1:26" ht="15.75" customHeight="1" x14ac:dyDescent="0.25">
      <c r="A311" s="6" t="s">
        <v>5</v>
      </c>
      <c r="B311" s="3" t="s">
        <v>655</v>
      </c>
      <c r="C311" s="3" t="s">
        <v>324</v>
      </c>
      <c r="D311" s="3" t="str">
        <f ca="1">IFERROR(__xludf.DUMMYFUNCTION("GOOGLETRANSLATE(C311,""ES"",""EN"")"),"FINANCING \ Result \ voltage between models in practice")</f>
        <v>FINANCING \ Result \ voltage between models in practice</v>
      </c>
      <c r="E311" s="3" t="s">
        <v>671</v>
      </c>
      <c r="F311" s="3" t="str">
        <f ca="1">IFERROR(__xludf.DUMMYFUNCTION("GOOGLETRANSLATE(E311,""ES"",""EN"")"),"Ueno, also to think how these community mental health center will be financed from here from a clinical opening and also a citizen opening such as. I don't really want to have dependent patients. It is a sign of progress to have to derive it, I am not pun"&amp;"ishing it. It is not a sign of progress or also of healthy delimitation and assistance in the technical limits.")</f>
        <v>Ueno, also to think how these community mental health center will be financed from here from a clinical opening and also a citizen opening such as. I don't really want to have dependent patients. It is a sign of progress to have to derive it, I am not punishing it. It is not a sign of progress or also of healthy delimitation and assistance in the technical limits.</v>
      </c>
      <c r="G311" s="3" t="s">
        <v>672</v>
      </c>
      <c r="H311" s="28">
        <v>0.4984577421344849</v>
      </c>
      <c r="I311" s="3" t="s">
        <v>51</v>
      </c>
      <c r="J311" s="3" t="str">
        <f ca="1">IFERROR(__xludf.DUMMYFUNCTION("GOOGLETRANSLATE(I311,""ES"",""EN"")"),"Negative effect: CSMC financing logics do not stimulate the implementation of the community mental health model.")</f>
        <v>Negative effect: CSMC financing logics do not stimulate the implementation of the community mental health model.</v>
      </c>
      <c r="K311" s="1"/>
      <c r="L311" s="1"/>
      <c r="M311" s="1"/>
      <c r="N311" s="1"/>
      <c r="O311" s="1"/>
      <c r="P311" s="1"/>
      <c r="Q311" s="1"/>
      <c r="R311" s="1"/>
      <c r="S311" s="1"/>
      <c r="T311" s="1"/>
      <c r="U311" s="1"/>
      <c r="V311" s="1"/>
      <c r="W311" s="1"/>
      <c r="X311" s="1"/>
      <c r="Y311" s="1"/>
      <c r="Z311" s="1"/>
    </row>
    <row r="312" spans="1:26" ht="15.75" customHeight="1" x14ac:dyDescent="0.25">
      <c r="A312" s="6" t="s">
        <v>5</v>
      </c>
      <c r="B312" s="3" t="s">
        <v>655</v>
      </c>
      <c r="C312" s="3" t="s">
        <v>324</v>
      </c>
      <c r="D312" s="3" t="str">
        <f ca="1">IFERROR(__xludf.DUMMYFUNCTION("GOOGLETRANSLATE(C312,""ES"",""EN"")"),"FINANCING \ Result \ voltage between models in practice")</f>
        <v>FINANCING \ Result \ voltage between models in practice</v>
      </c>
      <c r="E312" s="3" t="s">
        <v>673</v>
      </c>
      <c r="F312" s="3" t="str">
        <f ca="1">IFERROR(__xludf.DUMMYFUNCTION("GOOGLETRANSLATE(E312,""ES"",""EN"")"),"Ero in this system that is not just going to attend to me, I have a medical time as our dear says, I have a medical time is happy because the A, the psychiatrist serves him for a little while, that is, he goes to the house well to both Months looking for "&amp;"the remedies of what we are financing, that we are encouraging and in particular that we are discouraging.")</f>
        <v>Ero in this system that is not just going to attend to me, I have a medical time as our dear says, I have a medical time is happy because the A, the psychiatrist serves him for a little while, that is, he goes to the house well to both Months looking for the remedies of what we are financing, that we are encouraging and in particular that we are discouraging.</v>
      </c>
      <c r="G312" s="3" t="s">
        <v>674</v>
      </c>
      <c r="H312" s="28">
        <v>0.42813078346699573</v>
      </c>
      <c r="I312" s="3" t="s">
        <v>51</v>
      </c>
      <c r="J312" s="3" t="str">
        <f ca="1">IFERROR(__xludf.DUMMYFUNCTION("GOOGLETRANSLATE(I312,""ES"",""EN"")"),"Negative effect: CSMC financing logics do not stimulate the implementation of the community mental health model.")</f>
        <v>Negative effect: CSMC financing logics do not stimulate the implementation of the community mental health model.</v>
      </c>
      <c r="K312" s="1"/>
      <c r="L312" s="1"/>
      <c r="M312" s="1"/>
      <c r="N312" s="1"/>
      <c r="O312" s="1"/>
      <c r="P312" s="1"/>
      <c r="Q312" s="1"/>
      <c r="R312" s="1"/>
      <c r="S312" s="1"/>
      <c r="T312" s="1"/>
      <c r="U312" s="1"/>
      <c r="V312" s="1"/>
      <c r="W312" s="1"/>
      <c r="X312" s="1"/>
      <c r="Y312" s="1"/>
      <c r="Z312" s="1"/>
    </row>
    <row r="313" spans="1:26" ht="15.75" customHeight="1" x14ac:dyDescent="0.25">
      <c r="A313" s="6" t="s">
        <v>5</v>
      </c>
      <c r="B313" s="3" t="s">
        <v>655</v>
      </c>
      <c r="C313" s="3" t="s">
        <v>324</v>
      </c>
      <c r="D313" s="3" t="str">
        <f ca="1">IFERROR(__xludf.DUMMYFUNCTION("GOOGLETRANSLATE(C313,""ES"",""EN"")"),"FINANCING \ Result \ voltage between models in practice")</f>
        <v>FINANCING \ Result \ voltage between models in practice</v>
      </c>
      <c r="E313" s="3" t="s">
        <v>675</v>
      </c>
      <c r="F313" s="3" t="str">
        <f ca="1">IFERROR(__xludf.DUMMYFUNCTION("GOOGLETRANSLATE(E313,""ES"",""EN"")"),"So what is being etened by health and what is being financed, that is being encouraged and what have we stopped seeing? We have to understand that when one finances something, he is not only financing as a product, not as he does not know, the moment and "&amp;"space in which a psychiatrist serves you, a doctor serves you, but rather we are generating or trying to manage a change in society. No, that is a mental and community health center. It is a kind of last chance for excluded.")</f>
        <v>So what is being etened by health and what is being financed, that is being encouraged and what have we stopped seeing? We have to understand that when one finances something, he is not only financing as a product, not as he does not know, the moment and space in which a psychiatrist serves you, a doctor serves you, but rather we are generating or trying to manage a change in society. No, that is a mental and community health center. It is a kind of last chance for excluded.</v>
      </c>
      <c r="G313" s="3" t="s">
        <v>295</v>
      </c>
      <c r="H313" s="28">
        <v>0.61937075879086978</v>
      </c>
      <c r="I313" s="3" t="s">
        <v>51</v>
      </c>
      <c r="J313" s="3" t="str">
        <f ca="1">IFERROR(__xludf.DUMMYFUNCTION("GOOGLETRANSLATE(I313,""ES"",""EN"")"),"Negative effect: CSMC financing logics do not stimulate the implementation of the community mental health model.")</f>
        <v>Negative effect: CSMC financing logics do not stimulate the implementation of the community mental health model.</v>
      </c>
      <c r="K313" s="1"/>
      <c r="L313" s="1"/>
      <c r="M313" s="1"/>
      <c r="N313" s="1"/>
      <c r="O313" s="1"/>
      <c r="P313" s="1"/>
      <c r="Q313" s="1"/>
      <c r="R313" s="1"/>
      <c r="S313" s="1"/>
      <c r="T313" s="1"/>
      <c r="U313" s="1"/>
      <c r="V313" s="1"/>
      <c r="W313" s="1"/>
      <c r="X313" s="1"/>
      <c r="Y313" s="1"/>
      <c r="Z313" s="1"/>
    </row>
    <row r="314" spans="1:26" ht="15.75" customHeight="1" x14ac:dyDescent="0.25">
      <c r="A314" s="11" t="s">
        <v>5</v>
      </c>
      <c r="B314" s="3" t="s">
        <v>321</v>
      </c>
      <c r="C314" s="3" t="s">
        <v>340</v>
      </c>
      <c r="D314" s="3" t="str">
        <f ca="1">IFERROR(__xludf.DUMMYFUNCTION("GOOGLETRANSLATE(C314,""ES"",""EN"")"),"Benefits \ Result \ Chronification of patients")</f>
        <v>Benefits \ Result \ Chronification of patients</v>
      </c>
      <c r="E314" s="3" t="s">
        <v>676</v>
      </c>
      <c r="F314" s="3" t="str">
        <f ca="1">IFERROR(__xludf.DUMMYFUNCTION("GOOGLETRANSLATE(E314,""ES"",""EN"")"),"There are patients who are going to make real estate, patients, if there is. We will not always have. In fact I reviewed some old photos, there is a patient who has been who has been more than ten years. They are foundational stones. And yes, it can be. I"&amp;" don't say I'm not against that. But they must be exceptions.")</f>
        <v>There are patients who are going to make real estate, patients, if there is. We will not always have. In fact I reviewed some old photos, there is a patient who has been who has been more than ten years. They are foundational stones. And yes, it can be. I don't say I'm not against that. But they must be exceptions.</v>
      </c>
      <c r="G314" s="3" t="s">
        <v>461</v>
      </c>
      <c r="H314" s="28">
        <v>0.35040098704503392</v>
      </c>
      <c r="I314" s="3" t="s">
        <v>342</v>
      </c>
      <c r="J314" s="3" t="str">
        <f ca="1">IFERROR(__xludf.DUMMYFUNCTION("GOOGLETRANSLATE(I314,""ES"",""EN"")"),"Negative effects: chronification of people served")</f>
        <v>Negative effects: chronification of people served</v>
      </c>
      <c r="K314" s="1"/>
      <c r="L314" s="1"/>
      <c r="M314" s="1"/>
      <c r="N314" s="1"/>
      <c r="O314" s="1"/>
      <c r="P314" s="1"/>
      <c r="Q314" s="1"/>
      <c r="R314" s="1"/>
      <c r="S314" s="1"/>
      <c r="T314" s="1"/>
      <c r="U314" s="1"/>
      <c r="V314" s="1"/>
      <c r="W314" s="1"/>
      <c r="X314" s="1"/>
      <c r="Y314" s="1"/>
      <c r="Z314" s="1"/>
    </row>
    <row r="315" spans="1:26" ht="15.75" customHeight="1" x14ac:dyDescent="0.25">
      <c r="A315" s="6" t="s">
        <v>5</v>
      </c>
      <c r="B315" s="3" t="s">
        <v>655</v>
      </c>
      <c r="C315" s="3" t="s">
        <v>12</v>
      </c>
      <c r="D315" s="3" t="str">
        <f ca="1">IFERROR(__xludf.DUMMYFUNCTION("GOOGLETRANSLATE(C315,""ES"",""EN"")"),"FINANCING \ Result \ Bad quality of care")</f>
        <v>FINANCING \ Result \ Bad quality of care</v>
      </c>
      <c r="E315" s="3" t="s">
        <v>677</v>
      </c>
      <c r="F315" s="3" t="str">
        <f ca="1">IFERROR(__xludf.DUMMYFUNCTION("GOOGLETRANSLATE(E315,""ES"",""EN"")"),"A financing system that only promotes attention. Intra mural at certain times, with some maximum frequency, is of lower quality.")</f>
        <v>A financing system that only promotes attention. Intra mural at certain times, with some maximum frequency, is of lower quality.</v>
      </c>
      <c r="G315" s="3" t="s">
        <v>678</v>
      </c>
      <c r="H315" s="28">
        <v>0.17643429981492906</v>
      </c>
      <c r="I315" s="3" t="s">
        <v>15</v>
      </c>
      <c r="J315" s="3" t="str">
        <f ca="1">IFERROR(__xludf.DUMMYFUNCTION("GOOGLETRANSLATE(I315,""ES"",""EN"")"),"Negative effect: financing mechanisms end up generating problems to CSMC.")</f>
        <v>Negative effect: financing mechanisms end up generating problems to CSMC.</v>
      </c>
      <c r="K315" s="1"/>
      <c r="L315" s="1"/>
      <c r="M315" s="1"/>
      <c r="N315" s="1"/>
      <c r="O315" s="1"/>
      <c r="P315" s="1"/>
      <c r="Q315" s="1"/>
      <c r="R315" s="1"/>
      <c r="S315" s="1"/>
      <c r="T315" s="1"/>
      <c r="U315" s="1"/>
      <c r="V315" s="1"/>
      <c r="W315" s="1"/>
      <c r="X315" s="1"/>
      <c r="Y315" s="1"/>
      <c r="Z315" s="1"/>
    </row>
    <row r="316" spans="1:26" ht="15.75" customHeight="1" x14ac:dyDescent="0.25">
      <c r="A316" s="6" t="s">
        <v>5</v>
      </c>
      <c r="B316" s="3" t="s">
        <v>655</v>
      </c>
      <c r="C316" s="3" t="s">
        <v>12</v>
      </c>
      <c r="D316" s="3" t="str">
        <f ca="1">IFERROR(__xludf.DUMMYFUNCTION("GOOGLETRANSLATE(C316,""ES"",""EN"")"),"FINANCING \ Result \ Bad quality of care")</f>
        <v>FINANCING \ Result \ Bad quality of care</v>
      </c>
      <c r="E316" s="3" t="s">
        <v>679</v>
      </c>
      <c r="F316" s="3" t="str">
        <f ca="1">IFERROR(__xludf.DUMMYFUNCTION("GOOGLETRANSLATE(E316,""ES"",""EN"")"),"What is the quality of care? I am from a school where the quality of care is put in itself and you are able to connect in a transfersion space where pain appears, suffering that is what he undertakes and being able to make some processing of that for me a"&amp;" QUALITY RELATIONSHIP. If I give it a drug or a advice or an interpretation, it is because in that space, unique and unrepeatable context, it is not what from my technical training I consider the most relevant as well.")</f>
        <v>What is the quality of care? I am from a school where the quality of care is put in itself and you are able to connect in a transfersion space where pain appears, suffering that is what he undertakes and being able to make some processing of that for me a QUALITY RELATIONSHIP. If I give it a drug or a advice or an interpretation, it is because in that space, unique and unrepeatable context, it is not what from my technical training I consider the most relevant as well.</v>
      </c>
      <c r="G316" s="3" t="s">
        <v>295</v>
      </c>
      <c r="H316" s="28">
        <v>0.61937075879086978</v>
      </c>
      <c r="I316" s="3" t="s">
        <v>15</v>
      </c>
      <c r="J316" s="3" t="str">
        <f ca="1">IFERROR(__xludf.DUMMYFUNCTION("GOOGLETRANSLATE(I316,""ES"",""EN"")"),"Negative effect: financing mechanisms end up generating problems to CSMC.")</f>
        <v>Negative effect: financing mechanisms end up generating problems to CSMC.</v>
      </c>
      <c r="K316" s="1"/>
      <c r="L316" s="1"/>
      <c r="M316" s="1"/>
      <c r="N316" s="1"/>
      <c r="O316" s="1"/>
      <c r="P316" s="1"/>
      <c r="Q316" s="1"/>
      <c r="R316" s="1"/>
      <c r="S316" s="1"/>
      <c r="T316" s="1"/>
      <c r="U316" s="1"/>
      <c r="V316" s="1"/>
      <c r="W316" s="1"/>
      <c r="X316" s="1"/>
      <c r="Y316" s="1"/>
      <c r="Z316" s="1"/>
    </row>
    <row r="317" spans="1:26" ht="15.75" customHeight="1" x14ac:dyDescent="0.25">
      <c r="A317" s="10" t="s">
        <v>5</v>
      </c>
      <c r="B317" s="3" t="s">
        <v>655</v>
      </c>
      <c r="C317" s="3" t="s">
        <v>110</v>
      </c>
      <c r="D317" s="3" t="str">
        <f ca="1">IFERROR(__xludf.DUMMYFUNCTION("GOOGLETRANSLATE(C317,""ES"",""EN"")"),"Information \ Result \ Bad quality of clinical registration")</f>
        <v>Information \ Result \ Bad quality of clinical registration</v>
      </c>
      <c r="E317" s="3" t="s">
        <v>680</v>
      </c>
      <c r="F317" s="3" t="str">
        <f ca="1">IFERROR(__xludf.DUMMYFUNCTION("GOOGLETRANSLATE(E317,""ES"",""EN"")"),"Is there also a constraint for paying the professional? That is complex when this has to register everything and in real time and there is no time to do it after we look for adjustments and then edit the file.")</f>
        <v>Is there also a constraint for paying the professional? That is complex when this has to register everything and in real time and there is no time to do it after we look for adjustments and then edit the file.</v>
      </c>
      <c r="G317" s="3" t="s">
        <v>681</v>
      </c>
      <c r="H317" s="28">
        <v>0.30598396051819865</v>
      </c>
      <c r="I317" s="3" t="s">
        <v>113</v>
      </c>
      <c r="J317" s="3" t="str">
        <f ca="1">IFERROR(__xludf.DUMMYFUNCTION("GOOGLETRANSLATE(I317,""ES"",""EN"")"),"Negative effect: poor quality of the clinical registration.")</f>
        <v>Negative effect: poor quality of the clinical registration.</v>
      </c>
      <c r="K317" s="1"/>
      <c r="L317" s="1"/>
      <c r="M317" s="1"/>
      <c r="N317" s="1"/>
      <c r="O317" s="1"/>
      <c r="P317" s="1"/>
      <c r="Q317" s="1"/>
      <c r="R317" s="1"/>
      <c r="S317" s="1"/>
      <c r="T317" s="1"/>
      <c r="U317" s="1"/>
      <c r="V317" s="1"/>
      <c r="W317" s="1"/>
      <c r="X317" s="1"/>
      <c r="Y317" s="1"/>
      <c r="Z317" s="1"/>
    </row>
    <row r="318" spans="1:26" ht="15.75" customHeight="1" x14ac:dyDescent="0.25">
      <c r="A318" s="10" t="s">
        <v>5</v>
      </c>
      <c r="B318" s="3" t="s">
        <v>655</v>
      </c>
      <c r="C318" s="3" t="s">
        <v>110</v>
      </c>
      <c r="D318" s="3" t="str">
        <f ca="1">IFERROR(__xludf.DUMMYFUNCTION("GOOGLETRANSLATE(C318,""ES"",""EN"")"),"Information \ Result \ Bad quality of clinical registration")</f>
        <v>Information \ Result \ Bad quality of clinical registration</v>
      </c>
      <c r="E318" s="3" t="s">
        <v>682</v>
      </c>
      <c r="F318" s="3" t="str">
        <f ca="1">IFERROR(__xludf.DUMMYFUNCTION("GOOGLETRANSLATE(E318,""ES"",""EN"")"),"The registration is poor, but the Tavor registration was the best session than that that professional and that patient could have. Maybe it was the final session and the lousy registration.")</f>
        <v>The registration is poor, but the Tavor registration was the best session than that that professional and that patient could have. Maybe it was the final session and the lousy registration.</v>
      </c>
      <c r="G318" s="3" t="s">
        <v>537</v>
      </c>
      <c r="H318" s="28">
        <v>0.22578655151141272</v>
      </c>
      <c r="I318" s="3" t="s">
        <v>113</v>
      </c>
      <c r="J318" s="3" t="str">
        <f ca="1">IFERROR(__xludf.DUMMYFUNCTION("GOOGLETRANSLATE(I318,""ES"",""EN"")"),"Negative effect: poor quality of the clinical registration.")</f>
        <v>Negative effect: poor quality of the clinical registration.</v>
      </c>
      <c r="K318" s="1"/>
      <c r="L318" s="1"/>
      <c r="M318" s="1"/>
      <c r="N318" s="1"/>
      <c r="O318" s="1"/>
      <c r="P318" s="1"/>
      <c r="Q318" s="1"/>
      <c r="R318" s="1"/>
      <c r="S318" s="1"/>
      <c r="T318" s="1"/>
      <c r="U318" s="1"/>
      <c r="V318" s="1"/>
      <c r="W318" s="1"/>
      <c r="X318" s="1"/>
      <c r="Y318" s="1"/>
      <c r="Z318" s="1"/>
    </row>
    <row r="319" spans="1:26" ht="15.75" customHeight="1" x14ac:dyDescent="0.25">
      <c r="A319" s="10" t="s">
        <v>5</v>
      </c>
      <c r="B319" s="3" t="s">
        <v>655</v>
      </c>
      <c r="C319" s="3" t="s">
        <v>683</v>
      </c>
      <c r="D319" s="3" t="str">
        <f ca="1">IFERROR(__xludf.DUMMYFUNCTION("GOOGLETRANSLATE(C319,""ES"",""EN"")"),"INFORMATION \ Result \ Importance of the Registry")</f>
        <v>INFORMATION \ Result \ Importance of the Registry</v>
      </c>
      <c r="E319" s="3" t="s">
        <v>684</v>
      </c>
      <c r="F319" s="3" t="str">
        <f ca="1">IFERROR(__xludf.DUMMYFUNCTION("GOOGLETRANSLATE(E319,""ES"",""EN"")"),"I think that this financing system has encouraged something important, which is to be able to quantify what is done, which is also costs us a lot, right? That suddenly a coffee, one has a wonderful conversation, but there is no record anywhere. We don't c"&amp;"are a little.")</f>
        <v>I think that this financing system has encouraged something important, which is to be able to quantify what is done, which is also costs us a lot, right? That suddenly a coffee, one has a wonderful conversation, but there is no record anywhere. We don't care a little.</v>
      </c>
      <c r="G319" s="3" t="s">
        <v>498</v>
      </c>
      <c r="H319" s="28">
        <v>0.36150524367674275</v>
      </c>
      <c r="I319" s="3" t="s">
        <v>685</v>
      </c>
      <c r="J319" s="3" t="str">
        <f ca="1">IFERROR(__xludf.DUMMYFUNCTION("GOOGLETRANSLATE(I319,""ES"",""EN"")"),"Positive effect: Importance of registration")</f>
        <v>Positive effect: Importance of registration</v>
      </c>
      <c r="K319" s="1"/>
      <c r="L319" s="1"/>
      <c r="M319" s="1"/>
      <c r="N319" s="1"/>
      <c r="O319" s="1"/>
      <c r="P319" s="1"/>
      <c r="Q319" s="1"/>
      <c r="R319" s="1"/>
      <c r="S319" s="1"/>
      <c r="T319" s="1"/>
      <c r="U319" s="1"/>
      <c r="V319" s="1"/>
      <c r="W319" s="1"/>
      <c r="X319" s="1"/>
      <c r="Y319" s="1"/>
      <c r="Z319" s="1"/>
    </row>
    <row r="320" spans="1:26" ht="15.75" customHeight="1" x14ac:dyDescent="0.25">
      <c r="A320" s="10" t="s">
        <v>5</v>
      </c>
      <c r="B320" s="3" t="s">
        <v>655</v>
      </c>
      <c r="C320" s="3" t="s">
        <v>110</v>
      </c>
      <c r="D320" s="3" t="str">
        <f ca="1">IFERROR(__xludf.DUMMYFUNCTION("GOOGLETRANSLATE(C320,""ES"",""EN"")"),"Information \ Result \ Bad quality of clinical registration")</f>
        <v>Information \ Result \ Bad quality of clinical registration</v>
      </c>
      <c r="E320" s="3" t="s">
        <v>684</v>
      </c>
      <c r="F320" s="3" t="str">
        <f ca="1">IFERROR(__xludf.DUMMYFUNCTION("GOOGLETRANSLATE(E320,""ES"",""EN"")"),"I think that this financing system has encouraged something important, which is to be able to quantify what is done, which is also costs us a lot, right? That suddenly a coffee, one has a wonderful conversation, but there is no record anywhere. We don't c"&amp;"are a little.")</f>
        <v>I think that this financing system has encouraged something important, which is to be able to quantify what is done, which is also costs us a lot, right? That suddenly a coffee, one has a wonderful conversation, but there is no record anywhere. We don't care a little.</v>
      </c>
      <c r="G320" s="3" t="s">
        <v>498</v>
      </c>
      <c r="H320" s="28">
        <v>0.36150524367674275</v>
      </c>
      <c r="I320" s="3" t="s">
        <v>113</v>
      </c>
      <c r="J320" s="3" t="str">
        <f ca="1">IFERROR(__xludf.DUMMYFUNCTION("GOOGLETRANSLATE(I320,""ES"",""EN"")"),"Negative effect: poor quality of the clinical registration.")</f>
        <v>Negative effect: poor quality of the clinical registration.</v>
      </c>
      <c r="K320" s="1"/>
      <c r="L320" s="1"/>
      <c r="M320" s="1"/>
      <c r="N320" s="1"/>
      <c r="O320" s="1"/>
      <c r="P320" s="1"/>
      <c r="Q320" s="1"/>
      <c r="R320" s="1"/>
      <c r="S320" s="1"/>
      <c r="T320" s="1"/>
      <c r="U320" s="1"/>
      <c r="V320" s="1"/>
      <c r="W320" s="1"/>
      <c r="X320" s="1"/>
      <c r="Y320" s="1"/>
      <c r="Z320" s="1"/>
    </row>
    <row r="321" spans="1:26" ht="15.75" customHeight="1" x14ac:dyDescent="0.25">
      <c r="A321" s="10" t="s">
        <v>5</v>
      </c>
      <c r="B321" s="3" t="s">
        <v>655</v>
      </c>
      <c r="C321" s="3" t="s">
        <v>683</v>
      </c>
      <c r="D321" s="3" t="str">
        <f ca="1">IFERROR(__xludf.DUMMYFUNCTION("GOOGLETRANSLATE(C321,""ES"",""EN"")"),"INFORMATION \ Result \ Importance of the Registry")</f>
        <v>INFORMATION \ Result \ Importance of the Registry</v>
      </c>
      <c r="E321" s="3" t="s">
        <v>686</v>
      </c>
      <c r="F321" s="3" t="str">
        <f ca="1">IFERROR(__xludf.DUMMYFUNCTION("GOOGLETRANSLATE(E321,""ES"",""EN"")"),"We have learned that this has not to be able to generate politics, in order to generate financing. If you have to care if you have to find a form and we must also have an uncompromising position from the other side. We also see and I, for example, see and"&amp;" value and promote the proper record, the appropriate closing of the file.")</f>
        <v>We have learned that this has not to be able to generate politics, in order to generate financing. If you have to care if you have to find a form and we must also have an uncompromising position from the other side. We also see and I, for example, see and value and promote the proper record, the appropriate closing of the file.</v>
      </c>
      <c r="G321" s="3" t="s">
        <v>687</v>
      </c>
      <c r="H321" s="28">
        <v>0.41826033312769895</v>
      </c>
      <c r="I321" s="3" t="s">
        <v>685</v>
      </c>
      <c r="J321" s="3" t="str">
        <f ca="1">IFERROR(__xludf.DUMMYFUNCTION("GOOGLETRANSLATE(I321,""ES"",""EN"")"),"Positive effect: Importance of registration")</f>
        <v>Positive effect: Importance of registration</v>
      </c>
      <c r="K321" s="1"/>
      <c r="L321" s="1"/>
      <c r="M321" s="1"/>
      <c r="N321" s="1"/>
      <c r="O321" s="1"/>
      <c r="P321" s="1"/>
      <c r="Q321" s="1"/>
      <c r="R321" s="1"/>
      <c r="S321" s="1"/>
      <c r="T321" s="1"/>
      <c r="U321" s="1"/>
      <c r="V321" s="1"/>
      <c r="W321" s="1"/>
      <c r="X321" s="1"/>
      <c r="Y321" s="1"/>
      <c r="Z321" s="1"/>
    </row>
    <row r="322" spans="1:26" ht="15.75" customHeight="1" x14ac:dyDescent="0.25">
      <c r="A322" s="11" t="s">
        <v>5</v>
      </c>
      <c r="B322" s="3" t="s">
        <v>655</v>
      </c>
      <c r="C322" s="3" t="s">
        <v>688</v>
      </c>
      <c r="D322" s="3" t="str">
        <f ca="1">IFERROR(__xludf.DUMMYFUNCTION("GOOGLETRANSLATE(C322,""ES"",""EN"")"),"Benefits \ Result \ Centered in Diagnose")</f>
        <v>Benefits \ Result \ Centered in Diagnose</v>
      </c>
      <c r="E322" s="3" t="s">
        <v>689</v>
      </c>
      <c r="F322" s="3" t="str">
        <f ca="1">IFERROR(__xludf.DUMMYFUNCTION("GOOGLETRANSLATE(E322,""ES"",""EN"")"),"We have refined the eye in such a way that we are very good as now diagnosed, not necessarily good treating. He. I think it has been encouraged very and that is good. An early diagnosis has been encouraged. That is very important, especially in schizophre"&amp;"nia, first outbreak and throughout the rest of mental illness. What a wonder that will no longer take you. How many years imposing, buying. To know what I have, which is already an advance. But. But I insist, it is an advance that. That has a very importa"&amp;"nt place, but not enough. What happens later? How do we continue?")</f>
        <v>We have refined the eye in such a way that we are very good as now diagnosed, not necessarily good treating. He. I think it has been encouraged very and that is good. An early diagnosis has been encouraged. That is very important, especially in schizophrenia, first outbreak and throughout the rest of mental illness. What a wonder that will no longer take you. How many years imposing, buying. To know what I have, which is already an advance. But. But I insist, it is an advance that. That has a very important place, but not enough. What happens later? How do we continue?</v>
      </c>
      <c r="G322" s="3" t="s">
        <v>690</v>
      </c>
      <c r="H322" s="28">
        <v>0.69586674892041955</v>
      </c>
      <c r="I322" s="3" t="s">
        <v>278</v>
      </c>
      <c r="J322" s="3" t="str">
        <f ca="1">IFERROR(__xludf.DUMMYFUNCTION("GOOGLETRANSLATE(I322,""ES"",""EN"")"),"Negative effects: centered on diagnose")</f>
        <v>Negative effects: centered on diagnose</v>
      </c>
      <c r="K322" s="1"/>
      <c r="L322" s="1"/>
      <c r="M322" s="1"/>
      <c r="N322" s="1"/>
      <c r="O322" s="1"/>
      <c r="P322" s="1"/>
      <c r="Q322" s="1"/>
      <c r="R322" s="1"/>
      <c r="S322" s="1"/>
      <c r="T322" s="1"/>
      <c r="U322" s="1"/>
      <c r="V322" s="1"/>
      <c r="W322" s="1"/>
      <c r="X322" s="1"/>
      <c r="Y322" s="1"/>
      <c r="Z322" s="1"/>
    </row>
    <row r="323" spans="1:26" ht="15.75" customHeight="1" x14ac:dyDescent="0.25">
      <c r="A323" s="11" t="s">
        <v>5</v>
      </c>
      <c r="B323" s="3" t="s">
        <v>655</v>
      </c>
      <c r="C323" s="3" t="s">
        <v>688</v>
      </c>
      <c r="D323" s="3" t="str">
        <f ca="1">IFERROR(__xludf.DUMMYFUNCTION("GOOGLETRANSLATE(C323,""ES"",""EN"")"),"Benefits \ Result \ Centered in Diagnose")</f>
        <v>Benefits \ Result \ Centered in Diagnose</v>
      </c>
      <c r="E323" s="3" t="s">
        <v>691</v>
      </c>
      <c r="F323" s="3" t="str">
        <f ca="1">IFERROR(__xludf.DUMMYFUNCTION("GOOGLETRANSLATE(E323,""ES"",""EN"")"),"Then we advance in an early diagnosis that is wonderful wonder and advance. But in the treatment I don't know, I think we stayed. I think we reduced it to that eagerness, as a prize also of a standard sanitary logic")</f>
        <v>Then we advance in an early diagnosis that is wonderful wonder and advance. But in the treatment I don't know, I think we stayed. I think we reduced it to that eagerness, as a prize also of a standard sanitary logic</v>
      </c>
      <c r="G323" s="3" t="s">
        <v>125</v>
      </c>
      <c r="H323" s="28">
        <v>0.28500925354719309</v>
      </c>
      <c r="I323" s="3" t="s">
        <v>278</v>
      </c>
      <c r="J323" s="3" t="str">
        <f ca="1">IFERROR(__xludf.DUMMYFUNCTION("GOOGLETRANSLATE(I323,""ES"",""EN"")"),"Negative effects: centered on diagnose")</f>
        <v>Negative effects: centered on diagnose</v>
      </c>
      <c r="K323" s="1"/>
      <c r="L323" s="1"/>
      <c r="M323" s="1"/>
      <c r="N323" s="1"/>
      <c r="O323" s="1"/>
      <c r="P323" s="1"/>
      <c r="Q323" s="1"/>
      <c r="R323" s="1"/>
      <c r="S323" s="1"/>
      <c r="T323" s="1"/>
      <c r="U323" s="1"/>
      <c r="V323" s="1"/>
      <c r="W323" s="1"/>
      <c r="X323" s="1"/>
      <c r="Y323" s="1"/>
      <c r="Z323" s="1"/>
    </row>
    <row r="324" spans="1:26" ht="15.75" customHeight="1" x14ac:dyDescent="0.25">
      <c r="A324" s="11" t="s">
        <v>5</v>
      </c>
      <c r="B324" s="3" t="s">
        <v>655</v>
      </c>
      <c r="C324" s="3" t="s">
        <v>586</v>
      </c>
      <c r="D324" s="3" t="str">
        <f ca="1">IFERROR(__xludf.DUMMYFUNCTION("GOOGLETRANSLATE(C324,""ES"",""EN"")"),"Benefits \ Result \ Induced Diagnosis")</f>
        <v>Benefits \ Result \ Induced Diagnosis</v>
      </c>
      <c r="E324" s="3" t="s">
        <v>692</v>
      </c>
      <c r="F324" s="3" t="str">
        <f ca="1">IFERROR(__xludf.DUMMYFUNCTION("GOOGLETRANSLATE(E324,""ES"",""EN"")"),"Then, the assessment of a patient who makes a foreign doctor regarding a local or province regarding suffering. There is some agreement, but also then one says, look, stay with a diagnosis and put it on. Try to put it in one inside that box because they a"&amp;"re the ones who pay you.")</f>
        <v>Then, the assessment of a patient who makes a foreign doctor regarding a local or province regarding suffering. There is some agreement, but also then one says, look, stay with a diagnosis and put it on. Try to put it in one inside that box because they are the ones who pay you.</v>
      </c>
      <c r="G324" s="3" t="s">
        <v>355</v>
      </c>
      <c r="H324" s="28">
        <v>0.37260950030845158</v>
      </c>
      <c r="I324" s="3" t="s">
        <v>278</v>
      </c>
      <c r="J324" s="3" t="str">
        <f ca="1">IFERROR(__xludf.DUMMYFUNCTION("GOOGLETRANSLATE(I324,""ES"",""EN"")"),"Negative effects: centered on diagnose")</f>
        <v>Negative effects: centered on diagnose</v>
      </c>
      <c r="K324" s="1"/>
      <c r="L324" s="1"/>
      <c r="M324" s="1"/>
      <c r="N324" s="1"/>
      <c r="O324" s="1"/>
      <c r="P324" s="1"/>
      <c r="Q324" s="1"/>
      <c r="R324" s="1"/>
      <c r="S324" s="1"/>
      <c r="T324" s="1"/>
      <c r="U324" s="1"/>
      <c r="V324" s="1"/>
      <c r="W324" s="1"/>
      <c r="X324" s="1"/>
      <c r="Y324" s="1"/>
      <c r="Z324" s="1"/>
    </row>
    <row r="325" spans="1:26" ht="15.75" customHeight="1" x14ac:dyDescent="0.25">
      <c r="A325" s="6" t="s">
        <v>5</v>
      </c>
      <c r="B325" s="3" t="s">
        <v>655</v>
      </c>
      <c r="C325" s="3" t="s">
        <v>12</v>
      </c>
      <c r="D325" s="3" t="str">
        <f ca="1">IFERROR(__xludf.DUMMYFUNCTION("GOOGLETRANSLATE(C325,""ES"",""EN"")"),"FINANCING \ Result \ Bad quality of care")</f>
        <v>FINANCING \ Result \ Bad quality of care</v>
      </c>
      <c r="E325" s="3" t="s">
        <v>693</v>
      </c>
      <c r="F325" s="3" t="str">
        <f ca="1">IFERROR(__xludf.DUMMYFUNCTION("GOOGLETRANSLATE(E325,""ES"",""EN"")"),"I think there is in Chile a species like fantasy, quality, that at times it becomes a little funny and a little with a melt. When one believes that everything has to be parameterizing on a certain scale, in a certain record and gives little space to the c"&amp;"linic crafts. The clinic will not be able to solve an algorithm? I don't know, but fulfilling the minimums then also of super important, right? But, but, but, but it has to be able to attend its limit at some point. And the system that finances them also "&amp;"has to understand. No, look, let's put certain ranges, but inside it has to happen the clinic and the clinic is something that I think escapes and that I think it will always need to escape from that metric apprehension, right?")</f>
        <v>I think there is in Chile a species like fantasy, quality, that at times it becomes a little funny and a little with a melt. When one believes that everything has to be parameterizing on a certain scale, in a certain record and gives little space to the clinic crafts. The clinic will not be able to solve an algorithm? I don't know, but fulfilling the minimums then also of super important, right? But, but, but, but it has to be able to attend its limit at some point. And the system that finances them also has to understand. No, look, let's put certain ranges, but inside it has to happen the clinic and the clinic is something that I think escapes and that I think it will always need to escape from that metric apprehension, right?</v>
      </c>
      <c r="G325" s="3" t="s">
        <v>453</v>
      </c>
      <c r="H325" s="28">
        <v>0.91054904380012336</v>
      </c>
      <c r="I325" s="3" t="s">
        <v>15</v>
      </c>
      <c r="J325" s="3" t="str">
        <f ca="1">IFERROR(__xludf.DUMMYFUNCTION("GOOGLETRANSLATE(I325,""ES"",""EN"")"),"Negative effect: financing mechanisms end up generating problems to CSMC.")</f>
        <v>Negative effect: financing mechanisms end up generating problems to CSMC.</v>
      </c>
      <c r="K325" s="1"/>
      <c r="L325" s="1"/>
      <c r="M325" s="1"/>
      <c r="N325" s="1"/>
      <c r="O325" s="1"/>
      <c r="P325" s="1"/>
      <c r="Q325" s="1"/>
      <c r="R325" s="1"/>
      <c r="S325" s="1"/>
      <c r="T325" s="1"/>
      <c r="U325" s="1"/>
      <c r="V325" s="1"/>
      <c r="W325" s="1"/>
      <c r="X325" s="1"/>
      <c r="Y325" s="1"/>
      <c r="Z325" s="1"/>
    </row>
    <row r="326" spans="1:26" ht="15.75" customHeight="1" x14ac:dyDescent="0.25">
      <c r="A326" s="2" t="s">
        <v>5</v>
      </c>
      <c r="B326" s="3" t="s">
        <v>655</v>
      </c>
      <c r="C326" s="3" t="s">
        <v>694</v>
      </c>
      <c r="D326" s="3" t="str">
        <f ca="1">IFERROR(__xludf.DUMMYFUNCTION("GOOGLETRANSLATE(C326,""ES"",""EN"")"),"Human Resources \ Result \ Psychiatrists retention strategies")</f>
        <v>Human Resources \ Result \ Psychiatrists retention strategies</v>
      </c>
      <c r="E326" s="3" t="s">
        <v>695</v>
      </c>
      <c r="F326" s="3" t="str">
        <f ca="1">IFERROR(__xludf.DUMMYFUNCTION("GOOGLETRANSLATE(E326,""ES"",""EN"")"),"I have to make a series of seduction strategies that are not financial, I do not climate, I accept benefit. In this commune you naturally have certain attractions, it is not sure. Everything I have told you is safe. It's nice. The center has no bars, they"&amp;" are more or less everything, more or less educated or patient. There are some that do not, but most do. From the elderly he will have his own, but he helps us.")</f>
        <v>I have to make a series of seduction strategies that are not financial, I do not climate, I accept benefit. In this commune you naturally have certain attractions, it is not sure. Everything I have told you is safe. It's nice. The center has no bars, they are more or less everything, more or less educated or patient. There are some that do not, but most do. From the elderly he will have his own, but he helps us.</v>
      </c>
      <c r="G326" s="3" t="s">
        <v>696</v>
      </c>
      <c r="H326" s="28">
        <v>0.47748303516347934</v>
      </c>
      <c r="I326" s="3" t="s">
        <v>21</v>
      </c>
      <c r="J326" s="3" t="str">
        <f ca="1">IFERROR(__xludf.DUMMYFUNCTION("GOOGLETRANSLATE(I326,""ES"",""EN"")"),"Negative effects: high rotation of professionals")</f>
        <v>Negative effects: high rotation of professionals</v>
      </c>
      <c r="K326" s="1"/>
      <c r="L326" s="1"/>
      <c r="M326" s="1"/>
      <c r="N326" s="1"/>
      <c r="O326" s="1"/>
      <c r="P326" s="1"/>
      <c r="Q326" s="1"/>
      <c r="R326" s="1"/>
      <c r="S326" s="1"/>
      <c r="T326" s="1"/>
      <c r="U326" s="1"/>
      <c r="V326" s="1"/>
      <c r="W326" s="1"/>
      <c r="X326" s="1"/>
      <c r="Y326" s="1"/>
      <c r="Z326" s="1"/>
    </row>
    <row r="327" spans="1:26" ht="15.75" customHeight="1" x14ac:dyDescent="0.25">
      <c r="A327" s="2" t="s">
        <v>5</v>
      </c>
      <c r="B327" s="3" t="s">
        <v>655</v>
      </c>
      <c r="C327" s="3" t="s">
        <v>694</v>
      </c>
      <c r="D327" s="3" t="str">
        <f ca="1">IFERROR(__xludf.DUMMYFUNCTION("GOOGLETRANSLATE(C327,""ES"",""EN"")"),"Human Resources \ Result \ Psychiatrists retention strategies")</f>
        <v>Human Resources \ Result \ Psychiatrists retention strategies</v>
      </c>
      <c r="E327" s="3" t="s">
        <v>697</v>
      </c>
      <c r="F327" s="3" t="str">
        <f ca="1">IFERROR(__xludf.DUMMYFUNCTION("GOOGLETRANSLATE(E327,""ES"",""EN"")"),"It has the possibility of having a safer hiring, it has less rotation, less rotation, it is a better quality of care for patients who do not have to be reliving their hardships with different people. There is more continuity. And it also allows, for examp"&amp;"le, here in this commune, we can make an official career. Professionals progress in good and training and salary increases. It's not much. It is still not so competitive. A very good psychiatrist can win two and up to three times more outside than here")</f>
        <v>It has the possibility of having a safer hiring, it has less rotation, less rotation, it is a better quality of care for patients who do not have to be reliving their hardships with different people. There is more continuity. And it also allows, for example, here in this commune, we can make an official career. Professionals progress in good and training and salary increases. It's not much. It is still not so competitive. A very good psychiatrist can win two and up to three times more outside than here</v>
      </c>
      <c r="G327" s="3" t="s">
        <v>97</v>
      </c>
      <c r="H327" s="28">
        <v>0.6637877853177051</v>
      </c>
      <c r="I327" s="3" t="s">
        <v>21</v>
      </c>
      <c r="J327" s="3" t="str">
        <f ca="1">IFERROR(__xludf.DUMMYFUNCTION("GOOGLETRANSLATE(I327,""ES"",""EN"")"),"Negative effects: high rotation of professionals")</f>
        <v>Negative effects: high rotation of professionals</v>
      </c>
      <c r="K327" s="1"/>
      <c r="L327" s="1"/>
      <c r="M327" s="1"/>
      <c r="N327" s="1"/>
      <c r="O327" s="1"/>
      <c r="P327" s="1"/>
      <c r="Q327" s="1"/>
      <c r="R327" s="1"/>
      <c r="S327" s="1"/>
      <c r="T327" s="1"/>
      <c r="U327" s="1"/>
      <c r="V327" s="1"/>
      <c r="W327" s="1"/>
      <c r="X327" s="1"/>
      <c r="Y327" s="1"/>
      <c r="Z327" s="1"/>
    </row>
    <row r="328" spans="1:26" ht="15.75" customHeight="1" x14ac:dyDescent="0.25">
      <c r="A328" s="2" t="s">
        <v>5</v>
      </c>
      <c r="B328" s="3" t="s">
        <v>655</v>
      </c>
      <c r="C328" s="3" t="s">
        <v>694</v>
      </c>
      <c r="D328" s="3" t="str">
        <f ca="1">IFERROR(__xludf.DUMMYFUNCTION("GOOGLETRANSLATE(C328,""ES"",""EN"")"),"Human Resources \ Result \ Psychiatrists retention strategies")</f>
        <v>Human Resources \ Result \ Psychiatrists retention strategies</v>
      </c>
      <c r="E328" s="3" t="s">
        <v>698</v>
      </c>
      <c r="F328" s="3" t="str">
        <f ca="1">IFERROR(__xludf.DUMMYFUNCTION("GOOGLETRANSLATE(E328,""ES"",""EN"")"),"This costs you to have talents and when you do not have talents it is difficult for people to choose you as what they have left, so there is an issue there that is like saying it will only be up to the salary to the professionals. Some of that is, some of"&amp;" that there is, what is the salary that professionals have or to what assignments can contribute or how their production is measured.")</f>
        <v>This costs you to have talents and when you do not have talents it is difficult for people to choose you as what they have left, so there is an issue there that is like saying it will only be up to the salary to the professionals. Some of that is, some of that there is, what is the salary that professionals have or to what assignments can contribute or how their production is measured.</v>
      </c>
      <c r="G328" s="3" t="s">
        <v>547</v>
      </c>
      <c r="H328" s="28">
        <v>0.45157310302282544</v>
      </c>
      <c r="I328" s="3" t="s">
        <v>21</v>
      </c>
      <c r="J328" s="3" t="str">
        <f ca="1">IFERROR(__xludf.DUMMYFUNCTION("GOOGLETRANSLATE(I328,""ES"",""EN"")"),"Negative effects: high rotation of professionals")</f>
        <v>Negative effects: high rotation of professionals</v>
      </c>
      <c r="K328" s="1"/>
      <c r="L328" s="1"/>
      <c r="M328" s="1"/>
      <c r="N328" s="1"/>
      <c r="O328" s="1"/>
      <c r="P328" s="1"/>
      <c r="Q328" s="1"/>
      <c r="R328" s="1"/>
      <c r="S328" s="1"/>
      <c r="T328" s="1"/>
      <c r="U328" s="1"/>
      <c r="V328" s="1"/>
      <c r="W328" s="1"/>
      <c r="X328" s="1"/>
      <c r="Y328" s="1"/>
      <c r="Z328" s="1"/>
    </row>
    <row r="329" spans="1:26" ht="15.75" customHeight="1" x14ac:dyDescent="0.25">
      <c r="A329" s="11" t="s">
        <v>5</v>
      </c>
      <c r="B329" s="3" t="s">
        <v>655</v>
      </c>
      <c r="C329" s="3" t="s">
        <v>688</v>
      </c>
      <c r="D329" s="3" t="str">
        <f ca="1">IFERROR(__xludf.DUMMYFUNCTION("GOOGLETRANSLATE(C329,""ES"",""EN"")"),"Benefits \ Result \ Centered in Diagnose")</f>
        <v>Benefits \ Result \ Centered in Diagnose</v>
      </c>
      <c r="E329" s="3" t="s">
        <v>699</v>
      </c>
      <c r="F329" s="3" t="str">
        <f ca="1">IFERROR(__xludf.DUMMYFUNCTION("GOOGLETRANSLATE(E329,""ES"",""EN"")"),"But I insist, we continue in the logic of continuing with a good diagnosis, but we have not advanced so much in therapy and in the Integral Clinic")</f>
        <v>But I insist, we continue in the logic of continuing with a good diagnosis, but we have not advanced so much in therapy and in the Integral Clinic</v>
      </c>
      <c r="G329" s="3" t="s">
        <v>447</v>
      </c>
      <c r="H329" s="28">
        <v>0.18260333127698952</v>
      </c>
      <c r="I329" s="3" t="s">
        <v>278</v>
      </c>
      <c r="J329" s="3" t="str">
        <f ca="1">IFERROR(__xludf.DUMMYFUNCTION("GOOGLETRANSLATE(I329,""ES"",""EN"")"),"Negative effects: centered on diagnose")</f>
        <v>Negative effects: centered on diagnose</v>
      </c>
      <c r="K329" s="1"/>
      <c r="L329" s="1"/>
      <c r="M329" s="1"/>
      <c r="N329" s="1"/>
      <c r="O329" s="1"/>
      <c r="P329" s="1"/>
      <c r="Q329" s="1"/>
      <c r="R329" s="1"/>
      <c r="S329" s="1"/>
      <c r="T329" s="1"/>
      <c r="U329" s="1"/>
      <c r="V329" s="1"/>
      <c r="W329" s="1"/>
      <c r="X329" s="1"/>
      <c r="Y329" s="1"/>
      <c r="Z329" s="1"/>
    </row>
    <row r="330" spans="1:26" ht="15.75" customHeight="1" x14ac:dyDescent="0.25">
      <c r="A330" s="6" t="s">
        <v>5</v>
      </c>
      <c r="B330" s="3" t="s">
        <v>655</v>
      </c>
      <c r="C330" s="3" t="s">
        <v>324</v>
      </c>
      <c r="D330" s="3" t="str">
        <f ca="1">IFERROR(__xludf.DUMMYFUNCTION("GOOGLETRANSLATE(C330,""ES"",""EN"")"),"FINANCING \ Result \ voltage between models in practice")</f>
        <v>FINANCING \ Result \ voltage between models in practice</v>
      </c>
      <c r="E330" s="3" t="s">
        <v>700</v>
      </c>
      <c r="F330" s="3" t="str">
        <f ca="1">IFERROR(__xludf.DUMMYFUNCTION("GOOGLETRANSLATE(E330,""ES"",""EN"")"),"With this financial food, we will not get anywhere. And that does not go there, we are, we are basically deviating. It does not give the feeling that we were like, as in the mischievous or almost like porfiando the system when we enter this more participa"&amp;"tory, more participatory, deliberative area")</f>
        <v>With this financial food, we will not get anywhere. And that does not go there, we are, we are basically deviating. It does not give the feeling that we were like, as in the mischievous or almost like porfiando the system when we enter this more participatory, more participatory, deliberative area</v>
      </c>
      <c r="G330" s="3" t="s">
        <v>701</v>
      </c>
      <c r="H330" s="28">
        <v>0.39235040098704504</v>
      </c>
      <c r="I330" s="3" t="s">
        <v>51</v>
      </c>
      <c r="J330" s="3" t="str">
        <f ca="1">IFERROR(__xludf.DUMMYFUNCTION("GOOGLETRANSLATE(I330,""ES"",""EN"")"),"Negative effect: CSMC financing logics do not stimulate the implementation of the community mental health model.")</f>
        <v>Negative effect: CSMC financing logics do not stimulate the implementation of the community mental health model.</v>
      </c>
      <c r="K330" s="1"/>
      <c r="L330" s="1"/>
      <c r="M330" s="1"/>
      <c r="N330" s="1"/>
      <c r="O330" s="1"/>
      <c r="P330" s="1"/>
      <c r="Q330" s="1"/>
      <c r="R330" s="1"/>
      <c r="S330" s="1"/>
      <c r="T330" s="1"/>
      <c r="U330" s="1"/>
      <c r="V330" s="1"/>
      <c r="W330" s="1"/>
      <c r="X330" s="1"/>
      <c r="Y330" s="1"/>
      <c r="Z330" s="1"/>
    </row>
    <row r="331" spans="1:26" ht="15.75" customHeight="1" x14ac:dyDescent="0.25">
      <c r="A331" s="2" t="s">
        <v>5</v>
      </c>
      <c r="B331" s="3" t="s">
        <v>655</v>
      </c>
      <c r="C331" s="3" t="s">
        <v>702</v>
      </c>
      <c r="D331" s="3" t="str">
        <f ca="1">IFERROR(__xludf.DUMMYFUNCTION("GOOGLETRANSLATE(C331,""ES"",""EN"")"),"Human Resources \ Result \ Personnel refuses community activities")</f>
        <v>Human Resources \ Result \ Personnel refuses community activities</v>
      </c>
      <c r="E331" s="3" t="s">
        <v>703</v>
      </c>
      <c r="F331" s="3" t="str">
        <f ca="1">IFERROR(__xludf.DUMMYFUNCTION("GOOGLETRANSLATE(E331,""ES"",""EN"")"),"It is also difficult with the professionals themselves, the professionals themselves want, know and are paid for doing certain things, not another.")</f>
        <v>It is also difficult with the professionals themselves, the professionals themselves want, know and are paid for doing certain things, not another.</v>
      </c>
      <c r="G331" s="3" t="s">
        <v>576</v>
      </c>
      <c r="H331" s="28">
        <v>0.17026526835286859</v>
      </c>
      <c r="I331" s="3" t="s">
        <v>10</v>
      </c>
      <c r="J331" s="3" t="str">
        <f ca="1">IFERROR(__xludf.DUMMYFUNCTION("GOOGLETRANSLATE(I331,""ES"",""EN"")"),"Negative effects: staff does not cover the demand for care")</f>
        <v>Negative effects: staff does not cover the demand for care</v>
      </c>
      <c r="K331" s="1"/>
      <c r="L331" s="1"/>
      <c r="M331" s="1"/>
      <c r="N331" s="1"/>
      <c r="O331" s="1"/>
      <c r="P331" s="1"/>
      <c r="Q331" s="1"/>
      <c r="R331" s="1"/>
      <c r="S331" s="1"/>
      <c r="T331" s="1"/>
      <c r="U331" s="1"/>
      <c r="V331" s="1"/>
      <c r="W331" s="1"/>
      <c r="X331" s="1"/>
      <c r="Y331" s="1"/>
      <c r="Z331" s="1"/>
    </row>
    <row r="332" spans="1:26" ht="15.75" customHeight="1" x14ac:dyDescent="0.25">
      <c r="A332" s="2" t="s">
        <v>5</v>
      </c>
      <c r="B332" s="3" t="s">
        <v>655</v>
      </c>
      <c r="C332" s="3" t="s">
        <v>702</v>
      </c>
      <c r="D332" s="3" t="str">
        <f ca="1">IFERROR(__xludf.DUMMYFUNCTION("GOOGLETRANSLATE(C332,""ES"",""EN"")"),"Human Resources \ Result \ Personnel refuses community activities")</f>
        <v>Human Resources \ Result \ Personnel refuses community activities</v>
      </c>
      <c r="E332" s="3" t="s">
        <v>704</v>
      </c>
      <c r="F332" s="3" t="str">
        <f ca="1">IFERROR(__xludf.DUMMYFUNCTION("GOOGLETRANSLATE(E332,""ES"",""EN"")"),"Do not make me talk to the neighbors. If I have to attend to a patient, I can't go to school.")</f>
        <v>Do not make me talk to the neighbors. If I have to attend to a patient, I can't go to school.</v>
      </c>
      <c r="G332" s="3" t="s">
        <v>17</v>
      </c>
      <c r="H332" s="28">
        <v>0.13201727328809376</v>
      </c>
      <c r="I332" s="3" t="s">
        <v>10</v>
      </c>
      <c r="J332" s="3" t="str">
        <f ca="1">IFERROR(__xludf.DUMMYFUNCTION("GOOGLETRANSLATE(I332,""ES"",""EN"")"),"Negative effects: staff does not cover the demand for care")</f>
        <v>Negative effects: staff does not cover the demand for care</v>
      </c>
      <c r="K332" s="1"/>
      <c r="L332" s="1"/>
      <c r="M332" s="1"/>
      <c r="N332" s="1"/>
      <c r="O332" s="1"/>
      <c r="P332" s="1"/>
      <c r="Q332" s="1"/>
      <c r="R332" s="1"/>
      <c r="S332" s="1"/>
      <c r="T332" s="1"/>
      <c r="U332" s="1"/>
      <c r="V332" s="1"/>
      <c r="W332" s="1"/>
      <c r="X332" s="1"/>
      <c r="Y332" s="1"/>
      <c r="Z332" s="1"/>
    </row>
    <row r="333" spans="1:26" ht="15.75" customHeight="1" x14ac:dyDescent="0.25">
      <c r="A333" s="2" t="s">
        <v>5</v>
      </c>
      <c r="B333" s="3" t="s">
        <v>655</v>
      </c>
      <c r="C333" s="3" t="s">
        <v>702</v>
      </c>
      <c r="D333" s="3" t="str">
        <f ca="1">IFERROR(__xludf.DUMMYFUNCTION("GOOGLETRANSLATE(C333,""ES"",""EN"")"),"Human Resources \ Result \ Personnel refuses community activities")</f>
        <v>Human Resources \ Result \ Personnel refuses community activities</v>
      </c>
      <c r="E333" s="3" t="s">
        <v>705</v>
      </c>
      <c r="F333" s="3" t="str">
        <f ca="1">IFERROR(__xludf.DUMMYFUNCTION("GOOGLETRANSLATE(E333,""ES"",""EN"")"),"I don't know what to do the talk because since I have the agenda I have no space. Then little shows you, as well as where freckles, you pay. Well, there is also something eased as in the interior, as in the heart of the services themselves regarding a per"&amp;"petuated incentive model in time, which will also require overcoming not only extra rural resistance, also internal. And that is also something that I think you have to consider in political design")</f>
        <v>I don't know what to do the talk because since I have the agenda I have no space. Then little shows you, as well as where freckles, you pay. Well, there is also something eased as in the interior, as in the heart of the services themselves regarding a perpetuated incentive model in time, which will also require overcoming not only extra rural resistance, also internal. And that is also something that I think you have to consider in political design</v>
      </c>
      <c r="G333" s="3" t="s">
        <v>651</v>
      </c>
      <c r="H333" s="28">
        <v>0.56384947563232579</v>
      </c>
      <c r="I333" s="3" t="s">
        <v>10</v>
      </c>
      <c r="J333" s="3" t="str">
        <f ca="1">IFERROR(__xludf.DUMMYFUNCTION("GOOGLETRANSLATE(I333,""ES"",""EN"")"),"Negative effects: staff does not cover the demand for care")</f>
        <v>Negative effects: staff does not cover the demand for care</v>
      </c>
      <c r="K333" s="1"/>
      <c r="L333" s="1"/>
      <c r="M333" s="1"/>
      <c r="N333" s="1"/>
      <c r="O333" s="1"/>
      <c r="P333" s="1"/>
      <c r="Q333" s="1"/>
      <c r="R333" s="1"/>
      <c r="S333" s="1"/>
      <c r="T333" s="1"/>
      <c r="U333" s="1"/>
      <c r="V333" s="1"/>
      <c r="W333" s="1"/>
      <c r="X333" s="1"/>
      <c r="Y333" s="1"/>
      <c r="Z333" s="1"/>
    </row>
    <row r="334" spans="1:26" ht="15.75" customHeight="1" x14ac:dyDescent="0.25">
      <c r="A334" s="2" t="s">
        <v>5</v>
      </c>
      <c r="B334" s="3" t="s">
        <v>655</v>
      </c>
      <c r="C334" s="3" t="s">
        <v>702</v>
      </c>
      <c r="D334" s="3" t="str">
        <f ca="1">IFERROR(__xludf.DUMMYFUNCTION("GOOGLETRANSLATE(C334,""ES"",""EN"")"),"Human Resources \ Result \ Personnel refuses community activities")</f>
        <v>Human Resources \ Result \ Personnel refuses community activities</v>
      </c>
      <c r="E334" s="3" t="s">
        <v>706</v>
      </c>
      <c r="F334" s="3" t="str">
        <f ca="1">IFERROR(__xludf.DUMMYFUNCTION("GOOGLETRANSLATE(E334,""ES"",""EN"")"),"That it is not enough just to put money to do other things or put the money outside. How are we going to incorporate that? And how are we going to make the effort of change all?")</f>
        <v>That it is not enough just to put money to do other things or put the money outside. How are we going to incorporate that? And how are we going to make the effort of change all?</v>
      </c>
      <c r="G334" s="3" t="s">
        <v>707</v>
      </c>
      <c r="H334" s="28">
        <v>0.19740900678593462</v>
      </c>
      <c r="I334" s="3" t="s">
        <v>10</v>
      </c>
      <c r="J334" s="3" t="str">
        <f ca="1">IFERROR(__xludf.DUMMYFUNCTION("GOOGLETRANSLATE(I334,""ES"",""EN"")"),"Negative effects: staff does not cover the demand for care")</f>
        <v>Negative effects: staff does not cover the demand for care</v>
      </c>
      <c r="K334" s="1"/>
      <c r="L334" s="1"/>
      <c r="M334" s="1"/>
      <c r="N334" s="1"/>
      <c r="O334" s="1"/>
      <c r="P334" s="1"/>
      <c r="Q334" s="1"/>
      <c r="R334" s="1"/>
      <c r="S334" s="1"/>
      <c r="T334" s="1"/>
      <c r="U334" s="1"/>
      <c r="V334" s="1"/>
      <c r="W334" s="1"/>
      <c r="X334" s="1"/>
      <c r="Y334" s="1"/>
      <c r="Z334" s="1"/>
    </row>
    <row r="335" spans="1:26" ht="15.75" customHeight="1" x14ac:dyDescent="0.25">
      <c r="A335" s="2" t="s">
        <v>5</v>
      </c>
      <c r="B335" s="3" t="s">
        <v>655</v>
      </c>
      <c r="C335" s="3" t="s">
        <v>702</v>
      </c>
      <c r="D335" s="3" t="str">
        <f ca="1">IFERROR(__xludf.DUMMYFUNCTION("GOOGLETRANSLATE(C335,""ES"",""EN"")"),"Human Resources \ Result \ Personnel refuses community activities")</f>
        <v>Human Resources \ Result \ Personnel refuses community activities</v>
      </c>
      <c r="E335" s="3" t="s">
        <v>708</v>
      </c>
      <c r="F335" s="3" t="str">
        <f ca="1">IFERROR(__xludf.DUMMYFUNCTION("GOOGLETRANSLATE(E335,""ES"",""EN"")"),"No, neither we nor do we really be true at this level of analysis, as we really need or want or our desires, because one is more myopic, one is more proximal. This is already and the other. Give me medical time, give me the remedies. I have no agenda.")</f>
        <v>No, neither we nor do we really be true at this level of analysis, as we really need or want or our desires, because one is more myopic, one is more proximal. This is already and the other. Give me medical time, give me the remedies. I have no agenda.</v>
      </c>
      <c r="G335" s="3" t="s">
        <v>545</v>
      </c>
      <c r="H335" s="28">
        <v>0.32942628007402835</v>
      </c>
      <c r="I335" s="3" t="s">
        <v>10</v>
      </c>
      <c r="J335" s="3" t="str">
        <f ca="1">IFERROR(__xludf.DUMMYFUNCTION("GOOGLETRANSLATE(I335,""ES"",""EN"")"),"Negative effects: staff does not cover the demand for care")</f>
        <v>Negative effects: staff does not cover the demand for care</v>
      </c>
      <c r="K335" s="1"/>
      <c r="L335" s="1"/>
      <c r="M335" s="1"/>
      <c r="N335" s="1"/>
      <c r="O335" s="1"/>
      <c r="P335" s="1"/>
      <c r="Q335" s="1"/>
      <c r="R335" s="1"/>
      <c r="S335" s="1"/>
      <c r="T335" s="1"/>
      <c r="U335" s="1"/>
      <c r="V335" s="1"/>
      <c r="W335" s="1"/>
      <c r="X335" s="1"/>
      <c r="Y335" s="1"/>
      <c r="Z335" s="1"/>
    </row>
    <row r="336" spans="1:26" ht="15.75" customHeight="1" x14ac:dyDescent="0.25">
      <c r="A336" s="2" t="s">
        <v>5</v>
      </c>
      <c r="B336" s="3" t="s">
        <v>655</v>
      </c>
      <c r="C336" s="3" t="s">
        <v>702</v>
      </c>
      <c r="D336" s="3" t="str">
        <f ca="1">IFERROR(__xludf.DUMMYFUNCTION("GOOGLETRANSLATE(C336,""ES"",""EN"")"),"Human Resources \ Result \ Personnel refuses community activities")</f>
        <v>Human Resources \ Result \ Personnel refuses community activities</v>
      </c>
      <c r="E336" s="3" t="s">
        <v>709</v>
      </c>
      <c r="F336" s="3" t="str">
        <f ca="1">IFERROR(__xludf.DUMMYFUNCTION("GOOGLETRANSLATE(E336,""ES"",""EN"")"),"That is, if tomorrow we begin to finance, tomorrow. And the talk lists or the person who are in a talk that is not a user, does it from tomorrow and pays the same as an in the box. What would be the first reaction of professionals? No, there is no need to"&amp;" do with what I was waiting for. Some yes, but I don't need. Well, this is what I was waiting for, that they would pay me what I know how to do and that the other need, that he has been asking me so much. I dont know. I believe that we are less agile than"&amp;" we believe and what we and less intelligent than we say we are to read the need and read how to become.")</f>
        <v>That is, if tomorrow we begin to finance, tomorrow. And the talk lists or the person who are in a talk that is not a user, does it from tomorrow and pays the same as an in the box. What would be the first reaction of professionals? No, there is no need to do with what I was waiting for. Some yes, but I don't need. Well, this is what I was waiting for, that they would pay me what I know how to do and that the other need, that he has been asking me so much. I dont know. I believe that we are less agile than we believe and what we and less intelligent than we say we are to read the need and read how to become.</v>
      </c>
      <c r="G336" s="3" t="s">
        <v>710</v>
      </c>
      <c r="H336" s="28">
        <v>0.81184454040715615</v>
      </c>
      <c r="I336" s="3" t="s">
        <v>10</v>
      </c>
      <c r="J336" s="3" t="str">
        <f ca="1">IFERROR(__xludf.DUMMYFUNCTION("GOOGLETRANSLATE(I336,""ES"",""EN"")"),"Negative effects: staff does not cover the demand for care")</f>
        <v>Negative effects: staff does not cover the demand for care</v>
      </c>
      <c r="K336" s="1"/>
      <c r="L336" s="1"/>
      <c r="M336" s="1"/>
      <c r="N336" s="1"/>
      <c r="O336" s="1"/>
      <c r="P336" s="1"/>
      <c r="Q336" s="1"/>
      <c r="R336" s="1"/>
      <c r="S336" s="1"/>
      <c r="T336" s="1"/>
      <c r="U336" s="1"/>
      <c r="V336" s="1"/>
      <c r="W336" s="1"/>
      <c r="X336" s="1"/>
      <c r="Y336" s="1"/>
      <c r="Z336" s="1"/>
    </row>
    <row r="337" spans="1:26" ht="15.75" customHeight="1" x14ac:dyDescent="0.25">
      <c r="A337" s="6" t="s">
        <v>5</v>
      </c>
      <c r="B337" s="3" t="s">
        <v>655</v>
      </c>
      <c r="C337" s="3" t="s">
        <v>591</v>
      </c>
      <c r="D337" s="3" t="str">
        <f ca="1">IFERROR(__xludf.DUMMYFUNCTION("GOOGLETRANSLATE(C337,""ES"",""EN"")"),"FINANCING \ Result \ main achievement of financing the CSMC \ ordering management")</f>
        <v>FINANCING \ Result \ main achievement of financing the CSMC \ ordering management</v>
      </c>
      <c r="E337" s="3" t="s">
        <v>711</v>
      </c>
      <c r="F337" s="3" t="str">
        <f ca="1">IFERROR(__xludf.DUMMYFUNCTION("GOOGLETRANSLATE(E337,""ES"",""EN"")"),"I find all the meaning of the world that I put a basket and put except indicators and allow you to order the cake, because if it would not be like there is no way that someone can have. I think I don't know. Perhaps the advancement of science, quantum com"&amp;"puters, I have no idea, say, but this amount of variables. In all its complexity it is such that I think it allows you to order in some way to those who serve you. I think that little serves us all, managers, patient, services, the same academy")</f>
        <v>I find all the meaning of the world that I put a basket and put except indicators and allow you to order the cake, because if it would not be like there is no way that someone can have. I think I don't know. Perhaps the advancement of science, quantum computers, I have no idea, say, but this amount of variables. In all its complexity it is such that I think it allows you to order in some way to those who serve you. I think that little serves us all, managers, patient, services, the same academy</v>
      </c>
      <c r="G337" s="3" t="s">
        <v>23</v>
      </c>
      <c r="H337" s="28">
        <v>0.62553979025293027</v>
      </c>
      <c r="I337" s="3" t="s">
        <v>228</v>
      </c>
      <c r="J337" s="3" t="str">
        <f ca="1">IFERROR(__xludf.DUMMYFUNCTION("GOOGLETRANSLATE(I337,""ES"",""EN"")"),"Clinical achievements")</f>
        <v>Clinical achievements</v>
      </c>
      <c r="K337" s="1"/>
      <c r="L337" s="1"/>
      <c r="M337" s="1"/>
      <c r="N337" s="1"/>
      <c r="O337" s="1"/>
      <c r="P337" s="1"/>
      <c r="Q337" s="1"/>
      <c r="R337" s="1"/>
      <c r="S337" s="1"/>
      <c r="T337" s="1"/>
      <c r="U337" s="1"/>
      <c r="V337" s="1"/>
      <c r="W337" s="1"/>
      <c r="X337" s="1"/>
      <c r="Y337" s="1"/>
      <c r="Z337" s="1"/>
    </row>
    <row r="338" spans="1:26" ht="15.75" customHeight="1" x14ac:dyDescent="0.25">
      <c r="A338" s="6" t="s">
        <v>5</v>
      </c>
      <c r="B338" s="3" t="s">
        <v>655</v>
      </c>
      <c r="C338" s="3" t="s">
        <v>712</v>
      </c>
      <c r="D338" s="3" t="str">
        <f ca="1">IFERROR(__xludf.DUMMYFUNCTION("GOOGLETRANSLATE(C338,""ES"",""EN"")"),"Financing \ Result \ We have not been wasting time")</f>
        <v>Financing \ Result \ We have not been wasting time</v>
      </c>
      <c r="E338" s="3" t="s">
        <v>713</v>
      </c>
      <c r="F338" s="3" t="str">
        <f ca="1">IFERROR(__xludf.DUMMYFUNCTION("GOOGLETRANSLATE(E338,""ES"",""EN"")"),"I think we get a lot about how it is financed, to be financed because it somehow works. There is a mechanic, there are great systems involved and huge personal efforts and large sectors, not that I know that I pay something of a very long return. Then I a"&amp;"ttend the person and record it on the file, he goes to the hostage, goes up to. It is an extraordinary circuit that has allowed us to generate research, which allowed having a reliable system, a safe system, where fortunately there are many patients who d"&amp;"o go ahead, where not everything is lost, where it is not that they are being financed with cause of chaos .")</f>
        <v>I think we get a lot about how it is financed, to be financed because it somehow works. There is a mechanic, there are great systems involved and huge personal efforts and large sectors, not that I know that I pay something of a very long return. Then I attend the person and record it on the file, he goes to the hostage, goes up to. It is an extraordinary circuit that has allowed us to generate research, which allowed having a reliable system, a safe system, where fortunately there are many patients who do go ahead, where not everything is lost, where it is not that they are being financed with cause of chaos .</v>
      </c>
      <c r="G338" s="3" t="s">
        <v>714</v>
      </c>
      <c r="H338" s="28">
        <v>0.80320789636027146</v>
      </c>
      <c r="I338" s="3" t="s">
        <v>15</v>
      </c>
      <c r="J338" s="3" t="str">
        <f ca="1">IFERROR(__xludf.DUMMYFUNCTION("GOOGLETRANSLATE(I338,""ES"",""EN"")"),"Negative effect: financing mechanisms end up generating problems to CSMC.")</f>
        <v>Negative effect: financing mechanisms end up generating problems to CSMC.</v>
      </c>
      <c r="K338" s="1"/>
      <c r="L338" s="1"/>
      <c r="M338" s="1"/>
      <c r="N338" s="1"/>
      <c r="O338" s="1"/>
      <c r="P338" s="1"/>
      <c r="Q338" s="1"/>
      <c r="R338" s="1"/>
      <c r="S338" s="1"/>
      <c r="T338" s="1"/>
      <c r="U338" s="1"/>
      <c r="V338" s="1"/>
      <c r="W338" s="1"/>
      <c r="X338" s="1"/>
      <c r="Y338" s="1"/>
      <c r="Z338" s="1"/>
    </row>
    <row r="339" spans="1:26" ht="15.75" customHeight="1" x14ac:dyDescent="0.25">
      <c r="A339" s="6" t="s">
        <v>5</v>
      </c>
      <c r="B339" s="3" t="s">
        <v>655</v>
      </c>
      <c r="C339" s="3" t="s">
        <v>712</v>
      </c>
      <c r="D339" s="3" t="str">
        <f ca="1">IFERROR(__xludf.DUMMYFUNCTION("GOOGLETRANSLATE(C339,""ES"",""EN"")"),"Financing \ Result \ We have not been wasting time")</f>
        <v>Financing \ Result \ We have not been wasting time</v>
      </c>
      <c r="E339" s="3" t="s">
        <v>715</v>
      </c>
      <c r="F339" s="3" t="str">
        <f ca="1">IFERROR(__xludf.DUMMYFUNCTION("GOOGLETRANSLATE(E339,""ES"",""EN"")"),"They have also been financing very important things and that have also allowed, such as saying it, seeing other unsatisfied needs. I do not believe that this system must be satanized or financing. I think you have to be fair with that. I don't think we ha"&amp;"ve been wasting time. I think you have to keep moving forward, as was a moment. It is a tremendous pressure to find a model. But do not settle for this model, you have to continue exploring.")</f>
        <v>They have also been financing very important things and that have also allowed, such as saying it, seeing other unsatisfied needs. I do not believe that this system must be satanized or financing. I think you have to be fair with that. I don't think we have been wasting time. I think you have to keep moving forward, as was a moment. It is a tremendous pressure to find a model. But do not settle for this model, you have to continue exploring.</v>
      </c>
      <c r="G339" s="3" t="s">
        <v>716</v>
      </c>
      <c r="H339" s="28">
        <v>0.57988895743368285</v>
      </c>
      <c r="I339" s="3" t="s">
        <v>15</v>
      </c>
      <c r="J339" s="3" t="str">
        <f ca="1">IFERROR(__xludf.DUMMYFUNCTION("GOOGLETRANSLATE(I339,""ES"",""EN"")"),"Negative effect: financing mechanisms end up generating problems to CSMC.")</f>
        <v>Negative effect: financing mechanisms end up generating problems to CSMC.</v>
      </c>
      <c r="K339" s="1"/>
      <c r="L339" s="1"/>
      <c r="M339" s="1"/>
      <c r="N339" s="1"/>
      <c r="O339" s="1"/>
      <c r="P339" s="1"/>
      <c r="Q339" s="1"/>
      <c r="R339" s="1"/>
      <c r="S339" s="1"/>
      <c r="T339" s="1"/>
      <c r="U339" s="1"/>
      <c r="V339" s="1"/>
      <c r="W339" s="1"/>
      <c r="X339" s="1"/>
      <c r="Y339" s="1"/>
      <c r="Z339" s="1"/>
    </row>
    <row r="340" spans="1:26" ht="15.75" customHeight="1" x14ac:dyDescent="0.25">
      <c r="A340" s="6" t="s">
        <v>5</v>
      </c>
      <c r="B340" s="3" t="s">
        <v>655</v>
      </c>
      <c r="C340" s="3" t="s">
        <v>712</v>
      </c>
      <c r="D340" s="3" t="str">
        <f ca="1">IFERROR(__xludf.DUMMYFUNCTION("GOOGLETRANSLATE(C340,""ES"",""EN"")"),"Financing \ Result \ We have not been wasting time")</f>
        <v>Financing \ Result \ We have not been wasting time</v>
      </c>
      <c r="E340" s="3" t="s">
        <v>717</v>
      </c>
      <c r="F340" s="3" t="str">
        <f ca="1">IFERROR(__xludf.DUMMYFUNCTION("GOOGLETRANSLATE(E340,""ES"",""EN"")"),"But from the management of a center where there are people involved, there are patients where there is a whole machinery working. We must also be practical and ideas as ideals have to find a correlation also in the possibility of realization, without bein"&amp;"g too much as this fantasy exacerbates and oblivious to reality. I would tell you that it has allowed certain arrangements, certain agreement or certain certain floors of certain structures. Of understanding. And also of our limitations. And now, then it "&amp;"would be good to add more than vote all that. Add.")</f>
        <v>But from the management of a center where there are people involved, there are patients where there is a whole machinery working. We must also be practical and ideas as ideals have to find a correlation also in the possibility of realization, without being too much as this fantasy exacerbates and oblivious to reality. I would tell you that it has allowed certain arrangements, certain agreement or certain certain floors of certain structures. Of understanding. And also of our limitations. And now, then it would be good to add more than vote all that. Add.</v>
      </c>
      <c r="G340" s="3" t="s">
        <v>718</v>
      </c>
      <c r="H340" s="28">
        <v>0.69710055521283154</v>
      </c>
      <c r="I340" s="3" t="s">
        <v>15</v>
      </c>
      <c r="J340" s="3" t="str">
        <f ca="1">IFERROR(__xludf.DUMMYFUNCTION("GOOGLETRANSLATE(I340,""ES"",""EN"")"),"Negative effect: financing mechanisms end up generating problems to CSMC.")</f>
        <v>Negative effect: financing mechanisms end up generating problems to CSMC.</v>
      </c>
      <c r="K340" s="1"/>
      <c r="L340" s="1"/>
      <c r="M340" s="1"/>
      <c r="N340" s="1"/>
      <c r="O340" s="1"/>
      <c r="P340" s="1"/>
      <c r="Q340" s="1"/>
      <c r="R340" s="1"/>
      <c r="S340" s="1"/>
      <c r="T340" s="1"/>
      <c r="U340" s="1"/>
      <c r="V340" s="1"/>
      <c r="W340" s="1"/>
      <c r="X340" s="1"/>
      <c r="Y340" s="1"/>
      <c r="Z340" s="1"/>
    </row>
    <row r="341" spans="1:26" ht="15.75" customHeight="1" x14ac:dyDescent="0.25">
      <c r="A341" s="6" t="s">
        <v>5</v>
      </c>
      <c r="B341" s="3" t="s">
        <v>719</v>
      </c>
      <c r="C341" s="3" t="s">
        <v>656</v>
      </c>
      <c r="D341" s="3" t="str">
        <f ca="1">IFERROR(__xludf.DUMMYFUNCTION("GOOGLETRANSLATE(C341,""ES"",""EN"")"),"Financing \ Result \ main achievement of financing the CSMC \ Achievement is having a mental health center")</f>
        <v>Financing \ Result \ main achievement of financing the CSMC \ Achievement is having a mental health center</v>
      </c>
      <c r="E341" s="3" t="s">
        <v>720</v>
      </c>
      <c r="F341" s="3" t="str">
        <f ca="1">IFERROR(__xludf.DUMMYFUNCTION("GOOGLETRANSLATE(E341,""ES"",""EN"")"),"Well, the first achievement is to have a mental health center, which is the commune")</f>
        <v>Well, the first achievement is to have a mental health center, which is the commune</v>
      </c>
      <c r="G341" s="3" t="s">
        <v>721</v>
      </c>
      <c r="H341" s="28">
        <v>0.200503830137268</v>
      </c>
      <c r="I341" s="3" t="s">
        <v>213</v>
      </c>
      <c r="J341" s="3" t="str">
        <f ca="1">IFERROR(__xludf.DUMMYFUNCTION("GOOGLETRANSLATE(I341,""ES"",""EN"")"),"Better coverage, closeness and context of attention")</f>
        <v>Better coverage, closeness and context of attention</v>
      </c>
      <c r="K341" s="1"/>
      <c r="L341" s="1"/>
      <c r="M341" s="1"/>
      <c r="N341" s="1"/>
      <c r="O341" s="1"/>
      <c r="P341" s="1"/>
      <c r="Q341" s="1"/>
      <c r="R341" s="1"/>
      <c r="S341" s="1"/>
      <c r="T341" s="1"/>
      <c r="U341" s="1"/>
      <c r="V341" s="1"/>
      <c r="W341" s="1"/>
      <c r="X341" s="1"/>
      <c r="Y341" s="1"/>
      <c r="Z341" s="1"/>
    </row>
    <row r="342" spans="1:26" ht="15.75" customHeight="1" x14ac:dyDescent="0.25">
      <c r="A342" s="6" t="s">
        <v>5</v>
      </c>
      <c r="B342" s="3" t="s">
        <v>719</v>
      </c>
      <c r="C342" s="3" t="s">
        <v>656</v>
      </c>
      <c r="D342" s="3" t="str">
        <f ca="1">IFERROR(__xludf.DUMMYFUNCTION("GOOGLETRANSLATE(C342,""ES"",""EN"")"),"Financing \ Result \ main achievement of financing the CSMC \ Achievement is having a mental health center")</f>
        <v>Financing \ Result \ main achievement of financing the CSMC \ Achievement is having a mental health center</v>
      </c>
      <c r="E342" s="3" t="s">
        <v>722</v>
      </c>
      <c r="F342" s="3" t="str">
        <f ca="1">IFERROR(__xludf.DUMMYFUNCTION("GOOGLETRANSLATE(E342,""ES"",""EN"")"),"The main achievement is that a center has been created, isn't it? So that people can attend the closest, in the commune where it resides.")</f>
        <v>The main achievement is that a center has been created, isn't it? So that people can attend the closest, in the commune where it resides.</v>
      </c>
      <c r="G342" s="3" t="s">
        <v>723</v>
      </c>
      <c r="H342" s="28">
        <v>0.37787260295100505</v>
      </c>
      <c r="I342" s="3" t="s">
        <v>213</v>
      </c>
      <c r="J342" s="3" t="str">
        <f ca="1">IFERROR(__xludf.DUMMYFUNCTION("GOOGLETRANSLATE(I342,""ES"",""EN"")"),"Better coverage, closeness and context of attention")</f>
        <v>Better coverage, closeness and context of attention</v>
      </c>
      <c r="K342" s="1"/>
      <c r="L342" s="1"/>
      <c r="M342" s="1"/>
      <c r="N342" s="1"/>
      <c r="O342" s="1"/>
      <c r="P342" s="1"/>
      <c r="Q342" s="1"/>
      <c r="R342" s="1"/>
      <c r="S342" s="1"/>
      <c r="T342" s="1"/>
      <c r="U342" s="1"/>
      <c r="V342" s="1"/>
      <c r="W342" s="1"/>
      <c r="X342" s="1"/>
      <c r="Y342" s="1"/>
      <c r="Z342" s="1"/>
    </row>
    <row r="343" spans="1:26" ht="15.75" customHeight="1" x14ac:dyDescent="0.25">
      <c r="A343" s="6" t="s">
        <v>5</v>
      </c>
      <c r="B343" s="3" t="s">
        <v>719</v>
      </c>
      <c r="C343" s="3" t="s">
        <v>656</v>
      </c>
      <c r="D343" s="3" t="str">
        <f ca="1">IFERROR(__xludf.DUMMYFUNCTION("GOOGLETRANSLATE(C343,""ES"",""EN"")"),"Financing \ Result \ main achievement of financing the CSMC \ Achievement is having a mental health center")</f>
        <v>Financing \ Result \ main achievement of financing the CSMC \ Achievement is having a mental health center</v>
      </c>
      <c r="E343" s="3" t="s">
        <v>724</v>
      </c>
      <c r="F343" s="3" t="str">
        <f ca="1">IFERROR(__xludf.DUMMYFUNCTION("GOOGLETRANSLATE(E343,""ES"",""EN"")"),"That is one of the first achievements that I rescued in 2016, when the expansion of the center is created in 2018.")</f>
        <v>That is one of the first achievements that I rescued in 2016, when the expansion of the center is created in 2018.</v>
      </c>
      <c r="G343" s="3" t="s">
        <v>725</v>
      </c>
      <c r="H343" s="28">
        <v>0.29561462135622846</v>
      </c>
      <c r="I343" s="3" t="s">
        <v>213</v>
      </c>
      <c r="J343" s="3" t="str">
        <f ca="1">IFERROR(__xludf.DUMMYFUNCTION("GOOGLETRANSLATE(I343,""ES"",""EN"")"),"Better coverage, closeness and context of attention")</f>
        <v>Better coverage, closeness and context of attention</v>
      </c>
      <c r="K343" s="1"/>
      <c r="L343" s="1"/>
      <c r="M343" s="1"/>
      <c r="N343" s="1"/>
      <c r="O343" s="1"/>
      <c r="P343" s="1"/>
      <c r="Q343" s="1"/>
      <c r="R343" s="1"/>
      <c r="S343" s="1"/>
      <c r="T343" s="1"/>
      <c r="U343" s="1"/>
      <c r="V343" s="1"/>
      <c r="W343" s="1"/>
      <c r="X343" s="1"/>
      <c r="Y343" s="1"/>
      <c r="Z343" s="1"/>
    </row>
    <row r="344" spans="1:26" ht="15.75" customHeight="1" x14ac:dyDescent="0.25">
      <c r="A344" s="8" t="s">
        <v>5</v>
      </c>
      <c r="B344" s="3" t="s">
        <v>719</v>
      </c>
      <c r="C344" s="3" t="s">
        <v>726</v>
      </c>
      <c r="D344" s="3" t="str">
        <f ca="1">IFERROR(__xludf.DUMMYFUNCTION("GOOGLETRANSLATE(C344,""ES"",""EN"")"),"Medications and Technologies \ Result \ Mobile Team")</f>
        <v>Medications and Technologies \ Result \ Mobile Team</v>
      </c>
      <c r="E344" s="3" t="s">
        <v>727</v>
      </c>
      <c r="F344" s="3" t="str">
        <f ca="1">IFERROR(__xludf.DUMMYFUNCTION("GOOGLETRANSLATE(E344,""ES"",""EN"")"),"The second important achievement that I can highlight is that this expansion comes with a mobile team, a team that moves to deliver mental health to other sectors. That is, we have rounds where the psychiatrist comes out with his team, it is not true that"&amp;" he goes to the children and they go to Salamanca, they go to Canela and they also go to the rural posts where we have more people, isn't it? Under control. And that also allows us that care and access to mental health in the sectors that are most isolate"&amp;"d from people did not have access, they can have it now. That I believe that one of the main achievements that we have and that so far this is the only center that has a regional level and I do not know if there is a national level that has a mental healt"&amp;"h team that moves, isn't it? As GPS teams move to that of health departments, to be care. We have a team that moves to do controls, to perform care, because not only the doctor comes out, but the psychologist, the nurse, the psychopedagogue, the occupatio"&amp;"nal therapist, the social assistant. They go out to deliver the attention by bringing users' attention to the commune where they receive.")</f>
        <v>The second important achievement that I can highlight is that this expansion comes with a mobile team, a team that moves to deliver mental health to other sectors. That is, we have rounds where the psychiatrist comes out with his team, it is not true that he goes to the children and they go to Salamanca, they go to Canela and they also go to the rural posts where we have more people, isn't it? Under control. And that also allows us that care and access to mental health in the sectors that are most isolated from people did not have access, they can have it now. That I believe that one of the main achievements that we have and that so far this is the only center that has a regional level and I do not know if there is a national level that has a mental health team that moves, isn't it? As GPS teams move to that of health departments, to be care. We have a team that moves to do controls, to perform care, because not only the doctor comes out, but the psychologist, the nurse, the psychopedagogue, the occupational therapist, the social assistant. They go out to deliver the attention by bringing users' attention to the commune where they receive.</v>
      </c>
      <c r="G344" s="3" t="s">
        <v>728</v>
      </c>
      <c r="H344" s="28">
        <v>3.2209140918204717</v>
      </c>
      <c r="I344" s="3" t="s">
        <v>44</v>
      </c>
      <c r="J344" s="3" t="str">
        <f ca="1">IFERROR(__xludf.DUMMYFUNCTION("GOOGLETRANSLATE(I344,""ES"",""EN"")"),"Negative effects: limit the integrality and continuity of care")</f>
        <v>Negative effects: limit the integrality and continuity of care</v>
      </c>
      <c r="K344" s="1"/>
      <c r="L344" s="1"/>
      <c r="M344" s="1"/>
      <c r="N344" s="1"/>
      <c r="O344" s="1"/>
      <c r="P344" s="1"/>
      <c r="Q344" s="1"/>
      <c r="R344" s="1"/>
      <c r="S344" s="1"/>
      <c r="T344" s="1"/>
      <c r="U344" s="1"/>
      <c r="V344" s="1"/>
      <c r="W344" s="1"/>
      <c r="X344" s="1"/>
      <c r="Y344" s="1"/>
      <c r="Z344" s="1"/>
    </row>
    <row r="345" spans="1:26" ht="15.75" customHeight="1" x14ac:dyDescent="0.25">
      <c r="A345" s="6" t="s">
        <v>5</v>
      </c>
      <c r="B345" s="3" t="s">
        <v>719</v>
      </c>
      <c r="C345" s="3" t="s">
        <v>595</v>
      </c>
      <c r="D345" s="3" t="str">
        <f ca="1">IFERROR(__xludf.DUMMYFUNCTION("GOOGLETRANSLATE(C345,""ES"",""EN"")"),"FINANCING \ Result \ Difficulty / complexity for spending \ payment of benefits contrary to the management model")</f>
        <v>FINANCING \ Result \ Difficulty / complexity for spending \ payment of benefits contrary to the management model</v>
      </c>
      <c r="E345" s="3" t="s">
        <v>729</v>
      </c>
      <c r="F345" s="3" t="str">
        <f ca="1">IFERROR(__xludf.DUMMYFUNCTION("GOOGLETRANSLATE(E345,""ES"",""EN"")"),"Well, I believe that for me it is a deficiency as the type of payment that is made, because the hospital they work and what Fonasa pays are mental health consultations and consultations that the management model has been reducing more.")</f>
        <v>Well, I believe that for me it is a deficiency as the type of payment that is made, because the hospital they work and what Fonasa pays are mental health consultations and consultations that the management model has been reducing more.</v>
      </c>
      <c r="G345" s="3" t="s">
        <v>399</v>
      </c>
      <c r="H345" s="28">
        <v>0.60151149041180407</v>
      </c>
      <c r="I345" s="3" t="s">
        <v>15</v>
      </c>
      <c r="J345" s="3" t="str">
        <f ca="1">IFERROR(__xludf.DUMMYFUNCTION("GOOGLETRANSLATE(I345,""ES"",""EN"")"),"Negative effect: financing mechanisms end up generating problems to CSMC.")</f>
        <v>Negative effect: financing mechanisms end up generating problems to CSMC.</v>
      </c>
      <c r="K345" s="1"/>
      <c r="L345" s="1"/>
      <c r="M345" s="1"/>
      <c r="N345" s="1"/>
      <c r="O345" s="1"/>
      <c r="P345" s="1"/>
      <c r="Q345" s="1"/>
      <c r="R345" s="1"/>
      <c r="S345" s="1"/>
      <c r="T345" s="1"/>
      <c r="U345" s="1"/>
      <c r="V345" s="1"/>
      <c r="W345" s="1"/>
      <c r="X345" s="1"/>
      <c r="Y345" s="1"/>
      <c r="Z345" s="1"/>
    </row>
    <row r="346" spans="1:26" ht="15.75" customHeight="1" x14ac:dyDescent="0.25">
      <c r="A346" s="6" t="s">
        <v>5</v>
      </c>
      <c r="B346" s="3" t="s">
        <v>719</v>
      </c>
      <c r="C346" s="3" t="s">
        <v>324</v>
      </c>
      <c r="D346" s="3" t="str">
        <f ca="1">IFERROR(__xludf.DUMMYFUNCTION("GOOGLETRANSLATE(C346,""ES"",""EN"")"),"FINANCING \ Result \ voltage between models in practice")</f>
        <v>FINANCING \ Result \ voltage between models in practice</v>
      </c>
      <c r="E346" s="3" t="s">
        <v>730</v>
      </c>
      <c r="F346" s="3" t="str">
        <f ca="1">IFERROR(__xludf.DUMMYFUNCTION("GOOGLETRANSLATE(E346,""ES"",""EN"")"),"I am trying to respond to the hospital to generate resources that we only know, but on the other hand we are also trying to approach what can be most and the management model. And that is super complex, because both models do not believe, they do not dial"&amp;"ogue among them, they are super different.")</f>
        <v>I am trying to respond to the hospital to generate resources that we only know, but on the other hand we are also trying to approach what can be most and the management model. And that is super complex, because both models do not believe, they do not dialogue among them, they are super different.</v>
      </c>
      <c r="G346" s="3" t="s">
        <v>301</v>
      </c>
      <c r="H346" s="28">
        <v>0.72232790087913223</v>
      </c>
      <c r="I346" s="3" t="s">
        <v>51</v>
      </c>
      <c r="J346" s="3" t="str">
        <f ca="1">IFERROR(__xludf.DUMMYFUNCTION("GOOGLETRANSLATE(I346,""ES"",""EN"")"),"Negative effect: CSMC financing logics do not stimulate the implementation of the community mental health model.")</f>
        <v>Negative effect: CSMC financing logics do not stimulate the implementation of the community mental health model.</v>
      </c>
      <c r="K346" s="1"/>
      <c r="L346" s="1"/>
      <c r="M346" s="1"/>
      <c r="N346" s="1"/>
      <c r="O346" s="1"/>
      <c r="P346" s="1"/>
      <c r="Q346" s="1"/>
      <c r="R346" s="1"/>
      <c r="S346" s="1"/>
      <c r="T346" s="1"/>
      <c r="U346" s="1"/>
      <c r="V346" s="1"/>
      <c r="W346" s="1"/>
      <c r="X346" s="1"/>
      <c r="Y346" s="1"/>
      <c r="Z346" s="1"/>
    </row>
    <row r="347" spans="1:26" ht="15.75" customHeight="1" x14ac:dyDescent="0.25">
      <c r="A347" s="6" t="s">
        <v>5</v>
      </c>
      <c r="B347" s="3" t="s">
        <v>719</v>
      </c>
      <c r="C347" s="3" t="s">
        <v>324</v>
      </c>
      <c r="D347" s="3" t="str">
        <f ca="1">IFERROR(__xludf.DUMMYFUNCTION("GOOGLETRANSLATE(C347,""ES"",""EN"")"),"FINANCING \ Result \ voltage between models in practice")</f>
        <v>FINANCING \ Result \ voltage between models in practice</v>
      </c>
      <c r="E347" s="3" t="s">
        <v>731</v>
      </c>
      <c r="F347" s="3" t="str">
        <f ca="1">IFERROR(__xludf.DUMMYFUNCTION("GOOGLETRANSLATE(E347,""ES"",""EN"")"),"Here is a very individual attention to what the biomedical model has, what the hospitals currently work and the management model approach is community, is that of teamwork.")</f>
        <v>Here is a very individual attention to what the biomedical model has, what the hospitals currently work and the management model approach is community, is that of teamwork.</v>
      </c>
      <c r="G347" s="3" t="s">
        <v>180</v>
      </c>
      <c r="H347" s="28">
        <v>0.50383013726800674</v>
      </c>
      <c r="I347" s="3" t="s">
        <v>51</v>
      </c>
      <c r="J347" s="3" t="str">
        <f ca="1">IFERROR(__xludf.DUMMYFUNCTION("GOOGLETRANSLATE(I347,""ES"",""EN"")"),"Negative effect: CSMC financing logics do not stimulate the implementation of the community mental health model.")</f>
        <v>Negative effect: CSMC financing logics do not stimulate the implementation of the community mental health model.</v>
      </c>
      <c r="K347" s="1"/>
      <c r="L347" s="1"/>
      <c r="M347" s="1"/>
      <c r="N347" s="1"/>
      <c r="O347" s="1"/>
      <c r="P347" s="1"/>
      <c r="Q347" s="1"/>
      <c r="R347" s="1"/>
      <c r="S347" s="1"/>
      <c r="T347" s="1"/>
      <c r="U347" s="1"/>
      <c r="V347" s="1"/>
      <c r="W347" s="1"/>
      <c r="X347" s="1"/>
      <c r="Y347" s="1"/>
      <c r="Z347" s="1"/>
    </row>
    <row r="348" spans="1:26" ht="15.75" customHeight="1" x14ac:dyDescent="0.25">
      <c r="A348" s="11" t="s">
        <v>5</v>
      </c>
      <c r="B348" s="3" t="s">
        <v>719</v>
      </c>
      <c r="C348" s="3" t="s">
        <v>430</v>
      </c>
      <c r="D348" s="3" t="str">
        <f ca="1">IFERROR(__xludf.DUMMYFUNCTION("GOOGLETRANSLATE(C348,""ES"",""EN"")"),"Benefits \ Result \ Maintain continuity of care")</f>
        <v>Benefits \ Result \ Maintain continuity of care</v>
      </c>
      <c r="E348" s="3" t="s">
        <v>732</v>
      </c>
      <c r="F348" s="3" t="str">
        <f ca="1">IFERROR(__xludf.DUMMYFUNCTION("GOOGLETRANSLATE(E348,""ES"",""EN"")"),"Managing to maintain the continuity of care in the sense of making instances that come within the management model, the assisted derivation not true in participating among the articulating committees that are assets. We are working to generate a space to "&amp;"make the graduation plans. That has allowed us to dialogue with the other levels of attention. I do not believe that the distances have been gradually forming what we started in 2016, to what we are in 2021 and I believe that we have advanced significantl"&amp;"y in achieving those spaces, but nevertheless we know that we have to have a certain percentage of consultations , the truth that is why the hospital measures them and that is what is programmed")</f>
        <v>Managing to maintain the continuity of care in the sense of making instances that come within the management model, the assisted derivation not true in participating among the articulating committees that are assets. We are working to generate a space to make the graduation plans. That has allowed us to dialogue with the other levels of attention. I do not believe that the distances have been gradually forming what we started in 2016, to what we are in 2021 and I believe that we have advanced significantly in achieving those spaces, but nevertheless we know that we have to have a certain percentage of consultations , the truth that is why the hospital measures them and that is what is programmed</v>
      </c>
      <c r="G348" s="3" t="s">
        <v>733</v>
      </c>
      <c r="H348" s="28">
        <v>1.8842218909053521</v>
      </c>
      <c r="I348" s="3" t="s">
        <v>44</v>
      </c>
      <c r="J348" s="3" t="str">
        <f ca="1">IFERROR(__xludf.DUMMYFUNCTION("GOOGLETRANSLATE(I348,""ES"",""EN"")"),"Negative effects: limit the integrality and continuity of care")</f>
        <v>Negative effects: limit the integrality and continuity of care</v>
      </c>
      <c r="K348" s="1"/>
      <c r="L348" s="1"/>
      <c r="M348" s="1"/>
      <c r="N348" s="1"/>
      <c r="O348" s="1"/>
      <c r="P348" s="1"/>
      <c r="Q348" s="1"/>
      <c r="R348" s="1"/>
      <c r="S348" s="1"/>
      <c r="T348" s="1"/>
      <c r="U348" s="1"/>
      <c r="V348" s="1"/>
      <c r="W348" s="1"/>
      <c r="X348" s="1"/>
      <c r="Y348" s="1"/>
      <c r="Z348" s="1"/>
    </row>
    <row r="349" spans="1:26" ht="15.75" customHeight="1" x14ac:dyDescent="0.25">
      <c r="A349" s="7" t="s">
        <v>5</v>
      </c>
      <c r="B349" s="3" t="s">
        <v>719</v>
      </c>
      <c r="C349" s="3" t="s">
        <v>734</v>
      </c>
      <c r="D349" s="3" t="str">
        <f ca="1">IFERROR(__xludf.DUMMYFUNCTION("GOOGLETRANSLATE(C349,""ES"",""EN"")"),"Users \ result \ people end up discarding treatments")</f>
        <v>Users \ result \ people end up discarding treatments</v>
      </c>
      <c r="E349" s="3" t="s">
        <v>735</v>
      </c>
      <c r="F349" s="3" t="str">
        <f ca="1">IFERROR(__xludf.DUMMYFUNCTION("GOOGLETRANSLATE(E349,""ES"",""EN"")"),"And I believe that there also generates this difficulty sometimes that people end up discarding treatments when they do not have for example these facilities, because they have to come here and we also have to comply with the regulations that are in force"&amp;" at this time.")</f>
        <v>And I believe that there also generates this difficulty sometimes that people end up discarding treatments when they do not have for example these facilities, because they have to come here and we also have to comply with the regulations that are in force at this time.</v>
      </c>
      <c r="G349" s="3" t="s">
        <v>397</v>
      </c>
      <c r="H349" s="28">
        <v>0.71975733895429539</v>
      </c>
      <c r="I349" s="3" t="s">
        <v>33</v>
      </c>
      <c r="J349" s="3" t="str">
        <f ca="1">IFERROR(__xludf.DUMMYFUNCTION("GOOGLETRANSLATE(I349,""ES"",""EN"")"),"Negative effects: lack of family integration ...")</f>
        <v>Negative effects: lack of family integration ...</v>
      </c>
      <c r="K349" s="1"/>
      <c r="L349" s="1"/>
      <c r="M349" s="1"/>
      <c r="N349" s="1"/>
      <c r="O349" s="1"/>
      <c r="P349" s="1"/>
      <c r="Q349" s="1"/>
      <c r="R349" s="1"/>
      <c r="S349" s="1"/>
      <c r="T349" s="1"/>
      <c r="U349" s="1"/>
      <c r="V349" s="1"/>
      <c r="W349" s="1"/>
      <c r="X349" s="1"/>
      <c r="Y349" s="1"/>
      <c r="Z349" s="1"/>
    </row>
    <row r="350" spans="1:26" ht="15.75" customHeight="1" x14ac:dyDescent="0.25">
      <c r="A350" s="7" t="s">
        <v>5</v>
      </c>
      <c r="B350" s="3" t="s">
        <v>719</v>
      </c>
      <c r="C350" s="3" t="s">
        <v>734</v>
      </c>
      <c r="D350" s="3" t="str">
        <f ca="1">IFERROR(__xludf.DUMMYFUNCTION("GOOGLETRANSLATE(C350,""ES"",""EN"")"),"Users \ result \ people end up discarding treatments")</f>
        <v>Users \ result \ people end up discarding treatments</v>
      </c>
      <c r="E350" s="3" t="s">
        <v>736</v>
      </c>
      <c r="F350" s="3" t="str">
        <f ca="1">IFERROR(__xludf.DUMMYFUNCTION("GOOGLETRANSLATE(E350,""ES"",""EN"")"),"I give an example, a person who is mostly depressive and for example, he is not going to want Treatments or sometimes those who have some more resources or a particular consultation, but that remain only in medical control and there are no greater interve"&amp;"ntions of other professionals. That I think could sometimes be one of the effects that can lead to abandonment or desert a treatment, or that the treatment may not be as continuous as it should be done. That is, depending on the seriousness of the clinica"&amp;"l picture, if they have fever and weekly, biweekly or monthly, because a secondary center of the minimum person should come every 15 days to access their treatment. And that sometimes in practice no. Does not occur.")</f>
        <v>I give an example, a person who is mostly depressive and for example, he is not going to want Treatments or sometimes those who have some more resources or a particular consultation, but that remain only in medical control and there are no greater interventions of other professionals. That I think could sometimes be one of the effects that can lead to abandonment or desert a treatment, or that the treatment may not be as continuous as it should be done. That is, depending on the seriousness of the clinical picture, if they have fever and weekly, biweekly or monthly, because a secondary center of the minimum person should come every 15 days to access their treatment. And that sometimes in practice no. Does not occur.</v>
      </c>
      <c r="G350" s="3" t="s">
        <v>737</v>
      </c>
      <c r="H350" s="28">
        <v>2.2929412369543982</v>
      </c>
      <c r="I350" s="3" t="s">
        <v>33</v>
      </c>
      <c r="J350" s="3" t="str">
        <f ca="1">IFERROR(__xludf.DUMMYFUNCTION("GOOGLETRANSLATE(I350,""ES"",""EN"")"),"Negative effects: lack of family integration ...")</f>
        <v>Negative effects: lack of family integration ...</v>
      </c>
      <c r="K350" s="1"/>
      <c r="L350" s="1"/>
      <c r="M350" s="1"/>
      <c r="N350" s="1"/>
      <c r="O350" s="1"/>
      <c r="P350" s="1"/>
      <c r="Q350" s="1"/>
      <c r="R350" s="1"/>
      <c r="S350" s="1"/>
      <c r="T350" s="1"/>
      <c r="U350" s="1"/>
      <c r="V350" s="1"/>
      <c r="W350" s="1"/>
      <c r="X350" s="1"/>
      <c r="Y350" s="1"/>
      <c r="Z350" s="1"/>
    </row>
    <row r="351" spans="1:26" ht="15.75" customHeight="1" x14ac:dyDescent="0.25">
      <c r="A351" s="11" t="s">
        <v>5</v>
      </c>
      <c r="B351" s="3" t="s">
        <v>719</v>
      </c>
      <c r="C351" s="3" t="s">
        <v>586</v>
      </c>
      <c r="D351" s="3" t="str">
        <f ca="1">IFERROR(__xludf.DUMMYFUNCTION("GOOGLETRANSLATE(C351,""ES"",""EN"")"),"Benefits \ Result \ Induced Diagnosis")</f>
        <v>Benefits \ Result \ Induced Diagnosis</v>
      </c>
      <c r="E351" s="3" t="s">
        <v>738</v>
      </c>
      <c r="F351" s="3" t="str">
        <f ca="1">IFERROR(__xludf.DUMMYFUNCTION("GOOGLETRANSLATE(E351,""ES"",""EN"")"),"That was a topic of conversation, that if the diagnosis was not an app, the diagnosis had to be put, which was nothing more ideal for an app. But we also leave them registered so that the partner, if there is any questions where he approaches, lowers the "&amp;"ideal diagnosis that approaches an app because that PPD has a copayment. Now not everyone knows, sometimes you have to be inducing there because it is marked in bold. These are the ppdo drinking fountains. Those who pay that and then come the jackets. It "&amp;"comes associated with a cost and all that.")</f>
        <v>That was a topic of conversation, that if the diagnosis was not an app, the diagnosis had to be put, which was nothing more ideal for an app. But we also leave them registered so that the partner, if there is any questions where he approaches, lowers the ideal diagnosis that approaches an app because that PPD has a copayment. Now not everyone knows, sometimes you have to be inducing there because it is marked in bold. These are the ppdo drinking fountains. Those who pay that and then come the jackets. It comes associated with a cost and all that.</v>
      </c>
      <c r="G351" s="3" t="s">
        <v>739</v>
      </c>
      <c r="H351" s="28">
        <v>1.426661868284407</v>
      </c>
      <c r="I351" s="3" t="s">
        <v>278</v>
      </c>
      <c r="J351" s="3" t="str">
        <f ca="1">IFERROR(__xludf.DUMMYFUNCTION("GOOGLETRANSLATE(I351,""ES"",""EN"")"),"Negative effects: centered on diagnose")</f>
        <v>Negative effects: centered on diagnose</v>
      </c>
      <c r="K351" s="1"/>
      <c r="L351" s="1"/>
      <c r="M351" s="1"/>
      <c r="N351" s="1"/>
      <c r="O351" s="1"/>
      <c r="P351" s="1"/>
      <c r="Q351" s="1"/>
      <c r="R351" s="1"/>
      <c r="S351" s="1"/>
      <c r="T351" s="1"/>
      <c r="U351" s="1"/>
      <c r="V351" s="1"/>
      <c r="W351" s="1"/>
      <c r="X351" s="1"/>
      <c r="Y351" s="1"/>
      <c r="Z351" s="1"/>
    </row>
    <row r="352" spans="1:26" ht="15.75" customHeight="1" x14ac:dyDescent="0.25">
      <c r="A352" s="12" t="s">
        <v>5</v>
      </c>
      <c r="B352" s="3" t="s">
        <v>719</v>
      </c>
      <c r="C352" s="3" t="s">
        <v>740</v>
      </c>
      <c r="D352" s="3" t="str">
        <f ca="1">IFERROR(__xludf.DUMMYFUNCTION("GOOGLETRANSLATE(C352,""ES"",""EN"")"),"Governance \ Result \ ends up getting funds")</f>
        <v>Governance \ Result \ ends up getting funds</v>
      </c>
      <c r="E352" s="3" t="s">
        <v>741</v>
      </c>
      <c r="F352" s="3" t="str">
        <f ca="1">IFERROR(__xludf.DUMMYFUNCTION("GOOGLETRANSLATE(E352,""ES"",""EN"")"),"With the old hospital direction, with whom there was a lot of closeness with the issue of mental health, I managed to get two funds that we did not have a fund for mobilization, for transfers and we must move within the commune, pay collective taxi, so Ma"&amp;"ke a transfer, move by bus.")</f>
        <v>With the old hospital direction, with whom there was a lot of closeness with the issue of mental health, I managed to get two funds that we did not have a fund for mobilization, for transfers and we must move within the commune, pay collective taxi, so Make a transfer, move by bus.</v>
      </c>
      <c r="G352" s="3" t="s">
        <v>742</v>
      </c>
      <c r="H352" s="28">
        <v>0.76345689167652053</v>
      </c>
      <c r="I352" s="3" t="s">
        <v>90</v>
      </c>
      <c r="J352" s="3" t="str">
        <f ca="1">IFERROR(__xludf.DUMMYFUNCTION("GOOGLETRANSLATE(I352,""ES"",""EN"")"),"Negative effect: questioning of the installation of the CSMC model")</f>
        <v>Negative effect: questioning of the installation of the CSMC model</v>
      </c>
      <c r="K352" s="1"/>
      <c r="L352" s="1"/>
      <c r="M352" s="1"/>
      <c r="N352" s="1"/>
      <c r="O352" s="1"/>
      <c r="P352" s="1"/>
      <c r="Q352" s="1"/>
      <c r="R352" s="1"/>
      <c r="S352" s="1"/>
      <c r="T352" s="1"/>
      <c r="U352" s="1"/>
      <c r="V352" s="1"/>
      <c r="W352" s="1"/>
      <c r="X352" s="1"/>
      <c r="Y352" s="1"/>
      <c r="Z352" s="1"/>
    </row>
    <row r="353" spans="1:26" ht="15.75" customHeight="1" x14ac:dyDescent="0.25">
      <c r="A353" s="12" t="s">
        <v>5</v>
      </c>
      <c r="B353" s="3" t="s">
        <v>719</v>
      </c>
      <c r="C353" s="3" t="s">
        <v>740</v>
      </c>
      <c r="D353" s="3" t="str">
        <f ca="1">IFERROR(__xludf.DUMMYFUNCTION("GOOGLETRANSLATE(C353,""ES"",""EN"")"),"Governance \ Result \ ends up getting funds")</f>
        <v>Governance \ Result \ ends up getting funds</v>
      </c>
      <c r="E353" s="3" t="s">
        <v>743</v>
      </c>
      <c r="F353" s="3" t="str">
        <f ca="1">IFERROR(__xludf.DUMMYFUNCTION("GOOGLETRANSLATE(E353,""ES"",""EN"")"),"Other funds that have to do with expenses, several things that can leave at the time where we can have that money. We did not have that before, it was only achieved only by management and by the will of the director who was at that time that she agreed to"&amp;" grant it. He climbed the amounts. Before it was not an amount of 100 thousand pesos, because they gave me 980 and one of 100 and I have maintained it and it was the direct successor, it did not take it away, it was stipulated and so far I continue to mai"&amp;"ntain it. I think that has generated some autonomy for some things.")</f>
        <v>Other funds that have to do with expenses, several things that can leave at the time where we can have that money. We did not have that before, it was only achieved only by management and by the will of the director who was at that time that she agreed to grant it. He climbed the amounts. Before it was not an amount of 100 thousand pesos, because they gave me 980 and one of 100 and I have maintained it and it was the direct successor, it did not take it away, it was stipulated and so far I continue to maintain it. I think that has generated some autonomy for some things.</v>
      </c>
      <c r="G353" s="3" t="s">
        <v>744</v>
      </c>
      <c r="H353" s="28">
        <v>1.4395146779085908</v>
      </c>
      <c r="I353" s="3" t="s">
        <v>90</v>
      </c>
      <c r="J353" s="3" t="str">
        <f ca="1">IFERROR(__xludf.DUMMYFUNCTION("GOOGLETRANSLATE(I353,""ES"",""EN"")"),"Negative effect: questioning of the installation of the CSMC model")</f>
        <v>Negative effect: questioning of the installation of the CSMC model</v>
      </c>
      <c r="K353" s="1"/>
      <c r="L353" s="1"/>
      <c r="M353" s="1"/>
      <c r="N353" s="1"/>
      <c r="O353" s="1"/>
      <c r="P353" s="1"/>
      <c r="Q353" s="1"/>
      <c r="R353" s="1"/>
      <c r="S353" s="1"/>
      <c r="T353" s="1"/>
      <c r="U353" s="1"/>
      <c r="V353" s="1"/>
      <c r="W353" s="1"/>
      <c r="X353" s="1"/>
      <c r="Y353" s="1"/>
      <c r="Z353" s="1"/>
    </row>
    <row r="354" spans="1:26" ht="15.75" customHeight="1" x14ac:dyDescent="0.25">
      <c r="A354" s="2" t="s">
        <v>5</v>
      </c>
      <c r="B354" s="3" t="s">
        <v>719</v>
      </c>
      <c r="C354" s="3" t="s">
        <v>637</v>
      </c>
      <c r="D354" s="3" t="str">
        <f ca="1">IFERROR(__xludf.DUMMYFUNCTION("GOOGLETRANSLATE(C354,""ES"",""EN"")"),"HUMAN RESOURCES \ Result \ job instability")</f>
        <v>HUMAN RESOURCES \ Result \ job instability</v>
      </c>
      <c r="E354" s="3" t="s">
        <v>745</v>
      </c>
      <c r="F354" s="3" t="str">
        <f ca="1">IFERROR(__xludf.DUMMYFUNCTION("GOOGLETRANSLATE(E354,""ES"",""EN"")"),"That is for us quite significant in relation to others who work with fees and that generates it is not true that it can be a lack of stability, the professional who wants to work.")</f>
        <v>That is for us quite significant in relation to others who work with fees and that generates it is not true that it can be a lack of stability, the professional who wants to work.</v>
      </c>
      <c r="G354" s="3" t="s">
        <v>218</v>
      </c>
      <c r="H354" s="28">
        <v>0.50897126111768032</v>
      </c>
      <c r="I354" s="3" t="s">
        <v>21</v>
      </c>
      <c r="J354" s="3" t="str">
        <f ca="1">IFERROR(__xludf.DUMMYFUNCTION("GOOGLETRANSLATE(I354,""ES"",""EN"")"),"Negative effects: high rotation of professionals")</f>
        <v>Negative effects: high rotation of professionals</v>
      </c>
      <c r="K354" s="1"/>
      <c r="L354" s="1"/>
      <c r="M354" s="1"/>
      <c r="N354" s="1"/>
      <c r="O354" s="1"/>
      <c r="P354" s="1"/>
      <c r="Q354" s="1"/>
      <c r="R354" s="1"/>
      <c r="S354" s="1"/>
      <c r="T354" s="1"/>
      <c r="U354" s="1"/>
      <c r="V354" s="1"/>
      <c r="W354" s="1"/>
      <c r="X354" s="1"/>
      <c r="Y354" s="1"/>
      <c r="Z354" s="1"/>
    </row>
    <row r="355" spans="1:26" ht="15.75" customHeight="1" x14ac:dyDescent="0.25">
      <c r="A355" s="2" t="s">
        <v>5</v>
      </c>
      <c r="B355" s="3" t="s">
        <v>719</v>
      </c>
      <c r="C355" s="3" t="s">
        <v>631</v>
      </c>
      <c r="D355" s="3" t="str">
        <f ca="1">IFERROR(__xludf.DUMMYFUNCTION("GOOGLETRANSLATE(C355,""ES"",""EN"")"),"Human Resources \ Result \ job stability")</f>
        <v>Human Resources \ Result \ job stability</v>
      </c>
      <c r="E355" s="3" t="s">
        <v>746</v>
      </c>
      <c r="F355" s="3" t="str">
        <f ca="1">IFERROR(__xludf.DUMMYFUNCTION("GOOGLETRANSLATE(E355,""ES"",""EN"")"),"In this case we count the professionals, at least all with the law eighteen thousand eight, three or four and that generates stability.")</f>
        <v>In this case we count the professionals, at least all with the law eighteen thousand eight, three or four and that generates stability.</v>
      </c>
      <c r="G355" s="3" t="s">
        <v>115</v>
      </c>
      <c r="H355" s="28">
        <v>0.35730810755231096</v>
      </c>
      <c r="I355" s="3" t="s">
        <v>21</v>
      </c>
      <c r="J355" s="3" t="str">
        <f ca="1">IFERROR(__xludf.DUMMYFUNCTION("GOOGLETRANSLATE(I355,""ES"",""EN"")"),"Negative effects: high rotation of professionals")</f>
        <v>Negative effects: high rotation of professionals</v>
      </c>
      <c r="K355" s="1"/>
      <c r="L355" s="1"/>
      <c r="M355" s="1"/>
      <c r="N355" s="1"/>
      <c r="O355" s="1"/>
      <c r="P355" s="1"/>
      <c r="Q355" s="1"/>
      <c r="R355" s="1"/>
      <c r="S355" s="1"/>
      <c r="T355" s="1"/>
      <c r="U355" s="1"/>
      <c r="V355" s="1"/>
      <c r="W355" s="1"/>
      <c r="X355" s="1"/>
      <c r="Y355" s="1"/>
      <c r="Z355" s="1"/>
    </row>
    <row r="356" spans="1:26" ht="15.75" customHeight="1" x14ac:dyDescent="0.25">
      <c r="A356" s="2" t="s">
        <v>5</v>
      </c>
      <c r="B356" s="3" t="s">
        <v>719</v>
      </c>
      <c r="C356" s="3" t="s">
        <v>747</v>
      </c>
      <c r="D356" s="3" t="str">
        <f ca="1">IFERROR(__xludf.DUMMYFUNCTION("GOOGLETRANSLATE(C356,""ES"",""EN"")"),"Human Resources \ Result \ Loss of charges")</f>
        <v>Human Resources \ Result \ Loss of charges</v>
      </c>
      <c r="E356" s="3" t="s">
        <v>748</v>
      </c>
      <c r="F356" s="3" t="str">
        <f ca="1">IFERROR(__xludf.DUMMYFUNCTION("GOOGLETRANSLATE(E356,""ES"",""EN"")"),"It happened to me that we are in that, that in the positions he had, for example, the doctor who is by medical law, took it, took him to the hospital and occupied him in another doctor.
Speaker2: [00:18:27] and that position did not return us.")</f>
        <v>It happened to me that we are in that, that in the positions he had, for example, the doctor who is by medical law, took it, took him to the hospital and occupied him in another doctor.
Speaker2: [00:18:27] and that position did not return us.</v>
      </c>
      <c r="G356" s="3" t="s">
        <v>749</v>
      </c>
      <c r="H356" s="28">
        <v>0.58865868078762018</v>
      </c>
      <c r="I356" s="3" t="s">
        <v>21</v>
      </c>
      <c r="J356" s="3" t="str">
        <f ca="1">IFERROR(__xludf.DUMMYFUNCTION("GOOGLETRANSLATE(I356,""ES"",""EN"")"),"Negative effects: high rotation of professionals")</f>
        <v>Negative effects: high rotation of professionals</v>
      </c>
      <c r="K356" s="1"/>
      <c r="L356" s="1"/>
      <c r="M356" s="1"/>
      <c r="N356" s="1"/>
      <c r="O356" s="1"/>
      <c r="P356" s="1"/>
      <c r="Q356" s="1"/>
      <c r="R356" s="1"/>
      <c r="S356" s="1"/>
      <c r="T356" s="1"/>
      <c r="U356" s="1"/>
      <c r="V356" s="1"/>
      <c r="W356" s="1"/>
      <c r="X356" s="1"/>
      <c r="Y356" s="1"/>
      <c r="Z356" s="1"/>
    </row>
    <row r="357" spans="1:26" ht="15.75" customHeight="1" x14ac:dyDescent="0.25">
      <c r="A357" s="2" t="s">
        <v>5</v>
      </c>
      <c r="B357" s="3" t="s">
        <v>719</v>
      </c>
      <c r="C357" s="3" t="s">
        <v>747</v>
      </c>
      <c r="D357" s="3" t="str">
        <f ca="1">IFERROR(__xludf.DUMMYFUNCTION("GOOGLETRANSLATE(C357,""ES"",""EN"")"),"Human Resources \ Result \ Loss of charges")</f>
        <v>Human Resources \ Result \ Loss of charges</v>
      </c>
      <c r="E357" s="3" t="s">
        <v>750</v>
      </c>
      <c r="F357" s="3" t="str">
        <f ca="1">IFERROR(__xludf.DUMMYFUNCTION("GOOGLETRANSLATE(E357,""ES"",""EN"")"),"It also happened to us when the pandemic passed, some positions took us away. And I am now in that, when they return me. They have already returned one of three who took, now they should return another and so on. That has also generated certain difficulti"&amp;"es in the human resource that when part of the hospital budget, the hospital determines")</f>
        <v>It also happened to us when the pandemic passed, some positions took us away. And I am now in that, when they return me. They have already returned one of three who took, now they should return another and so on. That has also generated certain difficulties in the human resource that when part of the hospital budget, the hospital determines</v>
      </c>
      <c r="G357" s="3" t="s">
        <v>751</v>
      </c>
      <c r="H357" s="28">
        <v>0.9125494833170531</v>
      </c>
      <c r="I357" s="3" t="s">
        <v>21</v>
      </c>
      <c r="J357" s="3" t="str">
        <f ca="1">IFERROR(__xludf.DUMMYFUNCTION("GOOGLETRANSLATE(I357,""ES"",""EN"")"),"Negative effects: high rotation of professionals")</f>
        <v>Negative effects: high rotation of professionals</v>
      </c>
      <c r="K357" s="1"/>
      <c r="L357" s="1"/>
      <c r="M357" s="1"/>
      <c r="N357" s="1"/>
      <c r="O357" s="1"/>
      <c r="P357" s="1"/>
      <c r="Q357" s="1"/>
      <c r="R357" s="1"/>
      <c r="S357" s="1"/>
      <c r="T357" s="1"/>
      <c r="U357" s="1"/>
      <c r="V357" s="1"/>
      <c r="W357" s="1"/>
      <c r="X357" s="1"/>
      <c r="Y357" s="1"/>
      <c r="Z357" s="1"/>
    </row>
    <row r="358" spans="1:26" ht="15.75" customHeight="1" x14ac:dyDescent="0.25">
      <c r="A358" s="2" t="s">
        <v>5</v>
      </c>
      <c r="B358" s="3" t="s">
        <v>719</v>
      </c>
      <c r="C358" s="3" t="s">
        <v>747</v>
      </c>
      <c r="D358" s="3" t="str">
        <f ca="1">IFERROR(__xludf.DUMMYFUNCTION("GOOGLETRANSLATE(C358,""ES"",""EN"")"),"Human Resources \ Result \ Loss of charges")</f>
        <v>Human Resources \ Result \ Loss of charges</v>
      </c>
      <c r="E358" s="3" t="s">
        <v>752</v>
      </c>
      <c r="F358" s="3" t="str">
        <f ca="1">IFERROR(__xludf.DUMMYFUNCTION("GOOGLETRANSLATE(E358,""ES"",""EN"")"),"Come on, we take office and take ourselves to another service and it is difficult to take them back. And that just happened in the newspaper. I left prenatal. When I arrived, these cars had already taken and now I am asking to be returned to me and doing "&amp;"all the efforts that the charges return me, because the areas and all the charges were hired. Therefore, we did not have to have any purchase of services, because as it came with law of 18 for all the professionals who were going to work in the center.")</f>
        <v>Come on, we take office and take ourselves to another service and it is difficult to take them back. And that just happened in the newspaper. I left prenatal. When I arrived, these cars had already taken and now I am asking to be returned to me and doing all the efforts that the charges return me, because the areas and all the charges were hired. Therefore, we did not have to have any purchase of services, because as it came with law of 18 for all the professionals who were going to work in the center.</v>
      </c>
      <c r="G358" s="3" t="s">
        <v>753</v>
      </c>
      <c r="H358" s="28">
        <v>1.3932445632615289</v>
      </c>
      <c r="I358" s="3" t="s">
        <v>21</v>
      </c>
      <c r="J358" s="3" t="str">
        <f ca="1">IFERROR(__xludf.DUMMYFUNCTION("GOOGLETRANSLATE(I358,""ES"",""EN"")"),"Negative effects: high rotation of professionals")</f>
        <v>Negative effects: high rotation of professionals</v>
      </c>
      <c r="K358" s="1"/>
      <c r="L358" s="1"/>
      <c r="M358" s="1"/>
      <c r="N358" s="1"/>
      <c r="O358" s="1"/>
      <c r="P358" s="1"/>
      <c r="Q358" s="1"/>
      <c r="R358" s="1"/>
      <c r="S358" s="1"/>
      <c r="T358" s="1"/>
      <c r="U358" s="1"/>
      <c r="V358" s="1"/>
      <c r="W358" s="1"/>
      <c r="X358" s="1"/>
      <c r="Y358" s="1"/>
      <c r="Z358" s="1"/>
    </row>
    <row r="359" spans="1:26" ht="15.75" customHeight="1" x14ac:dyDescent="0.25">
      <c r="A359" s="10" t="s">
        <v>5</v>
      </c>
      <c r="B359" s="3" t="s">
        <v>719</v>
      </c>
      <c r="C359" s="3" t="s">
        <v>129</v>
      </c>
      <c r="D359" s="3" t="str">
        <f ca="1">IFERROR(__xludf.DUMMYFUNCTION("GOOGLETRANSLATE(C359,""ES"",""EN"")"),"INFORMATION \ Result \ Electronic clinical record do not dialogue between levels")</f>
        <v>INFORMATION \ Result \ Electronic clinical record do not dialogue between levels</v>
      </c>
      <c r="E359" s="3" t="s">
        <v>754</v>
      </c>
      <c r="F359" s="3" t="str">
        <f ca="1">IFERROR(__xludf.DUMMYFUNCTION("GOOGLETRANSLATE(E359,""ES"",""EN"")"),"But there is a deficiency, one deficiency I think is quite large and that both the system occupies the hospital level at the secondary level and us, do not dialogue with the Habsis system that occupies all primary care and that for example, I think which "&amp;"is fatal in the sense that he does not know")</f>
        <v>But there is a deficiency, one deficiency I think is quite large and that both the system occupies the hospital level at the secondary level and us, do not dialogue with the Habsis system that occupies all primary care and that for example, I think which is fatal in the sense that he does not know</v>
      </c>
      <c r="G359" s="3" t="s">
        <v>554</v>
      </c>
      <c r="H359" s="28">
        <v>0.77116857745103073</v>
      </c>
      <c r="I359" s="3" t="s">
        <v>132</v>
      </c>
      <c r="J359" s="3" t="str">
        <f ca="1">IFERROR(__xludf.DUMMYFUNCTION("GOOGLETRANSLATE(I359,""ES"",""EN"")"),"Negative effect: clinical record does not dialogue between care levels")</f>
        <v>Negative effect: clinical record does not dialogue between care levels</v>
      </c>
      <c r="K359" s="1"/>
      <c r="L359" s="1"/>
      <c r="M359" s="1"/>
      <c r="N359" s="1"/>
      <c r="O359" s="1"/>
      <c r="P359" s="1"/>
      <c r="Q359" s="1"/>
      <c r="R359" s="1"/>
      <c r="S359" s="1"/>
      <c r="T359" s="1"/>
      <c r="U359" s="1"/>
      <c r="V359" s="1"/>
      <c r="W359" s="1"/>
      <c r="X359" s="1"/>
      <c r="Y359" s="1"/>
      <c r="Z359" s="1"/>
    </row>
    <row r="360" spans="1:26" ht="15.75" customHeight="1" x14ac:dyDescent="0.25">
      <c r="A360" s="10" t="s">
        <v>5</v>
      </c>
      <c r="B360" s="3" t="s">
        <v>719</v>
      </c>
      <c r="C360" s="3" t="s">
        <v>129</v>
      </c>
      <c r="D360" s="3" t="str">
        <f ca="1">IFERROR(__xludf.DUMMYFUNCTION("GOOGLETRANSLATE(C360,""ES"",""EN"")"),"INFORMATION \ Result \ Electronic clinical record do not dialogue between levels")</f>
        <v>INFORMATION \ Result \ Electronic clinical record do not dialogue between levels</v>
      </c>
      <c r="E360" s="3" t="s">
        <v>755</v>
      </c>
      <c r="F360" s="3" t="str">
        <f ca="1">IFERROR(__xludf.DUMMYFUNCTION("GOOGLETRANSLATE(E360,""ES"",""EN"")"),"We cannot access teachers information when they are against primary care and primary care. You can access information with patients against secondary care")</f>
        <v>We cannot access teachers information when they are against primary care and primary care. You can access information with patients against secondary care</v>
      </c>
      <c r="G360" s="3" t="s">
        <v>756</v>
      </c>
      <c r="H360" s="28">
        <v>0.5423885661405583</v>
      </c>
      <c r="I360" s="3" t="s">
        <v>132</v>
      </c>
      <c r="J360" s="3" t="str">
        <f ca="1">IFERROR(__xludf.DUMMYFUNCTION("GOOGLETRANSLATE(I360,""ES"",""EN"")"),"Negative effect: clinical record does not dialogue between care levels")</f>
        <v>Negative effect: clinical record does not dialogue between care levels</v>
      </c>
      <c r="K360" s="1"/>
      <c r="L360" s="1"/>
      <c r="M360" s="1"/>
      <c r="N360" s="1"/>
      <c r="O360" s="1"/>
      <c r="P360" s="1"/>
      <c r="Q360" s="1"/>
      <c r="R360" s="1"/>
      <c r="S360" s="1"/>
      <c r="T360" s="1"/>
      <c r="U360" s="1"/>
      <c r="V360" s="1"/>
      <c r="W360" s="1"/>
      <c r="X360" s="1"/>
      <c r="Y360" s="1"/>
      <c r="Z360" s="1"/>
    </row>
    <row r="361" spans="1:26" ht="15.75" customHeight="1" x14ac:dyDescent="0.25">
      <c r="A361" s="10" t="s">
        <v>5</v>
      </c>
      <c r="B361" s="3" t="s">
        <v>719</v>
      </c>
      <c r="C361" s="3" t="s">
        <v>129</v>
      </c>
      <c r="D361" s="3" t="str">
        <f ca="1">IFERROR(__xludf.DUMMYFUNCTION("GOOGLETRANSLATE(C361,""ES"",""EN"")"),"INFORMATION \ Result \ Electronic clinical record do not dialogue between levels")</f>
        <v>INFORMATION \ Result \ Electronic clinical record do not dialogue between levels</v>
      </c>
      <c r="E361" s="3" t="s">
        <v>757</v>
      </c>
      <c r="F361" s="3" t="str">
        <f ca="1">IFERROR(__xludf.DUMMYFUNCTION("GOOGLETRANSLATE(E361,""ES"",""EN"")"),"I believe that there is a great failure that there is because it does not apply to information in due course. This is done by email or the same meetings by the network and there one is transferring information.")</f>
        <v>I believe that there is a great failure that there is because it does not apply to information in due course. This is done by email or the same meetings by the network and there one is transferring information.</v>
      </c>
      <c r="G361" s="3" t="s">
        <v>758</v>
      </c>
      <c r="H361" s="28">
        <v>0.54752968999023188</v>
      </c>
      <c r="I361" s="3" t="s">
        <v>132</v>
      </c>
      <c r="J361" s="3" t="str">
        <f ca="1">IFERROR(__xludf.DUMMYFUNCTION("GOOGLETRANSLATE(I361,""ES"",""EN"")"),"Negative effect: clinical record does not dialogue between care levels")</f>
        <v>Negative effect: clinical record does not dialogue between care levels</v>
      </c>
      <c r="K361" s="1"/>
      <c r="L361" s="1"/>
      <c r="M361" s="1"/>
      <c r="N361" s="1"/>
      <c r="O361" s="1"/>
      <c r="P361" s="1"/>
      <c r="Q361" s="1"/>
      <c r="R361" s="1"/>
      <c r="S361" s="1"/>
      <c r="T361" s="1"/>
      <c r="U361" s="1"/>
      <c r="V361" s="1"/>
      <c r="W361" s="1"/>
      <c r="X361" s="1"/>
      <c r="Y361" s="1"/>
      <c r="Z361" s="1"/>
    </row>
    <row r="362" spans="1:26" ht="15.75" customHeight="1" x14ac:dyDescent="0.25">
      <c r="A362" s="10" t="s">
        <v>5</v>
      </c>
      <c r="B362" s="3" t="s">
        <v>719</v>
      </c>
      <c r="C362" s="3" t="s">
        <v>129</v>
      </c>
      <c r="D362" s="3" t="str">
        <f ca="1">IFERROR(__xludf.DUMMYFUNCTION("GOOGLETRANSLATE(C362,""ES"",""EN"")"),"INFORMATION \ Result \ Electronic clinical record do not dialogue between levels")</f>
        <v>INFORMATION \ Result \ Electronic clinical record do not dialogue between levels</v>
      </c>
      <c r="E362" s="3" t="s">
        <v>759</v>
      </c>
      <c r="F362" s="3" t="str">
        <f ca="1">IFERROR(__xludf.DUMMYFUNCTION("GOOGLETRANSLATE(E362,""ES"",""EN"")"),"But computer systems do not dialogue and not dialogue the information. For example, if you want to know the treatment that a person is taking, it is not true that it is now with us, that it is still quite the PC. They cannot see because the systems of no,"&amp;" no, they do not agree.")</f>
        <v>But computer systems do not dialogue and not dialogue the information. For example, if you want to know the treatment that a person is taking, it is not true that it is now with us, that it is still quite the PC. They cannot see because the systems of no, no, they do not agree.</v>
      </c>
      <c r="G362" s="3" t="s">
        <v>203</v>
      </c>
      <c r="H362" s="28">
        <v>0.76602745360135727</v>
      </c>
      <c r="I362" s="3" t="s">
        <v>132</v>
      </c>
      <c r="J362" s="3" t="str">
        <f ca="1">IFERROR(__xludf.DUMMYFUNCTION("GOOGLETRANSLATE(I362,""ES"",""EN"")"),"Negative effect: clinical record does not dialogue between care levels")</f>
        <v>Negative effect: clinical record does not dialogue between care levels</v>
      </c>
      <c r="K362" s="1"/>
      <c r="L362" s="1"/>
      <c r="M362" s="1"/>
      <c r="N362" s="1"/>
      <c r="O362" s="1"/>
      <c r="P362" s="1"/>
      <c r="Q362" s="1"/>
      <c r="R362" s="1"/>
      <c r="S362" s="1"/>
      <c r="T362" s="1"/>
      <c r="U362" s="1"/>
      <c r="V362" s="1"/>
      <c r="W362" s="1"/>
      <c r="X362" s="1"/>
      <c r="Y362" s="1"/>
      <c r="Z362" s="1"/>
    </row>
    <row r="363" spans="1:26" ht="15.75" customHeight="1" x14ac:dyDescent="0.25">
      <c r="A363" s="10" t="s">
        <v>5</v>
      </c>
      <c r="B363" s="3" t="s">
        <v>719</v>
      </c>
      <c r="C363" s="3" t="s">
        <v>129</v>
      </c>
      <c r="D363" s="3" t="str">
        <f ca="1">IFERROR(__xludf.DUMMYFUNCTION("GOOGLETRANSLATE(C363,""ES"",""EN"")"),"INFORMATION \ Result \ Electronic clinical record do not dialogue between levels")</f>
        <v>INFORMATION \ Result \ Electronic clinical record do not dialogue between levels</v>
      </c>
      <c r="E363" s="3" t="s">
        <v>760</v>
      </c>
      <c r="F363" s="3" t="str">
        <f ca="1">IFERROR(__xludf.DUMMYFUNCTION("GOOGLETRANSLATE(E363,""ES"",""EN"")"),"They are different systems and I think there is difficult.")</f>
        <v>They are different systems and I think there is difficult.</v>
      </c>
      <c r="G363" s="3" t="s">
        <v>761</v>
      </c>
      <c r="H363" s="28">
        <v>0.133669220091512</v>
      </c>
      <c r="I363" s="3" t="s">
        <v>132</v>
      </c>
      <c r="J363" s="3" t="str">
        <f ca="1">IFERROR(__xludf.DUMMYFUNCTION("GOOGLETRANSLATE(I363,""ES"",""EN"")"),"Negative effect: clinical record does not dialogue between care levels")</f>
        <v>Negative effect: clinical record does not dialogue between care levels</v>
      </c>
      <c r="K363" s="1"/>
      <c r="L363" s="1"/>
      <c r="M363" s="1"/>
      <c r="N363" s="1"/>
      <c r="O363" s="1"/>
      <c r="P363" s="1"/>
      <c r="Q363" s="1"/>
      <c r="R363" s="1"/>
      <c r="S363" s="1"/>
      <c r="T363" s="1"/>
      <c r="U363" s="1"/>
      <c r="V363" s="1"/>
      <c r="W363" s="1"/>
      <c r="X363" s="1"/>
      <c r="Y363" s="1"/>
      <c r="Z363" s="1"/>
    </row>
    <row r="364" spans="1:26" ht="15.75" customHeight="1" x14ac:dyDescent="0.25">
      <c r="A364" s="10" t="s">
        <v>5</v>
      </c>
      <c r="B364" s="3" t="s">
        <v>719</v>
      </c>
      <c r="C364" s="3" t="s">
        <v>129</v>
      </c>
      <c r="D364" s="3" t="str">
        <f ca="1">IFERROR(__xludf.DUMMYFUNCTION("GOOGLETRANSLATE(C364,""ES"",""EN"")"),"INFORMATION \ Result \ Electronic clinical record do not dialogue between levels")</f>
        <v>INFORMATION \ Result \ Electronic clinical record do not dialogue between levels</v>
      </c>
      <c r="E364" s="3" t="s">
        <v>762</v>
      </c>
      <c r="F364" s="3" t="str">
        <f ca="1">IFERROR(__xludf.DUMMYFUNCTION("GOOGLETRANSLATE(E364,""ES"",""EN"")"),"I do not understand why no, there is not a single registration system at the health level. Why hospitals occupy a system in primary care Cuba another system when it should be the same? There are things that are sometimes not understood, those decisions th"&amp;"at can be said more central or regional, that hinders the people who are or the people who are in a day -to -day basis, or the people who operate in the field that need .")</f>
        <v>I do not understand why no, there is not a single registration system at the health level. Why hospitals occupy a system in primary care Cuba another system when it should be the same? There are things that are sometimes not understood, those decisions that can be said more central or regional, that hinders the people who are or the people who are in a day -to -day basis, or the people who operate in the field that need .</v>
      </c>
      <c r="G364" s="3" t="s">
        <v>763</v>
      </c>
      <c r="H364" s="28">
        <v>1.0642126368824225</v>
      </c>
      <c r="I364" s="3" t="s">
        <v>132</v>
      </c>
      <c r="J364" s="3" t="str">
        <f ca="1">IFERROR(__xludf.DUMMYFUNCTION("GOOGLETRANSLATE(I364,""ES"",""EN"")"),"Negative effect: clinical record does not dialogue between care levels")</f>
        <v>Negative effect: clinical record does not dialogue between care levels</v>
      </c>
      <c r="K364" s="1"/>
      <c r="L364" s="1"/>
      <c r="M364" s="1"/>
      <c r="N364" s="1"/>
      <c r="O364" s="1"/>
      <c r="P364" s="1"/>
      <c r="Q364" s="1"/>
      <c r="R364" s="1"/>
      <c r="S364" s="1"/>
      <c r="T364" s="1"/>
      <c r="U364" s="1"/>
      <c r="V364" s="1"/>
      <c r="W364" s="1"/>
      <c r="X364" s="1"/>
      <c r="Y364" s="1"/>
      <c r="Z364" s="1"/>
    </row>
    <row r="365" spans="1:26" ht="15.75" customHeight="1" x14ac:dyDescent="0.25">
      <c r="A365" s="6" t="s">
        <v>5</v>
      </c>
      <c r="B365" s="3" t="s">
        <v>719</v>
      </c>
      <c r="C365" s="9" t="s">
        <v>324</v>
      </c>
      <c r="D365" s="3" t="str">
        <f ca="1">IFERROR(__xludf.DUMMYFUNCTION("GOOGLETRANSLATE(C365,""ES"",""EN"")"),"FINANCING \ Result \ voltage between models in practice")</f>
        <v>FINANCING \ Result \ voltage between models in practice</v>
      </c>
      <c r="E365" s="9" t="s">
        <v>764</v>
      </c>
      <c r="F365" s="3" t="str">
        <f ca="1">IFERROR(__xludf.DUMMYFUNCTION("GOOGLETRANSLATE(E365,""ES"",""EN"")"),"Look, I think that at this time we dialogue because we managed to fulfill what the hospital asks us in the first instance")</f>
        <v>Look, I think that at this time we dialogue because we managed to fulfill what the hospital asks us in the first instance</v>
      </c>
      <c r="G365" s="9" t="s">
        <v>765</v>
      </c>
      <c r="H365" s="29">
        <v>0.30075574520590204</v>
      </c>
      <c r="I365" s="3" t="s">
        <v>51</v>
      </c>
      <c r="J365" s="3" t="str">
        <f ca="1">IFERROR(__xludf.DUMMYFUNCTION("GOOGLETRANSLATE(I365,""ES"",""EN"")"),"Negative effect: CSMC financing logics do not stimulate the implementation of the community mental health model.")</f>
        <v>Negative effect: CSMC financing logics do not stimulate the implementation of the community mental health model.</v>
      </c>
      <c r="K365" s="1"/>
      <c r="L365" s="1"/>
      <c r="M365" s="1"/>
      <c r="N365" s="1"/>
      <c r="O365" s="1"/>
      <c r="P365" s="1"/>
      <c r="Q365" s="1"/>
      <c r="R365" s="1"/>
      <c r="S365" s="1"/>
      <c r="T365" s="1"/>
      <c r="U365" s="1"/>
      <c r="V365" s="1"/>
      <c r="W365" s="1"/>
      <c r="X365" s="1"/>
      <c r="Y365" s="1"/>
      <c r="Z365" s="1"/>
    </row>
    <row r="366" spans="1:26" ht="15.75" customHeight="1" x14ac:dyDescent="0.25">
      <c r="A366" s="6" t="s">
        <v>5</v>
      </c>
      <c r="B366" s="3" t="s">
        <v>719</v>
      </c>
      <c r="C366" s="9" t="s">
        <v>324</v>
      </c>
      <c r="D366" s="3" t="str">
        <f ca="1">IFERROR(__xludf.DUMMYFUNCTION("GOOGLETRANSLATE(C366,""ES"",""EN"")"),"FINANCING \ Result \ voltage between models in practice")</f>
        <v>FINANCING \ Result \ voltage between models in practice</v>
      </c>
      <c r="E366" s="9" t="s">
        <v>766</v>
      </c>
      <c r="F366" s="3" t="str">
        <f ca="1">IFERROR(__xludf.DUMMYFUNCTION("GOOGLETRANSLATE(E366,""ES"",""EN"")"),"I believe that if we could not fulfill everything we would have more problems and would be mostly as above saying what happened what happened, but we did it with the hospital.")</f>
        <v>I believe that if we could not fulfill everything we would have more problems and would be mostly as above saying what happened what happened, but we did it with the hospital.</v>
      </c>
      <c r="G366" s="9" t="s">
        <v>767</v>
      </c>
      <c r="H366" s="29">
        <v>0.4318544033725773</v>
      </c>
      <c r="I366" s="3" t="s">
        <v>51</v>
      </c>
      <c r="J366" s="3" t="str">
        <f ca="1">IFERROR(__xludf.DUMMYFUNCTION("GOOGLETRANSLATE(I366,""ES"",""EN"")"),"Negative effect: CSMC financing logics do not stimulate the implementation of the community mental health model.")</f>
        <v>Negative effect: CSMC financing logics do not stimulate the implementation of the community mental health model.</v>
      </c>
      <c r="K366" s="1"/>
      <c r="L366" s="1"/>
      <c r="M366" s="1"/>
      <c r="N366" s="1"/>
      <c r="O366" s="1"/>
      <c r="P366" s="1"/>
      <c r="Q366" s="1"/>
      <c r="R366" s="1"/>
      <c r="S366" s="1"/>
      <c r="T366" s="1"/>
      <c r="U366" s="1"/>
      <c r="V366" s="1"/>
      <c r="W366" s="1"/>
      <c r="X366" s="1"/>
      <c r="Y366" s="1"/>
      <c r="Z366" s="1"/>
    </row>
    <row r="367" spans="1:26" ht="15.75" customHeight="1" x14ac:dyDescent="0.25">
      <c r="A367" s="2" t="s">
        <v>5</v>
      </c>
      <c r="B367" s="3" t="s">
        <v>719</v>
      </c>
      <c r="C367" s="3" t="s">
        <v>768</v>
      </c>
      <c r="D367" s="3" t="str">
        <f ca="1">IFERROR(__xludf.DUMMYFUNCTION("GOOGLETRANSLATE(C367,""ES"",""EN"")"),"Human Resources \ Result \ Patients do not want to return to Cesfam")</f>
        <v>Human Resources \ Result \ Patients do not want to return to Cesfam</v>
      </c>
      <c r="E367" s="3" t="s">
        <v>769</v>
      </c>
      <c r="F367" s="3" t="str">
        <f ca="1">IFERROR(__xludf.DUMMYFUNCTION("GOOGLETRANSLATE(E367,""ES"",""EN"")"),"Another thing that we are working hard, that people do not want to go high school, do not want to leave, who do not want We are working on this to educate people.")</f>
        <v>Another thing that we are working hard, that people do not want to go high school, do not want to leave, who do not want We are working on this to educate people.</v>
      </c>
      <c r="G367" s="3" t="s">
        <v>498</v>
      </c>
      <c r="H367" s="28">
        <v>0.75317464397717349</v>
      </c>
      <c r="I367" s="3" t="s">
        <v>10</v>
      </c>
      <c r="J367" s="3" t="str">
        <f ca="1">IFERROR(__xludf.DUMMYFUNCTION("GOOGLETRANSLATE(I367,""ES"",""EN"")"),"Negative effects: staff does not cover the demand for care")</f>
        <v>Negative effects: staff does not cover the demand for care</v>
      </c>
      <c r="K367" s="1"/>
      <c r="L367" s="1"/>
      <c r="M367" s="1"/>
      <c r="N367" s="1"/>
      <c r="O367" s="1"/>
      <c r="P367" s="1"/>
      <c r="Q367" s="1"/>
      <c r="R367" s="1"/>
      <c r="S367" s="1"/>
      <c r="T367" s="1"/>
      <c r="U367" s="1"/>
      <c r="V367" s="1"/>
      <c r="W367" s="1"/>
      <c r="X367" s="1"/>
      <c r="Y367" s="1"/>
      <c r="Z367" s="1"/>
    </row>
    <row r="368" spans="1:26" ht="15.75" customHeight="1" x14ac:dyDescent="0.25">
      <c r="A368" s="6" t="s">
        <v>5</v>
      </c>
      <c r="B368" s="3" t="s">
        <v>770</v>
      </c>
      <c r="C368" s="3" t="s">
        <v>225</v>
      </c>
      <c r="D368" s="3" t="str">
        <f ca="1">IFERROR(__xludf.DUMMYFUNCTION("GOOGLETRANSLATE(C368,""ES"",""EN"")"),"FINANCING \ Result \ main achievement of financing CSMC \ Clinical Achievement")</f>
        <v>FINANCING \ Result \ main achievement of financing CSMC \ Clinical Achievement</v>
      </c>
      <c r="E368" s="3" t="s">
        <v>771</v>
      </c>
      <c r="F368" s="3" t="str">
        <f ca="1">IFERROR(__xludf.DUMMYFUNCTION("GOOGLETRANSLATE(E368,""ES"",""EN"")"),"In my experience, Olga, I believe that the main achievement or change we could see in relation to the ancient model has to do with adherence, with the highs, the highest incidence of high, and the adhesion of the user to this care model . I think that is "&amp;"like the most important elements in terms of clinical.")</f>
        <v>In my experience, Olga, I believe that the main achievement or change we could see in relation to the ancient model has to do with adherence, with the highs, the highest incidence of high, and the adhesion of the user to this care model . I think that is like the most important elements in terms of clinical.</v>
      </c>
      <c r="G368" s="3" t="s">
        <v>370</v>
      </c>
      <c r="H368" s="28">
        <v>1.2897881907466573</v>
      </c>
      <c r="I368" s="3" t="s">
        <v>228</v>
      </c>
      <c r="J368" s="3" t="str">
        <f ca="1">IFERROR(__xludf.DUMMYFUNCTION("GOOGLETRANSLATE(I368,""ES"",""EN"")"),"Clinical achievements")</f>
        <v>Clinical achievements</v>
      </c>
      <c r="K368" s="1"/>
      <c r="L368" s="1"/>
      <c r="M368" s="1"/>
      <c r="N368" s="1"/>
      <c r="O368" s="1"/>
      <c r="P368" s="1"/>
      <c r="Q368" s="1"/>
      <c r="R368" s="1"/>
      <c r="S368" s="1"/>
      <c r="T368" s="1"/>
      <c r="U368" s="1"/>
      <c r="V368" s="1"/>
      <c r="W368" s="1"/>
      <c r="X368" s="1"/>
      <c r="Y368" s="1"/>
      <c r="Z368" s="1"/>
    </row>
    <row r="369" spans="1:26" ht="15.75" customHeight="1" x14ac:dyDescent="0.25">
      <c r="A369" s="6" t="s">
        <v>5</v>
      </c>
      <c r="B369" s="3" t="s">
        <v>770</v>
      </c>
      <c r="C369" s="3" t="s">
        <v>210</v>
      </c>
      <c r="D369" s="3" t="str">
        <f ca="1">IFERROR(__xludf.DUMMYFUNCTION("GOOGLETRANSLATE(C369,""ES"",""EN"")"),"FINANCING \ Result \ main achievement of financing the CSMC \ Achievement to be in the community")</f>
        <v>FINANCING \ Result \ main achievement of financing the CSMC \ Achievement to be in the community</v>
      </c>
      <c r="E369" s="3" t="s">
        <v>772</v>
      </c>
      <c r="F369" s="3" t="str">
        <f ca="1">IFERROR(__xludf.DUMMYFUNCTION("GOOGLETRANSLATE(E369,""ES"",""EN"")"),"And as for the link with the territory, with the community, the link that is generated with primary care and with institutions, with community groups, allowing mental health to have greater development or greater understanding by the part of the environme"&amp;"nt.")</f>
        <v>And as for the link with the territory, with the community, the link that is generated with primary care and with institutions, with community groups, allowing mental health to have greater development or greater understanding by the part of the environment.</v>
      </c>
      <c r="G369" s="3" t="s">
        <v>773</v>
      </c>
      <c r="H369" s="28">
        <v>1.0728513390920207</v>
      </c>
      <c r="I369" s="3" t="s">
        <v>213</v>
      </c>
      <c r="J369" s="3" t="str">
        <f ca="1">IFERROR(__xludf.DUMMYFUNCTION("GOOGLETRANSLATE(I369,""ES"",""EN"")"),"Better coverage, closeness and context of attention")</f>
        <v>Better coverage, closeness and context of attention</v>
      </c>
      <c r="K369" s="1"/>
      <c r="L369" s="1"/>
      <c r="M369" s="1"/>
      <c r="N369" s="1"/>
      <c r="O369" s="1"/>
      <c r="P369" s="1"/>
      <c r="Q369" s="1"/>
      <c r="R369" s="1"/>
      <c r="S369" s="1"/>
      <c r="T369" s="1"/>
      <c r="U369" s="1"/>
      <c r="V369" s="1"/>
      <c r="W369" s="1"/>
      <c r="X369" s="1"/>
      <c r="Y369" s="1"/>
      <c r="Z369" s="1"/>
    </row>
    <row r="370" spans="1:26" ht="15.75" customHeight="1" x14ac:dyDescent="0.25">
      <c r="A370" s="6" t="s">
        <v>5</v>
      </c>
      <c r="B370" s="3" t="s">
        <v>770</v>
      </c>
      <c r="C370" s="3" t="s">
        <v>774</v>
      </c>
      <c r="D370" s="3" t="str">
        <f ca="1">IFERROR(__xludf.DUMMYFUNCTION("GOOGLETRANSLATE(C370,""ES"",""EN"")"),"FINANCING \ Result \ main achievement of financing the CSMC \ achievement with APS")</f>
        <v>FINANCING \ Result \ main achievement of financing the CSMC \ achievement with APS</v>
      </c>
      <c r="E370" s="3" t="s">
        <v>775</v>
      </c>
      <c r="F370" s="3" t="str">
        <f ca="1">IFERROR(__xludf.DUMMYFUNCTION("GOOGLETRANSLATE(E370,""ES"",""EN"")"),"And I think that the work that is done in Consulting with the APS teams is very important in relation to improving the resolution and specificity of the work they can achieve with their APS teams. I believe that what I have seen in all the places I have b"&amp;"een is permanent, it is a constant in all places. Power, that, reinforce and deliver, make this transfer of knowledge to PHC equipment and improve their resolutivity.")</f>
        <v>And I think that the work that is done in Consulting with the APS teams is very important in relation to improving the resolution and specificity of the work they can achieve with their APS teams. I believe that what I have seen in all the places I have been is permanent, it is a constant in all places. Power, that, reinforce and deliver, make this transfer of knowledge to PHC equipment and improve their resolutivity.</v>
      </c>
      <c r="G370" s="3" t="s">
        <v>776</v>
      </c>
      <c r="H370" s="28">
        <v>1.8104366347177849</v>
      </c>
      <c r="I370" s="3" t="s">
        <v>213</v>
      </c>
      <c r="J370" s="3" t="str">
        <f ca="1">IFERROR(__xludf.DUMMYFUNCTION("GOOGLETRANSLATE(I370,""ES"",""EN"")"),"Better coverage, closeness and context of attention")</f>
        <v>Better coverage, closeness and context of attention</v>
      </c>
      <c r="K370" s="1"/>
      <c r="L370" s="1"/>
      <c r="M370" s="1"/>
      <c r="N370" s="1"/>
      <c r="O370" s="1"/>
      <c r="P370" s="1"/>
      <c r="Q370" s="1"/>
      <c r="R370" s="1"/>
      <c r="S370" s="1"/>
      <c r="T370" s="1"/>
      <c r="U370" s="1"/>
      <c r="V370" s="1"/>
      <c r="W370" s="1"/>
      <c r="X370" s="1"/>
      <c r="Y370" s="1"/>
      <c r="Z370" s="1"/>
    </row>
    <row r="371" spans="1:26" ht="15.75" customHeight="1" x14ac:dyDescent="0.25">
      <c r="A371" s="6" t="s">
        <v>5</v>
      </c>
      <c r="B371" s="3" t="s">
        <v>770</v>
      </c>
      <c r="C371" s="3" t="s">
        <v>210</v>
      </c>
      <c r="D371" s="3" t="str">
        <f ca="1">IFERROR(__xludf.DUMMYFUNCTION("GOOGLETRANSLATE(C371,""ES"",""EN"")"),"FINANCING \ Result \ main achievement of financing the CSMC \ Achievement to be in the community")</f>
        <v>FINANCING \ Result \ main achievement of financing the CSMC \ Achievement to be in the community</v>
      </c>
      <c r="E371" s="3" t="s">
        <v>777</v>
      </c>
      <c r="F371" s="3" t="str">
        <f ca="1">IFERROR(__xludf.DUMMYFUNCTION("GOOGLETRANSLATE(E371,""ES"",""EN"")"),"The link with the community that is strengthened, which makes mental health also a closer and more understandable element for the community")</f>
        <v>The link with the community that is strengthened, which makes mental health also a closer and more understandable element for the community</v>
      </c>
      <c r="G371" s="3" t="s">
        <v>723</v>
      </c>
      <c r="H371" s="28">
        <v>0.57981303987693766</v>
      </c>
      <c r="I371" s="3" t="s">
        <v>213</v>
      </c>
      <c r="J371" s="3" t="str">
        <f ca="1">IFERROR(__xludf.DUMMYFUNCTION("GOOGLETRANSLATE(I371,""ES"",""EN"")"),"Better coverage, closeness and context of attention")</f>
        <v>Better coverage, closeness and context of attention</v>
      </c>
      <c r="K371" s="1"/>
      <c r="L371" s="1"/>
      <c r="M371" s="1"/>
      <c r="N371" s="1"/>
      <c r="O371" s="1"/>
      <c r="P371" s="1"/>
      <c r="Q371" s="1"/>
      <c r="R371" s="1"/>
      <c r="S371" s="1"/>
      <c r="T371" s="1"/>
      <c r="U371" s="1"/>
      <c r="V371" s="1"/>
      <c r="W371" s="1"/>
      <c r="X371" s="1"/>
      <c r="Y371" s="1"/>
      <c r="Z371" s="1"/>
    </row>
    <row r="372" spans="1:26" ht="15.75" customHeight="1" x14ac:dyDescent="0.25">
      <c r="A372" s="6" t="s">
        <v>5</v>
      </c>
      <c r="B372" s="3" t="s">
        <v>770</v>
      </c>
      <c r="C372" s="3" t="s">
        <v>225</v>
      </c>
      <c r="D372" s="3" t="str">
        <f ca="1">IFERROR(__xludf.DUMMYFUNCTION("GOOGLETRANSLATE(C372,""ES"",""EN"")"),"FINANCING \ Result \ main achievement of financing CSMC \ Clinical Achievement")</f>
        <v>FINANCING \ Result \ main achievement of financing CSMC \ Clinical Achievement</v>
      </c>
      <c r="E372" s="3" t="s">
        <v>778</v>
      </c>
      <c r="F372" s="3" t="str">
        <f ca="1">IFERROR(__xludf.DUMMYFUNCTION("GOOGLETRANSLATE(E372,""ES"",""EN"")"),"An improvement also in other users regarding keeping adhesion and better high rates.")</f>
        <v>An improvement also in other users regarding keeping adhesion and better high rates.</v>
      </c>
      <c r="G372" s="3" t="s">
        <v>438</v>
      </c>
      <c r="H372" s="28">
        <v>0.37076480100974241</v>
      </c>
      <c r="I372" s="3" t="s">
        <v>228</v>
      </c>
      <c r="J372" s="3" t="str">
        <f ca="1">IFERROR(__xludf.DUMMYFUNCTION("GOOGLETRANSLATE(I372,""ES"",""EN"")"),"Clinical achievements")</f>
        <v>Clinical achievements</v>
      </c>
      <c r="K372" s="1"/>
      <c r="L372" s="1"/>
      <c r="M372" s="1"/>
      <c r="N372" s="1"/>
      <c r="O372" s="1"/>
      <c r="P372" s="1"/>
      <c r="Q372" s="1"/>
      <c r="R372" s="1"/>
      <c r="S372" s="1"/>
      <c r="T372" s="1"/>
      <c r="U372" s="1"/>
      <c r="V372" s="1"/>
      <c r="W372" s="1"/>
      <c r="X372" s="1"/>
      <c r="Y372" s="1"/>
      <c r="Z372" s="1"/>
    </row>
    <row r="373" spans="1:26" ht="15.75" customHeight="1" x14ac:dyDescent="0.25">
      <c r="A373" s="6" t="s">
        <v>5</v>
      </c>
      <c r="B373" s="3" t="s">
        <v>770</v>
      </c>
      <c r="C373" s="3" t="s">
        <v>225</v>
      </c>
      <c r="D373" s="3" t="str">
        <f ca="1">IFERROR(__xludf.DUMMYFUNCTION("GOOGLETRANSLATE(C373,""ES"",""EN"")"),"FINANCING \ Result \ main achievement of financing CSMC \ Clinical Achievement")</f>
        <v>FINANCING \ Result \ main achievement of financing CSMC \ Clinical Achievement</v>
      </c>
      <c r="E373" s="3" t="s">
        <v>779</v>
      </c>
      <c r="F373" s="3" t="str">
        <f ca="1">IFERROR(__xludf.DUMMYFUNCTION("GOOGLETRANSLATE(E373,""ES"",""EN"")"),"The opportunity to get more in time in new cases, in GES cases, to the resolution of their problems. That is, waiting times are much more limited")</f>
        <v>The opportunity to get more in time in new cases, in GES cases, to the resolution of their problems. That is, waiting times are much more limited</v>
      </c>
      <c r="G373" s="3" t="s">
        <v>780</v>
      </c>
      <c r="H373" s="28">
        <v>0.65869916775135096</v>
      </c>
      <c r="I373" s="3" t="s">
        <v>228</v>
      </c>
      <c r="J373" s="3" t="str">
        <f ca="1">IFERROR(__xludf.DUMMYFUNCTION("GOOGLETRANSLATE(I373,""ES"",""EN"")"),"Clinical achievements")</f>
        <v>Clinical achievements</v>
      </c>
      <c r="K373" s="1"/>
      <c r="L373" s="1"/>
      <c r="M373" s="1"/>
      <c r="N373" s="1"/>
      <c r="O373" s="1"/>
      <c r="P373" s="1"/>
      <c r="Q373" s="1"/>
      <c r="R373" s="1"/>
      <c r="S373" s="1"/>
      <c r="T373" s="1"/>
      <c r="U373" s="1"/>
      <c r="V373" s="1"/>
      <c r="W373" s="1"/>
      <c r="X373" s="1"/>
      <c r="Y373" s="1"/>
      <c r="Z373" s="1"/>
    </row>
    <row r="374" spans="1:26" ht="15.75" customHeight="1" x14ac:dyDescent="0.25">
      <c r="A374" s="6" t="s">
        <v>5</v>
      </c>
      <c r="B374" s="3" t="s">
        <v>770</v>
      </c>
      <c r="C374" s="3" t="s">
        <v>529</v>
      </c>
      <c r="D374" s="3" t="str">
        <f ca="1">IFERROR(__xludf.DUMMYFUNCTION("GOOGLETRANSLATE(C374,""ES"",""EN"")"),"FINANCING \ Result \ main achievement of financing the CSMC \ achievement less hospitalization")</f>
        <v>FINANCING \ Result \ main achievement of financing the CSMC \ achievement less hospitalization</v>
      </c>
      <c r="E374" s="3" t="s">
        <v>781</v>
      </c>
      <c r="F374" s="3" t="str">
        <f ca="1">IFERROR(__xludf.DUMMYFUNCTION("GOOGLETRANSLATE(E374,""ES"",""EN"")"),"Hospitalization rates are also much lower. And the number of people who need to be hospitalized for decompensations for us, I don't know, could be a person a month. If that. Of a population under control of 700 and sometimes none. So it is also a very imp"&amp;"ortant element as a hard data to consider.")</f>
        <v>Hospitalization rates are also much lower. And the number of people who need to be hospitalized for decompensations for us, I don't know, could be a person a month. If that. Of a population under control of 700 and sometimes none. So it is also a very important element as a hard data to consider.</v>
      </c>
      <c r="G374" s="3" t="s">
        <v>782</v>
      </c>
      <c r="H374" s="28">
        <v>1.30556541632154</v>
      </c>
      <c r="I374" s="3" t="s">
        <v>228</v>
      </c>
      <c r="J374" s="3" t="str">
        <f ca="1">IFERROR(__xludf.DUMMYFUNCTION("GOOGLETRANSLATE(I374,""ES"",""EN"")"),"Clinical achievements")</f>
        <v>Clinical achievements</v>
      </c>
      <c r="K374" s="1"/>
      <c r="L374" s="1"/>
      <c r="M374" s="1"/>
      <c r="N374" s="1"/>
      <c r="O374" s="1"/>
      <c r="P374" s="1"/>
      <c r="Q374" s="1"/>
      <c r="R374" s="1"/>
      <c r="S374" s="1"/>
      <c r="T374" s="1"/>
      <c r="U374" s="1"/>
      <c r="V374" s="1"/>
      <c r="W374" s="1"/>
      <c r="X374" s="1"/>
      <c r="Y374" s="1"/>
      <c r="Z374" s="1"/>
    </row>
    <row r="375" spans="1:26" ht="15.75" customHeight="1" x14ac:dyDescent="0.25">
      <c r="A375" s="6" t="s">
        <v>5</v>
      </c>
      <c r="B375" s="3" t="s">
        <v>770</v>
      </c>
      <c r="C375" s="3" t="s">
        <v>441</v>
      </c>
      <c r="D375" s="3" t="str">
        <f ca="1">IFERROR(__xludf.DUMMYFUNCTION("GOOGLETRANSLATE(C375,""ES"",""EN"")"),"FINANCING \ Result \ main achievement of financing the CSMC \ Achievement Transdisciplinary Equipment")</f>
        <v>FINANCING \ Result \ main achievement of financing the CSMC \ Achievement Transdisciplinary Equipment</v>
      </c>
      <c r="E375" s="3" t="s">
        <v>783</v>
      </c>
      <c r="F375" s="3" t="str">
        <f ca="1">IFERROR(__xludf.DUMMYFUNCTION("GOOGLETRANSLATE(E375,""ES"",""EN"")"),"the opportunity that the user has today to reach a transdisciplinary team that receives it")</f>
        <v>the opportunity that the user has today to reach a transdisciplinary team that receives it</v>
      </c>
      <c r="G375" s="3" t="s">
        <v>438</v>
      </c>
      <c r="H375" s="28">
        <v>0.37076480100974241</v>
      </c>
      <c r="I375" s="3" t="s">
        <v>228</v>
      </c>
      <c r="J375" s="3" t="str">
        <f ca="1">IFERROR(__xludf.DUMMYFUNCTION("GOOGLETRANSLATE(I375,""ES"",""EN"")"),"Clinical achievements")</f>
        <v>Clinical achievements</v>
      </c>
      <c r="K375" s="1"/>
      <c r="L375" s="1"/>
      <c r="M375" s="1"/>
      <c r="N375" s="1"/>
      <c r="O375" s="1"/>
      <c r="P375" s="1"/>
      <c r="Q375" s="1"/>
      <c r="R375" s="1"/>
      <c r="S375" s="1"/>
      <c r="T375" s="1"/>
      <c r="U375" s="1"/>
      <c r="V375" s="1"/>
      <c r="W375" s="1"/>
      <c r="X375" s="1"/>
      <c r="Y375" s="1"/>
      <c r="Z375" s="1"/>
    </row>
    <row r="376" spans="1:26" ht="15.75" customHeight="1" x14ac:dyDescent="0.25">
      <c r="A376" s="6" t="s">
        <v>5</v>
      </c>
      <c r="B376" s="3" t="s">
        <v>770</v>
      </c>
      <c r="C376" s="3" t="s">
        <v>225</v>
      </c>
      <c r="D376" s="3" t="str">
        <f ca="1">IFERROR(__xludf.DUMMYFUNCTION("GOOGLETRANSLATE(C376,""ES"",""EN"")"),"FINANCING \ Result \ main achievement of financing CSMC \ Clinical Achievement")</f>
        <v>FINANCING \ Result \ main achievement of financing CSMC \ Clinical Achievement</v>
      </c>
      <c r="E376" s="3" t="s">
        <v>784</v>
      </c>
      <c r="F376" s="3" t="str">
        <f ca="1">IFERROR(__xludf.DUMMYFUNCTION("GOOGLETRANSLATE(E376,""ES"",""EN"")"),"That generates a comprehensive care plan")</f>
        <v>That generates a comprehensive care plan</v>
      </c>
      <c r="G376" s="3" t="s">
        <v>459</v>
      </c>
      <c r="H376" s="28">
        <v>0.14988364296138523</v>
      </c>
      <c r="I376" s="3" t="s">
        <v>228</v>
      </c>
      <c r="J376" s="3" t="str">
        <f ca="1">IFERROR(__xludf.DUMMYFUNCTION("GOOGLETRANSLATE(I376,""ES"",""EN"")"),"Clinical achievements")</f>
        <v>Clinical achievements</v>
      </c>
      <c r="K376" s="1"/>
      <c r="L376" s="1"/>
      <c r="M376" s="1"/>
      <c r="N376" s="1"/>
      <c r="O376" s="1"/>
      <c r="P376" s="1"/>
      <c r="Q376" s="1"/>
      <c r="R376" s="1"/>
      <c r="S376" s="1"/>
      <c r="T376" s="1"/>
      <c r="U376" s="1"/>
      <c r="V376" s="1"/>
      <c r="W376" s="1"/>
      <c r="X376" s="1"/>
      <c r="Y376" s="1"/>
      <c r="Z376" s="1"/>
    </row>
    <row r="377" spans="1:26" ht="15.75" customHeight="1" x14ac:dyDescent="0.25">
      <c r="A377" s="6" t="s">
        <v>5</v>
      </c>
      <c r="B377" s="3" t="s">
        <v>770</v>
      </c>
      <c r="C377" s="3" t="s">
        <v>225</v>
      </c>
      <c r="D377" s="3" t="str">
        <f ca="1">IFERROR(__xludf.DUMMYFUNCTION("GOOGLETRANSLATE(C377,""ES"",""EN"")"),"FINANCING \ Result \ main achievement of financing CSMC \ Clinical Achievement")</f>
        <v>FINANCING \ Result \ main achievement of financing CSMC \ Clinical Achievement</v>
      </c>
      <c r="E377" s="3" t="s">
        <v>785</v>
      </c>
      <c r="F377" s="3" t="str">
        <f ca="1">IFERROR(__xludf.DUMMYFUNCTION("GOOGLETRANSLATE(E377,""ES"",""EN"")"),"that there is also education for the family, the community, schools")</f>
        <v>that there is also education for the family, the community, schools</v>
      </c>
      <c r="G377" s="3" t="s">
        <v>786</v>
      </c>
      <c r="H377" s="28">
        <v>0.28004575395416714</v>
      </c>
      <c r="I377" s="3" t="s">
        <v>228</v>
      </c>
      <c r="J377" s="3" t="str">
        <f ca="1">IFERROR(__xludf.DUMMYFUNCTION("GOOGLETRANSLATE(I377,""ES"",""EN"")"),"Clinical achievements")</f>
        <v>Clinical achievements</v>
      </c>
      <c r="K377" s="1"/>
      <c r="L377" s="1"/>
      <c r="M377" s="1"/>
      <c r="N377" s="1"/>
      <c r="O377" s="1"/>
      <c r="P377" s="1"/>
      <c r="Q377" s="1"/>
      <c r="R377" s="1"/>
      <c r="S377" s="1"/>
      <c r="T377" s="1"/>
      <c r="U377" s="1"/>
      <c r="V377" s="1"/>
      <c r="W377" s="1"/>
      <c r="X377" s="1"/>
      <c r="Y377" s="1"/>
      <c r="Z377" s="1"/>
    </row>
    <row r="378" spans="1:26" ht="15.75" customHeight="1" x14ac:dyDescent="0.25">
      <c r="A378" s="6" t="s">
        <v>5</v>
      </c>
      <c r="B378" s="3" t="s">
        <v>770</v>
      </c>
      <c r="C378" s="3" t="s">
        <v>225</v>
      </c>
      <c r="D378" s="3" t="str">
        <f ca="1">IFERROR(__xludf.DUMMYFUNCTION("GOOGLETRANSLATE(C378,""ES"",""EN"")"),"FINANCING \ Result \ main achievement of financing CSMC \ Clinical Achievement")</f>
        <v>FINANCING \ Result \ main achievement of financing CSMC \ Clinical Achievement</v>
      </c>
      <c r="E378" s="3" t="s">
        <v>787</v>
      </c>
      <c r="F378" s="3" t="str">
        <f ca="1">IFERROR(__xludf.DUMMYFUNCTION("GOOGLETRANSLATE(E378,""ES"",""EN"")"),"So, integrate the environment where the user develops, that is very important. I think that is what I have seen in these three years and I have been there and I find it super interesting. In fact, users thank you, your family too.")</f>
        <v>So, integrate the environment where the user develops, that is very important. I think that is what I have seen in these three years and I have been there and I find it super interesting. In fact, users thank you, your family too.</v>
      </c>
      <c r="G378" s="3" t="s">
        <v>26</v>
      </c>
      <c r="H378" s="28">
        <v>0.97424367924900412</v>
      </c>
      <c r="I378" s="3" t="s">
        <v>228</v>
      </c>
      <c r="J378" s="3" t="str">
        <f ca="1">IFERROR(__xludf.DUMMYFUNCTION("GOOGLETRANSLATE(I378,""ES"",""EN"")"),"Clinical achievements")</f>
        <v>Clinical achievements</v>
      </c>
      <c r="K378" s="1"/>
      <c r="L378" s="1"/>
      <c r="M378" s="1"/>
      <c r="N378" s="1"/>
      <c r="O378" s="1"/>
      <c r="P378" s="1"/>
      <c r="Q378" s="1"/>
      <c r="R378" s="1"/>
      <c r="S378" s="1"/>
      <c r="T378" s="1"/>
      <c r="U378" s="1"/>
      <c r="V378" s="1"/>
      <c r="W378" s="1"/>
      <c r="X378" s="1"/>
      <c r="Y378" s="1"/>
      <c r="Z378" s="1"/>
    </row>
    <row r="379" spans="1:26" ht="15.75" customHeight="1" x14ac:dyDescent="0.25">
      <c r="A379" s="10" t="s">
        <v>5</v>
      </c>
      <c r="B379" s="3" t="s">
        <v>770</v>
      </c>
      <c r="C379" s="3" t="s">
        <v>788</v>
      </c>
      <c r="D379" s="3" t="str">
        <f ca="1">IFERROR(__xludf.DUMMYFUNCTION("GOOGLETRANSLATE(C379,""ES"",""EN"")"),"Information \ Result \ Statistics does not reflect closeness with the user")</f>
        <v>Information \ Result \ Statistics does not reflect closeness with the user</v>
      </c>
      <c r="E379" s="3" t="s">
        <v>789</v>
      </c>
      <c r="F379" s="3" t="str">
        <f ca="1">IFERROR(__xludf.DUMMYFUNCTION("GOOGLETRANSLATE(E379,""ES"",""EN"")"),"And that allows us, as a team, to have that closeness with the user and be able The results are reflected.")</f>
        <v>And that allows us, as a team, to have that closeness with the user and be able The results are reflected.</v>
      </c>
      <c r="G379" s="3" t="s">
        <v>78</v>
      </c>
      <c r="H379" s="28">
        <v>1.0965171774543445</v>
      </c>
      <c r="I379" s="3" t="s">
        <v>113</v>
      </c>
      <c r="J379" s="3" t="str">
        <f ca="1">IFERROR(__xludf.DUMMYFUNCTION("GOOGLETRANSLATE(I379,""ES"",""EN"")"),"Negative effect: poor quality of the clinical registration.")</f>
        <v>Negative effect: poor quality of the clinical registration.</v>
      </c>
      <c r="K379" s="1"/>
      <c r="L379" s="1"/>
      <c r="M379" s="1"/>
      <c r="N379" s="1"/>
      <c r="O379" s="1"/>
      <c r="P379" s="1"/>
      <c r="Q379" s="1"/>
      <c r="R379" s="1"/>
      <c r="S379" s="1"/>
      <c r="T379" s="1"/>
      <c r="U379" s="1"/>
      <c r="V379" s="1"/>
      <c r="W379" s="1"/>
      <c r="X379" s="1"/>
      <c r="Y379" s="1"/>
      <c r="Z379" s="1"/>
    </row>
    <row r="380" spans="1:26" ht="15.75" customHeight="1" x14ac:dyDescent="0.25">
      <c r="A380" s="6" t="s">
        <v>5</v>
      </c>
      <c r="B380" s="3" t="s">
        <v>790</v>
      </c>
      <c r="C380" s="3" t="s">
        <v>395</v>
      </c>
      <c r="D380" s="3" t="str">
        <f ca="1">IFERROR(__xludf.DUMMYFUNCTION("GOOGLETRANSLATE(C380,""ES"",""EN"")"),"FINANCING \ Result \ Difficulty / complexity for spending \ understanding of the type of expense")</f>
        <v>FINANCING \ Result \ Difficulty / complexity for spending \ understanding of the type of expense</v>
      </c>
      <c r="E380" s="3" t="s">
        <v>791</v>
      </c>
      <c r="F380" s="3" t="str">
        <f ca="1">IFERROR(__xludf.DUMMYFUNCTION("GOOGLETRANSLATE(E380,""ES"",""EN"")"),"It was necessary to justify a system that works rather in an administrative and non -clinical area and that also costs a lot to understand a certain type of expense that is generated in the community center.")</f>
        <v>It was necessary to justify a system that works rather in an administrative and non -clinical area and that also costs a lot to understand a certain type of expense that is generated in the community center.</v>
      </c>
      <c r="G380" s="3" t="s">
        <v>792</v>
      </c>
      <c r="H380" s="28">
        <v>0.7454739084132056</v>
      </c>
      <c r="I380" s="3" t="s">
        <v>15</v>
      </c>
      <c r="J380" s="3" t="str">
        <f ca="1">IFERROR(__xludf.DUMMYFUNCTION("GOOGLETRANSLATE(I380,""ES"",""EN"")"),"Negative effect: financing mechanisms end up generating problems to CSMC.")</f>
        <v>Negative effect: financing mechanisms end up generating problems to CSMC.</v>
      </c>
      <c r="K380" s="1"/>
      <c r="L380" s="1"/>
      <c r="M380" s="1"/>
      <c r="N380" s="1"/>
      <c r="O380" s="1"/>
      <c r="P380" s="1"/>
      <c r="Q380" s="1"/>
      <c r="R380" s="1"/>
      <c r="S380" s="1"/>
      <c r="T380" s="1"/>
      <c r="U380" s="1"/>
      <c r="V380" s="1"/>
      <c r="W380" s="1"/>
      <c r="X380" s="1"/>
      <c r="Y380" s="1"/>
      <c r="Z380" s="1"/>
    </row>
    <row r="381" spans="1:26" ht="15.75" customHeight="1" x14ac:dyDescent="0.25">
      <c r="A381" s="6" t="s">
        <v>5</v>
      </c>
      <c r="B381" s="3" t="s">
        <v>790</v>
      </c>
      <c r="C381" s="3" t="s">
        <v>395</v>
      </c>
      <c r="D381" s="3" t="str">
        <f ca="1">IFERROR(__xludf.DUMMYFUNCTION("GOOGLETRANSLATE(C381,""ES"",""EN"")"),"FINANCING \ Result \ Difficulty / complexity for spending \ understanding of the type of expense")</f>
        <v>FINANCING \ Result \ Difficulty / complexity for spending \ understanding of the type of expense</v>
      </c>
      <c r="E381" s="3" t="s">
        <v>793</v>
      </c>
      <c r="F381" s="3" t="str">
        <f ca="1">IFERROR(__xludf.DUMMYFUNCTION("GOOGLETRANSLATE(E381,""ES"",""EN"")"),"We had to do a job as education, so to speak, with the administrative part, so that they understood what the type of expense and the opportunity of those expenses that were required")</f>
        <v>We had to do a job as education, so to speak, with the administrative part, so that they understood what the type of expense and the opportunity of those expenses that were required</v>
      </c>
      <c r="G381" s="3" t="s">
        <v>174</v>
      </c>
      <c r="H381" s="28">
        <v>0.75730682759436752</v>
      </c>
      <c r="I381" s="3" t="s">
        <v>15</v>
      </c>
      <c r="J381" s="3" t="str">
        <f ca="1">IFERROR(__xludf.DUMMYFUNCTION("GOOGLETRANSLATE(I381,""ES"",""EN"")"),"Negative effect: financing mechanisms end up generating problems to CSMC.")</f>
        <v>Negative effect: financing mechanisms end up generating problems to CSMC.</v>
      </c>
      <c r="K381" s="1"/>
      <c r="L381" s="1"/>
      <c r="M381" s="1"/>
      <c r="N381" s="1"/>
      <c r="O381" s="1"/>
      <c r="P381" s="1"/>
      <c r="Q381" s="1"/>
      <c r="R381" s="1"/>
      <c r="S381" s="1"/>
      <c r="T381" s="1"/>
      <c r="U381" s="1"/>
      <c r="V381" s="1"/>
      <c r="W381" s="1"/>
      <c r="X381" s="1"/>
      <c r="Y381" s="1"/>
      <c r="Z381" s="1"/>
    </row>
    <row r="382" spans="1:26" ht="15.75" customHeight="1" x14ac:dyDescent="0.25">
      <c r="A382" s="6" t="s">
        <v>5</v>
      </c>
      <c r="B382" s="3" t="s">
        <v>790</v>
      </c>
      <c r="C382" s="3" t="s">
        <v>794</v>
      </c>
      <c r="D382" s="3" t="str">
        <f ca="1">IFERROR(__xludf.DUMMYFUNCTION("GOOGLETRANSLATE(C382,""ES"",""EN"")"),"FINANCING \ Result \ Difficulty / complexity for spending \ different administrative instruments to spend")</f>
        <v>FINANCING \ Result \ Difficulty / complexity for spending \ different administrative instruments to spend</v>
      </c>
      <c r="E382" s="3" t="s">
        <v>795</v>
      </c>
      <c r="F382" s="3" t="str">
        <f ca="1">IFERROR(__xludf.DUMMYFUNCTION("GOOGLETRANSLATE(E382,""ES"",""EN"")"),"Most of the things or were financed through fixed funds and advance")</f>
        <v>Most of the things or were financed through fixed funds and advance</v>
      </c>
      <c r="G382" s="3" t="s">
        <v>55</v>
      </c>
      <c r="H382" s="28">
        <v>0.31160020510393249</v>
      </c>
      <c r="I382" s="3" t="s">
        <v>15</v>
      </c>
      <c r="J382" s="3" t="str">
        <f ca="1">IFERROR(__xludf.DUMMYFUNCTION("GOOGLETRANSLATE(I382,""ES"",""EN"")"),"Negative effect: financing mechanisms end up generating problems to CSMC.")</f>
        <v>Negative effect: financing mechanisms end up generating problems to CSMC.</v>
      </c>
      <c r="K382" s="1"/>
      <c r="L382" s="1"/>
      <c r="M382" s="1"/>
      <c r="N382" s="1"/>
      <c r="O382" s="1"/>
      <c r="P382" s="1"/>
      <c r="Q382" s="1"/>
      <c r="R382" s="1"/>
      <c r="S382" s="1"/>
      <c r="T382" s="1"/>
      <c r="U382" s="1"/>
      <c r="V382" s="1"/>
      <c r="W382" s="1"/>
      <c r="X382" s="1"/>
      <c r="Y382" s="1"/>
      <c r="Z382" s="1"/>
    </row>
    <row r="383" spans="1:26" ht="15.75" customHeight="1" x14ac:dyDescent="0.25">
      <c r="A383" s="6" t="s">
        <v>5</v>
      </c>
      <c r="B383" s="3" t="s">
        <v>790</v>
      </c>
      <c r="C383" s="3" t="s">
        <v>794</v>
      </c>
      <c r="D383" s="3" t="str">
        <f ca="1">IFERROR(__xludf.DUMMYFUNCTION("GOOGLETRANSLATE(C383,""ES"",""EN"")"),"FINANCING \ Result \ Difficulty / complexity for spending \ different administrative instruments to spend")</f>
        <v>FINANCING \ Result \ Difficulty / complexity for spending \ different administrative instruments to spend</v>
      </c>
      <c r="E383" s="3" t="s">
        <v>796</v>
      </c>
      <c r="F383" s="3" t="str">
        <f ca="1">IFERROR(__xludf.DUMMYFUNCTION("GOOGLETRANSLATE(E383,""ES"",""EN"")"),"We had to do projects to be able to do everything too.")</f>
        <v>We had to do projects to be able to do everything too.</v>
      </c>
      <c r="G383" s="3" t="s">
        <v>383</v>
      </c>
      <c r="H383" s="28">
        <v>0.25243560919812247</v>
      </c>
      <c r="I383" s="3" t="s">
        <v>15</v>
      </c>
      <c r="J383" s="3" t="str">
        <f ca="1">IFERROR(__xludf.DUMMYFUNCTION("GOOGLETRANSLATE(I383,""ES"",""EN"")"),"Negative effect: financing mechanisms end up generating problems to CSMC.")</f>
        <v>Negative effect: financing mechanisms end up generating problems to CSMC.</v>
      </c>
      <c r="K383" s="1"/>
      <c r="L383" s="1"/>
      <c r="M383" s="1"/>
      <c r="N383" s="1"/>
      <c r="O383" s="1"/>
      <c r="P383" s="1"/>
      <c r="Q383" s="1"/>
      <c r="R383" s="1"/>
      <c r="S383" s="1"/>
      <c r="T383" s="1"/>
      <c r="U383" s="1"/>
      <c r="V383" s="1"/>
      <c r="W383" s="1"/>
      <c r="X383" s="1"/>
      <c r="Y383" s="1"/>
      <c r="Z383" s="1"/>
    </row>
    <row r="384" spans="1:26" ht="15.75" customHeight="1" x14ac:dyDescent="0.25">
      <c r="A384" s="6" t="s">
        <v>5</v>
      </c>
      <c r="B384" s="3" t="s">
        <v>790</v>
      </c>
      <c r="C384" s="3" t="s">
        <v>794</v>
      </c>
      <c r="D384" s="3" t="str">
        <f ca="1">IFERROR(__xludf.DUMMYFUNCTION("GOOGLETRANSLATE(C384,""ES"",""EN"")"),"FINANCING \ Result \ Difficulty / complexity for spending \ different administrative instruments to spend")</f>
        <v>FINANCING \ Result \ Difficulty / complexity for spending \ different administrative instruments to spend</v>
      </c>
      <c r="E384" s="3" t="s">
        <v>797</v>
      </c>
      <c r="F384" s="3" t="str">
        <f ca="1">IFERROR(__xludf.DUMMYFUNCTION("GOOGLETRANSLATE(E384,""ES"",""EN"")"),"The rest was all by purchase orders, through agreements.")</f>
        <v>The rest was all by purchase orders, through agreements.</v>
      </c>
      <c r="G384" s="3" t="s">
        <v>798</v>
      </c>
      <c r="H384" s="28">
        <v>0.24849130280440185</v>
      </c>
      <c r="I384" s="3" t="s">
        <v>15</v>
      </c>
      <c r="J384" s="3" t="str">
        <f ca="1">IFERROR(__xludf.DUMMYFUNCTION("GOOGLETRANSLATE(I384,""ES"",""EN"")"),"Negative effect: financing mechanisms end up generating problems to CSMC.")</f>
        <v>Negative effect: financing mechanisms end up generating problems to CSMC.</v>
      </c>
      <c r="K384" s="1"/>
      <c r="L384" s="1"/>
      <c r="M384" s="1"/>
      <c r="N384" s="1"/>
      <c r="O384" s="1"/>
      <c r="P384" s="1"/>
      <c r="Q384" s="1"/>
      <c r="R384" s="1"/>
      <c r="S384" s="1"/>
      <c r="T384" s="1"/>
      <c r="U384" s="1"/>
      <c r="V384" s="1"/>
      <c r="W384" s="1"/>
      <c r="X384" s="1"/>
      <c r="Y384" s="1"/>
      <c r="Z384" s="1"/>
    </row>
    <row r="385" spans="1:26" ht="15.75" customHeight="1" x14ac:dyDescent="0.25">
      <c r="A385" s="6" t="s">
        <v>5</v>
      </c>
      <c r="B385" s="3" t="s">
        <v>790</v>
      </c>
      <c r="C385" s="3" t="s">
        <v>794</v>
      </c>
      <c r="D385" s="3" t="str">
        <f ca="1">IFERROR(__xludf.DUMMYFUNCTION("GOOGLETRANSLATE(C385,""ES"",""EN"")"),"FINANCING \ Result \ Difficulty / complexity for spending \ different administrative instruments to spend")</f>
        <v>FINANCING \ Result \ Difficulty / complexity for spending \ different administrative instruments to spend</v>
      </c>
      <c r="E385" s="3" t="s">
        <v>799</v>
      </c>
      <c r="F385" s="3" t="str">
        <f ca="1">IFERROR(__xludf.DUMMYFUNCTION("GOOGLETRANSLATE(E385,""ES"",""EN"")"),"Also the case of drugs that were very important in the series of Framework Agreement as well.")</f>
        <v>Also the case of drugs that were very important in the series of Framework Agreement as well.</v>
      </c>
      <c r="G385" s="3" t="s">
        <v>438</v>
      </c>
      <c r="H385" s="28">
        <v>0.37076480100974241</v>
      </c>
      <c r="I385" s="3" t="s">
        <v>15</v>
      </c>
      <c r="J385" s="3" t="str">
        <f ca="1">IFERROR(__xludf.DUMMYFUNCTION("GOOGLETRANSLATE(I385,""ES"",""EN"")"),"Negative effect: financing mechanisms end up generating problems to CSMC.")</f>
        <v>Negative effect: financing mechanisms end up generating problems to CSMC.</v>
      </c>
      <c r="K385" s="1"/>
      <c r="L385" s="1"/>
      <c r="M385" s="1"/>
      <c r="N385" s="1"/>
      <c r="O385" s="1"/>
      <c r="P385" s="1"/>
      <c r="Q385" s="1"/>
      <c r="R385" s="1"/>
      <c r="S385" s="1"/>
      <c r="T385" s="1"/>
      <c r="U385" s="1"/>
      <c r="V385" s="1"/>
      <c r="W385" s="1"/>
      <c r="X385" s="1"/>
      <c r="Y385" s="1"/>
      <c r="Z385" s="1"/>
    </row>
    <row r="386" spans="1:26" ht="15.75" customHeight="1" x14ac:dyDescent="0.25">
      <c r="A386" s="6" t="s">
        <v>5</v>
      </c>
      <c r="B386" s="3" t="s">
        <v>790</v>
      </c>
      <c r="C386" s="3" t="s">
        <v>800</v>
      </c>
      <c r="D386" s="3" t="str">
        <f ca="1">IFERROR(__xludf.DUMMYFUNCTION("GOOGLETRANSLATE(C386,""ES"",""EN"")"),"FINANCING \ Result \ Difficulty / complexity for spending \ Opportunity of funds")</f>
        <v>FINANCING \ Result \ Difficulty / complexity for spending \ Opportunity of funds</v>
      </c>
      <c r="E386" s="3" t="s">
        <v>801</v>
      </c>
      <c r="F386" s="3" t="str">
        <f ca="1">IFERROR(__xludf.DUMMYFUNCTION("GOOGLETRANSLATE(E386,""ES"",""EN"")"),"So in general the issue of expenses for us are always complex issues, being able to have funds for what is required and especially at the time it is required.")</f>
        <v>So in general the issue of expenses for us are always complex issues, being able to have funds for what is required and especially at the time it is required.</v>
      </c>
      <c r="G386" s="3" t="s">
        <v>792</v>
      </c>
      <c r="H386" s="28">
        <v>0.7454739084132056</v>
      </c>
      <c r="I386" s="3" t="s">
        <v>15</v>
      </c>
      <c r="J386" s="3" t="str">
        <f ca="1">IFERROR(__xludf.DUMMYFUNCTION("GOOGLETRANSLATE(I386,""ES"",""EN"")"),"Negative effect: financing mechanisms end up generating problems to CSMC.")</f>
        <v>Negative effect: financing mechanisms end up generating problems to CSMC.</v>
      </c>
      <c r="K386" s="1"/>
      <c r="L386" s="1"/>
      <c r="M386" s="1"/>
      <c r="N386" s="1"/>
      <c r="O386" s="1"/>
      <c r="P386" s="1"/>
      <c r="Q386" s="1"/>
      <c r="R386" s="1"/>
      <c r="S386" s="1"/>
      <c r="T386" s="1"/>
      <c r="U386" s="1"/>
      <c r="V386" s="1"/>
      <c r="W386" s="1"/>
      <c r="X386" s="1"/>
      <c r="Y386" s="1"/>
      <c r="Z386" s="1"/>
    </row>
    <row r="387" spans="1:26" ht="15.75" customHeight="1" x14ac:dyDescent="0.25">
      <c r="A387" s="6" t="s">
        <v>5</v>
      </c>
      <c r="B387" s="3" t="s">
        <v>790</v>
      </c>
      <c r="C387" s="3" t="s">
        <v>395</v>
      </c>
      <c r="D387" s="3" t="str">
        <f ca="1">IFERROR(__xludf.DUMMYFUNCTION("GOOGLETRANSLATE(C387,""ES"",""EN"")"),"FINANCING \ Result \ Difficulty / complexity for spending \ understanding of the type of expense")</f>
        <v>FINANCING \ Result \ Difficulty / complexity for spending \ understanding of the type of expense</v>
      </c>
      <c r="E387" s="3" t="s">
        <v>802</v>
      </c>
      <c r="F387" s="3" t="str">
        <f ca="1">IFERROR(__xludf.DUMMYFUNCTION("GOOGLETRANSLATE(E387,""ES"",""EN"")"),"Already to be able to justify the type of expense is an issue, after they authorize it and after the silver is available, it is even more complex.")</f>
        <v>Already to be able to justify the type of expense is an issue, after they authorize it and after the silver is available, it is even more complex.</v>
      </c>
      <c r="G387" s="3" t="s">
        <v>678</v>
      </c>
      <c r="H387" s="28">
        <v>0.56403581430205496</v>
      </c>
      <c r="I387" s="3" t="s">
        <v>15</v>
      </c>
      <c r="J387" s="3" t="str">
        <f ca="1">IFERROR(__xludf.DUMMYFUNCTION("GOOGLETRANSLATE(I387,""ES"",""EN"")"),"Negative effect: financing mechanisms end up generating problems to CSMC.")</f>
        <v>Negative effect: financing mechanisms end up generating problems to CSMC.</v>
      </c>
      <c r="K387" s="1"/>
      <c r="L387" s="1"/>
      <c r="M387" s="1"/>
      <c r="N387" s="1"/>
      <c r="O387" s="1"/>
      <c r="P387" s="1"/>
      <c r="Q387" s="1"/>
      <c r="R387" s="1"/>
      <c r="S387" s="1"/>
      <c r="T387" s="1"/>
      <c r="U387" s="1"/>
      <c r="V387" s="1"/>
      <c r="W387" s="1"/>
      <c r="X387" s="1"/>
      <c r="Y387" s="1"/>
      <c r="Z387" s="1"/>
    </row>
    <row r="388" spans="1:26" ht="15.75" customHeight="1" x14ac:dyDescent="0.25">
      <c r="A388" s="6" t="s">
        <v>5</v>
      </c>
      <c r="B388" s="3" t="s">
        <v>790</v>
      </c>
      <c r="C388" s="3" t="s">
        <v>803</v>
      </c>
      <c r="D388" s="3" t="str">
        <f ca="1">IFERROR(__xludf.DUMMYFUNCTION("GOOGLETRANSLATE(C388,""ES"",""EN"")"),"FINANCING \ Result \ Difficulty / complexity for spending")</f>
        <v>FINANCING \ Result \ Difficulty / complexity for spending</v>
      </c>
      <c r="E388" s="3" t="s">
        <v>804</v>
      </c>
      <c r="F388" s="3" t="str">
        <f ca="1">IFERROR(__xludf.DUMMYFUNCTION("GOOGLETRANSLATE(E388,""ES"",""EN"")"),"So, unfortunately the economic issue as you say beyond the budget assigned to us, the power to execute those expenses is always complex.")</f>
        <v>So, unfortunately the economic issue as you say beyond the budget assigned to us, the power to execute those expenses is always complex.</v>
      </c>
      <c r="G388" s="3" t="s">
        <v>805</v>
      </c>
      <c r="H388" s="28">
        <v>0.59953457184554093</v>
      </c>
      <c r="I388" s="3" t="s">
        <v>15</v>
      </c>
      <c r="J388" s="3" t="str">
        <f ca="1">IFERROR(__xludf.DUMMYFUNCTION("GOOGLETRANSLATE(I388,""ES"",""EN"")"),"Negative effect: financing mechanisms end up generating problems to CSMC.")</f>
        <v>Negative effect: financing mechanisms end up generating problems to CSMC.</v>
      </c>
      <c r="K388" s="1"/>
      <c r="L388" s="1"/>
      <c r="M388" s="1"/>
      <c r="N388" s="1"/>
      <c r="O388" s="1"/>
      <c r="P388" s="1"/>
      <c r="Q388" s="1"/>
      <c r="R388" s="1"/>
      <c r="S388" s="1"/>
      <c r="T388" s="1"/>
      <c r="U388" s="1"/>
      <c r="V388" s="1"/>
      <c r="W388" s="1"/>
      <c r="X388" s="1"/>
      <c r="Y388" s="1"/>
      <c r="Z388" s="1"/>
    </row>
    <row r="389" spans="1:26" ht="15.75" customHeight="1" x14ac:dyDescent="0.25">
      <c r="A389" s="6" t="s">
        <v>5</v>
      </c>
      <c r="B389" s="3" t="s">
        <v>790</v>
      </c>
      <c r="C389" s="3" t="s">
        <v>800</v>
      </c>
      <c r="D389" s="3" t="str">
        <f ca="1">IFERROR(__xludf.DUMMYFUNCTION("GOOGLETRANSLATE(C389,""ES"",""EN"")"),"FINANCING \ Result \ Difficulty / complexity for spending \ Opportunity of funds")</f>
        <v>FINANCING \ Result \ Difficulty / complexity for spending \ Opportunity of funds</v>
      </c>
      <c r="E389" s="3" t="s">
        <v>806</v>
      </c>
      <c r="F389" s="3" t="str">
        <f ca="1">IFERROR(__xludf.DUMMYFUNCTION("GOOGLETRANSLATE(E389,""ES"",""EN"")"),"But we have that stop that we finally enter the times of the health service. So, we generally have delay in the payment of invoices, delays with suppliers and that has generated problems of the type that, for example, we have not been able to buy the same"&amp;" supplier for slowness.")</f>
        <v>But we have that stop that we finally enter the times of the health service. So, we generally have delay in the payment of invoices, delays with suppliers and that has generated problems of the type that, for example, we have not been able to buy the same supplier for slowness.</v>
      </c>
      <c r="G389" s="3" t="s">
        <v>350</v>
      </c>
      <c r="H389" s="28">
        <v>1.2345679012345678</v>
      </c>
      <c r="I389" s="3" t="s">
        <v>15</v>
      </c>
      <c r="J389" s="3" t="str">
        <f ca="1">IFERROR(__xludf.DUMMYFUNCTION("GOOGLETRANSLATE(I389,""ES"",""EN"")"),"Negative effect: financing mechanisms end up generating problems to CSMC.")</f>
        <v>Negative effect: financing mechanisms end up generating problems to CSMC.</v>
      </c>
      <c r="K389" s="1"/>
      <c r="L389" s="1"/>
      <c r="M389" s="1"/>
      <c r="N389" s="1"/>
      <c r="O389" s="1"/>
      <c r="P389" s="1"/>
      <c r="Q389" s="1"/>
      <c r="R389" s="1"/>
      <c r="S389" s="1"/>
      <c r="T389" s="1"/>
      <c r="U389" s="1"/>
      <c r="V389" s="1"/>
      <c r="W389" s="1"/>
      <c r="X389" s="1"/>
      <c r="Y389" s="1"/>
      <c r="Z389" s="1"/>
    </row>
    <row r="390" spans="1:26" ht="15.75" customHeight="1" x14ac:dyDescent="0.25">
      <c r="A390" s="6" t="s">
        <v>5</v>
      </c>
      <c r="B390" s="3" t="s">
        <v>790</v>
      </c>
      <c r="C390" s="3" t="s">
        <v>800</v>
      </c>
      <c r="D390" s="3" t="str">
        <f ca="1">IFERROR(__xludf.DUMMYFUNCTION("GOOGLETRANSLATE(C390,""ES"",""EN"")"),"FINANCING \ Result \ Difficulty / complexity for spending \ Opportunity of funds")</f>
        <v>FINANCING \ Result \ Difficulty / complexity for spending \ Opportunity of funds</v>
      </c>
      <c r="E390" s="3" t="s">
        <v>807</v>
      </c>
      <c r="F390" s="3" t="str">
        <f ca="1">IFERROR(__xludf.DUMMYFUNCTION("GOOGLETRANSLATE(E390,""ES"",""EN"")"),"Also the deadlines, we have purchase deadlines, execution deadlines that limit us, even when we have a budget.")</f>
        <v>Also the deadlines, we have purchase deadlines, execution deadlines that limit us, even when we have a budget.</v>
      </c>
      <c r="G390" s="3" t="s">
        <v>808</v>
      </c>
      <c r="H390" s="28">
        <v>0.44965092888415575</v>
      </c>
      <c r="I390" s="3" t="s">
        <v>15</v>
      </c>
      <c r="J390" s="3" t="str">
        <f ca="1">IFERROR(__xludf.DUMMYFUNCTION("GOOGLETRANSLATE(I390,""ES"",""EN"")"),"Negative effect: financing mechanisms end up generating problems to CSMC.")</f>
        <v>Negative effect: financing mechanisms end up generating problems to CSMC.</v>
      </c>
      <c r="K390" s="1"/>
      <c r="L390" s="1"/>
      <c r="M390" s="1"/>
      <c r="N390" s="1"/>
      <c r="O390" s="1"/>
      <c r="P390" s="1"/>
      <c r="Q390" s="1"/>
      <c r="R390" s="1"/>
      <c r="S390" s="1"/>
      <c r="T390" s="1"/>
      <c r="U390" s="1"/>
      <c r="V390" s="1"/>
      <c r="W390" s="1"/>
      <c r="X390" s="1"/>
      <c r="Y390" s="1"/>
      <c r="Z390" s="1"/>
    </row>
    <row r="391" spans="1:26" ht="15.75" customHeight="1" x14ac:dyDescent="0.25">
      <c r="A391" s="6" t="s">
        <v>5</v>
      </c>
      <c r="B391" s="3" t="s">
        <v>790</v>
      </c>
      <c r="C391" s="3" t="s">
        <v>803</v>
      </c>
      <c r="D391" s="3" t="str">
        <f ca="1">IFERROR(__xludf.DUMMYFUNCTION("GOOGLETRANSLATE(C391,""ES"",""EN"")"),"FINANCING \ Result \ Difficulty / complexity for spending")</f>
        <v>FINANCING \ Result \ Difficulty / complexity for spending</v>
      </c>
      <c r="E391" s="3" t="s">
        <v>809</v>
      </c>
      <c r="F391" s="3" t="str">
        <f ca="1">IFERROR(__xludf.DUMMYFUNCTION("GOOGLETRANSLATE(E391,""ES"",""EN"")"),"Program that is Pasam in the center and the problems of financial and budgetary topic for purchase and payment are still generated, why, indeed, we continue to depend on finance, logistics, service.")</f>
        <v>Program that is Pasam in the center and the problems of financial and budgetary topic for purchase and payment are still generated, why, indeed, we continue to depend on finance, logistics, service.</v>
      </c>
      <c r="G391" s="3" t="s">
        <v>207</v>
      </c>
      <c r="H391" s="28">
        <v>0.82830434268133946</v>
      </c>
      <c r="I391" s="3" t="s">
        <v>15</v>
      </c>
      <c r="J391" s="3" t="str">
        <f ca="1">IFERROR(__xludf.DUMMYFUNCTION("GOOGLETRANSLATE(I391,""ES"",""EN"")"),"Negative effect: financing mechanisms end up generating problems to CSMC.")</f>
        <v>Negative effect: financing mechanisms end up generating problems to CSMC.</v>
      </c>
      <c r="K391" s="1"/>
      <c r="L391" s="1"/>
      <c r="M391" s="1"/>
      <c r="N391" s="1"/>
      <c r="O391" s="1"/>
      <c r="P391" s="1"/>
      <c r="Q391" s="1"/>
      <c r="R391" s="1"/>
      <c r="S391" s="1"/>
      <c r="T391" s="1"/>
      <c r="U391" s="1"/>
      <c r="V391" s="1"/>
      <c r="W391" s="1"/>
      <c r="X391" s="1"/>
      <c r="Y391" s="1"/>
      <c r="Z391" s="1"/>
    </row>
    <row r="392" spans="1:26" ht="15.75" customHeight="1" x14ac:dyDescent="0.25">
      <c r="A392" s="7" t="s">
        <v>5</v>
      </c>
      <c r="B392" s="3" t="s">
        <v>770</v>
      </c>
      <c r="C392" s="3" t="s">
        <v>810</v>
      </c>
      <c r="D392" s="3" t="str">
        <f ca="1">IFERROR(__xludf.DUMMYFUNCTION("GOOGLETRANSLATE(C392,""ES"",""EN"")"),"Users \ Result \ No one is excluded")</f>
        <v>Users \ Result \ No one is excluded</v>
      </c>
      <c r="E392" s="3" t="s">
        <v>811</v>
      </c>
      <c r="F392" s="3" t="str">
        <f ca="1">IFERROR(__xludf.DUMMYFUNCTION("GOOGLETRANSLATE(E392,""ES"",""EN"")"),"They are attended or received equally, because in the background our filter has to do with some clinical criteria, nothing more. There is no excluded population. In fact we have migrants, we have the derived full life cycle, so it does not affect, as far "&amp;"as I know, we have some limitation.")</f>
        <v>They are attended or received equally, because in the background our filter has to do with some clinical criteria, nothing more. There is no excluded population. In fact we have migrants, we have the derived full life cycle, so it does not affect, as far as I know, we have some limitation.</v>
      </c>
      <c r="G392" s="3" t="s">
        <v>350</v>
      </c>
      <c r="H392" s="28">
        <v>1.2345679012345678</v>
      </c>
      <c r="I392" s="3" t="s">
        <v>178</v>
      </c>
      <c r="J392" s="3" t="str">
        <f ca="1">IFERROR(__xludf.DUMMYFUNCTION("GOOGLETRANSLATE(I392,""ES"",""EN"")"),"Positive effects: No one is excluded and grateful people from the CSMC")</f>
        <v>Positive effects: No one is excluded and grateful people from the CSMC</v>
      </c>
      <c r="K392" s="1"/>
      <c r="L392" s="1"/>
      <c r="M392" s="1"/>
      <c r="N392" s="1"/>
      <c r="O392" s="1"/>
      <c r="P392" s="1"/>
      <c r="Q392" s="1"/>
      <c r="R392" s="1"/>
      <c r="S392" s="1"/>
      <c r="T392" s="1"/>
      <c r="U392" s="1"/>
      <c r="V392" s="1"/>
      <c r="W392" s="1"/>
      <c r="X392" s="1"/>
      <c r="Y392" s="1"/>
      <c r="Z392" s="1"/>
    </row>
    <row r="393" spans="1:26" ht="15.75" customHeight="1" x14ac:dyDescent="0.25">
      <c r="A393" s="6" t="s">
        <v>5</v>
      </c>
      <c r="B393" s="13" t="s">
        <v>812</v>
      </c>
      <c r="C393" s="9" t="s">
        <v>324</v>
      </c>
      <c r="D393" s="3" t="str">
        <f ca="1">IFERROR(__xludf.DUMMYFUNCTION("GOOGLETRANSLATE(C393,""ES"",""EN"")"),"FINANCING \ Result \ voltage between models in practice")</f>
        <v>FINANCING \ Result \ voltage between models in practice</v>
      </c>
      <c r="E393" s="14" t="s">
        <v>813</v>
      </c>
      <c r="F393" s="3" t="str">
        <f ca="1">IFERROR(__xludf.DUMMYFUNCTION("GOOGLETRANSLATE(E393,""ES"",""EN"")"),"It is the first time that this center has community work. Then the experience of mine has been a bit difficult at the beginning, because community work here works more with the biomedical. So I didn't have for example, a place to be. I was in a box and th"&amp;"en had nowhere to receive people, nothing to do. The group made them in the courtyard. (Coquimboorg_revised, pos. 4)")</f>
        <v>It is the first time that this center has community work. Then the experience of mine has been a bit difficult at the beginning, because community work here works more with the biomedical. So I didn't have for example, a place to be. I was in a box and then had nowhere to receive people, nothing to do. The group made them in the courtyard. (Coquimboorg_revised, pos. 4)</v>
      </c>
      <c r="G393" s="30"/>
      <c r="H393" s="30"/>
      <c r="I393" s="3" t="s">
        <v>51</v>
      </c>
      <c r="J393" s="3" t="str">
        <f ca="1">IFERROR(__xludf.DUMMYFUNCTION("GOOGLETRANSLATE(I393,""ES"",""EN"")"),"Negative effect: CSMC financing logics do not stimulate the implementation of the community mental health model.")</f>
        <v>Negative effect: CSMC financing logics do not stimulate the implementation of the community mental health model.</v>
      </c>
      <c r="K393" s="1"/>
      <c r="L393" s="1"/>
      <c r="M393" s="1"/>
      <c r="N393" s="1"/>
      <c r="O393" s="1"/>
      <c r="P393" s="1"/>
      <c r="Q393" s="1"/>
      <c r="R393" s="1"/>
      <c r="S393" s="1"/>
      <c r="T393" s="1"/>
      <c r="U393" s="1"/>
      <c r="V393" s="1"/>
      <c r="W393" s="1"/>
      <c r="X393" s="1"/>
      <c r="Y393" s="1"/>
      <c r="Z393" s="1"/>
    </row>
    <row r="394" spans="1:26" ht="15.75" customHeight="1" x14ac:dyDescent="0.25">
      <c r="A394" s="6" t="s">
        <v>5</v>
      </c>
      <c r="B394" s="13" t="s">
        <v>812</v>
      </c>
      <c r="C394" s="9" t="s">
        <v>324</v>
      </c>
      <c r="D394" s="3" t="str">
        <f ca="1">IFERROR(__xludf.DUMMYFUNCTION("GOOGLETRANSLATE(C394,""ES"",""EN"")"),"FINANCING \ Result \ voltage between models in practice")</f>
        <v>FINANCING \ Result \ voltage between models in practice</v>
      </c>
      <c r="E394" s="15" t="s">
        <v>814</v>
      </c>
      <c r="F394" s="3" t="str">
        <f ca="1">IFERROR(__xludf.DUMMYFUNCTION("GOOGLETRANSLATE(E394,""ES"",""EN"")"),"Well, at first it was difficult, as I was saying, because there was no place. A stable place to be fine. We worked in a dining room and the groups were made in the courtyard. And now that we changed my place, they changed us to a wider place in a room. I "&amp;"am working like all my things I have here in the hall, but in this room several people occupy it. Then you have to share the space with everyone who comes. (Coquimboorg_revised, pos. 14)")</f>
        <v>Well, at first it was difficult, as I was saying, because there was no place. A stable place to be fine. We worked in a dining room and the groups were made in the courtyard. And now that we changed my place, they changed us to a wider place in a room. I am working like all my things I have here in the hall, but in this room several people occupy it. Then you have to share the space with everyone who comes. (Coquimboorg_revised, pos. 14)</v>
      </c>
      <c r="G394" s="30"/>
      <c r="H394" s="30"/>
      <c r="I394" s="3" t="s">
        <v>51</v>
      </c>
      <c r="J394" s="3" t="str">
        <f ca="1">IFERROR(__xludf.DUMMYFUNCTION("GOOGLETRANSLATE(I394,""ES"",""EN"")"),"Negative effect: CSMC financing logics do not stimulate the implementation of the community mental health model.")</f>
        <v>Negative effect: CSMC financing logics do not stimulate the implementation of the community mental health model.</v>
      </c>
      <c r="K394" s="1"/>
      <c r="L394" s="1"/>
      <c r="M394" s="1"/>
      <c r="N394" s="1"/>
      <c r="O394" s="1"/>
      <c r="P394" s="1"/>
      <c r="Q394" s="1"/>
      <c r="R394" s="1"/>
      <c r="S394" s="1"/>
      <c r="T394" s="1"/>
      <c r="U394" s="1"/>
      <c r="V394" s="1"/>
      <c r="W394" s="1"/>
      <c r="X394" s="1"/>
      <c r="Y394" s="1"/>
      <c r="Z394" s="1"/>
    </row>
    <row r="395" spans="1:26" ht="15.75" customHeight="1" x14ac:dyDescent="0.25">
      <c r="A395" s="6" t="s">
        <v>5</v>
      </c>
      <c r="B395" s="13" t="s">
        <v>812</v>
      </c>
      <c r="C395" s="9" t="s">
        <v>324</v>
      </c>
      <c r="D395" s="3" t="str">
        <f ca="1">IFERROR(__xludf.DUMMYFUNCTION("GOOGLETRANSLATE(C395,""ES"",""EN"")"),"FINANCING \ Result \ voltage between models in practice")</f>
        <v>FINANCING \ Result \ voltage between models in practice</v>
      </c>
      <c r="E395" s="15" t="s">
        <v>815</v>
      </c>
      <c r="F395" s="3" t="str">
        <f ca="1">IFERROR(__xludf.DUMMYFUNCTION("GOOGLETRANSLATE(E395,""ES"",""EN"")"),"Professionals still costs a bit to understand community work, because at first listened to and that you told me, you are like us, you don't have to get so close to people, you are not, they are not your friends. They told me like that. The training of us "&amp;"is not the same, because we are a bridge between the community and the professionals. We believe that to generate links we have to be closer. Apart I belong to the community. So at the meeting I have tried many times to explain and sometimes one by one ex"&amp;"plain that community work and that of the Community Worker of Mental Health, it is because we have another look and we do not have, which is close to the community. That we live a similar experience. Somehow all those who come here. We know and we can get"&amp;" in their place. Know how they feel and thus be able to support each of them. (Coquimboorg_revised, pos. 14)")</f>
        <v>Professionals still costs a bit to understand community work, because at first listened to and that you told me, you are like us, you don't have to get so close to people, you are not, they are not your friends. They told me like that. The training of us is not the same, because we are a bridge between the community and the professionals. We believe that to generate links we have to be closer. Apart I belong to the community. So at the meeting I have tried many times to explain and sometimes one by one explain that community work and that of the Community Worker of Mental Health, it is because we have another look and we do not have, which is close to the community. That we live a similar experience. Somehow all those who come here. We know and we can get in their place. Know how they feel and thus be able to support each of them. (Coquimboorg_revised, pos. 14)</v>
      </c>
      <c r="G395" s="30"/>
      <c r="H395" s="30"/>
      <c r="I395" s="3" t="s">
        <v>51</v>
      </c>
      <c r="J395" s="3" t="str">
        <f ca="1">IFERROR(__xludf.DUMMYFUNCTION("GOOGLETRANSLATE(I395,""ES"",""EN"")"),"Negative effect: CSMC financing logics do not stimulate the implementation of the community mental health model.")</f>
        <v>Negative effect: CSMC financing logics do not stimulate the implementation of the community mental health model.</v>
      </c>
      <c r="K395" s="1"/>
      <c r="L395" s="1"/>
      <c r="M395" s="1"/>
      <c r="N395" s="1"/>
      <c r="O395" s="1"/>
      <c r="P395" s="1"/>
      <c r="Q395" s="1"/>
      <c r="R395" s="1"/>
      <c r="S395" s="1"/>
      <c r="T395" s="1"/>
      <c r="U395" s="1"/>
      <c r="V395" s="1"/>
      <c r="W395" s="1"/>
      <c r="X395" s="1"/>
      <c r="Y395" s="1"/>
      <c r="Z395" s="1"/>
    </row>
    <row r="396" spans="1:26" ht="15.75" customHeight="1" x14ac:dyDescent="0.25">
      <c r="A396" s="6" t="s">
        <v>5</v>
      </c>
      <c r="B396" s="13" t="s">
        <v>812</v>
      </c>
      <c r="C396" s="9" t="s">
        <v>324</v>
      </c>
      <c r="D396" s="3" t="str">
        <f ca="1">IFERROR(__xludf.DUMMYFUNCTION("GOOGLETRANSLATE(C396,""ES"",""EN"")"),"FINANCING \ Result \ voltage between models in practice")</f>
        <v>FINANCING \ Result \ voltage between models in practice</v>
      </c>
      <c r="E396" s="15" t="s">
        <v>816</v>
      </c>
      <c r="F396" s="3" t="str">
        <f ca="1">IFERROR(__xludf.DUMMYFUNCTION("GOOGLETRANSLATE(E396,""ES"",""EN"")"),"Then that closeness, lack and all that was done on foot because there was no for community work, mobilization throughout the people, throughout the town on foot. Then we needed, there is more than more resources, more things to be able to work with the co"&amp;"mmunity. And that the professional too, that he goes, to be integrated with that community work. That you also accept community workers and support, support the work and not just support them. Because in the end we are the bridge between the community and"&amp;" them. But I have seen that as an experience is that the community worker is the one that most, the link, the link with the family (Coquimboorg_revised, pos. 20)")</f>
        <v>Then that closeness, lack and all that was done on foot because there was no for community work, mobilization throughout the people, throughout the town on foot. Then we needed, there is more than more resources, more things to be able to work with the community. And that the professional too, that he goes, to be integrated with that community work. That you also accept community workers and support, support the work and not just support them. Because in the end we are the bridge between the community and them. But I have seen that as an experience is that the community worker is the one that most, the link, the link with the family (Coquimboorg_revised, pos. 20)</v>
      </c>
      <c r="G396" s="30"/>
      <c r="H396" s="30"/>
      <c r="I396" s="3" t="s">
        <v>51</v>
      </c>
      <c r="J396" s="3" t="str">
        <f ca="1">IFERROR(__xludf.DUMMYFUNCTION("GOOGLETRANSLATE(I396,""ES"",""EN"")"),"Negative effect: CSMC financing logics do not stimulate the implementation of the community mental health model.")</f>
        <v>Negative effect: CSMC financing logics do not stimulate the implementation of the community mental health model.</v>
      </c>
      <c r="K396" s="1"/>
      <c r="L396" s="1"/>
      <c r="M396" s="1"/>
      <c r="N396" s="1"/>
      <c r="O396" s="1"/>
      <c r="P396" s="1"/>
      <c r="Q396" s="1"/>
      <c r="R396" s="1"/>
      <c r="S396" s="1"/>
      <c r="T396" s="1"/>
      <c r="U396" s="1"/>
      <c r="V396" s="1"/>
      <c r="W396" s="1"/>
      <c r="X396" s="1"/>
      <c r="Y396" s="1"/>
      <c r="Z396" s="1"/>
    </row>
    <row r="397" spans="1:26" ht="15.75" customHeight="1" x14ac:dyDescent="0.25">
      <c r="A397" s="6" t="s">
        <v>5</v>
      </c>
      <c r="B397" s="13" t="s">
        <v>812</v>
      </c>
      <c r="C397" s="9" t="s">
        <v>324</v>
      </c>
      <c r="D397" s="3" t="str">
        <f ca="1">IFERROR(__xludf.DUMMYFUNCTION("GOOGLETRANSLATE(C397,""ES"",""EN"")"),"FINANCING \ Result \ voltage between models in practice")</f>
        <v>FINANCING \ Result \ voltage between models in practice</v>
      </c>
      <c r="E397" s="16" t="s">
        <v>817</v>
      </c>
      <c r="F397" s="3" t="str">
        <f ca="1">IFERROR(__xludf.DUMMYFUNCTION("GOOGLETRANSLATE(E397,""ES"",""EN"")"),"So when we are alone they are even able to tell what they have not told the doctor. And when we discover that something is wrong, that they need more support, we direct it to the doctor, we tell him and hope that they approach them in the same way. I also"&amp;" believe that doctors should to do community work as, as, as indicated in integration, true, community should be closer with patients, with the family that is treated, because here, for example , they say that they have to visit, it is structured, but no "&amp;"doctor goes to visit, so and the psychologist none goes to visits, a psychologist and a social worker who is almost always the one who goes to visit and the doctor almost never approaches. (Coquimboorg_revised, pos. 15)")</f>
        <v>So when we are alone they are even able to tell what they have not told the doctor. And when we discover that something is wrong, that they need more support, we direct it to the doctor, we tell him and hope that they approach them in the same way. I also believe that doctors should to do community work as, as, as indicated in integration, true, community should be closer with patients, with the family that is treated, because here, for example , they say that they have to visit, it is structured, but no doctor goes to visit, so and the psychologist none goes to visits, a psychologist and a social worker who is almost always the one who goes to visit and the doctor almost never approaches. (Coquimboorg_revised, pos. 15)</v>
      </c>
      <c r="G397" s="30"/>
      <c r="H397" s="30"/>
      <c r="I397" s="3" t="s">
        <v>51</v>
      </c>
      <c r="J397" s="3" t="str">
        <f ca="1">IFERROR(__xludf.DUMMYFUNCTION("GOOGLETRANSLATE(I397,""ES"",""EN"")"),"Negative effect: CSMC financing logics do not stimulate the implementation of the community mental health model.")</f>
        <v>Negative effect: CSMC financing logics do not stimulate the implementation of the community mental health model.</v>
      </c>
      <c r="K397" s="1"/>
      <c r="L397" s="1"/>
      <c r="M397" s="1"/>
      <c r="N397" s="1"/>
      <c r="O397" s="1"/>
      <c r="P397" s="1"/>
      <c r="Q397" s="1"/>
      <c r="R397" s="1"/>
      <c r="S397" s="1"/>
      <c r="T397" s="1"/>
      <c r="U397" s="1"/>
      <c r="V397" s="1"/>
      <c r="W397" s="1"/>
      <c r="X397" s="1"/>
      <c r="Y397" s="1"/>
      <c r="Z397" s="1"/>
    </row>
    <row r="398" spans="1:26" ht="15.75" customHeight="1" x14ac:dyDescent="0.25">
      <c r="A398" s="6" t="s">
        <v>5</v>
      </c>
      <c r="B398" s="14" t="s">
        <v>812</v>
      </c>
      <c r="C398" s="3" t="s">
        <v>388</v>
      </c>
      <c r="D398" s="3" t="str">
        <f ca="1">IFERROR(__xludf.DUMMYFUNCTION("GOOGLETRANSLATE(C398,""ES"",""EN"")"),"FINANCING \ RESULT \ SYSTEM IS FINISHED")</f>
        <v>FINANCING \ RESULT \ SYSTEM IS FINISHED</v>
      </c>
      <c r="E398" s="14" t="s">
        <v>818</v>
      </c>
      <c r="F398" s="3" t="str">
        <f ca="1">IFERROR(__xludf.DUMMYFUNCTION("GOOGLETRANSLATE(E398,""ES"",""EN"")"),"Then that closeness, lack and all that was done on foot because there was no for community work, mobilization throughout the people, throughout the town on foot. Then we needed, there is more than more resources, more things to be able to work with the co"&amp;"mmunity. (Coquimboorg_revised, pos. 20)")</f>
        <v>Then that closeness, lack and all that was done on foot because there was no for community work, mobilization throughout the people, throughout the town on foot. Then we needed, there is more than more resources, more things to be able to work with the community. (Coquimboorg_revised, pos. 20)</v>
      </c>
      <c r="G398" s="30"/>
      <c r="H398" s="30"/>
      <c r="I398" s="3" t="s">
        <v>65</v>
      </c>
      <c r="J398" s="3" t="str">
        <f ca="1">IFERROR(__xludf.DUMMYFUNCTION("GOOGLETRANSLATE(I398,""ES"",""EN"")"),"Negative effect: actors do not identify a CSMC financing system")</f>
        <v>Negative effect: actors do not identify a CSMC financing system</v>
      </c>
      <c r="K398" s="1"/>
      <c r="L398" s="1"/>
      <c r="M398" s="1"/>
      <c r="N398" s="1"/>
      <c r="O398" s="1"/>
      <c r="P398" s="1"/>
      <c r="Q398" s="1"/>
      <c r="R398" s="1"/>
      <c r="S398" s="1"/>
      <c r="T398" s="1"/>
      <c r="U398" s="1"/>
      <c r="V398" s="1"/>
      <c r="W398" s="1"/>
      <c r="X398" s="1"/>
      <c r="Y398" s="1"/>
      <c r="Z398" s="1"/>
    </row>
    <row r="399" spans="1:26" ht="15.75" customHeight="1" x14ac:dyDescent="0.25">
      <c r="A399" s="6" t="s">
        <v>5</v>
      </c>
      <c r="B399" s="14" t="s">
        <v>812</v>
      </c>
      <c r="C399" s="3" t="s">
        <v>388</v>
      </c>
      <c r="D399" s="3" t="str">
        <f ca="1">IFERROR(__xludf.DUMMYFUNCTION("GOOGLETRANSLATE(C399,""ES"",""EN"")"),"FINANCING \ RESULT \ SYSTEM IS FINISHED")</f>
        <v>FINANCING \ RESULT \ SYSTEM IS FINISHED</v>
      </c>
      <c r="E399" s="14" t="s">
        <v>819</v>
      </c>
      <c r="F399" s="3" t="str">
        <f ca="1">IFERROR(__xludf.DUMMYFUNCTION("GOOGLETRANSLATE(E399,""ES"",""EN"")"),"Resources are insufficient. For example, here the resources are given to the hospital and the hospital distributes them, they distribute them to those who need it the most. Teleworking are working for a long time, which is what we are in a place that is b"&amp;"ig, but there are still box for groups. I am attending, I attend and do groups, I have my things in a room. In a hall where everyone makes workshops, so one when you enter. Um. Do something. Slates range from the hospital, direct it more to other things, "&amp;"to digitalization because ... because there are more people working there, but they don't here. (Coquimboorg_revised, pos. 30)")</f>
        <v>Resources are insufficient. For example, here the resources are given to the hospital and the hospital distributes them, they distribute them to those who need it the most. Teleworking are working for a long time, which is what we are in a place that is big, but there are still box for groups. I am attending, I attend and do groups, I have my things in a room. In a hall where everyone makes workshops, so one when you enter. Um. Do something. Slates range from the hospital, direct it more to other things, to digitalization because ... because there are more people working there, but they don't here. (Coquimboorg_revised, pos. 30)</v>
      </c>
      <c r="G399" s="30"/>
      <c r="H399" s="30"/>
      <c r="I399" s="3" t="s">
        <v>65</v>
      </c>
      <c r="J399" s="3" t="str">
        <f ca="1">IFERROR(__xludf.DUMMYFUNCTION("GOOGLETRANSLATE(I399,""ES"",""EN"")"),"Negative effect: actors do not identify a CSMC financing system")</f>
        <v>Negative effect: actors do not identify a CSMC financing system</v>
      </c>
      <c r="K399" s="1"/>
      <c r="L399" s="1"/>
      <c r="M399" s="1"/>
      <c r="N399" s="1"/>
      <c r="O399" s="1"/>
      <c r="P399" s="1"/>
      <c r="Q399" s="1"/>
      <c r="R399" s="1"/>
      <c r="S399" s="1"/>
      <c r="T399" s="1"/>
      <c r="U399" s="1"/>
      <c r="V399" s="1"/>
      <c r="W399" s="1"/>
      <c r="X399" s="1"/>
      <c r="Y399" s="1"/>
      <c r="Z399" s="1"/>
    </row>
    <row r="400" spans="1:26" ht="15.75" customHeight="1" x14ac:dyDescent="0.25">
      <c r="A400" s="6" t="s">
        <v>5</v>
      </c>
      <c r="B400" s="14" t="s">
        <v>812</v>
      </c>
      <c r="C400" s="3" t="s">
        <v>388</v>
      </c>
      <c r="D400" s="3" t="str">
        <f ca="1">IFERROR(__xludf.DUMMYFUNCTION("GOOGLETRANSLATE(C400,""ES"",""EN"")"),"FINANCING \ RESULT \ SYSTEM IS FINISHED")</f>
        <v>FINANCING \ RESULT \ SYSTEM IS FINISHED</v>
      </c>
      <c r="E400" s="14" t="s">
        <v>820</v>
      </c>
      <c r="F400" s="3" t="str">
        <f ca="1">IFERROR(__xludf.DUMMYFUNCTION("GOOGLETRANSLATE(E400,""ES"",""EN"")"),"But the fact is that the silver arrives at the hospital and from the hospital there you have to see who, who are the ones who need the most. And it's like always mental health is like needing little, right? It doesn't need much. Even for mobilization. We "&amp;"have the mobilization, the hospital comes to that resource there and distributes it between Cesam of the companies, Cesam de la Serena, Infanto Juvenil, the Hospital of Day. (Coquimboorg_revised, pos. 30)")</f>
        <v>But the fact is that the silver arrives at the hospital and from the hospital there you have to see who, who are the ones who need the most. And it's like always mental health is like needing little, right? It doesn't need much. Even for mobilization. We have the mobilization, the hospital comes to that resource there and distributes it between Cesam of the companies, Cesam de la Serena, Infanto Juvenil, the Hospital of Day. (Coquimboorg_revised, pos. 30)</v>
      </c>
      <c r="G400" s="30"/>
      <c r="H400" s="30"/>
      <c r="I400" s="3" t="s">
        <v>65</v>
      </c>
      <c r="J400" s="3" t="str">
        <f ca="1">IFERROR(__xludf.DUMMYFUNCTION("GOOGLETRANSLATE(I400,""ES"",""EN"")"),"Negative effect: actors do not identify a CSMC financing system")</f>
        <v>Negative effect: actors do not identify a CSMC financing system</v>
      </c>
      <c r="K400" s="1"/>
      <c r="L400" s="1"/>
      <c r="M400" s="1"/>
      <c r="N400" s="1"/>
      <c r="O400" s="1"/>
      <c r="P400" s="1"/>
      <c r="Q400" s="1"/>
      <c r="R400" s="1"/>
      <c r="S400" s="1"/>
      <c r="T400" s="1"/>
      <c r="U400" s="1"/>
      <c r="V400" s="1"/>
      <c r="W400" s="1"/>
      <c r="X400" s="1"/>
      <c r="Y400" s="1"/>
      <c r="Z400" s="1"/>
    </row>
    <row r="401" spans="1:26" ht="15.75" customHeight="1" x14ac:dyDescent="0.25">
      <c r="A401" s="6" t="s">
        <v>5</v>
      </c>
      <c r="B401" s="14" t="s">
        <v>812</v>
      </c>
      <c r="C401" s="3" t="s">
        <v>388</v>
      </c>
      <c r="D401" s="3" t="str">
        <f ca="1">IFERROR(__xludf.DUMMYFUNCTION("GOOGLETRANSLATE(C401,""ES"",""EN"")"),"FINANCING \ RESULT \ SYSTEM IS FINISHED")</f>
        <v>FINANCING \ RESULT \ SYSTEM IS FINISHED</v>
      </c>
      <c r="E401" s="15" t="s">
        <v>821</v>
      </c>
      <c r="F401" s="3" t="str">
        <f ca="1">IFERROR(__xludf.DUMMYFUNCTION("GOOGLETRANSLATE(E401,""ES"",""EN"")"),"So I think that part is bad, very bad because as in a day and a half we will be able to go to some rural parts, as in a day and a half we will be able to go or visit the people who need it most, to those who cannot move and you have to go put the injectab"&amp;"les to their homes. Then mental health is very far from having a lot of support. No, no, there is not much support for mental health, although it is I believe that the health service I have nothing to say because they just, I think they treat, treat, trea"&amp;"t and not. I, for example, for example, I come with a, I am honorary and I come with a project, so the plates go to hospital. And silver, they have to distribute it to me. So but there is not included, it is not included for extra hours, nothing is includ"&amp;"ed. Then there is no. (Coquimboorg_revised, pos. 31)")</f>
        <v>So I think that part is bad, very bad because as in a day and a half we will be able to go to some rural parts, as in a day and a half we will be able to go or visit the people who need it most, to those who cannot move and you have to go put the injectables to their homes. Then mental health is very far from having a lot of support. No, no, there is not much support for mental health, although it is I believe that the health service I have nothing to say because they just, I think they treat, treat, treat and not. I, for example, for example, I come with a, I am honorary and I come with a project, so the plates go to hospital. And silver, they have to distribute it to me. So but there is not included, it is not included for extra hours, nothing is included. Then there is no. (Coquimboorg_revised, pos. 31)</v>
      </c>
      <c r="G401" s="30"/>
      <c r="H401" s="30"/>
      <c r="I401" s="3" t="s">
        <v>65</v>
      </c>
      <c r="J401" s="3" t="str">
        <f ca="1">IFERROR(__xludf.DUMMYFUNCTION("GOOGLETRANSLATE(I401,""ES"",""EN"")"),"Negative effect: actors do not identify a CSMC financing system")</f>
        <v>Negative effect: actors do not identify a CSMC financing system</v>
      </c>
      <c r="K401" s="1"/>
      <c r="L401" s="1"/>
      <c r="M401" s="1"/>
      <c r="N401" s="1"/>
      <c r="O401" s="1"/>
      <c r="P401" s="1"/>
      <c r="Q401" s="1"/>
      <c r="R401" s="1"/>
      <c r="S401" s="1"/>
      <c r="T401" s="1"/>
      <c r="U401" s="1"/>
      <c r="V401" s="1"/>
      <c r="W401" s="1"/>
      <c r="X401" s="1"/>
      <c r="Y401" s="1"/>
      <c r="Z401" s="1"/>
    </row>
    <row r="402" spans="1:26" ht="15.75" customHeight="1" x14ac:dyDescent="0.25">
      <c r="A402" s="6" t="s">
        <v>5</v>
      </c>
      <c r="B402" s="14" t="s">
        <v>812</v>
      </c>
      <c r="C402" s="3" t="s">
        <v>388</v>
      </c>
      <c r="D402" s="3" t="str">
        <f ca="1">IFERROR(__xludf.DUMMYFUNCTION("GOOGLETRANSLATE(C402,""ES"",""EN"")"),"FINANCING \ RESULT \ SYSTEM IS FINISHED")</f>
        <v>FINANCING \ RESULT \ SYSTEM IS FINISHED</v>
      </c>
      <c r="E402" s="15" t="s">
        <v>822</v>
      </c>
      <c r="F402" s="3" t="str">
        <f ca="1">IFERROR(__xludf.DUMMYFUNCTION("GOOGLETRANSLATE(E402,""ES"",""EN"")"),"But here does not arrive many resources, we are working with what you have. As they did yesterday at the meeting, we are working precariously. (Coquimboorg_revised, pos. 32)")</f>
        <v>But here does not arrive many resources, we are working with what you have. As they did yesterday at the meeting, we are working precariously. (Coquimboorg_revised, pos. 32)</v>
      </c>
      <c r="G402" s="30"/>
      <c r="H402" s="30"/>
      <c r="I402" s="3" t="s">
        <v>65</v>
      </c>
      <c r="J402" s="3" t="str">
        <f ca="1">IFERROR(__xludf.DUMMYFUNCTION("GOOGLETRANSLATE(I402,""ES"",""EN"")"),"Negative effect: actors do not identify a CSMC financing system")</f>
        <v>Negative effect: actors do not identify a CSMC financing system</v>
      </c>
      <c r="K402" s="1"/>
      <c r="L402" s="1"/>
      <c r="M402" s="1"/>
      <c r="N402" s="1"/>
      <c r="O402" s="1"/>
      <c r="P402" s="1"/>
      <c r="Q402" s="1"/>
      <c r="R402" s="1"/>
      <c r="S402" s="1"/>
      <c r="T402" s="1"/>
      <c r="U402" s="1"/>
      <c r="V402" s="1"/>
      <c r="W402" s="1"/>
      <c r="X402" s="1"/>
      <c r="Y402" s="1"/>
      <c r="Z402" s="1"/>
    </row>
    <row r="403" spans="1:26" ht="15.75" customHeight="1" x14ac:dyDescent="0.25">
      <c r="A403" s="6" t="s">
        <v>5</v>
      </c>
      <c r="B403" s="14" t="s">
        <v>812</v>
      </c>
      <c r="C403" s="3" t="s">
        <v>388</v>
      </c>
      <c r="D403" s="3" t="str">
        <f ca="1">IFERROR(__xludf.DUMMYFUNCTION("GOOGLETRANSLATE(C403,""ES"",""EN"")"),"FINANCING \ RESULT \ SYSTEM IS FINISHED")</f>
        <v>FINANCING \ RESULT \ SYSTEM IS FINISHED</v>
      </c>
      <c r="E403" s="14" t="s">
        <v>823</v>
      </c>
      <c r="F403" s="3" t="str">
        <f ca="1">IFERROR(__xludf.DUMMYFUNCTION("GOOGLETRANSLATE(E403,""ES"",""EN"")"),"As I don't know, I don't know what happens, I don't really know what happens, but here one makes the greatest effort so that things in one way or another work, but if it is in regard to that, I I think that a lot of resource is missing, a lot of resource "&amp;"is missing. We work with what there is. (Coquimboorg_revised, pos. 32)")</f>
        <v>As I don't know, I don't know what happens, I don't really know what happens, but here one makes the greatest effort so that things in one way or another work, but if it is in regard to that, I I think that a lot of resource is missing, a lot of resource is missing. We work with what there is. (Coquimboorg_revised, pos. 32)</v>
      </c>
      <c r="G403" s="30"/>
      <c r="H403" s="30"/>
      <c r="I403" s="3" t="s">
        <v>65</v>
      </c>
      <c r="J403" s="3" t="str">
        <f ca="1">IFERROR(__xludf.DUMMYFUNCTION("GOOGLETRANSLATE(I403,""ES"",""EN"")"),"Negative effect: actors do not identify a CSMC financing system")</f>
        <v>Negative effect: actors do not identify a CSMC financing system</v>
      </c>
      <c r="K403" s="1"/>
      <c r="L403" s="1"/>
      <c r="M403" s="1"/>
      <c r="N403" s="1"/>
      <c r="O403" s="1"/>
      <c r="P403" s="1"/>
      <c r="Q403" s="1"/>
      <c r="R403" s="1"/>
      <c r="S403" s="1"/>
      <c r="T403" s="1"/>
      <c r="U403" s="1"/>
      <c r="V403" s="1"/>
      <c r="W403" s="1"/>
      <c r="X403" s="1"/>
      <c r="Y403" s="1"/>
      <c r="Z403" s="1"/>
    </row>
    <row r="404" spans="1:26" ht="15.75" customHeight="1" x14ac:dyDescent="0.25">
      <c r="A404" s="6" t="s">
        <v>5</v>
      </c>
      <c r="B404" s="14" t="s">
        <v>812</v>
      </c>
      <c r="C404" s="3" t="s">
        <v>388</v>
      </c>
      <c r="D404" s="3" t="str">
        <f ca="1">IFERROR(__xludf.DUMMYFUNCTION("GOOGLETRANSLATE(C404,""ES"",""EN"")"),"FINANCING \ RESULT \ SYSTEM IS FINISHED")</f>
        <v>FINANCING \ RESULT \ SYSTEM IS FINISHED</v>
      </c>
      <c r="E404" s="14" t="s">
        <v>824</v>
      </c>
      <c r="F404" s="3" t="str">
        <f ca="1">IFERROR(__xludf.DUMMYFUNCTION("GOOGLETRANSLATE(E404,""ES"",""EN"")"),"Because without project we do nothing and how we work self -management, we do the fair, we sell things. Now we have planned to make auction to see the auction, we organize to collect money, since at the end of the year we have the program, it has several "&amp;"segments and between that segment is the celebration of Family Day, which is at the end of the year and I managed to generate some resources, donations here and there, and they first, some of them for the first time went to a camping (coquimboorg_revised,"&amp;" pos. 17)")</f>
        <v>Because without project we do nothing and how we work self -management, we do the fair, we sell things. Now we have planned to make auction to see the auction, we organize to collect money, since at the end of the year we have the program, it has several segments and between that segment is the celebration of Family Day, which is at the end of the year and I managed to generate some resources, donations here and there, and they first, some of them for the first time went to a camping (coquimboorg_revised, pos. 17)</v>
      </c>
      <c r="G404" s="30"/>
      <c r="H404" s="30"/>
      <c r="I404" s="3" t="s">
        <v>65</v>
      </c>
      <c r="J404" s="3" t="str">
        <f ca="1">IFERROR(__xludf.DUMMYFUNCTION("GOOGLETRANSLATE(I404,""ES"",""EN"")"),"Negative effect: actors do not identify a CSMC financing system")</f>
        <v>Negative effect: actors do not identify a CSMC financing system</v>
      </c>
      <c r="K404" s="1"/>
      <c r="L404" s="1"/>
      <c r="M404" s="1"/>
      <c r="N404" s="1"/>
      <c r="O404" s="1"/>
      <c r="P404" s="1"/>
      <c r="Q404" s="1"/>
      <c r="R404" s="1"/>
      <c r="S404" s="1"/>
      <c r="T404" s="1"/>
      <c r="U404" s="1"/>
      <c r="V404" s="1"/>
      <c r="W404" s="1"/>
      <c r="X404" s="1"/>
      <c r="Y404" s="1"/>
      <c r="Z404" s="1"/>
    </row>
    <row r="405" spans="1:26" ht="15.75" customHeight="1" x14ac:dyDescent="0.25">
      <c r="A405" s="6" t="s">
        <v>5</v>
      </c>
      <c r="B405" s="14" t="s">
        <v>812</v>
      </c>
      <c r="C405" s="3" t="s">
        <v>388</v>
      </c>
      <c r="D405" s="3" t="str">
        <f ca="1">IFERROR(__xludf.DUMMYFUNCTION("GOOGLETRANSLATE(C405,""ES"",""EN"")"),"FINANCING \ RESULT \ SYSTEM IS FINISHED")</f>
        <v>FINANCING \ RESULT \ SYSTEM IS FINISHED</v>
      </c>
      <c r="E405" s="14" t="s">
        <v>825</v>
      </c>
      <c r="F405" s="3" t="str">
        <f ca="1">IFERROR(__xludf.DUMMYFUNCTION("GOOGLETRANSLATE(E405,""ES"",""EN"")"),"So that's why I tell you that there is a lot of lack of attention, much more attention than they put at the level of government, I think, in mental health, because mental health requires it. I have gone to places far away, I have gone from here to Rural, "&amp;"where people are practically abandoned, where they are seen once in their control and never more will a visit. I have seen people who live alone, locked in a house, inside one house, another house and live here. (Coquimboorg_revised, pos. 19)")</f>
        <v>So that's why I tell you that there is a lot of lack of attention, much more attention than they put at the level of government, I think, in mental health, because mental health requires it. I have gone to places far away, I have gone from here to Rural, where people are practically abandoned, where they are seen once in their control and never more will a visit. I have seen people who live alone, locked in a house, inside one house, another house and live here. (Coquimboorg_revised, pos. 19)</v>
      </c>
      <c r="G405" s="30"/>
      <c r="H405" s="30"/>
      <c r="I405" s="3" t="s">
        <v>65</v>
      </c>
      <c r="J405" s="3" t="str">
        <f ca="1">IFERROR(__xludf.DUMMYFUNCTION("GOOGLETRANSLATE(I405,""ES"",""EN"")"),"Negative effect: actors do not identify a CSMC financing system")</f>
        <v>Negative effect: actors do not identify a CSMC financing system</v>
      </c>
      <c r="K405" s="1"/>
      <c r="L405" s="1"/>
      <c r="M405" s="1"/>
      <c r="N405" s="1"/>
      <c r="O405" s="1"/>
      <c r="P405" s="1"/>
      <c r="Q405" s="1"/>
      <c r="R405" s="1"/>
      <c r="S405" s="1"/>
      <c r="T405" s="1"/>
      <c r="U405" s="1"/>
      <c r="V405" s="1"/>
      <c r="W405" s="1"/>
      <c r="X405" s="1"/>
      <c r="Y405" s="1"/>
      <c r="Z405" s="1"/>
    </row>
    <row r="406" spans="1:26" ht="15.75" customHeight="1" x14ac:dyDescent="0.25">
      <c r="A406" s="8" t="s">
        <v>5</v>
      </c>
      <c r="B406" s="13" t="s">
        <v>812</v>
      </c>
      <c r="C406" s="3" t="s">
        <v>106</v>
      </c>
      <c r="D406" s="3" t="str">
        <f ca="1">IFERROR(__xludf.DUMMYFUNCTION("GOOGLETRANSLATE(C406,""ES"",""EN"")"),"Medications and Technologies \ Result \ Lack of medications")</f>
        <v>Medications and Technologies \ Result \ Lack of medications</v>
      </c>
      <c r="E406" s="14" t="s">
        <v>826</v>
      </c>
      <c r="F406" s="3" t="str">
        <f ca="1">IFERROR(__xludf.DUMMYFUNCTION("GOOGLETRANSLATE(E406,""ES"",""EN"")"),"The bad thing is when for example they always come, they almost always have problems with medications, because they go to the pharmacy my companions here to look for them and in the pharmacy make them wait, wait and then say there is not. And if there is "&amp;"no medicine, medicines are delayed, they decompensate (coquimboorg_revised, pos. 26)")</f>
        <v>The bad thing is when for example they always come, they almost always have problems with medications, because they go to the pharmacy my companions here to look for them and in the pharmacy make them wait, wait and then say there is not. And if there is no medicine, medicines are delayed, they decompensate (coquimboorg_revised, pos. 26)</v>
      </c>
      <c r="G406" s="30"/>
      <c r="H406" s="30"/>
      <c r="I406" s="3" t="s">
        <v>33</v>
      </c>
      <c r="J406" s="3" t="str">
        <f ca="1">IFERROR(__xludf.DUMMYFUNCTION("GOOGLETRANSLATE(I406,""ES"",""EN"")"),"Negative effects: lack of family integration ...")</f>
        <v>Negative effects: lack of family integration ...</v>
      </c>
      <c r="K406" s="1"/>
      <c r="L406" s="1"/>
      <c r="M406" s="1"/>
      <c r="N406" s="1"/>
      <c r="O406" s="1"/>
      <c r="P406" s="1"/>
      <c r="Q406" s="1"/>
      <c r="R406" s="1"/>
      <c r="S406" s="1"/>
      <c r="T406" s="1"/>
      <c r="U406" s="1"/>
      <c r="V406" s="1"/>
      <c r="W406" s="1"/>
      <c r="X406" s="1"/>
      <c r="Y406" s="1"/>
      <c r="Z406" s="1"/>
    </row>
    <row r="407" spans="1:26" ht="15.75" customHeight="1" x14ac:dyDescent="0.25">
      <c r="A407" s="1"/>
      <c r="B407" s="1"/>
      <c r="C407" s="15"/>
      <c r="D407" s="3"/>
      <c r="E407" s="1"/>
      <c r="F407" s="3"/>
      <c r="G407" s="1"/>
      <c r="H407" s="1"/>
      <c r="I407" s="3"/>
      <c r="J407" s="3"/>
      <c r="K407" s="1"/>
      <c r="L407" s="1"/>
      <c r="M407" s="1"/>
      <c r="N407" s="1"/>
      <c r="O407" s="1"/>
      <c r="P407" s="1"/>
      <c r="Q407" s="1"/>
      <c r="R407" s="1"/>
      <c r="S407" s="1"/>
      <c r="T407" s="1"/>
      <c r="U407" s="1"/>
      <c r="V407" s="1"/>
      <c r="W407" s="1"/>
      <c r="X407" s="1"/>
      <c r="Y407" s="1"/>
      <c r="Z407" s="1"/>
    </row>
    <row r="408" spans="1:26" ht="15.75" customHeight="1" x14ac:dyDescent="0.25">
      <c r="A408" s="1"/>
      <c r="B408" s="1"/>
      <c r="C408" s="15"/>
      <c r="D408" s="3"/>
      <c r="E408" s="1"/>
      <c r="F408" s="3"/>
      <c r="G408" s="1"/>
      <c r="H408" s="1"/>
      <c r="I408" s="3"/>
      <c r="J408" s="3"/>
      <c r="K408" s="1"/>
      <c r="L408" s="1"/>
      <c r="M408" s="1"/>
      <c r="N408" s="1"/>
      <c r="O408" s="1"/>
      <c r="P408" s="1"/>
      <c r="Q408" s="1"/>
      <c r="R408" s="1"/>
      <c r="S408" s="1"/>
      <c r="T408" s="1"/>
      <c r="U408" s="1"/>
      <c r="V408" s="1"/>
      <c r="W408" s="1"/>
      <c r="X408" s="1"/>
      <c r="Y408" s="1"/>
      <c r="Z408" s="1"/>
    </row>
    <row r="409" spans="1:26" ht="15.75" customHeight="1" x14ac:dyDescent="0.25">
      <c r="A409" s="1"/>
      <c r="B409" s="1"/>
      <c r="C409" s="15"/>
      <c r="D409" s="3"/>
      <c r="E409" s="1"/>
      <c r="F409" s="3"/>
      <c r="G409" s="1"/>
      <c r="H409" s="1"/>
      <c r="I409" s="3"/>
      <c r="J409" s="3"/>
      <c r="K409" s="1"/>
      <c r="L409" s="1"/>
      <c r="M409" s="1"/>
      <c r="N409" s="1"/>
      <c r="O409" s="1"/>
      <c r="P409" s="1"/>
      <c r="Q409" s="1"/>
      <c r="R409" s="1"/>
      <c r="S409" s="1"/>
      <c r="T409" s="1"/>
      <c r="U409" s="1"/>
      <c r="V409" s="1"/>
      <c r="W409" s="1"/>
      <c r="X409" s="1"/>
      <c r="Y409" s="1"/>
      <c r="Z409" s="1"/>
    </row>
    <row r="410" spans="1:26" ht="15.75" customHeight="1" x14ac:dyDescent="0.25">
      <c r="A410" s="1"/>
      <c r="B410" s="1"/>
      <c r="C410" s="15"/>
      <c r="D410" s="3"/>
      <c r="E410" s="1"/>
      <c r="F410" s="3"/>
      <c r="G410" s="1"/>
      <c r="H410" s="1"/>
      <c r="I410" s="3"/>
      <c r="J410" s="3"/>
      <c r="K410" s="1"/>
      <c r="L410" s="1"/>
      <c r="M410" s="1"/>
      <c r="N410" s="1"/>
      <c r="O410" s="1"/>
      <c r="P410" s="1"/>
      <c r="Q410" s="1"/>
      <c r="R410" s="1"/>
      <c r="S410" s="1"/>
      <c r="T410" s="1"/>
      <c r="U410" s="1"/>
      <c r="V410" s="1"/>
      <c r="W410" s="1"/>
      <c r="X410" s="1"/>
      <c r="Y410" s="1"/>
      <c r="Z410" s="1"/>
    </row>
    <row r="411" spans="1:26" ht="15.75" customHeight="1" x14ac:dyDescent="0.25">
      <c r="A411" s="1"/>
      <c r="B411" s="1"/>
      <c r="C411" s="15"/>
      <c r="D411" s="3"/>
      <c r="E411" s="1"/>
      <c r="F411" s="3"/>
      <c r="G411" s="1"/>
      <c r="H411" s="1"/>
      <c r="I411" s="3"/>
      <c r="J411" s="3"/>
      <c r="K411" s="1"/>
      <c r="L411" s="1"/>
      <c r="M411" s="1"/>
      <c r="N411" s="1"/>
      <c r="O411" s="1"/>
      <c r="P411" s="1"/>
      <c r="Q411" s="1"/>
      <c r="R411" s="1"/>
      <c r="S411" s="1"/>
      <c r="T411" s="1"/>
      <c r="U411" s="1"/>
      <c r="V411" s="1"/>
      <c r="W411" s="1"/>
      <c r="X411" s="1"/>
      <c r="Y411" s="1"/>
      <c r="Z411" s="1"/>
    </row>
    <row r="412" spans="1:26" ht="15.75" customHeight="1" x14ac:dyDescent="0.25">
      <c r="A412" s="1"/>
      <c r="B412" s="1"/>
      <c r="C412" s="15"/>
      <c r="D412" s="3"/>
      <c r="E412" s="1"/>
      <c r="F412" s="3"/>
      <c r="G412" s="1"/>
      <c r="H412" s="1"/>
      <c r="I412" s="3"/>
      <c r="J412" s="3"/>
      <c r="K412" s="1"/>
      <c r="L412" s="1"/>
      <c r="M412" s="1"/>
      <c r="N412" s="1"/>
      <c r="O412" s="1"/>
      <c r="P412" s="1"/>
      <c r="Q412" s="1"/>
      <c r="R412" s="1"/>
      <c r="S412" s="1"/>
      <c r="T412" s="1"/>
      <c r="U412" s="1"/>
      <c r="V412" s="1"/>
      <c r="W412" s="1"/>
      <c r="X412" s="1"/>
      <c r="Y412" s="1"/>
      <c r="Z412" s="1"/>
    </row>
    <row r="413" spans="1:26" ht="15.75" customHeight="1" x14ac:dyDescent="0.25">
      <c r="A413" s="1"/>
      <c r="B413" s="1"/>
      <c r="C413" s="15"/>
      <c r="D413" s="3"/>
      <c r="E413" s="1"/>
      <c r="F413" s="3"/>
      <c r="G413" s="1"/>
      <c r="H413" s="1"/>
      <c r="I413" s="3"/>
      <c r="J413" s="3"/>
      <c r="K413" s="1"/>
      <c r="L413" s="1"/>
      <c r="M413" s="1"/>
      <c r="N413" s="1"/>
      <c r="O413" s="1"/>
      <c r="P413" s="1"/>
      <c r="Q413" s="1"/>
      <c r="R413" s="1"/>
      <c r="S413" s="1"/>
      <c r="T413" s="1"/>
      <c r="U413" s="1"/>
      <c r="V413" s="1"/>
      <c r="W413" s="1"/>
      <c r="X413" s="1"/>
      <c r="Y413" s="1"/>
      <c r="Z413" s="1"/>
    </row>
    <row r="414" spans="1:26" ht="15.75" customHeight="1" x14ac:dyDescent="0.25">
      <c r="A414" s="1"/>
      <c r="B414" s="1"/>
      <c r="C414" s="15"/>
      <c r="D414" s="3"/>
      <c r="E414" s="1"/>
      <c r="F414" s="3"/>
      <c r="G414" s="1"/>
      <c r="H414" s="1"/>
      <c r="I414" s="3"/>
      <c r="J414" s="3"/>
      <c r="K414" s="1"/>
      <c r="L414" s="1"/>
      <c r="M414" s="1"/>
      <c r="N414" s="1"/>
      <c r="O414" s="1"/>
      <c r="P414" s="1"/>
      <c r="Q414" s="1"/>
      <c r="R414" s="1"/>
      <c r="S414" s="1"/>
      <c r="T414" s="1"/>
      <c r="U414" s="1"/>
      <c r="V414" s="1"/>
      <c r="W414" s="1"/>
      <c r="X414" s="1"/>
      <c r="Y414" s="1"/>
      <c r="Z414" s="1"/>
    </row>
    <row r="415" spans="1:26" ht="15.75" customHeight="1" x14ac:dyDescent="0.25">
      <c r="A415" s="1"/>
      <c r="B415" s="1"/>
      <c r="C415" s="15"/>
      <c r="D415" s="3"/>
      <c r="E415" s="1"/>
      <c r="F415" s="3"/>
      <c r="G415" s="1"/>
      <c r="H415" s="1"/>
      <c r="I415" s="3"/>
      <c r="J415" s="3"/>
      <c r="K415" s="1"/>
      <c r="L415" s="1"/>
      <c r="M415" s="1"/>
      <c r="N415" s="1"/>
      <c r="O415" s="1"/>
      <c r="P415" s="1"/>
      <c r="Q415" s="1"/>
      <c r="R415" s="1"/>
      <c r="S415" s="1"/>
      <c r="T415" s="1"/>
      <c r="U415" s="1"/>
      <c r="V415" s="1"/>
      <c r="W415" s="1"/>
      <c r="X415" s="1"/>
      <c r="Y415" s="1"/>
      <c r="Z415" s="1"/>
    </row>
    <row r="416" spans="1:26" ht="15.75" customHeight="1" x14ac:dyDescent="0.25">
      <c r="A416" s="1"/>
      <c r="B416" s="1"/>
      <c r="C416" s="15"/>
      <c r="D416" s="3"/>
      <c r="E416" s="1"/>
      <c r="F416" s="3"/>
      <c r="G416" s="1"/>
      <c r="H416" s="1"/>
      <c r="I416" s="3"/>
      <c r="J416" s="3"/>
      <c r="K416" s="1"/>
      <c r="L416" s="1"/>
      <c r="M416" s="1"/>
      <c r="N416" s="1"/>
      <c r="O416" s="1"/>
      <c r="P416" s="1"/>
      <c r="Q416" s="1"/>
      <c r="R416" s="1"/>
      <c r="S416" s="1"/>
      <c r="T416" s="1"/>
      <c r="U416" s="1"/>
      <c r="V416" s="1"/>
      <c r="W416" s="1"/>
      <c r="X416" s="1"/>
      <c r="Y416" s="1"/>
      <c r="Z416" s="1"/>
    </row>
    <row r="417" spans="1:26" ht="15.75" customHeight="1" x14ac:dyDescent="0.25">
      <c r="A417" s="1"/>
      <c r="B417" s="1"/>
      <c r="C417" s="15"/>
      <c r="D417" s="3"/>
      <c r="E417" s="1"/>
      <c r="F417" s="3"/>
      <c r="G417" s="1"/>
      <c r="H417" s="1"/>
      <c r="I417" s="3"/>
      <c r="J417" s="3"/>
      <c r="K417" s="1"/>
      <c r="L417" s="1"/>
      <c r="M417" s="1"/>
      <c r="N417" s="1"/>
      <c r="O417" s="1"/>
      <c r="P417" s="1"/>
      <c r="Q417" s="1"/>
      <c r="R417" s="1"/>
      <c r="S417" s="1"/>
      <c r="T417" s="1"/>
      <c r="U417" s="1"/>
      <c r="V417" s="1"/>
      <c r="W417" s="1"/>
      <c r="X417" s="1"/>
      <c r="Y417" s="1"/>
      <c r="Z417" s="1"/>
    </row>
    <row r="418" spans="1:26" ht="15.75" customHeight="1" x14ac:dyDescent="0.25">
      <c r="A418" s="1"/>
      <c r="B418" s="1"/>
      <c r="C418" s="15"/>
      <c r="D418" s="3"/>
      <c r="E418" s="1"/>
      <c r="F418" s="3"/>
      <c r="G418" s="1"/>
      <c r="H418" s="1"/>
      <c r="I418" s="3"/>
      <c r="J418" s="3"/>
      <c r="K418" s="1"/>
      <c r="L418" s="1"/>
      <c r="M418" s="1"/>
      <c r="N418" s="1"/>
      <c r="O418" s="1"/>
      <c r="P418" s="1"/>
      <c r="Q418" s="1"/>
      <c r="R418" s="1"/>
      <c r="S418" s="1"/>
      <c r="T418" s="1"/>
      <c r="U418" s="1"/>
      <c r="V418" s="1"/>
      <c r="W418" s="1"/>
      <c r="X418" s="1"/>
      <c r="Y418" s="1"/>
      <c r="Z418" s="1"/>
    </row>
    <row r="419" spans="1:26" ht="15.75" customHeight="1" x14ac:dyDescent="0.25">
      <c r="A419" s="1"/>
      <c r="B419" s="1"/>
      <c r="C419" s="15"/>
      <c r="D419" s="3"/>
      <c r="E419" s="1"/>
      <c r="F419" s="3"/>
      <c r="G419" s="1"/>
      <c r="H419" s="1"/>
      <c r="I419" s="3"/>
      <c r="J419" s="3"/>
      <c r="K419" s="1"/>
      <c r="L419" s="1"/>
      <c r="M419" s="1"/>
      <c r="N419" s="1"/>
      <c r="O419" s="1"/>
      <c r="P419" s="1"/>
      <c r="Q419" s="1"/>
      <c r="R419" s="1"/>
      <c r="S419" s="1"/>
      <c r="T419" s="1"/>
      <c r="U419" s="1"/>
      <c r="V419" s="1"/>
      <c r="W419" s="1"/>
      <c r="X419" s="1"/>
      <c r="Y419" s="1"/>
      <c r="Z419" s="1"/>
    </row>
    <row r="420" spans="1:26" ht="15.75" customHeight="1" x14ac:dyDescent="0.25">
      <c r="A420" s="1"/>
      <c r="B420" s="1"/>
      <c r="C420" s="15"/>
      <c r="D420" s="3"/>
      <c r="E420" s="1"/>
      <c r="F420" s="3"/>
      <c r="G420" s="1"/>
      <c r="H420" s="1"/>
      <c r="I420" s="3"/>
      <c r="J420" s="3"/>
      <c r="K420" s="1"/>
      <c r="L420" s="1"/>
      <c r="M420" s="1"/>
      <c r="N420" s="1"/>
      <c r="O420" s="1"/>
      <c r="P420" s="1"/>
      <c r="Q420" s="1"/>
      <c r="R420" s="1"/>
      <c r="S420" s="1"/>
      <c r="T420" s="1"/>
      <c r="U420" s="1"/>
      <c r="V420" s="1"/>
      <c r="W420" s="1"/>
      <c r="X420" s="1"/>
      <c r="Y420" s="1"/>
      <c r="Z420" s="1"/>
    </row>
    <row r="421" spans="1:26" ht="15.75" customHeight="1" x14ac:dyDescent="0.25">
      <c r="A421" s="1"/>
      <c r="B421" s="1"/>
      <c r="C421" s="15"/>
      <c r="D421" s="3"/>
      <c r="E421" s="1"/>
      <c r="F421" s="3"/>
      <c r="G421" s="1"/>
      <c r="H421" s="1"/>
      <c r="I421" s="3"/>
      <c r="J421" s="3"/>
      <c r="K421" s="1"/>
      <c r="L421" s="1"/>
      <c r="M421" s="1"/>
      <c r="N421" s="1"/>
      <c r="O421" s="1"/>
      <c r="P421" s="1"/>
      <c r="Q421" s="1"/>
      <c r="R421" s="1"/>
      <c r="S421" s="1"/>
      <c r="T421" s="1"/>
      <c r="U421" s="1"/>
      <c r="V421" s="1"/>
      <c r="W421" s="1"/>
      <c r="X421" s="1"/>
      <c r="Y421" s="1"/>
      <c r="Z421" s="1"/>
    </row>
    <row r="422" spans="1:26" ht="15.75" customHeight="1" x14ac:dyDescent="0.25">
      <c r="A422" s="1"/>
      <c r="B422" s="1"/>
      <c r="C422" s="15"/>
      <c r="D422" s="3"/>
      <c r="E422" s="1"/>
      <c r="F422" s="3"/>
      <c r="G422" s="1"/>
      <c r="H422" s="1"/>
      <c r="I422" s="3"/>
      <c r="J422" s="3"/>
      <c r="K422" s="1"/>
      <c r="L422" s="1"/>
      <c r="M422" s="1"/>
      <c r="N422" s="1"/>
      <c r="O422" s="1"/>
      <c r="P422" s="1"/>
      <c r="Q422" s="1"/>
      <c r="R422" s="1"/>
      <c r="S422" s="1"/>
      <c r="T422" s="1"/>
      <c r="U422" s="1"/>
      <c r="V422" s="1"/>
      <c r="W422" s="1"/>
      <c r="X422" s="1"/>
      <c r="Y422" s="1"/>
      <c r="Z422" s="1"/>
    </row>
    <row r="423" spans="1:26" ht="15.75" customHeight="1" x14ac:dyDescent="0.25">
      <c r="A423" s="1"/>
      <c r="B423" s="1"/>
      <c r="C423" s="15"/>
      <c r="D423" s="3"/>
      <c r="E423" s="1"/>
      <c r="F423" s="3"/>
      <c r="G423" s="1"/>
      <c r="H423" s="1"/>
      <c r="I423" s="3"/>
      <c r="J423" s="3"/>
      <c r="K423" s="1"/>
      <c r="L423" s="1"/>
      <c r="M423" s="1"/>
      <c r="N423" s="1"/>
      <c r="O423" s="1"/>
      <c r="P423" s="1"/>
      <c r="Q423" s="1"/>
      <c r="R423" s="1"/>
      <c r="S423" s="1"/>
      <c r="T423" s="1"/>
      <c r="U423" s="1"/>
      <c r="V423" s="1"/>
      <c r="W423" s="1"/>
      <c r="X423" s="1"/>
      <c r="Y423" s="1"/>
      <c r="Z423" s="1"/>
    </row>
    <row r="424" spans="1:26" ht="15.75" customHeight="1" x14ac:dyDescent="0.25">
      <c r="A424" s="1"/>
      <c r="B424" s="1"/>
      <c r="C424" s="15"/>
      <c r="D424" s="3"/>
      <c r="E424" s="1"/>
      <c r="F424" s="3"/>
      <c r="G424" s="1"/>
      <c r="H424" s="1"/>
      <c r="I424" s="3"/>
      <c r="J424" s="3"/>
      <c r="K424" s="1"/>
      <c r="L424" s="1"/>
      <c r="M424" s="1"/>
      <c r="N424" s="1"/>
      <c r="O424" s="1"/>
      <c r="P424" s="1"/>
      <c r="Q424" s="1"/>
      <c r="R424" s="1"/>
      <c r="S424" s="1"/>
      <c r="T424" s="1"/>
      <c r="U424" s="1"/>
      <c r="V424" s="1"/>
      <c r="W424" s="1"/>
      <c r="X424" s="1"/>
      <c r="Y424" s="1"/>
      <c r="Z424" s="1"/>
    </row>
    <row r="425" spans="1:26" ht="15.75" customHeight="1" x14ac:dyDescent="0.25">
      <c r="A425" s="1"/>
      <c r="B425" s="1"/>
      <c r="C425" s="15"/>
      <c r="D425" s="3"/>
      <c r="E425" s="1"/>
      <c r="F425" s="3"/>
      <c r="G425" s="1"/>
      <c r="H425" s="1"/>
      <c r="I425" s="3"/>
      <c r="J425" s="3"/>
      <c r="K425" s="1"/>
      <c r="L425" s="1"/>
      <c r="M425" s="1"/>
      <c r="N425" s="1"/>
      <c r="O425" s="1"/>
      <c r="P425" s="1"/>
      <c r="Q425" s="1"/>
      <c r="R425" s="1"/>
      <c r="S425" s="1"/>
      <c r="T425" s="1"/>
      <c r="U425" s="1"/>
      <c r="V425" s="1"/>
      <c r="W425" s="1"/>
      <c r="X425" s="1"/>
      <c r="Y425" s="1"/>
      <c r="Z425" s="1"/>
    </row>
    <row r="426" spans="1:26" ht="15.75" customHeight="1" x14ac:dyDescent="0.25">
      <c r="A426" s="1"/>
      <c r="B426" s="1"/>
      <c r="C426" s="15"/>
      <c r="D426" s="3"/>
      <c r="E426" s="1"/>
      <c r="F426" s="3"/>
      <c r="G426" s="1"/>
      <c r="H426" s="1"/>
      <c r="I426" s="3"/>
      <c r="J426" s="3"/>
      <c r="K426" s="1"/>
      <c r="L426" s="1"/>
      <c r="M426" s="1"/>
      <c r="N426" s="1"/>
      <c r="O426" s="1"/>
      <c r="P426" s="1"/>
      <c r="Q426" s="1"/>
      <c r="R426" s="1"/>
      <c r="S426" s="1"/>
      <c r="T426" s="1"/>
      <c r="U426" s="1"/>
      <c r="V426" s="1"/>
      <c r="W426" s="1"/>
      <c r="X426" s="1"/>
      <c r="Y426" s="1"/>
      <c r="Z426" s="1"/>
    </row>
    <row r="427" spans="1:26" ht="15.75" customHeight="1" x14ac:dyDescent="0.25">
      <c r="A427" s="1"/>
      <c r="B427" s="1"/>
      <c r="C427" s="15"/>
      <c r="D427" s="3"/>
      <c r="E427" s="1"/>
      <c r="F427" s="3"/>
      <c r="G427" s="1"/>
      <c r="H427" s="1"/>
      <c r="I427" s="3"/>
      <c r="J427" s="3"/>
      <c r="K427" s="1"/>
      <c r="L427" s="1"/>
      <c r="M427" s="1"/>
      <c r="N427" s="1"/>
      <c r="O427" s="1"/>
      <c r="P427" s="1"/>
      <c r="Q427" s="1"/>
      <c r="R427" s="1"/>
      <c r="S427" s="1"/>
      <c r="T427" s="1"/>
      <c r="U427" s="1"/>
      <c r="V427" s="1"/>
      <c r="W427" s="1"/>
      <c r="X427" s="1"/>
      <c r="Y427" s="1"/>
      <c r="Z427" s="1"/>
    </row>
    <row r="428" spans="1:26" ht="15.75" customHeight="1" x14ac:dyDescent="0.25">
      <c r="A428" s="1"/>
      <c r="B428" s="1"/>
      <c r="C428" s="15"/>
      <c r="D428" s="3"/>
      <c r="E428" s="1"/>
      <c r="F428" s="3"/>
      <c r="G428" s="1"/>
      <c r="H428" s="1"/>
      <c r="I428" s="3"/>
      <c r="J428" s="3"/>
      <c r="K428" s="1"/>
      <c r="L428" s="1"/>
      <c r="M428" s="1"/>
      <c r="N428" s="1"/>
      <c r="O428" s="1"/>
      <c r="P428" s="1"/>
      <c r="Q428" s="1"/>
      <c r="R428" s="1"/>
      <c r="S428" s="1"/>
      <c r="T428" s="1"/>
      <c r="U428" s="1"/>
      <c r="V428" s="1"/>
      <c r="W428" s="1"/>
      <c r="X428" s="1"/>
      <c r="Y428" s="1"/>
      <c r="Z428" s="1"/>
    </row>
    <row r="429" spans="1:26" ht="15.75" customHeight="1" x14ac:dyDescent="0.25">
      <c r="A429" s="1"/>
      <c r="B429" s="1"/>
      <c r="C429" s="15"/>
      <c r="D429" s="3"/>
      <c r="E429" s="1"/>
      <c r="F429" s="3"/>
      <c r="G429" s="1"/>
      <c r="H429" s="1"/>
      <c r="I429" s="3"/>
      <c r="J429" s="3"/>
      <c r="K429" s="1"/>
      <c r="L429" s="1"/>
      <c r="M429" s="1"/>
      <c r="N429" s="1"/>
      <c r="O429" s="1"/>
      <c r="P429" s="1"/>
      <c r="Q429" s="1"/>
      <c r="R429" s="1"/>
      <c r="S429" s="1"/>
      <c r="T429" s="1"/>
      <c r="U429" s="1"/>
      <c r="V429" s="1"/>
      <c r="W429" s="1"/>
      <c r="X429" s="1"/>
      <c r="Y429" s="1"/>
      <c r="Z429" s="1"/>
    </row>
    <row r="430" spans="1:26" ht="15.75" customHeight="1" x14ac:dyDescent="0.25">
      <c r="A430" s="1"/>
      <c r="B430" s="1"/>
      <c r="C430" s="15"/>
      <c r="D430" s="3"/>
      <c r="E430" s="1"/>
      <c r="F430" s="3"/>
      <c r="G430" s="1"/>
      <c r="H430" s="1"/>
      <c r="I430" s="3"/>
      <c r="J430" s="3"/>
      <c r="K430" s="1"/>
      <c r="L430" s="1"/>
      <c r="M430" s="1"/>
      <c r="N430" s="1"/>
      <c r="O430" s="1"/>
      <c r="P430" s="1"/>
      <c r="Q430" s="1"/>
      <c r="R430" s="1"/>
      <c r="S430" s="1"/>
      <c r="T430" s="1"/>
      <c r="U430" s="1"/>
      <c r="V430" s="1"/>
      <c r="W430" s="1"/>
      <c r="X430" s="1"/>
      <c r="Y430" s="1"/>
      <c r="Z430" s="1"/>
    </row>
    <row r="431" spans="1:26" ht="15.75" customHeight="1" x14ac:dyDescent="0.25">
      <c r="A431" s="1"/>
      <c r="B431" s="1"/>
      <c r="C431" s="15"/>
      <c r="D431" s="3"/>
      <c r="E431" s="1"/>
      <c r="F431" s="3"/>
      <c r="G431" s="1"/>
      <c r="H431" s="1"/>
      <c r="I431" s="3"/>
      <c r="J431" s="3"/>
      <c r="K431" s="1"/>
      <c r="L431" s="1"/>
      <c r="M431" s="1"/>
      <c r="N431" s="1"/>
      <c r="O431" s="1"/>
      <c r="P431" s="1"/>
      <c r="Q431" s="1"/>
      <c r="R431" s="1"/>
      <c r="S431" s="1"/>
      <c r="T431" s="1"/>
      <c r="U431" s="1"/>
      <c r="V431" s="1"/>
      <c r="W431" s="1"/>
      <c r="X431" s="1"/>
      <c r="Y431" s="1"/>
      <c r="Z431" s="1"/>
    </row>
    <row r="432" spans="1:26" ht="15.75" customHeight="1" x14ac:dyDescent="0.25">
      <c r="A432" s="1"/>
      <c r="B432" s="1"/>
      <c r="C432" s="15"/>
      <c r="D432" s="3"/>
      <c r="E432" s="1"/>
      <c r="F432" s="3"/>
      <c r="G432" s="1"/>
      <c r="H432" s="1"/>
      <c r="I432" s="3"/>
      <c r="J432" s="3"/>
      <c r="K432" s="1"/>
      <c r="L432" s="1"/>
      <c r="M432" s="1"/>
      <c r="N432" s="1"/>
      <c r="O432" s="1"/>
      <c r="P432" s="1"/>
      <c r="Q432" s="1"/>
      <c r="R432" s="1"/>
      <c r="S432" s="1"/>
      <c r="T432" s="1"/>
      <c r="U432" s="1"/>
      <c r="V432" s="1"/>
      <c r="W432" s="1"/>
      <c r="X432" s="1"/>
      <c r="Y432" s="1"/>
      <c r="Z432" s="1"/>
    </row>
    <row r="433" spans="1:26" ht="15.75" customHeight="1" x14ac:dyDescent="0.25">
      <c r="A433" s="1"/>
      <c r="B433" s="1"/>
      <c r="C433" s="15"/>
      <c r="D433" s="3"/>
      <c r="E433" s="1"/>
      <c r="F433" s="3"/>
      <c r="G433" s="1"/>
      <c r="H433" s="1"/>
      <c r="I433" s="3"/>
      <c r="J433" s="3"/>
      <c r="K433" s="1"/>
      <c r="L433" s="1"/>
      <c r="M433" s="1"/>
      <c r="N433" s="1"/>
      <c r="O433" s="1"/>
      <c r="P433" s="1"/>
      <c r="Q433" s="1"/>
      <c r="R433" s="1"/>
      <c r="S433" s="1"/>
      <c r="T433" s="1"/>
      <c r="U433" s="1"/>
      <c r="V433" s="1"/>
      <c r="W433" s="1"/>
      <c r="X433" s="1"/>
      <c r="Y433" s="1"/>
      <c r="Z433" s="1"/>
    </row>
    <row r="434" spans="1:26" ht="15.75" customHeight="1" x14ac:dyDescent="0.25">
      <c r="A434" s="1"/>
      <c r="B434" s="1"/>
      <c r="C434" s="15"/>
      <c r="D434" s="3"/>
      <c r="E434" s="1"/>
      <c r="F434" s="3"/>
      <c r="G434" s="1"/>
      <c r="H434" s="1"/>
      <c r="I434" s="3"/>
      <c r="J434" s="3"/>
      <c r="K434" s="1"/>
      <c r="L434" s="1"/>
      <c r="M434" s="1"/>
      <c r="N434" s="1"/>
      <c r="O434" s="1"/>
      <c r="P434" s="1"/>
      <c r="Q434" s="1"/>
      <c r="R434" s="1"/>
      <c r="S434" s="1"/>
      <c r="T434" s="1"/>
      <c r="U434" s="1"/>
      <c r="V434" s="1"/>
      <c r="W434" s="1"/>
      <c r="X434" s="1"/>
      <c r="Y434" s="1"/>
      <c r="Z434" s="1"/>
    </row>
    <row r="435" spans="1:26" ht="15.75" customHeight="1" x14ac:dyDescent="0.25">
      <c r="A435" s="1"/>
      <c r="B435" s="1"/>
      <c r="C435" s="15"/>
      <c r="D435" s="3"/>
      <c r="E435" s="1"/>
      <c r="F435" s="3"/>
      <c r="G435" s="1"/>
      <c r="H435" s="1"/>
      <c r="I435" s="3"/>
      <c r="J435" s="3"/>
      <c r="K435" s="1"/>
      <c r="L435" s="1"/>
      <c r="M435" s="1"/>
      <c r="N435" s="1"/>
      <c r="O435" s="1"/>
      <c r="P435" s="1"/>
      <c r="Q435" s="1"/>
      <c r="R435" s="1"/>
      <c r="S435" s="1"/>
      <c r="T435" s="1"/>
      <c r="U435" s="1"/>
      <c r="V435" s="1"/>
      <c r="W435" s="1"/>
      <c r="X435" s="1"/>
      <c r="Y435" s="1"/>
      <c r="Z435" s="1"/>
    </row>
    <row r="436" spans="1:26" ht="15.75" customHeight="1" x14ac:dyDescent="0.25">
      <c r="A436" s="1"/>
      <c r="B436" s="1"/>
      <c r="C436" s="15"/>
      <c r="D436" s="3"/>
      <c r="E436" s="1"/>
      <c r="F436" s="3"/>
      <c r="G436" s="1"/>
      <c r="H436" s="1"/>
      <c r="I436" s="3"/>
      <c r="J436" s="3"/>
      <c r="K436" s="1"/>
      <c r="L436" s="1"/>
      <c r="M436" s="1"/>
      <c r="N436" s="1"/>
      <c r="O436" s="1"/>
      <c r="P436" s="1"/>
      <c r="Q436" s="1"/>
      <c r="R436" s="1"/>
      <c r="S436" s="1"/>
      <c r="T436" s="1"/>
      <c r="U436" s="1"/>
      <c r="V436" s="1"/>
      <c r="W436" s="1"/>
      <c r="X436" s="1"/>
      <c r="Y436" s="1"/>
      <c r="Z436" s="1"/>
    </row>
    <row r="437" spans="1:26" ht="15.75" customHeight="1" x14ac:dyDescent="0.25">
      <c r="A437" s="1"/>
      <c r="B437" s="1"/>
      <c r="C437" s="15"/>
      <c r="D437" s="3"/>
      <c r="E437" s="1"/>
      <c r="F437" s="3"/>
      <c r="G437" s="1"/>
      <c r="H437" s="1"/>
      <c r="I437" s="3"/>
      <c r="J437" s="3"/>
      <c r="K437" s="1"/>
      <c r="L437" s="1"/>
      <c r="M437" s="1"/>
      <c r="N437" s="1"/>
      <c r="O437" s="1"/>
      <c r="P437" s="1"/>
      <c r="Q437" s="1"/>
      <c r="R437" s="1"/>
      <c r="S437" s="1"/>
      <c r="T437" s="1"/>
      <c r="U437" s="1"/>
      <c r="V437" s="1"/>
      <c r="W437" s="1"/>
      <c r="X437" s="1"/>
      <c r="Y437" s="1"/>
      <c r="Z437" s="1"/>
    </row>
    <row r="438" spans="1:26" ht="15.75" customHeight="1" x14ac:dyDescent="0.25">
      <c r="A438" s="1"/>
      <c r="B438" s="1"/>
      <c r="C438" s="15"/>
      <c r="D438" s="3"/>
      <c r="E438" s="1"/>
      <c r="F438" s="3"/>
      <c r="G438" s="1"/>
      <c r="H438" s="1"/>
      <c r="I438" s="3"/>
      <c r="J438" s="3"/>
      <c r="K438" s="1"/>
      <c r="L438" s="1"/>
      <c r="M438" s="1"/>
      <c r="N438" s="1"/>
      <c r="O438" s="1"/>
      <c r="P438" s="1"/>
      <c r="Q438" s="1"/>
      <c r="R438" s="1"/>
      <c r="S438" s="1"/>
      <c r="T438" s="1"/>
      <c r="U438" s="1"/>
      <c r="V438" s="1"/>
      <c r="W438" s="1"/>
      <c r="X438" s="1"/>
      <c r="Y438" s="1"/>
      <c r="Z438" s="1"/>
    </row>
    <row r="439" spans="1:26" ht="15.75" customHeight="1" x14ac:dyDescent="0.25">
      <c r="A439" s="1"/>
      <c r="B439" s="1"/>
      <c r="C439" s="15"/>
      <c r="D439" s="3"/>
      <c r="E439" s="1"/>
      <c r="F439" s="3"/>
      <c r="G439" s="1"/>
      <c r="H439" s="1"/>
      <c r="I439" s="3"/>
      <c r="J439" s="3"/>
      <c r="K439" s="1"/>
      <c r="L439" s="1"/>
      <c r="M439" s="1"/>
      <c r="N439" s="1"/>
      <c r="O439" s="1"/>
      <c r="P439" s="1"/>
      <c r="Q439" s="1"/>
      <c r="R439" s="1"/>
      <c r="S439" s="1"/>
      <c r="T439" s="1"/>
      <c r="U439" s="1"/>
      <c r="V439" s="1"/>
      <c r="W439" s="1"/>
      <c r="X439" s="1"/>
      <c r="Y439" s="1"/>
      <c r="Z439" s="1"/>
    </row>
    <row r="440" spans="1:26" ht="15.75" customHeight="1" x14ac:dyDescent="0.25">
      <c r="A440" s="1"/>
      <c r="B440" s="1"/>
      <c r="C440" s="15"/>
      <c r="D440" s="3"/>
      <c r="E440" s="1"/>
      <c r="F440" s="3"/>
      <c r="G440" s="1"/>
      <c r="H440" s="1"/>
      <c r="I440" s="3"/>
      <c r="J440" s="3"/>
      <c r="K440" s="1"/>
      <c r="L440" s="1"/>
      <c r="M440" s="1"/>
      <c r="N440" s="1"/>
      <c r="O440" s="1"/>
      <c r="P440" s="1"/>
      <c r="Q440" s="1"/>
      <c r="R440" s="1"/>
      <c r="S440" s="1"/>
      <c r="T440" s="1"/>
      <c r="U440" s="1"/>
      <c r="V440" s="1"/>
      <c r="W440" s="1"/>
      <c r="X440" s="1"/>
      <c r="Y440" s="1"/>
      <c r="Z440" s="1"/>
    </row>
    <row r="441" spans="1:26" ht="15.75" customHeight="1" x14ac:dyDescent="0.25">
      <c r="A441" s="1"/>
      <c r="B441" s="1"/>
      <c r="C441" s="15"/>
      <c r="D441" s="3"/>
      <c r="E441" s="1"/>
      <c r="F441" s="3"/>
      <c r="G441" s="1"/>
      <c r="H441" s="1"/>
      <c r="I441" s="3"/>
      <c r="J441" s="3"/>
      <c r="K441" s="1"/>
      <c r="L441" s="1"/>
      <c r="M441" s="1"/>
      <c r="N441" s="1"/>
      <c r="O441" s="1"/>
      <c r="P441" s="1"/>
      <c r="Q441" s="1"/>
      <c r="R441" s="1"/>
      <c r="S441" s="1"/>
      <c r="T441" s="1"/>
      <c r="U441" s="1"/>
      <c r="V441" s="1"/>
      <c r="W441" s="1"/>
      <c r="X441" s="1"/>
      <c r="Y441" s="1"/>
      <c r="Z441" s="1"/>
    </row>
    <row r="442" spans="1:26" ht="15.75" customHeight="1" x14ac:dyDescent="0.25">
      <c r="A442" s="1"/>
      <c r="B442" s="1"/>
      <c r="C442" s="15"/>
      <c r="D442" s="3"/>
      <c r="E442" s="1"/>
      <c r="F442" s="3"/>
      <c r="G442" s="1"/>
      <c r="H442" s="1"/>
      <c r="I442" s="3"/>
      <c r="J442" s="3"/>
      <c r="K442" s="1"/>
      <c r="L442" s="1"/>
      <c r="M442" s="1"/>
      <c r="N442" s="1"/>
      <c r="O442" s="1"/>
      <c r="P442" s="1"/>
      <c r="Q442" s="1"/>
      <c r="R442" s="1"/>
      <c r="S442" s="1"/>
      <c r="T442" s="1"/>
      <c r="U442" s="1"/>
      <c r="V442" s="1"/>
      <c r="W442" s="1"/>
      <c r="X442" s="1"/>
      <c r="Y442" s="1"/>
      <c r="Z442" s="1"/>
    </row>
    <row r="443" spans="1:26" ht="15.75" customHeight="1" x14ac:dyDescent="0.25">
      <c r="A443" s="1"/>
      <c r="B443" s="1"/>
      <c r="C443" s="15"/>
      <c r="D443" s="3"/>
      <c r="E443" s="1"/>
      <c r="F443" s="3"/>
      <c r="G443" s="1"/>
      <c r="H443" s="1"/>
      <c r="I443" s="3"/>
      <c r="J443" s="3"/>
      <c r="K443" s="1"/>
      <c r="L443" s="1"/>
      <c r="M443" s="1"/>
      <c r="N443" s="1"/>
      <c r="O443" s="1"/>
      <c r="P443" s="1"/>
      <c r="Q443" s="1"/>
      <c r="R443" s="1"/>
      <c r="S443" s="1"/>
      <c r="T443" s="1"/>
      <c r="U443" s="1"/>
      <c r="V443" s="1"/>
      <c r="W443" s="1"/>
      <c r="X443" s="1"/>
      <c r="Y443" s="1"/>
      <c r="Z443" s="1"/>
    </row>
    <row r="444" spans="1:26" ht="15.75" customHeight="1" x14ac:dyDescent="0.25">
      <c r="A444" s="1"/>
      <c r="B444" s="1"/>
      <c r="C444" s="15"/>
      <c r="D444" s="3"/>
      <c r="E444" s="1"/>
      <c r="F444" s="3"/>
      <c r="G444" s="1"/>
      <c r="H444" s="1"/>
      <c r="I444" s="3"/>
      <c r="J444" s="3"/>
      <c r="K444" s="1"/>
      <c r="L444" s="1"/>
      <c r="M444" s="1"/>
      <c r="N444" s="1"/>
      <c r="O444" s="1"/>
      <c r="P444" s="1"/>
      <c r="Q444" s="1"/>
      <c r="R444" s="1"/>
      <c r="S444" s="1"/>
      <c r="T444" s="1"/>
      <c r="U444" s="1"/>
      <c r="V444" s="1"/>
      <c r="W444" s="1"/>
      <c r="X444" s="1"/>
      <c r="Y444" s="1"/>
      <c r="Z444" s="1"/>
    </row>
    <row r="445" spans="1:26" ht="15.75" customHeight="1" x14ac:dyDescent="0.25">
      <c r="A445" s="1"/>
      <c r="B445" s="1"/>
      <c r="C445" s="15"/>
      <c r="D445" s="3"/>
      <c r="E445" s="1"/>
      <c r="F445" s="3"/>
      <c r="G445" s="1"/>
      <c r="H445" s="1"/>
      <c r="I445" s="3"/>
      <c r="J445" s="3"/>
      <c r="K445" s="1"/>
      <c r="L445" s="1"/>
      <c r="M445" s="1"/>
      <c r="N445" s="1"/>
      <c r="O445" s="1"/>
      <c r="P445" s="1"/>
      <c r="Q445" s="1"/>
      <c r="R445" s="1"/>
      <c r="S445" s="1"/>
      <c r="T445" s="1"/>
      <c r="U445" s="1"/>
      <c r="V445" s="1"/>
      <c r="W445" s="1"/>
      <c r="X445" s="1"/>
      <c r="Y445" s="1"/>
      <c r="Z445" s="1"/>
    </row>
    <row r="446" spans="1:26" ht="15.75" customHeight="1" x14ac:dyDescent="0.25">
      <c r="A446" s="1"/>
      <c r="B446" s="1"/>
      <c r="C446" s="15"/>
      <c r="D446" s="3"/>
      <c r="E446" s="1"/>
      <c r="F446" s="3"/>
      <c r="G446" s="1"/>
      <c r="H446" s="1"/>
      <c r="I446" s="3"/>
      <c r="J446" s="3"/>
      <c r="K446" s="1"/>
      <c r="L446" s="1"/>
      <c r="M446" s="1"/>
      <c r="N446" s="1"/>
      <c r="O446" s="1"/>
      <c r="P446" s="1"/>
      <c r="Q446" s="1"/>
      <c r="R446" s="1"/>
      <c r="S446" s="1"/>
      <c r="T446" s="1"/>
      <c r="U446" s="1"/>
      <c r="V446" s="1"/>
      <c r="W446" s="1"/>
      <c r="X446" s="1"/>
      <c r="Y446" s="1"/>
      <c r="Z446" s="1"/>
    </row>
    <row r="447" spans="1:26" ht="15.75" customHeight="1" x14ac:dyDescent="0.25">
      <c r="A447" s="1"/>
      <c r="B447" s="1"/>
      <c r="C447" s="15"/>
      <c r="D447" s="3"/>
      <c r="E447" s="1"/>
      <c r="F447" s="3"/>
      <c r="G447" s="1"/>
      <c r="H447" s="1"/>
      <c r="I447" s="3"/>
      <c r="J447" s="3"/>
      <c r="K447" s="1"/>
      <c r="L447" s="1"/>
      <c r="M447" s="1"/>
      <c r="N447" s="1"/>
      <c r="O447" s="1"/>
      <c r="P447" s="1"/>
      <c r="Q447" s="1"/>
      <c r="R447" s="1"/>
      <c r="S447" s="1"/>
      <c r="T447" s="1"/>
      <c r="U447" s="1"/>
      <c r="V447" s="1"/>
      <c r="W447" s="1"/>
      <c r="X447" s="1"/>
      <c r="Y447" s="1"/>
      <c r="Z447" s="1"/>
    </row>
    <row r="448" spans="1:26" ht="15.75" customHeight="1" x14ac:dyDescent="0.25">
      <c r="A448" s="1"/>
      <c r="B448" s="1"/>
      <c r="C448" s="15"/>
      <c r="D448" s="3"/>
      <c r="E448" s="1"/>
      <c r="F448" s="3"/>
      <c r="G448" s="1"/>
      <c r="H448" s="1"/>
      <c r="I448" s="3"/>
      <c r="J448" s="3"/>
      <c r="K448" s="1"/>
      <c r="L448" s="1"/>
      <c r="M448" s="1"/>
      <c r="N448" s="1"/>
      <c r="O448" s="1"/>
      <c r="P448" s="1"/>
      <c r="Q448" s="1"/>
      <c r="R448" s="1"/>
      <c r="S448" s="1"/>
      <c r="T448" s="1"/>
      <c r="U448" s="1"/>
      <c r="V448" s="1"/>
      <c r="W448" s="1"/>
      <c r="X448" s="1"/>
      <c r="Y448" s="1"/>
      <c r="Z448" s="1"/>
    </row>
    <row r="449" spans="1:26" ht="15.75" customHeight="1" x14ac:dyDescent="0.25">
      <c r="A449" s="1"/>
      <c r="B449" s="1"/>
      <c r="C449" s="15"/>
      <c r="D449" s="3"/>
      <c r="E449" s="1"/>
      <c r="F449" s="3"/>
      <c r="G449" s="1"/>
      <c r="H449" s="1"/>
      <c r="I449" s="3"/>
      <c r="J449" s="3"/>
      <c r="K449" s="1"/>
      <c r="L449" s="1"/>
      <c r="M449" s="1"/>
      <c r="N449" s="1"/>
      <c r="O449" s="1"/>
      <c r="P449" s="1"/>
      <c r="Q449" s="1"/>
      <c r="R449" s="1"/>
      <c r="S449" s="1"/>
      <c r="T449" s="1"/>
      <c r="U449" s="1"/>
      <c r="V449" s="1"/>
      <c r="W449" s="1"/>
      <c r="X449" s="1"/>
      <c r="Y449" s="1"/>
      <c r="Z449" s="1"/>
    </row>
    <row r="450" spans="1:26" ht="15.75" customHeight="1" x14ac:dyDescent="0.25">
      <c r="A450" s="1"/>
      <c r="B450" s="1"/>
      <c r="C450" s="15"/>
      <c r="D450" s="3"/>
      <c r="E450" s="1"/>
      <c r="F450" s="3"/>
      <c r="G450" s="1"/>
      <c r="H450" s="1"/>
      <c r="I450" s="3"/>
      <c r="J450" s="3"/>
      <c r="K450" s="1"/>
      <c r="L450" s="1"/>
      <c r="M450" s="1"/>
      <c r="N450" s="1"/>
      <c r="O450" s="1"/>
      <c r="P450" s="1"/>
      <c r="Q450" s="1"/>
      <c r="R450" s="1"/>
      <c r="S450" s="1"/>
      <c r="T450" s="1"/>
      <c r="U450" s="1"/>
      <c r="V450" s="1"/>
      <c r="W450" s="1"/>
      <c r="X450" s="1"/>
      <c r="Y450" s="1"/>
      <c r="Z450" s="1"/>
    </row>
    <row r="451" spans="1:26" ht="15.75" customHeight="1" x14ac:dyDescent="0.25">
      <c r="A451" s="1"/>
      <c r="B451" s="1"/>
      <c r="C451" s="15"/>
      <c r="D451" s="3"/>
      <c r="E451" s="1"/>
      <c r="F451" s="3"/>
      <c r="G451" s="1"/>
      <c r="H451" s="1"/>
      <c r="I451" s="3"/>
      <c r="J451" s="3"/>
      <c r="K451" s="1"/>
      <c r="L451" s="1"/>
      <c r="M451" s="1"/>
      <c r="N451" s="1"/>
      <c r="O451" s="1"/>
      <c r="P451" s="1"/>
      <c r="Q451" s="1"/>
      <c r="R451" s="1"/>
      <c r="S451" s="1"/>
      <c r="T451" s="1"/>
      <c r="U451" s="1"/>
      <c r="V451" s="1"/>
      <c r="W451" s="1"/>
      <c r="X451" s="1"/>
      <c r="Y451" s="1"/>
      <c r="Z451" s="1"/>
    </row>
    <row r="452" spans="1:26" ht="15.75" customHeight="1" x14ac:dyDescent="0.25">
      <c r="A452" s="1"/>
      <c r="B452" s="1"/>
      <c r="C452" s="15"/>
      <c r="D452" s="3"/>
      <c r="E452" s="1"/>
      <c r="F452" s="3"/>
      <c r="G452" s="1"/>
      <c r="H452" s="1"/>
      <c r="I452" s="3"/>
      <c r="J452" s="3"/>
      <c r="K452" s="1"/>
      <c r="L452" s="1"/>
      <c r="M452" s="1"/>
      <c r="N452" s="1"/>
      <c r="O452" s="1"/>
      <c r="P452" s="1"/>
      <c r="Q452" s="1"/>
      <c r="R452" s="1"/>
      <c r="S452" s="1"/>
      <c r="T452" s="1"/>
      <c r="U452" s="1"/>
      <c r="V452" s="1"/>
      <c r="W452" s="1"/>
      <c r="X452" s="1"/>
      <c r="Y452" s="1"/>
      <c r="Z452" s="1"/>
    </row>
    <row r="453" spans="1:26" ht="15.75" customHeight="1" x14ac:dyDescent="0.25">
      <c r="A453" s="1"/>
      <c r="B453" s="1"/>
      <c r="C453" s="15"/>
      <c r="D453" s="3"/>
      <c r="E453" s="1"/>
      <c r="F453" s="3"/>
      <c r="G453" s="1"/>
      <c r="H453" s="1"/>
      <c r="I453" s="3"/>
      <c r="J453" s="3"/>
      <c r="K453" s="1"/>
      <c r="L453" s="1"/>
      <c r="M453" s="1"/>
      <c r="N453" s="1"/>
      <c r="O453" s="1"/>
      <c r="P453" s="1"/>
      <c r="Q453" s="1"/>
      <c r="R453" s="1"/>
      <c r="S453" s="1"/>
      <c r="T453" s="1"/>
      <c r="U453" s="1"/>
      <c r="V453" s="1"/>
      <c r="W453" s="1"/>
      <c r="X453" s="1"/>
      <c r="Y453" s="1"/>
      <c r="Z453" s="1"/>
    </row>
    <row r="454" spans="1:26" ht="15.75" customHeight="1" x14ac:dyDescent="0.25">
      <c r="A454" s="1"/>
      <c r="B454" s="1"/>
      <c r="C454" s="15"/>
      <c r="D454" s="3"/>
      <c r="E454" s="1"/>
      <c r="F454" s="3"/>
      <c r="G454" s="1"/>
      <c r="H454" s="1"/>
      <c r="I454" s="3"/>
      <c r="J454" s="3"/>
      <c r="K454" s="1"/>
      <c r="L454" s="1"/>
      <c r="M454" s="1"/>
      <c r="N454" s="1"/>
      <c r="O454" s="1"/>
      <c r="P454" s="1"/>
      <c r="Q454" s="1"/>
      <c r="R454" s="1"/>
      <c r="S454" s="1"/>
      <c r="T454" s="1"/>
      <c r="U454" s="1"/>
      <c r="V454" s="1"/>
      <c r="W454" s="1"/>
      <c r="X454" s="1"/>
      <c r="Y454" s="1"/>
      <c r="Z454" s="1"/>
    </row>
    <row r="455" spans="1:26" ht="15.75" customHeight="1" x14ac:dyDescent="0.25">
      <c r="A455" s="1"/>
      <c r="B455" s="1"/>
      <c r="C455" s="15"/>
      <c r="D455" s="3"/>
      <c r="E455" s="1"/>
      <c r="F455" s="3"/>
      <c r="G455" s="1"/>
      <c r="H455" s="1"/>
      <c r="I455" s="3"/>
      <c r="J455" s="3"/>
      <c r="K455" s="1"/>
      <c r="L455" s="1"/>
      <c r="M455" s="1"/>
      <c r="N455" s="1"/>
      <c r="O455" s="1"/>
      <c r="P455" s="1"/>
      <c r="Q455" s="1"/>
      <c r="R455" s="1"/>
      <c r="S455" s="1"/>
      <c r="T455" s="1"/>
      <c r="U455" s="1"/>
      <c r="V455" s="1"/>
      <c r="W455" s="1"/>
      <c r="X455" s="1"/>
      <c r="Y455" s="1"/>
      <c r="Z455" s="1"/>
    </row>
    <row r="456" spans="1:26" ht="15.75" customHeight="1" x14ac:dyDescent="0.25">
      <c r="A456" s="1"/>
      <c r="B456" s="1"/>
      <c r="C456" s="15"/>
      <c r="D456" s="3"/>
      <c r="E456" s="1"/>
      <c r="F456" s="3"/>
      <c r="G456" s="1"/>
      <c r="H456" s="1"/>
      <c r="I456" s="3"/>
      <c r="J456" s="3"/>
      <c r="K456" s="1"/>
      <c r="L456" s="1"/>
      <c r="M456" s="1"/>
      <c r="N456" s="1"/>
      <c r="O456" s="1"/>
      <c r="P456" s="1"/>
      <c r="Q456" s="1"/>
      <c r="R456" s="1"/>
      <c r="S456" s="1"/>
      <c r="T456" s="1"/>
      <c r="U456" s="1"/>
      <c r="V456" s="1"/>
      <c r="W456" s="1"/>
      <c r="X456" s="1"/>
      <c r="Y456" s="1"/>
      <c r="Z456" s="1"/>
    </row>
    <row r="457" spans="1:26" ht="15.75" customHeight="1" x14ac:dyDescent="0.25">
      <c r="A457" s="1"/>
      <c r="B457" s="1"/>
      <c r="C457" s="15"/>
      <c r="D457" s="3"/>
      <c r="E457" s="1"/>
      <c r="F457" s="3"/>
      <c r="G457" s="1"/>
      <c r="H457" s="1"/>
      <c r="I457" s="3"/>
      <c r="J457" s="3"/>
      <c r="K457" s="1"/>
      <c r="L457" s="1"/>
      <c r="M457" s="1"/>
      <c r="N457" s="1"/>
      <c r="O457" s="1"/>
      <c r="P457" s="1"/>
      <c r="Q457" s="1"/>
      <c r="R457" s="1"/>
      <c r="S457" s="1"/>
      <c r="T457" s="1"/>
      <c r="U457" s="1"/>
      <c r="V457" s="1"/>
      <c r="W457" s="1"/>
      <c r="X457" s="1"/>
      <c r="Y457" s="1"/>
      <c r="Z457" s="1"/>
    </row>
    <row r="458" spans="1:26" ht="15.75" customHeight="1" x14ac:dyDescent="0.25">
      <c r="A458" s="1"/>
      <c r="B458" s="1"/>
      <c r="C458" s="15"/>
      <c r="D458" s="3"/>
      <c r="E458" s="1"/>
      <c r="F458" s="3"/>
      <c r="G458" s="1"/>
      <c r="H458" s="1"/>
      <c r="I458" s="3"/>
      <c r="J458" s="3"/>
      <c r="K458" s="1"/>
      <c r="L458" s="1"/>
      <c r="M458" s="1"/>
      <c r="N458" s="1"/>
      <c r="O458" s="1"/>
      <c r="P458" s="1"/>
      <c r="Q458" s="1"/>
      <c r="R458" s="1"/>
      <c r="S458" s="1"/>
      <c r="T458" s="1"/>
      <c r="U458" s="1"/>
      <c r="V458" s="1"/>
      <c r="W458" s="1"/>
      <c r="X458" s="1"/>
      <c r="Y458" s="1"/>
      <c r="Z458" s="1"/>
    </row>
    <row r="459" spans="1:26" ht="15.75" customHeight="1" x14ac:dyDescent="0.25">
      <c r="A459" s="1"/>
      <c r="B459" s="1"/>
      <c r="C459" s="15"/>
      <c r="D459" s="3"/>
      <c r="E459" s="1"/>
      <c r="F459" s="3"/>
      <c r="G459" s="1"/>
      <c r="H459" s="1"/>
      <c r="I459" s="3"/>
      <c r="J459" s="3"/>
      <c r="K459" s="1"/>
      <c r="L459" s="1"/>
      <c r="M459" s="1"/>
      <c r="N459" s="1"/>
      <c r="O459" s="1"/>
      <c r="P459" s="1"/>
      <c r="Q459" s="1"/>
      <c r="R459" s="1"/>
      <c r="S459" s="1"/>
      <c r="T459" s="1"/>
      <c r="U459" s="1"/>
      <c r="V459" s="1"/>
      <c r="W459" s="1"/>
      <c r="X459" s="1"/>
      <c r="Y459" s="1"/>
      <c r="Z459" s="1"/>
    </row>
    <row r="460" spans="1:26" ht="15.75" customHeight="1" x14ac:dyDescent="0.25">
      <c r="A460" s="1"/>
      <c r="B460" s="1"/>
      <c r="C460" s="15"/>
      <c r="D460" s="3"/>
      <c r="E460" s="1"/>
      <c r="F460" s="3"/>
      <c r="G460" s="1"/>
      <c r="H460" s="1"/>
      <c r="I460" s="3"/>
      <c r="J460" s="3"/>
      <c r="K460" s="1"/>
      <c r="L460" s="1"/>
      <c r="M460" s="1"/>
      <c r="N460" s="1"/>
      <c r="O460" s="1"/>
      <c r="P460" s="1"/>
      <c r="Q460" s="1"/>
      <c r="R460" s="1"/>
      <c r="S460" s="1"/>
      <c r="T460" s="1"/>
      <c r="U460" s="1"/>
      <c r="V460" s="1"/>
      <c r="W460" s="1"/>
      <c r="X460" s="1"/>
      <c r="Y460" s="1"/>
      <c r="Z460" s="1"/>
    </row>
    <row r="461" spans="1:26" ht="15.75" customHeight="1" x14ac:dyDescent="0.25">
      <c r="A461" s="1"/>
      <c r="B461" s="1"/>
      <c r="C461" s="15"/>
      <c r="D461" s="3"/>
      <c r="E461" s="1"/>
      <c r="F461" s="3"/>
      <c r="G461" s="1"/>
      <c r="H461" s="1"/>
      <c r="I461" s="3"/>
      <c r="J461" s="3"/>
      <c r="K461" s="1"/>
      <c r="L461" s="1"/>
      <c r="M461" s="1"/>
      <c r="N461" s="1"/>
      <c r="O461" s="1"/>
      <c r="P461" s="1"/>
      <c r="Q461" s="1"/>
      <c r="R461" s="1"/>
      <c r="S461" s="1"/>
      <c r="T461" s="1"/>
      <c r="U461" s="1"/>
      <c r="V461" s="1"/>
      <c r="W461" s="1"/>
      <c r="X461" s="1"/>
      <c r="Y461" s="1"/>
      <c r="Z461" s="1"/>
    </row>
    <row r="462" spans="1:26" ht="15.75" customHeight="1" x14ac:dyDescent="0.25">
      <c r="A462" s="1"/>
      <c r="B462" s="1"/>
      <c r="C462" s="15"/>
      <c r="D462" s="3"/>
      <c r="E462" s="1"/>
      <c r="F462" s="3"/>
      <c r="G462" s="1"/>
      <c r="H462" s="1"/>
      <c r="I462" s="3"/>
      <c r="J462" s="3"/>
      <c r="K462" s="1"/>
      <c r="L462" s="1"/>
      <c r="M462" s="1"/>
      <c r="N462" s="1"/>
      <c r="O462" s="1"/>
      <c r="P462" s="1"/>
      <c r="Q462" s="1"/>
      <c r="R462" s="1"/>
      <c r="S462" s="1"/>
      <c r="T462" s="1"/>
      <c r="U462" s="1"/>
      <c r="V462" s="1"/>
      <c r="W462" s="1"/>
      <c r="X462" s="1"/>
      <c r="Y462" s="1"/>
      <c r="Z462" s="1"/>
    </row>
    <row r="463" spans="1:26" ht="15.75" customHeight="1" x14ac:dyDescent="0.25">
      <c r="A463" s="1"/>
      <c r="B463" s="1"/>
      <c r="C463" s="15"/>
      <c r="D463" s="3"/>
      <c r="E463" s="1"/>
      <c r="F463" s="3"/>
      <c r="G463" s="1"/>
      <c r="H463" s="1"/>
      <c r="I463" s="3"/>
      <c r="J463" s="3"/>
      <c r="K463" s="1"/>
      <c r="L463" s="1"/>
      <c r="M463" s="1"/>
      <c r="N463" s="1"/>
      <c r="O463" s="1"/>
      <c r="P463" s="1"/>
      <c r="Q463" s="1"/>
      <c r="R463" s="1"/>
      <c r="S463" s="1"/>
      <c r="T463" s="1"/>
      <c r="U463" s="1"/>
      <c r="V463" s="1"/>
      <c r="W463" s="1"/>
      <c r="X463" s="1"/>
      <c r="Y463" s="1"/>
      <c r="Z463" s="1"/>
    </row>
    <row r="464" spans="1:26" ht="15.75" customHeight="1" x14ac:dyDescent="0.25">
      <c r="A464" s="1"/>
      <c r="B464" s="1"/>
      <c r="C464" s="15"/>
      <c r="D464" s="3"/>
      <c r="E464" s="1"/>
      <c r="F464" s="3"/>
      <c r="G464" s="1"/>
      <c r="H464" s="1"/>
      <c r="I464" s="3"/>
      <c r="J464" s="3"/>
      <c r="K464" s="1"/>
      <c r="L464" s="1"/>
      <c r="M464" s="1"/>
      <c r="N464" s="1"/>
      <c r="O464" s="1"/>
      <c r="P464" s="1"/>
      <c r="Q464" s="1"/>
      <c r="R464" s="1"/>
      <c r="S464" s="1"/>
      <c r="T464" s="1"/>
      <c r="U464" s="1"/>
      <c r="V464" s="1"/>
      <c r="W464" s="1"/>
      <c r="X464" s="1"/>
      <c r="Y464" s="1"/>
      <c r="Z464" s="1"/>
    </row>
    <row r="465" spans="1:26" ht="15.75" customHeight="1" x14ac:dyDescent="0.25">
      <c r="A465" s="1"/>
      <c r="B465" s="1"/>
      <c r="C465" s="15"/>
      <c r="D465" s="3"/>
      <c r="E465" s="1"/>
      <c r="F465" s="3"/>
      <c r="G465" s="1"/>
      <c r="H465" s="1"/>
      <c r="I465" s="3"/>
      <c r="J465" s="3"/>
      <c r="K465" s="1"/>
      <c r="L465" s="1"/>
      <c r="M465" s="1"/>
      <c r="N465" s="1"/>
      <c r="O465" s="1"/>
      <c r="P465" s="1"/>
      <c r="Q465" s="1"/>
      <c r="R465" s="1"/>
      <c r="S465" s="1"/>
      <c r="T465" s="1"/>
      <c r="U465" s="1"/>
      <c r="V465" s="1"/>
      <c r="W465" s="1"/>
      <c r="X465" s="1"/>
      <c r="Y465" s="1"/>
      <c r="Z465" s="1"/>
    </row>
    <row r="466" spans="1:26" ht="15.75" customHeight="1" x14ac:dyDescent="0.25">
      <c r="A466" s="1"/>
      <c r="B466" s="1"/>
      <c r="C466" s="15"/>
      <c r="D466" s="3"/>
      <c r="E466" s="1"/>
      <c r="F466" s="3"/>
      <c r="G466" s="1"/>
      <c r="H466" s="1"/>
      <c r="I466" s="3"/>
      <c r="J466" s="3"/>
      <c r="K466" s="1"/>
      <c r="L466" s="1"/>
      <c r="M466" s="1"/>
      <c r="N466" s="1"/>
      <c r="O466" s="1"/>
      <c r="P466" s="1"/>
      <c r="Q466" s="1"/>
      <c r="R466" s="1"/>
      <c r="S466" s="1"/>
      <c r="T466" s="1"/>
      <c r="U466" s="1"/>
      <c r="V466" s="1"/>
      <c r="W466" s="1"/>
      <c r="X466" s="1"/>
      <c r="Y466" s="1"/>
      <c r="Z466" s="1"/>
    </row>
    <row r="467" spans="1:26" ht="15.75" customHeight="1" x14ac:dyDescent="0.25">
      <c r="A467" s="1"/>
      <c r="B467" s="1"/>
      <c r="C467" s="15"/>
      <c r="D467" s="3"/>
      <c r="E467" s="1"/>
      <c r="F467" s="3"/>
      <c r="G467" s="1"/>
      <c r="H467" s="1"/>
      <c r="I467" s="3"/>
      <c r="J467" s="3"/>
      <c r="K467" s="1"/>
      <c r="L467" s="1"/>
      <c r="M467" s="1"/>
      <c r="N467" s="1"/>
      <c r="O467" s="1"/>
      <c r="P467" s="1"/>
      <c r="Q467" s="1"/>
      <c r="R467" s="1"/>
      <c r="S467" s="1"/>
      <c r="T467" s="1"/>
      <c r="U467" s="1"/>
      <c r="V467" s="1"/>
      <c r="W467" s="1"/>
      <c r="X467" s="1"/>
      <c r="Y467" s="1"/>
      <c r="Z467" s="1"/>
    </row>
    <row r="468" spans="1:26" ht="15.75" customHeight="1" x14ac:dyDescent="0.25">
      <c r="A468" s="1"/>
      <c r="B468" s="1"/>
      <c r="C468" s="15"/>
      <c r="D468" s="3"/>
      <c r="E468" s="1"/>
      <c r="F468" s="3"/>
      <c r="G468" s="1"/>
      <c r="H468" s="1"/>
      <c r="I468" s="3"/>
      <c r="J468" s="3"/>
      <c r="K468" s="1"/>
      <c r="L468" s="1"/>
      <c r="M468" s="1"/>
      <c r="N468" s="1"/>
      <c r="O468" s="1"/>
      <c r="P468" s="1"/>
      <c r="Q468" s="1"/>
      <c r="R468" s="1"/>
      <c r="S468" s="1"/>
      <c r="T468" s="1"/>
      <c r="U468" s="1"/>
      <c r="V468" s="1"/>
      <c r="W468" s="1"/>
      <c r="X468" s="1"/>
      <c r="Y468" s="1"/>
      <c r="Z468" s="1"/>
    </row>
    <row r="469" spans="1:26" ht="15.75" customHeight="1" x14ac:dyDescent="0.25">
      <c r="A469" s="1"/>
      <c r="B469" s="1"/>
      <c r="C469" s="15"/>
      <c r="D469" s="3"/>
      <c r="E469" s="1"/>
      <c r="F469" s="3"/>
      <c r="G469" s="1"/>
      <c r="H469" s="1"/>
      <c r="I469" s="3"/>
      <c r="J469" s="3"/>
      <c r="K469" s="1"/>
      <c r="L469" s="1"/>
      <c r="M469" s="1"/>
      <c r="N469" s="1"/>
      <c r="O469" s="1"/>
      <c r="P469" s="1"/>
      <c r="Q469" s="1"/>
      <c r="R469" s="1"/>
      <c r="S469" s="1"/>
      <c r="T469" s="1"/>
      <c r="U469" s="1"/>
      <c r="V469" s="1"/>
      <c r="W469" s="1"/>
      <c r="X469" s="1"/>
      <c r="Y469" s="1"/>
      <c r="Z469" s="1"/>
    </row>
    <row r="470" spans="1:26" ht="15.75" customHeight="1" x14ac:dyDescent="0.25">
      <c r="A470" s="1"/>
      <c r="B470" s="1"/>
      <c r="C470" s="15"/>
      <c r="D470" s="3"/>
      <c r="E470" s="1"/>
      <c r="F470" s="3"/>
      <c r="G470" s="1"/>
      <c r="H470" s="1"/>
      <c r="I470" s="3"/>
      <c r="J470" s="3"/>
      <c r="K470" s="1"/>
      <c r="L470" s="1"/>
      <c r="M470" s="1"/>
      <c r="N470" s="1"/>
      <c r="O470" s="1"/>
      <c r="P470" s="1"/>
      <c r="Q470" s="1"/>
      <c r="R470" s="1"/>
      <c r="S470" s="1"/>
      <c r="T470" s="1"/>
      <c r="U470" s="1"/>
      <c r="V470" s="1"/>
      <c r="W470" s="1"/>
      <c r="X470" s="1"/>
      <c r="Y470" s="1"/>
      <c r="Z470" s="1"/>
    </row>
    <row r="471" spans="1:26" ht="15.75" customHeight="1" x14ac:dyDescent="0.25">
      <c r="A471" s="1"/>
      <c r="B471" s="1"/>
      <c r="C471" s="15"/>
      <c r="D471" s="3"/>
      <c r="E471" s="1"/>
      <c r="F471" s="3"/>
      <c r="G471" s="1"/>
      <c r="H471" s="1"/>
      <c r="I471" s="3"/>
      <c r="J471" s="3"/>
      <c r="K471" s="1"/>
      <c r="L471" s="1"/>
      <c r="M471" s="1"/>
      <c r="N471" s="1"/>
      <c r="O471" s="1"/>
      <c r="P471" s="1"/>
      <c r="Q471" s="1"/>
      <c r="R471" s="1"/>
      <c r="S471" s="1"/>
      <c r="T471" s="1"/>
      <c r="U471" s="1"/>
      <c r="V471" s="1"/>
      <c r="W471" s="1"/>
      <c r="X471" s="1"/>
      <c r="Y471" s="1"/>
      <c r="Z471" s="1"/>
    </row>
    <row r="472" spans="1:26" ht="15.75" customHeight="1" x14ac:dyDescent="0.25">
      <c r="A472" s="1"/>
      <c r="B472" s="1"/>
      <c r="C472" s="15"/>
      <c r="D472" s="3"/>
      <c r="E472" s="1"/>
      <c r="F472" s="3"/>
      <c r="G472" s="1"/>
      <c r="H472" s="1"/>
      <c r="I472" s="3"/>
      <c r="J472" s="3"/>
      <c r="K472" s="1"/>
      <c r="L472" s="1"/>
      <c r="M472" s="1"/>
      <c r="N472" s="1"/>
      <c r="O472" s="1"/>
      <c r="P472" s="1"/>
      <c r="Q472" s="1"/>
      <c r="R472" s="1"/>
      <c r="S472" s="1"/>
      <c r="T472" s="1"/>
      <c r="U472" s="1"/>
      <c r="V472" s="1"/>
      <c r="W472" s="1"/>
      <c r="X472" s="1"/>
      <c r="Y472" s="1"/>
      <c r="Z472" s="1"/>
    </row>
    <row r="473" spans="1:26" ht="15.75" customHeight="1" x14ac:dyDescent="0.25">
      <c r="A473" s="1"/>
      <c r="B473" s="1"/>
      <c r="C473" s="15"/>
      <c r="D473" s="3"/>
      <c r="E473" s="1"/>
      <c r="F473" s="3"/>
      <c r="G473" s="1"/>
      <c r="H473" s="1"/>
      <c r="I473" s="3"/>
      <c r="J473" s="3"/>
      <c r="K473" s="1"/>
      <c r="L473" s="1"/>
      <c r="M473" s="1"/>
      <c r="N473" s="1"/>
      <c r="O473" s="1"/>
      <c r="P473" s="1"/>
      <c r="Q473" s="1"/>
      <c r="R473" s="1"/>
      <c r="S473" s="1"/>
      <c r="T473" s="1"/>
      <c r="U473" s="1"/>
      <c r="V473" s="1"/>
      <c r="W473" s="1"/>
      <c r="X473" s="1"/>
      <c r="Y473" s="1"/>
      <c r="Z473" s="1"/>
    </row>
    <row r="474" spans="1:26" ht="15.75" customHeight="1" x14ac:dyDescent="0.25">
      <c r="A474" s="1"/>
      <c r="B474" s="1"/>
      <c r="C474" s="15"/>
      <c r="D474" s="3"/>
      <c r="E474" s="1"/>
      <c r="F474" s="3"/>
      <c r="G474" s="1"/>
      <c r="H474" s="1"/>
      <c r="I474" s="3"/>
      <c r="J474" s="3"/>
      <c r="K474" s="1"/>
      <c r="L474" s="1"/>
      <c r="M474" s="1"/>
      <c r="N474" s="1"/>
      <c r="O474" s="1"/>
      <c r="P474" s="1"/>
      <c r="Q474" s="1"/>
      <c r="R474" s="1"/>
      <c r="S474" s="1"/>
      <c r="T474" s="1"/>
      <c r="U474" s="1"/>
      <c r="V474" s="1"/>
      <c r="W474" s="1"/>
      <c r="X474" s="1"/>
      <c r="Y474" s="1"/>
      <c r="Z474" s="1"/>
    </row>
    <row r="475" spans="1:26" ht="15.75" customHeight="1" x14ac:dyDescent="0.25">
      <c r="A475" s="1"/>
      <c r="B475" s="1"/>
      <c r="C475" s="15"/>
      <c r="D475" s="3"/>
      <c r="E475" s="1"/>
      <c r="F475" s="3"/>
      <c r="G475" s="1"/>
      <c r="H475" s="1"/>
      <c r="I475" s="3"/>
      <c r="J475" s="3"/>
      <c r="K475" s="1"/>
      <c r="L475" s="1"/>
      <c r="M475" s="1"/>
      <c r="N475" s="1"/>
      <c r="O475" s="1"/>
      <c r="P475" s="1"/>
      <c r="Q475" s="1"/>
      <c r="R475" s="1"/>
      <c r="S475" s="1"/>
      <c r="T475" s="1"/>
      <c r="U475" s="1"/>
      <c r="V475" s="1"/>
      <c r="W475" s="1"/>
      <c r="X475" s="1"/>
      <c r="Y475" s="1"/>
      <c r="Z475" s="1"/>
    </row>
    <row r="476" spans="1:26" ht="15.75" customHeight="1" x14ac:dyDescent="0.25">
      <c r="A476" s="1"/>
      <c r="B476" s="1"/>
      <c r="C476" s="15"/>
      <c r="D476" s="3"/>
      <c r="E476" s="1"/>
      <c r="F476" s="3"/>
      <c r="G476" s="1"/>
      <c r="H476" s="1"/>
      <c r="I476" s="3"/>
      <c r="J476" s="3"/>
      <c r="K476" s="1"/>
      <c r="L476" s="1"/>
      <c r="M476" s="1"/>
      <c r="N476" s="1"/>
      <c r="O476" s="1"/>
      <c r="P476" s="1"/>
      <c r="Q476" s="1"/>
      <c r="R476" s="1"/>
      <c r="S476" s="1"/>
      <c r="T476" s="1"/>
      <c r="U476" s="1"/>
      <c r="V476" s="1"/>
      <c r="W476" s="1"/>
      <c r="X476" s="1"/>
      <c r="Y476" s="1"/>
      <c r="Z476" s="1"/>
    </row>
    <row r="477" spans="1:26" ht="15.75" customHeight="1" x14ac:dyDescent="0.25">
      <c r="A477" s="1"/>
      <c r="B477" s="1"/>
      <c r="C477" s="15"/>
      <c r="D477" s="3"/>
      <c r="E477" s="1"/>
      <c r="F477" s="3"/>
      <c r="G477" s="1"/>
      <c r="H477" s="1"/>
      <c r="I477" s="3"/>
      <c r="J477" s="3"/>
      <c r="K477" s="1"/>
      <c r="L477" s="1"/>
      <c r="M477" s="1"/>
      <c r="N477" s="1"/>
      <c r="O477" s="1"/>
      <c r="P477" s="1"/>
      <c r="Q477" s="1"/>
      <c r="R477" s="1"/>
      <c r="S477" s="1"/>
      <c r="T477" s="1"/>
      <c r="U477" s="1"/>
      <c r="V477" s="1"/>
      <c r="W477" s="1"/>
      <c r="X477" s="1"/>
      <c r="Y477" s="1"/>
      <c r="Z477" s="1"/>
    </row>
    <row r="478" spans="1:26" ht="15.75" customHeight="1" x14ac:dyDescent="0.25">
      <c r="A478" s="1"/>
      <c r="B478" s="1"/>
      <c r="C478" s="15"/>
      <c r="D478" s="3"/>
      <c r="E478" s="1"/>
      <c r="F478" s="3"/>
      <c r="G478" s="1"/>
      <c r="H478" s="1"/>
      <c r="I478" s="3"/>
      <c r="J478" s="3"/>
      <c r="K478" s="1"/>
      <c r="L478" s="1"/>
      <c r="M478" s="1"/>
      <c r="N478" s="1"/>
      <c r="O478" s="1"/>
      <c r="P478" s="1"/>
      <c r="Q478" s="1"/>
      <c r="R478" s="1"/>
      <c r="S478" s="1"/>
      <c r="T478" s="1"/>
      <c r="U478" s="1"/>
      <c r="V478" s="1"/>
      <c r="W478" s="1"/>
      <c r="X478" s="1"/>
      <c r="Y478" s="1"/>
      <c r="Z478" s="1"/>
    </row>
    <row r="479" spans="1:26" ht="15.75" customHeight="1" x14ac:dyDescent="0.25">
      <c r="A479" s="1"/>
      <c r="B479" s="1"/>
      <c r="C479" s="15"/>
      <c r="D479" s="3"/>
      <c r="E479" s="1"/>
      <c r="F479" s="3"/>
      <c r="G479" s="1"/>
      <c r="H479" s="1"/>
      <c r="I479" s="3"/>
      <c r="J479" s="3"/>
      <c r="K479" s="1"/>
      <c r="L479" s="1"/>
      <c r="M479" s="1"/>
      <c r="N479" s="1"/>
      <c r="O479" s="1"/>
      <c r="P479" s="1"/>
      <c r="Q479" s="1"/>
      <c r="R479" s="1"/>
      <c r="S479" s="1"/>
      <c r="T479" s="1"/>
      <c r="U479" s="1"/>
      <c r="V479" s="1"/>
      <c r="W479" s="1"/>
      <c r="X479" s="1"/>
      <c r="Y479" s="1"/>
      <c r="Z479" s="1"/>
    </row>
    <row r="480" spans="1:26" ht="15.75" customHeight="1" x14ac:dyDescent="0.25">
      <c r="A480" s="1"/>
      <c r="B480" s="1"/>
      <c r="C480" s="15"/>
      <c r="D480" s="3"/>
      <c r="E480" s="1"/>
      <c r="F480" s="3"/>
      <c r="G480" s="1"/>
      <c r="H480" s="1"/>
      <c r="I480" s="3"/>
      <c r="J480" s="3"/>
      <c r="K480" s="1"/>
      <c r="L480" s="1"/>
      <c r="M480" s="1"/>
      <c r="N480" s="1"/>
      <c r="O480" s="1"/>
      <c r="P480" s="1"/>
      <c r="Q480" s="1"/>
      <c r="R480" s="1"/>
      <c r="S480" s="1"/>
      <c r="T480" s="1"/>
      <c r="U480" s="1"/>
      <c r="V480" s="1"/>
      <c r="W480" s="1"/>
      <c r="X480" s="1"/>
      <c r="Y480" s="1"/>
      <c r="Z480" s="1"/>
    </row>
    <row r="481" spans="1:26" ht="15.75" customHeight="1" x14ac:dyDescent="0.25">
      <c r="A481" s="1"/>
      <c r="B481" s="1"/>
      <c r="C481" s="15"/>
      <c r="D481" s="3"/>
      <c r="E481" s="1"/>
      <c r="F481" s="3"/>
      <c r="G481" s="1"/>
      <c r="H481" s="1"/>
      <c r="I481" s="3"/>
      <c r="J481" s="3"/>
      <c r="K481" s="1"/>
      <c r="L481" s="1"/>
      <c r="M481" s="1"/>
      <c r="N481" s="1"/>
      <c r="O481" s="1"/>
      <c r="P481" s="1"/>
      <c r="Q481" s="1"/>
      <c r="R481" s="1"/>
      <c r="S481" s="1"/>
      <c r="T481" s="1"/>
      <c r="U481" s="1"/>
      <c r="V481" s="1"/>
      <c r="W481" s="1"/>
      <c r="X481" s="1"/>
      <c r="Y481" s="1"/>
      <c r="Z481" s="1"/>
    </row>
    <row r="482" spans="1:26" ht="15.75" customHeight="1" x14ac:dyDescent="0.25">
      <c r="A482" s="1"/>
      <c r="B482" s="1"/>
      <c r="C482" s="15"/>
      <c r="D482" s="3"/>
      <c r="E482" s="1"/>
      <c r="F482" s="3"/>
      <c r="G482" s="1"/>
      <c r="H482" s="1"/>
      <c r="I482" s="3"/>
      <c r="J482" s="3"/>
      <c r="K482" s="1"/>
      <c r="L482" s="1"/>
      <c r="M482" s="1"/>
      <c r="N482" s="1"/>
      <c r="O482" s="1"/>
      <c r="P482" s="1"/>
      <c r="Q482" s="1"/>
      <c r="R482" s="1"/>
      <c r="S482" s="1"/>
      <c r="T482" s="1"/>
      <c r="U482" s="1"/>
      <c r="V482" s="1"/>
      <c r="W482" s="1"/>
      <c r="X482" s="1"/>
      <c r="Y482" s="1"/>
      <c r="Z482" s="1"/>
    </row>
    <row r="483" spans="1:26" ht="15.75" customHeight="1" x14ac:dyDescent="0.25">
      <c r="A483" s="1"/>
      <c r="B483" s="1"/>
      <c r="C483" s="15"/>
      <c r="D483" s="3"/>
      <c r="E483" s="1"/>
      <c r="F483" s="3"/>
      <c r="G483" s="1"/>
      <c r="H483" s="1"/>
      <c r="I483" s="3"/>
      <c r="J483" s="3"/>
      <c r="K483" s="1"/>
      <c r="L483" s="1"/>
      <c r="M483" s="1"/>
      <c r="N483" s="1"/>
      <c r="O483" s="1"/>
      <c r="P483" s="1"/>
      <c r="Q483" s="1"/>
      <c r="R483" s="1"/>
      <c r="S483" s="1"/>
      <c r="T483" s="1"/>
      <c r="U483" s="1"/>
      <c r="V483" s="1"/>
      <c r="W483" s="1"/>
      <c r="X483" s="1"/>
      <c r="Y483" s="1"/>
      <c r="Z483" s="1"/>
    </row>
    <row r="484" spans="1:26" ht="15.75" customHeight="1" x14ac:dyDescent="0.25">
      <c r="A484" s="1"/>
      <c r="B484" s="1"/>
      <c r="C484" s="15"/>
      <c r="D484" s="3"/>
      <c r="E484" s="1"/>
      <c r="F484" s="3"/>
      <c r="G484" s="1"/>
      <c r="H484" s="1"/>
      <c r="I484" s="3"/>
      <c r="J484" s="3"/>
      <c r="K484" s="1"/>
      <c r="L484" s="1"/>
      <c r="M484" s="1"/>
      <c r="N484" s="1"/>
      <c r="O484" s="1"/>
      <c r="P484" s="1"/>
      <c r="Q484" s="1"/>
      <c r="R484" s="1"/>
      <c r="S484" s="1"/>
      <c r="T484" s="1"/>
      <c r="U484" s="1"/>
      <c r="V484" s="1"/>
      <c r="W484" s="1"/>
      <c r="X484" s="1"/>
      <c r="Y484" s="1"/>
      <c r="Z484" s="1"/>
    </row>
    <row r="485" spans="1:26" ht="15.75" customHeight="1" x14ac:dyDescent="0.25">
      <c r="A485" s="1"/>
      <c r="B485" s="1"/>
      <c r="C485" s="15"/>
      <c r="D485" s="3"/>
      <c r="E485" s="1"/>
      <c r="F485" s="3"/>
      <c r="G485" s="1"/>
      <c r="H485" s="1"/>
      <c r="I485" s="3"/>
      <c r="J485" s="3"/>
      <c r="K485" s="1"/>
      <c r="L485" s="1"/>
      <c r="M485" s="1"/>
      <c r="N485" s="1"/>
      <c r="O485" s="1"/>
      <c r="P485" s="1"/>
      <c r="Q485" s="1"/>
      <c r="R485" s="1"/>
      <c r="S485" s="1"/>
      <c r="T485" s="1"/>
      <c r="U485" s="1"/>
      <c r="V485" s="1"/>
      <c r="W485" s="1"/>
      <c r="X485" s="1"/>
      <c r="Y485" s="1"/>
      <c r="Z485" s="1"/>
    </row>
    <row r="486" spans="1:26" ht="15.75" customHeight="1" x14ac:dyDescent="0.25">
      <c r="A486" s="1"/>
      <c r="B486" s="1"/>
      <c r="C486" s="15"/>
      <c r="D486" s="3"/>
      <c r="E486" s="1"/>
      <c r="F486" s="3"/>
      <c r="G486" s="1"/>
      <c r="H486" s="1"/>
      <c r="I486" s="3"/>
      <c r="J486" s="3"/>
      <c r="K486" s="1"/>
      <c r="L486" s="1"/>
      <c r="M486" s="1"/>
      <c r="N486" s="1"/>
      <c r="O486" s="1"/>
      <c r="P486" s="1"/>
      <c r="Q486" s="1"/>
      <c r="R486" s="1"/>
      <c r="S486" s="1"/>
      <c r="T486" s="1"/>
      <c r="U486" s="1"/>
      <c r="V486" s="1"/>
      <c r="W486" s="1"/>
      <c r="X486" s="1"/>
      <c r="Y486" s="1"/>
      <c r="Z486" s="1"/>
    </row>
    <row r="487" spans="1:26" ht="15.75" customHeight="1" x14ac:dyDescent="0.25">
      <c r="A487" s="1"/>
      <c r="B487" s="1"/>
      <c r="C487" s="15"/>
      <c r="D487" s="3"/>
      <c r="E487" s="1"/>
      <c r="F487" s="3"/>
      <c r="G487" s="1"/>
      <c r="H487" s="1"/>
      <c r="I487" s="3"/>
      <c r="J487" s="3"/>
      <c r="K487" s="1"/>
      <c r="L487" s="1"/>
      <c r="M487" s="1"/>
      <c r="N487" s="1"/>
      <c r="O487" s="1"/>
      <c r="P487" s="1"/>
      <c r="Q487" s="1"/>
      <c r="R487" s="1"/>
      <c r="S487" s="1"/>
      <c r="T487" s="1"/>
      <c r="U487" s="1"/>
      <c r="V487" s="1"/>
      <c r="W487" s="1"/>
      <c r="X487" s="1"/>
      <c r="Y487" s="1"/>
      <c r="Z487" s="1"/>
    </row>
    <row r="488" spans="1:26" ht="15.75" customHeight="1" x14ac:dyDescent="0.25">
      <c r="A488" s="1"/>
      <c r="B488" s="1"/>
      <c r="C488" s="15"/>
      <c r="D488" s="3"/>
      <c r="E488" s="1"/>
      <c r="F488" s="3"/>
      <c r="G488" s="1"/>
      <c r="H488" s="1"/>
      <c r="I488" s="3"/>
      <c r="J488" s="3"/>
      <c r="K488" s="1"/>
      <c r="L488" s="1"/>
      <c r="M488" s="1"/>
      <c r="N488" s="1"/>
      <c r="O488" s="1"/>
      <c r="P488" s="1"/>
      <c r="Q488" s="1"/>
      <c r="R488" s="1"/>
      <c r="S488" s="1"/>
      <c r="T488" s="1"/>
      <c r="U488" s="1"/>
      <c r="V488" s="1"/>
      <c r="W488" s="1"/>
      <c r="X488" s="1"/>
      <c r="Y488" s="1"/>
      <c r="Z488" s="1"/>
    </row>
    <row r="489" spans="1:26" ht="15.75" customHeight="1" x14ac:dyDescent="0.25">
      <c r="A489" s="1"/>
      <c r="B489" s="1"/>
      <c r="C489" s="15"/>
      <c r="D489" s="3"/>
      <c r="E489" s="1"/>
      <c r="F489" s="3"/>
      <c r="G489" s="1"/>
      <c r="H489" s="1"/>
      <c r="I489" s="3"/>
      <c r="J489" s="3"/>
      <c r="K489" s="1"/>
      <c r="L489" s="1"/>
      <c r="M489" s="1"/>
      <c r="N489" s="1"/>
      <c r="O489" s="1"/>
      <c r="P489" s="1"/>
      <c r="Q489" s="1"/>
      <c r="R489" s="1"/>
      <c r="S489" s="1"/>
      <c r="T489" s="1"/>
      <c r="U489" s="1"/>
      <c r="V489" s="1"/>
      <c r="W489" s="1"/>
      <c r="X489" s="1"/>
      <c r="Y489" s="1"/>
      <c r="Z489" s="1"/>
    </row>
    <row r="490" spans="1:26" ht="15.75" customHeight="1" x14ac:dyDescent="0.25">
      <c r="A490" s="1"/>
      <c r="B490" s="1"/>
      <c r="C490" s="15"/>
      <c r="D490" s="3"/>
      <c r="E490" s="1"/>
      <c r="F490" s="3"/>
      <c r="G490" s="1"/>
      <c r="H490" s="1"/>
      <c r="I490" s="3"/>
      <c r="J490" s="3"/>
      <c r="K490" s="1"/>
      <c r="L490" s="1"/>
      <c r="M490" s="1"/>
      <c r="N490" s="1"/>
      <c r="O490" s="1"/>
      <c r="P490" s="1"/>
      <c r="Q490" s="1"/>
      <c r="R490" s="1"/>
      <c r="S490" s="1"/>
      <c r="T490" s="1"/>
      <c r="U490" s="1"/>
      <c r="V490" s="1"/>
      <c r="W490" s="1"/>
      <c r="X490" s="1"/>
      <c r="Y490" s="1"/>
      <c r="Z490" s="1"/>
    </row>
    <row r="491" spans="1:26" ht="15.75" customHeight="1" x14ac:dyDescent="0.25">
      <c r="A491" s="1"/>
      <c r="B491" s="1"/>
      <c r="C491" s="15"/>
      <c r="D491" s="3"/>
      <c r="E491" s="1"/>
      <c r="F491" s="3"/>
      <c r="G491" s="1"/>
      <c r="H491" s="1"/>
      <c r="I491" s="3"/>
      <c r="J491" s="3"/>
      <c r="K491" s="1"/>
      <c r="L491" s="1"/>
      <c r="M491" s="1"/>
      <c r="N491" s="1"/>
      <c r="O491" s="1"/>
      <c r="P491" s="1"/>
      <c r="Q491" s="1"/>
      <c r="R491" s="1"/>
      <c r="S491" s="1"/>
      <c r="T491" s="1"/>
      <c r="U491" s="1"/>
      <c r="V491" s="1"/>
      <c r="W491" s="1"/>
      <c r="X491" s="1"/>
      <c r="Y491" s="1"/>
      <c r="Z491" s="1"/>
    </row>
    <row r="492" spans="1:26" ht="15.75" customHeight="1" x14ac:dyDescent="0.25">
      <c r="A492" s="1"/>
      <c r="B492" s="1"/>
      <c r="C492" s="15"/>
      <c r="D492" s="3"/>
      <c r="E492" s="1"/>
      <c r="F492" s="3"/>
      <c r="G492" s="1"/>
      <c r="H492" s="1"/>
      <c r="I492" s="3"/>
      <c r="J492" s="3"/>
      <c r="K492" s="1"/>
      <c r="L492" s="1"/>
      <c r="M492" s="1"/>
      <c r="N492" s="1"/>
      <c r="O492" s="1"/>
      <c r="P492" s="1"/>
      <c r="Q492" s="1"/>
      <c r="R492" s="1"/>
      <c r="S492" s="1"/>
      <c r="T492" s="1"/>
      <c r="U492" s="1"/>
      <c r="V492" s="1"/>
      <c r="W492" s="1"/>
      <c r="X492" s="1"/>
      <c r="Y492" s="1"/>
      <c r="Z492" s="1"/>
    </row>
    <row r="493" spans="1:26" ht="15.75" customHeight="1" x14ac:dyDescent="0.25">
      <c r="A493" s="1"/>
      <c r="B493" s="1"/>
      <c r="C493" s="15"/>
      <c r="D493" s="3"/>
      <c r="E493" s="1"/>
      <c r="F493" s="3"/>
      <c r="G493" s="1"/>
      <c r="H493" s="1"/>
      <c r="I493" s="3"/>
      <c r="J493" s="3"/>
      <c r="K493" s="1"/>
      <c r="L493" s="1"/>
      <c r="M493" s="1"/>
      <c r="N493" s="1"/>
      <c r="O493" s="1"/>
      <c r="P493" s="1"/>
      <c r="Q493" s="1"/>
      <c r="R493" s="1"/>
      <c r="S493" s="1"/>
      <c r="T493" s="1"/>
      <c r="U493" s="1"/>
      <c r="V493" s="1"/>
      <c r="W493" s="1"/>
      <c r="X493" s="1"/>
      <c r="Y493" s="1"/>
      <c r="Z493" s="1"/>
    </row>
    <row r="494" spans="1:26" ht="15.75" customHeight="1" x14ac:dyDescent="0.25">
      <c r="A494" s="1"/>
      <c r="B494" s="1"/>
      <c r="C494" s="15"/>
      <c r="D494" s="3"/>
      <c r="E494" s="1"/>
      <c r="F494" s="3"/>
      <c r="G494" s="1"/>
      <c r="H494" s="1"/>
      <c r="I494" s="3"/>
      <c r="J494" s="3"/>
      <c r="K494" s="1"/>
      <c r="L494" s="1"/>
      <c r="M494" s="1"/>
      <c r="N494" s="1"/>
      <c r="O494" s="1"/>
      <c r="P494" s="1"/>
      <c r="Q494" s="1"/>
      <c r="R494" s="1"/>
      <c r="S494" s="1"/>
      <c r="T494" s="1"/>
      <c r="U494" s="1"/>
      <c r="V494" s="1"/>
      <c r="W494" s="1"/>
      <c r="X494" s="1"/>
      <c r="Y494" s="1"/>
      <c r="Z494" s="1"/>
    </row>
    <row r="495" spans="1:26" ht="15.75" customHeight="1" x14ac:dyDescent="0.25">
      <c r="A495" s="1"/>
      <c r="B495" s="1"/>
      <c r="C495" s="15"/>
      <c r="D495" s="3"/>
      <c r="E495" s="1"/>
      <c r="F495" s="3"/>
      <c r="G495" s="1"/>
      <c r="H495" s="1"/>
      <c r="I495" s="3"/>
      <c r="J495" s="3"/>
      <c r="K495" s="1"/>
      <c r="L495" s="1"/>
      <c r="M495" s="1"/>
      <c r="N495" s="1"/>
      <c r="O495" s="1"/>
      <c r="P495" s="1"/>
      <c r="Q495" s="1"/>
      <c r="R495" s="1"/>
      <c r="S495" s="1"/>
      <c r="T495" s="1"/>
      <c r="U495" s="1"/>
      <c r="V495" s="1"/>
      <c r="W495" s="1"/>
      <c r="X495" s="1"/>
      <c r="Y495" s="1"/>
      <c r="Z495" s="1"/>
    </row>
    <row r="496" spans="1:26" ht="15.75" customHeight="1" x14ac:dyDescent="0.25">
      <c r="A496" s="1"/>
      <c r="B496" s="1"/>
      <c r="C496" s="15"/>
      <c r="D496" s="3"/>
      <c r="E496" s="1"/>
      <c r="F496" s="3"/>
      <c r="G496" s="1"/>
      <c r="H496" s="1"/>
      <c r="I496" s="3"/>
      <c r="J496" s="3"/>
      <c r="K496" s="1"/>
      <c r="L496" s="1"/>
      <c r="M496" s="1"/>
      <c r="N496" s="1"/>
      <c r="O496" s="1"/>
      <c r="P496" s="1"/>
      <c r="Q496" s="1"/>
      <c r="R496" s="1"/>
      <c r="S496" s="1"/>
      <c r="T496" s="1"/>
      <c r="U496" s="1"/>
      <c r="V496" s="1"/>
      <c r="W496" s="1"/>
      <c r="X496" s="1"/>
      <c r="Y496" s="1"/>
      <c r="Z496" s="1"/>
    </row>
    <row r="497" spans="1:26" ht="15.75" customHeight="1" x14ac:dyDescent="0.25">
      <c r="A497" s="1"/>
      <c r="B497" s="1"/>
      <c r="C497" s="15"/>
      <c r="D497" s="3"/>
      <c r="E497" s="1"/>
      <c r="F497" s="3"/>
      <c r="G497" s="1"/>
      <c r="H497" s="1"/>
      <c r="I497" s="3"/>
      <c r="J497" s="3"/>
      <c r="K497" s="1"/>
      <c r="L497" s="1"/>
      <c r="M497" s="1"/>
      <c r="N497" s="1"/>
      <c r="O497" s="1"/>
      <c r="P497" s="1"/>
      <c r="Q497" s="1"/>
      <c r="R497" s="1"/>
      <c r="S497" s="1"/>
      <c r="T497" s="1"/>
      <c r="U497" s="1"/>
      <c r="V497" s="1"/>
      <c r="W497" s="1"/>
      <c r="X497" s="1"/>
      <c r="Y497" s="1"/>
      <c r="Z497" s="1"/>
    </row>
    <row r="498" spans="1:26" ht="15.75" customHeight="1" x14ac:dyDescent="0.25">
      <c r="A498" s="1"/>
      <c r="B498" s="1"/>
      <c r="C498" s="15"/>
      <c r="D498" s="3"/>
      <c r="E498" s="1"/>
      <c r="F498" s="3"/>
      <c r="G498" s="1"/>
      <c r="H498" s="1"/>
      <c r="I498" s="3"/>
      <c r="J498" s="3"/>
      <c r="K498" s="1"/>
      <c r="L498" s="1"/>
      <c r="M498" s="1"/>
      <c r="N498" s="1"/>
      <c r="O498" s="1"/>
      <c r="P498" s="1"/>
      <c r="Q498" s="1"/>
      <c r="R498" s="1"/>
      <c r="S498" s="1"/>
      <c r="T498" s="1"/>
      <c r="U498" s="1"/>
      <c r="V498" s="1"/>
      <c r="W498" s="1"/>
      <c r="X498" s="1"/>
      <c r="Y498" s="1"/>
      <c r="Z498" s="1"/>
    </row>
    <row r="499" spans="1:26" ht="15.75" customHeight="1" x14ac:dyDescent="0.25">
      <c r="A499" s="1"/>
      <c r="B499" s="1"/>
      <c r="C499" s="15"/>
      <c r="D499" s="3"/>
      <c r="E499" s="1"/>
      <c r="F499" s="3"/>
      <c r="G499" s="1"/>
      <c r="H499" s="1"/>
      <c r="I499" s="3"/>
      <c r="J499" s="3"/>
      <c r="K499" s="1"/>
      <c r="L499" s="1"/>
      <c r="M499" s="1"/>
      <c r="N499" s="1"/>
      <c r="O499" s="1"/>
      <c r="P499" s="1"/>
      <c r="Q499" s="1"/>
      <c r="R499" s="1"/>
      <c r="S499" s="1"/>
      <c r="T499" s="1"/>
      <c r="U499" s="1"/>
      <c r="V499" s="1"/>
      <c r="W499" s="1"/>
      <c r="X499" s="1"/>
      <c r="Y499" s="1"/>
      <c r="Z499" s="1"/>
    </row>
    <row r="500" spans="1:26" ht="15.75" customHeight="1" x14ac:dyDescent="0.25">
      <c r="A500" s="1"/>
      <c r="B500" s="1"/>
      <c r="C500" s="15"/>
      <c r="D500" s="3"/>
      <c r="E500" s="1"/>
      <c r="F500" s="3"/>
      <c r="G500" s="1"/>
      <c r="H500" s="1"/>
      <c r="I500" s="3"/>
      <c r="J500" s="3"/>
      <c r="K500" s="1"/>
      <c r="L500" s="1"/>
      <c r="M500" s="1"/>
      <c r="N500" s="1"/>
      <c r="O500" s="1"/>
      <c r="P500" s="1"/>
      <c r="Q500" s="1"/>
      <c r="R500" s="1"/>
      <c r="S500" s="1"/>
      <c r="T500" s="1"/>
      <c r="U500" s="1"/>
      <c r="V500" s="1"/>
      <c r="W500" s="1"/>
      <c r="X500" s="1"/>
      <c r="Y500" s="1"/>
      <c r="Z500" s="1"/>
    </row>
    <row r="501" spans="1:26" ht="15.75" customHeight="1" x14ac:dyDescent="0.25">
      <c r="A501" s="1"/>
      <c r="B501" s="1"/>
      <c r="C501" s="15"/>
      <c r="D501" s="3"/>
      <c r="E501" s="1"/>
      <c r="F501" s="3"/>
      <c r="G501" s="1"/>
      <c r="H501" s="1"/>
      <c r="I501" s="3"/>
      <c r="J501" s="3"/>
      <c r="K501" s="1"/>
      <c r="L501" s="1"/>
      <c r="M501" s="1"/>
      <c r="N501" s="1"/>
      <c r="O501" s="1"/>
      <c r="P501" s="1"/>
      <c r="Q501" s="1"/>
      <c r="R501" s="1"/>
      <c r="S501" s="1"/>
      <c r="T501" s="1"/>
      <c r="U501" s="1"/>
      <c r="V501" s="1"/>
      <c r="W501" s="1"/>
      <c r="X501" s="1"/>
      <c r="Y501" s="1"/>
      <c r="Z501" s="1"/>
    </row>
    <row r="502" spans="1:26" ht="15.75" customHeight="1" x14ac:dyDescent="0.25">
      <c r="A502" s="1"/>
      <c r="B502" s="1"/>
      <c r="C502" s="15"/>
      <c r="D502" s="3"/>
      <c r="E502" s="1"/>
      <c r="F502" s="3"/>
      <c r="G502" s="1"/>
      <c r="H502" s="1"/>
      <c r="I502" s="3"/>
      <c r="J502" s="3"/>
      <c r="K502" s="1"/>
      <c r="L502" s="1"/>
      <c r="M502" s="1"/>
      <c r="N502" s="1"/>
      <c r="O502" s="1"/>
      <c r="P502" s="1"/>
      <c r="Q502" s="1"/>
      <c r="R502" s="1"/>
      <c r="S502" s="1"/>
      <c r="T502" s="1"/>
      <c r="U502" s="1"/>
      <c r="V502" s="1"/>
      <c r="W502" s="1"/>
      <c r="X502" s="1"/>
      <c r="Y502" s="1"/>
      <c r="Z502" s="1"/>
    </row>
    <row r="503" spans="1:26" ht="15.75" customHeight="1" x14ac:dyDescent="0.25">
      <c r="A503" s="1"/>
      <c r="B503" s="1"/>
      <c r="C503" s="15"/>
      <c r="D503" s="3"/>
      <c r="E503" s="1"/>
      <c r="F503" s="3"/>
      <c r="G503" s="1"/>
      <c r="H503" s="1"/>
      <c r="I503" s="3"/>
      <c r="J503" s="3"/>
      <c r="K503" s="1"/>
      <c r="L503" s="1"/>
      <c r="M503" s="1"/>
      <c r="N503" s="1"/>
      <c r="O503" s="1"/>
      <c r="P503" s="1"/>
      <c r="Q503" s="1"/>
      <c r="R503" s="1"/>
      <c r="S503" s="1"/>
      <c r="T503" s="1"/>
      <c r="U503" s="1"/>
      <c r="V503" s="1"/>
      <c r="W503" s="1"/>
      <c r="X503" s="1"/>
      <c r="Y503" s="1"/>
      <c r="Z503" s="1"/>
    </row>
    <row r="504" spans="1:26" ht="15.75" customHeight="1" x14ac:dyDescent="0.25">
      <c r="A504" s="1"/>
      <c r="B504" s="1"/>
      <c r="C504" s="15"/>
      <c r="D504" s="3"/>
      <c r="E504" s="1"/>
      <c r="F504" s="3"/>
      <c r="G504" s="1"/>
      <c r="H504" s="1"/>
      <c r="I504" s="3"/>
      <c r="J504" s="3"/>
      <c r="K504" s="1"/>
      <c r="L504" s="1"/>
      <c r="M504" s="1"/>
      <c r="N504" s="1"/>
      <c r="O504" s="1"/>
      <c r="P504" s="1"/>
      <c r="Q504" s="1"/>
      <c r="R504" s="1"/>
      <c r="S504" s="1"/>
      <c r="T504" s="1"/>
      <c r="U504" s="1"/>
      <c r="V504" s="1"/>
      <c r="W504" s="1"/>
      <c r="X504" s="1"/>
      <c r="Y504" s="1"/>
      <c r="Z504" s="1"/>
    </row>
    <row r="505" spans="1:26" ht="15.75" customHeight="1" x14ac:dyDescent="0.25">
      <c r="A505" s="1"/>
      <c r="B505" s="1"/>
      <c r="C505" s="15"/>
      <c r="D505" s="3"/>
      <c r="E505" s="1"/>
      <c r="F505" s="3"/>
      <c r="G505" s="1"/>
      <c r="H505" s="1"/>
      <c r="I505" s="3"/>
      <c r="J505" s="3"/>
      <c r="K505" s="1"/>
      <c r="L505" s="1"/>
      <c r="M505" s="1"/>
      <c r="N505" s="1"/>
      <c r="O505" s="1"/>
      <c r="P505" s="1"/>
      <c r="Q505" s="1"/>
      <c r="R505" s="1"/>
      <c r="S505" s="1"/>
      <c r="T505" s="1"/>
      <c r="U505" s="1"/>
      <c r="V505" s="1"/>
      <c r="W505" s="1"/>
      <c r="X505" s="1"/>
      <c r="Y505" s="1"/>
      <c r="Z505" s="1"/>
    </row>
    <row r="506" spans="1:26" ht="15.75" customHeight="1" x14ac:dyDescent="0.25">
      <c r="A506" s="1"/>
      <c r="B506" s="1"/>
      <c r="C506" s="15"/>
      <c r="D506" s="3"/>
      <c r="E506" s="1"/>
      <c r="F506" s="3"/>
      <c r="G506" s="1"/>
      <c r="H506" s="1"/>
      <c r="I506" s="3"/>
      <c r="J506" s="3"/>
      <c r="K506" s="1"/>
      <c r="L506" s="1"/>
      <c r="M506" s="1"/>
      <c r="N506" s="1"/>
      <c r="O506" s="1"/>
      <c r="P506" s="1"/>
      <c r="Q506" s="1"/>
      <c r="R506" s="1"/>
      <c r="S506" s="1"/>
      <c r="T506" s="1"/>
      <c r="U506" s="1"/>
      <c r="V506" s="1"/>
      <c r="W506" s="1"/>
      <c r="X506" s="1"/>
      <c r="Y506" s="1"/>
      <c r="Z506" s="1"/>
    </row>
    <row r="507" spans="1:26" ht="15.75" customHeight="1" x14ac:dyDescent="0.25">
      <c r="A507" s="1"/>
      <c r="B507" s="1"/>
      <c r="C507" s="15"/>
      <c r="D507" s="3"/>
      <c r="E507" s="1"/>
      <c r="F507" s="3"/>
      <c r="G507" s="1"/>
      <c r="H507" s="1"/>
      <c r="I507" s="3"/>
      <c r="J507" s="3"/>
      <c r="K507" s="1"/>
      <c r="L507" s="1"/>
      <c r="M507" s="1"/>
      <c r="N507" s="1"/>
      <c r="O507" s="1"/>
      <c r="P507" s="1"/>
      <c r="Q507" s="1"/>
      <c r="R507" s="1"/>
      <c r="S507" s="1"/>
      <c r="T507" s="1"/>
      <c r="U507" s="1"/>
      <c r="V507" s="1"/>
      <c r="W507" s="1"/>
      <c r="X507" s="1"/>
      <c r="Y507" s="1"/>
      <c r="Z507" s="1"/>
    </row>
    <row r="508" spans="1:26" ht="15.75" customHeight="1" x14ac:dyDescent="0.25">
      <c r="A508" s="1"/>
      <c r="B508" s="1"/>
      <c r="C508" s="15"/>
      <c r="D508" s="3"/>
      <c r="E508" s="1"/>
      <c r="F508" s="3"/>
      <c r="G508" s="1"/>
      <c r="H508" s="1"/>
      <c r="I508" s="3"/>
      <c r="J508" s="3"/>
      <c r="K508" s="1"/>
      <c r="L508" s="1"/>
      <c r="M508" s="1"/>
      <c r="N508" s="1"/>
      <c r="O508" s="1"/>
      <c r="P508" s="1"/>
      <c r="Q508" s="1"/>
      <c r="R508" s="1"/>
      <c r="S508" s="1"/>
      <c r="T508" s="1"/>
      <c r="U508" s="1"/>
      <c r="V508" s="1"/>
      <c r="W508" s="1"/>
      <c r="X508" s="1"/>
      <c r="Y508" s="1"/>
      <c r="Z508" s="1"/>
    </row>
    <row r="509" spans="1:26" ht="15.75" customHeight="1" x14ac:dyDescent="0.25">
      <c r="A509" s="1"/>
      <c r="B509" s="1"/>
      <c r="C509" s="15"/>
      <c r="D509" s="3"/>
      <c r="E509" s="1"/>
      <c r="F509" s="3"/>
      <c r="G509" s="1"/>
      <c r="H509" s="1"/>
      <c r="I509" s="3"/>
      <c r="J509" s="3"/>
      <c r="K509" s="1"/>
      <c r="L509" s="1"/>
      <c r="M509" s="1"/>
      <c r="N509" s="1"/>
      <c r="O509" s="1"/>
      <c r="P509" s="1"/>
      <c r="Q509" s="1"/>
      <c r="R509" s="1"/>
      <c r="S509" s="1"/>
      <c r="T509" s="1"/>
      <c r="U509" s="1"/>
      <c r="V509" s="1"/>
      <c r="W509" s="1"/>
      <c r="X509" s="1"/>
      <c r="Y509" s="1"/>
      <c r="Z509" s="1"/>
    </row>
    <row r="510" spans="1:26" ht="15.75" customHeight="1" x14ac:dyDescent="0.25">
      <c r="A510" s="1"/>
      <c r="B510" s="1"/>
      <c r="C510" s="15"/>
      <c r="D510" s="3"/>
      <c r="E510" s="1"/>
      <c r="F510" s="3"/>
      <c r="G510" s="1"/>
      <c r="H510" s="1"/>
      <c r="I510" s="3"/>
      <c r="J510" s="3"/>
      <c r="K510" s="1"/>
      <c r="L510" s="1"/>
      <c r="M510" s="1"/>
      <c r="N510" s="1"/>
      <c r="O510" s="1"/>
      <c r="P510" s="1"/>
      <c r="Q510" s="1"/>
      <c r="R510" s="1"/>
      <c r="S510" s="1"/>
      <c r="T510" s="1"/>
      <c r="U510" s="1"/>
      <c r="V510" s="1"/>
      <c r="W510" s="1"/>
      <c r="X510" s="1"/>
      <c r="Y510" s="1"/>
      <c r="Z510" s="1"/>
    </row>
    <row r="511" spans="1:26" ht="15.75" customHeight="1" x14ac:dyDescent="0.25">
      <c r="A511" s="1"/>
      <c r="B511" s="1"/>
      <c r="C511" s="15"/>
      <c r="D511" s="3"/>
      <c r="E511" s="1"/>
      <c r="F511" s="3"/>
      <c r="G511" s="1"/>
      <c r="H511" s="1"/>
      <c r="I511" s="3"/>
      <c r="J511" s="3"/>
      <c r="K511" s="1"/>
      <c r="L511" s="1"/>
      <c r="M511" s="1"/>
      <c r="N511" s="1"/>
      <c r="O511" s="1"/>
      <c r="P511" s="1"/>
      <c r="Q511" s="1"/>
      <c r="R511" s="1"/>
      <c r="S511" s="1"/>
      <c r="T511" s="1"/>
      <c r="U511" s="1"/>
      <c r="V511" s="1"/>
      <c r="W511" s="1"/>
      <c r="X511" s="1"/>
      <c r="Y511" s="1"/>
      <c r="Z511" s="1"/>
    </row>
    <row r="512" spans="1:26" ht="15.75" customHeight="1" x14ac:dyDescent="0.25">
      <c r="A512" s="1"/>
      <c r="B512" s="1"/>
      <c r="C512" s="15"/>
      <c r="D512" s="3"/>
      <c r="E512" s="1"/>
      <c r="F512" s="3"/>
      <c r="G512" s="1"/>
      <c r="H512" s="1"/>
      <c r="I512" s="3"/>
      <c r="J512" s="3"/>
      <c r="K512" s="1"/>
      <c r="L512" s="1"/>
      <c r="M512" s="1"/>
      <c r="N512" s="1"/>
      <c r="O512" s="1"/>
      <c r="P512" s="1"/>
      <c r="Q512" s="1"/>
      <c r="R512" s="1"/>
      <c r="S512" s="1"/>
      <c r="T512" s="1"/>
      <c r="U512" s="1"/>
      <c r="V512" s="1"/>
      <c r="W512" s="1"/>
      <c r="X512" s="1"/>
      <c r="Y512" s="1"/>
      <c r="Z512" s="1"/>
    </row>
    <row r="513" spans="1:26" ht="15.75" customHeight="1" x14ac:dyDescent="0.25">
      <c r="A513" s="1"/>
      <c r="B513" s="1"/>
      <c r="C513" s="15"/>
      <c r="D513" s="3"/>
      <c r="E513" s="1"/>
      <c r="F513" s="3"/>
      <c r="G513" s="1"/>
      <c r="H513" s="1"/>
      <c r="I513" s="3"/>
      <c r="J513" s="3"/>
      <c r="K513" s="1"/>
      <c r="L513" s="1"/>
      <c r="M513" s="1"/>
      <c r="N513" s="1"/>
      <c r="O513" s="1"/>
      <c r="P513" s="1"/>
      <c r="Q513" s="1"/>
      <c r="R513" s="1"/>
      <c r="S513" s="1"/>
      <c r="T513" s="1"/>
      <c r="U513" s="1"/>
      <c r="V513" s="1"/>
      <c r="W513" s="1"/>
      <c r="X513" s="1"/>
      <c r="Y513" s="1"/>
      <c r="Z513" s="1"/>
    </row>
    <row r="514" spans="1:26" ht="15.75" customHeight="1" x14ac:dyDescent="0.25">
      <c r="A514" s="1"/>
      <c r="B514" s="1"/>
      <c r="C514" s="15"/>
      <c r="D514" s="3"/>
      <c r="E514" s="1"/>
      <c r="F514" s="3"/>
      <c r="G514" s="1"/>
      <c r="H514" s="1"/>
      <c r="I514" s="3"/>
      <c r="J514" s="3"/>
      <c r="K514" s="1"/>
      <c r="L514" s="1"/>
      <c r="M514" s="1"/>
      <c r="N514" s="1"/>
      <c r="O514" s="1"/>
      <c r="P514" s="1"/>
      <c r="Q514" s="1"/>
      <c r="R514" s="1"/>
      <c r="S514" s="1"/>
      <c r="T514" s="1"/>
      <c r="U514" s="1"/>
      <c r="V514" s="1"/>
      <c r="W514" s="1"/>
      <c r="X514" s="1"/>
      <c r="Y514" s="1"/>
      <c r="Z514" s="1"/>
    </row>
    <row r="515" spans="1:26" ht="15.75" customHeight="1" x14ac:dyDescent="0.25">
      <c r="A515" s="1"/>
      <c r="B515" s="1"/>
      <c r="C515" s="15"/>
      <c r="D515" s="3"/>
      <c r="E515" s="1"/>
      <c r="F515" s="3"/>
      <c r="G515" s="1"/>
      <c r="H515" s="1"/>
      <c r="I515" s="3"/>
      <c r="J515" s="3"/>
      <c r="K515" s="1"/>
      <c r="L515" s="1"/>
      <c r="M515" s="1"/>
      <c r="N515" s="1"/>
      <c r="O515" s="1"/>
      <c r="P515" s="1"/>
      <c r="Q515" s="1"/>
      <c r="R515" s="1"/>
      <c r="S515" s="1"/>
      <c r="T515" s="1"/>
      <c r="U515" s="1"/>
      <c r="V515" s="1"/>
      <c r="W515" s="1"/>
      <c r="X515" s="1"/>
      <c r="Y515" s="1"/>
      <c r="Z515" s="1"/>
    </row>
    <row r="516" spans="1:26" ht="15.75" customHeight="1" x14ac:dyDescent="0.25">
      <c r="A516" s="1"/>
      <c r="B516" s="1"/>
      <c r="C516" s="15"/>
      <c r="D516" s="3"/>
      <c r="E516" s="1"/>
      <c r="F516" s="3"/>
      <c r="G516" s="1"/>
      <c r="H516" s="1"/>
      <c r="I516" s="3"/>
      <c r="J516" s="3"/>
      <c r="K516" s="1"/>
      <c r="L516" s="1"/>
      <c r="M516" s="1"/>
      <c r="N516" s="1"/>
      <c r="O516" s="1"/>
      <c r="P516" s="1"/>
      <c r="Q516" s="1"/>
      <c r="R516" s="1"/>
      <c r="S516" s="1"/>
      <c r="T516" s="1"/>
      <c r="U516" s="1"/>
      <c r="V516" s="1"/>
      <c r="W516" s="1"/>
      <c r="X516" s="1"/>
      <c r="Y516" s="1"/>
      <c r="Z516" s="1"/>
    </row>
    <row r="517" spans="1:26" ht="15.75" customHeight="1" x14ac:dyDescent="0.25">
      <c r="A517" s="1"/>
      <c r="B517" s="1"/>
      <c r="C517" s="15"/>
      <c r="D517" s="3"/>
      <c r="E517" s="1"/>
      <c r="F517" s="3"/>
      <c r="G517" s="1"/>
      <c r="H517" s="1"/>
      <c r="I517" s="3"/>
      <c r="J517" s="3"/>
      <c r="K517" s="1"/>
      <c r="L517" s="1"/>
      <c r="M517" s="1"/>
      <c r="N517" s="1"/>
      <c r="O517" s="1"/>
      <c r="P517" s="1"/>
      <c r="Q517" s="1"/>
      <c r="R517" s="1"/>
      <c r="S517" s="1"/>
      <c r="T517" s="1"/>
      <c r="U517" s="1"/>
      <c r="V517" s="1"/>
      <c r="W517" s="1"/>
      <c r="X517" s="1"/>
      <c r="Y517" s="1"/>
      <c r="Z517" s="1"/>
    </row>
    <row r="518" spans="1:26" ht="15.75" customHeight="1" x14ac:dyDescent="0.25">
      <c r="A518" s="1"/>
      <c r="B518" s="1"/>
      <c r="C518" s="15"/>
      <c r="D518" s="3"/>
      <c r="E518" s="1"/>
      <c r="F518" s="3"/>
      <c r="G518" s="1"/>
      <c r="H518" s="1"/>
      <c r="I518" s="3"/>
      <c r="J518" s="3"/>
      <c r="K518" s="1"/>
      <c r="L518" s="1"/>
      <c r="M518" s="1"/>
      <c r="N518" s="1"/>
      <c r="O518" s="1"/>
      <c r="P518" s="1"/>
      <c r="Q518" s="1"/>
      <c r="R518" s="1"/>
      <c r="S518" s="1"/>
      <c r="T518" s="1"/>
      <c r="U518" s="1"/>
      <c r="V518" s="1"/>
      <c r="W518" s="1"/>
      <c r="X518" s="1"/>
      <c r="Y518" s="1"/>
      <c r="Z518" s="1"/>
    </row>
    <row r="519" spans="1:26" ht="15.75" customHeight="1" x14ac:dyDescent="0.25">
      <c r="A519" s="1"/>
      <c r="B519" s="1"/>
      <c r="C519" s="15"/>
      <c r="D519" s="3"/>
      <c r="E519" s="1"/>
      <c r="F519" s="3"/>
      <c r="G519" s="1"/>
      <c r="H519" s="1"/>
      <c r="I519" s="3"/>
      <c r="J519" s="3"/>
      <c r="K519" s="1"/>
      <c r="L519" s="1"/>
      <c r="M519" s="1"/>
      <c r="N519" s="1"/>
      <c r="O519" s="1"/>
      <c r="P519" s="1"/>
      <c r="Q519" s="1"/>
      <c r="R519" s="1"/>
      <c r="S519" s="1"/>
      <c r="T519" s="1"/>
      <c r="U519" s="1"/>
      <c r="V519" s="1"/>
      <c r="W519" s="1"/>
      <c r="X519" s="1"/>
      <c r="Y519" s="1"/>
      <c r="Z519" s="1"/>
    </row>
    <row r="520" spans="1:26" ht="15.75" customHeight="1" x14ac:dyDescent="0.25">
      <c r="A520" s="1"/>
      <c r="B520" s="1"/>
      <c r="C520" s="15"/>
      <c r="D520" s="3"/>
      <c r="E520" s="1"/>
      <c r="F520" s="3"/>
      <c r="G520" s="1"/>
      <c r="H520" s="1"/>
      <c r="I520" s="3"/>
      <c r="J520" s="3"/>
      <c r="K520" s="1"/>
      <c r="L520" s="1"/>
      <c r="M520" s="1"/>
      <c r="N520" s="1"/>
      <c r="O520" s="1"/>
      <c r="P520" s="1"/>
      <c r="Q520" s="1"/>
      <c r="R520" s="1"/>
      <c r="S520" s="1"/>
      <c r="T520" s="1"/>
      <c r="U520" s="1"/>
      <c r="V520" s="1"/>
      <c r="W520" s="1"/>
      <c r="X520" s="1"/>
      <c r="Y520" s="1"/>
      <c r="Z520" s="1"/>
    </row>
    <row r="521" spans="1:26" ht="15.75" customHeight="1" x14ac:dyDescent="0.25">
      <c r="A521" s="1"/>
      <c r="B521" s="1"/>
      <c r="C521" s="15"/>
      <c r="D521" s="3"/>
      <c r="E521" s="1"/>
      <c r="F521" s="3"/>
      <c r="G521" s="1"/>
      <c r="H521" s="1"/>
      <c r="I521" s="3"/>
      <c r="J521" s="3"/>
      <c r="K521" s="1"/>
      <c r="L521" s="1"/>
      <c r="M521" s="1"/>
      <c r="N521" s="1"/>
      <c r="O521" s="1"/>
      <c r="P521" s="1"/>
      <c r="Q521" s="1"/>
      <c r="R521" s="1"/>
      <c r="S521" s="1"/>
      <c r="T521" s="1"/>
      <c r="U521" s="1"/>
      <c r="V521" s="1"/>
      <c r="W521" s="1"/>
      <c r="X521" s="1"/>
      <c r="Y521" s="1"/>
      <c r="Z521" s="1"/>
    </row>
    <row r="522" spans="1:26" ht="15.75" customHeight="1" x14ac:dyDescent="0.25">
      <c r="A522" s="1"/>
      <c r="B522" s="1"/>
      <c r="C522" s="15"/>
      <c r="D522" s="3"/>
      <c r="E522" s="1"/>
      <c r="F522" s="3"/>
      <c r="G522" s="1"/>
      <c r="H522" s="1"/>
      <c r="I522" s="3"/>
      <c r="J522" s="3"/>
      <c r="K522" s="1"/>
      <c r="L522" s="1"/>
      <c r="M522" s="1"/>
      <c r="N522" s="1"/>
      <c r="O522" s="1"/>
      <c r="P522" s="1"/>
      <c r="Q522" s="1"/>
      <c r="R522" s="1"/>
      <c r="S522" s="1"/>
      <c r="T522" s="1"/>
      <c r="U522" s="1"/>
      <c r="V522" s="1"/>
      <c r="W522" s="1"/>
      <c r="X522" s="1"/>
      <c r="Y522" s="1"/>
      <c r="Z522" s="1"/>
    </row>
    <row r="523" spans="1:26" ht="15.75" customHeight="1" x14ac:dyDescent="0.25">
      <c r="A523" s="1"/>
      <c r="B523" s="1"/>
      <c r="C523" s="15"/>
      <c r="D523" s="3"/>
      <c r="E523" s="1"/>
      <c r="F523" s="3"/>
      <c r="G523" s="1"/>
      <c r="H523" s="1"/>
      <c r="I523" s="3"/>
      <c r="J523" s="3"/>
      <c r="K523" s="1"/>
      <c r="L523" s="1"/>
      <c r="M523" s="1"/>
      <c r="N523" s="1"/>
      <c r="O523" s="1"/>
      <c r="P523" s="1"/>
      <c r="Q523" s="1"/>
      <c r="R523" s="1"/>
      <c r="S523" s="1"/>
      <c r="T523" s="1"/>
      <c r="U523" s="1"/>
      <c r="V523" s="1"/>
      <c r="W523" s="1"/>
      <c r="X523" s="1"/>
      <c r="Y523" s="1"/>
      <c r="Z523" s="1"/>
    </row>
    <row r="524" spans="1:26" ht="15.75" customHeight="1" x14ac:dyDescent="0.25">
      <c r="A524" s="1"/>
      <c r="B524" s="1"/>
      <c r="C524" s="15"/>
      <c r="D524" s="3"/>
      <c r="E524" s="1"/>
      <c r="F524" s="3"/>
      <c r="G524" s="1"/>
      <c r="H524" s="1"/>
      <c r="I524" s="3"/>
      <c r="J524" s="3"/>
      <c r="K524" s="1"/>
      <c r="L524" s="1"/>
      <c r="M524" s="1"/>
      <c r="N524" s="1"/>
      <c r="O524" s="1"/>
      <c r="P524" s="1"/>
      <c r="Q524" s="1"/>
      <c r="R524" s="1"/>
      <c r="S524" s="1"/>
      <c r="T524" s="1"/>
      <c r="U524" s="1"/>
      <c r="V524" s="1"/>
      <c r="W524" s="1"/>
      <c r="X524" s="1"/>
      <c r="Y524" s="1"/>
      <c r="Z524" s="1"/>
    </row>
    <row r="525" spans="1:26" ht="15.75" customHeight="1" x14ac:dyDescent="0.25">
      <c r="A525" s="1"/>
      <c r="B525" s="1"/>
      <c r="C525" s="15"/>
      <c r="D525" s="3"/>
      <c r="E525" s="1"/>
      <c r="F525" s="3"/>
      <c r="G525" s="1"/>
      <c r="H525" s="1"/>
      <c r="I525" s="3"/>
      <c r="J525" s="3"/>
      <c r="K525" s="1"/>
      <c r="L525" s="1"/>
      <c r="M525" s="1"/>
      <c r="N525" s="1"/>
      <c r="O525" s="1"/>
      <c r="P525" s="1"/>
      <c r="Q525" s="1"/>
      <c r="R525" s="1"/>
      <c r="S525" s="1"/>
      <c r="T525" s="1"/>
      <c r="U525" s="1"/>
      <c r="V525" s="1"/>
      <c r="W525" s="1"/>
      <c r="X525" s="1"/>
      <c r="Y525" s="1"/>
      <c r="Z525" s="1"/>
    </row>
    <row r="526" spans="1:26" ht="15.75" customHeight="1" x14ac:dyDescent="0.25">
      <c r="A526" s="1"/>
      <c r="B526" s="1"/>
      <c r="C526" s="15"/>
      <c r="D526" s="3"/>
      <c r="E526" s="1"/>
      <c r="F526" s="3"/>
      <c r="G526" s="1"/>
      <c r="H526" s="1"/>
      <c r="I526" s="3"/>
      <c r="J526" s="3"/>
      <c r="K526" s="1"/>
      <c r="L526" s="1"/>
      <c r="M526" s="1"/>
      <c r="N526" s="1"/>
      <c r="O526" s="1"/>
      <c r="P526" s="1"/>
      <c r="Q526" s="1"/>
      <c r="R526" s="1"/>
      <c r="S526" s="1"/>
      <c r="T526" s="1"/>
      <c r="U526" s="1"/>
      <c r="V526" s="1"/>
      <c r="W526" s="1"/>
      <c r="X526" s="1"/>
      <c r="Y526" s="1"/>
      <c r="Z526" s="1"/>
    </row>
    <row r="527" spans="1:26" ht="15.75" customHeight="1" x14ac:dyDescent="0.25">
      <c r="A527" s="1"/>
      <c r="B527" s="1"/>
      <c r="C527" s="15"/>
      <c r="D527" s="3"/>
      <c r="E527" s="1"/>
      <c r="F527" s="3"/>
      <c r="G527" s="1"/>
      <c r="H527" s="1"/>
      <c r="I527" s="3"/>
      <c r="J527" s="3"/>
      <c r="K527" s="1"/>
      <c r="L527" s="1"/>
      <c r="M527" s="1"/>
      <c r="N527" s="1"/>
      <c r="O527" s="1"/>
      <c r="P527" s="1"/>
      <c r="Q527" s="1"/>
      <c r="R527" s="1"/>
      <c r="S527" s="1"/>
      <c r="T527" s="1"/>
      <c r="U527" s="1"/>
      <c r="V527" s="1"/>
      <c r="W527" s="1"/>
      <c r="X527" s="1"/>
      <c r="Y527" s="1"/>
      <c r="Z527" s="1"/>
    </row>
    <row r="528" spans="1:26" ht="15.75" customHeight="1" x14ac:dyDescent="0.25">
      <c r="A528" s="1"/>
      <c r="B528" s="1"/>
      <c r="C528" s="15"/>
      <c r="D528" s="3"/>
      <c r="E528" s="1"/>
      <c r="F528" s="3"/>
      <c r="G528" s="1"/>
      <c r="H528" s="1"/>
      <c r="I528" s="3"/>
      <c r="J528" s="3"/>
      <c r="K528" s="1"/>
      <c r="L528" s="1"/>
      <c r="M528" s="1"/>
      <c r="N528" s="1"/>
      <c r="O528" s="1"/>
      <c r="P528" s="1"/>
      <c r="Q528" s="1"/>
      <c r="R528" s="1"/>
      <c r="S528" s="1"/>
      <c r="T528" s="1"/>
      <c r="U528" s="1"/>
      <c r="V528" s="1"/>
      <c r="W528" s="1"/>
      <c r="X528" s="1"/>
      <c r="Y528" s="1"/>
      <c r="Z528" s="1"/>
    </row>
    <row r="529" spans="1:26" ht="15.75" customHeight="1" x14ac:dyDescent="0.25">
      <c r="A529" s="1"/>
      <c r="B529" s="1"/>
      <c r="C529" s="15"/>
      <c r="D529" s="3"/>
      <c r="E529" s="1"/>
      <c r="F529" s="3"/>
      <c r="G529" s="1"/>
      <c r="H529" s="1"/>
      <c r="I529" s="3"/>
      <c r="J529" s="3"/>
      <c r="K529" s="1"/>
      <c r="L529" s="1"/>
      <c r="M529" s="1"/>
      <c r="N529" s="1"/>
      <c r="O529" s="1"/>
      <c r="P529" s="1"/>
      <c r="Q529" s="1"/>
      <c r="R529" s="1"/>
      <c r="S529" s="1"/>
      <c r="T529" s="1"/>
      <c r="U529" s="1"/>
      <c r="V529" s="1"/>
      <c r="W529" s="1"/>
      <c r="X529" s="1"/>
      <c r="Y529" s="1"/>
      <c r="Z529" s="1"/>
    </row>
    <row r="530" spans="1:26" ht="15.75" customHeight="1" x14ac:dyDescent="0.25">
      <c r="A530" s="1"/>
      <c r="B530" s="1"/>
      <c r="C530" s="15"/>
      <c r="D530" s="3"/>
      <c r="E530" s="1"/>
      <c r="F530" s="3"/>
      <c r="G530" s="1"/>
      <c r="H530" s="1"/>
      <c r="I530" s="3"/>
      <c r="J530" s="3"/>
      <c r="K530" s="1"/>
      <c r="L530" s="1"/>
      <c r="M530" s="1"/>
      <c r="N530" s="1"/>
      <c r="O530" s="1"/>
      <c r="P530" s="1"/>
      <c r="Q530" s="1"/>
      <c r="R530" s="1"/>
      <c r="S530" s="1"/>
      <c r="T530" s="1"/>
      <c r="U530" s="1"/>
      <c r="V530" s="1"/>
      <c r="W530" s="1"/>
      <c r="X530" s="1"/>
      <c r="Y530" s="1"/>
      <c r="Z530" s="1"/>
    </row>
    <row r="531" spans="1:26" ht="15.75" customHeight="1" x14ac:dyDescent="0.25">
      <c r="A531" s="1"/>
      <c r="B531" s="1"/>
      <c r="C531" s="15"/>
      <c r="D531" s="3"/>
      <c r="E531" s="1"/>
      <c r="F531" s="3"/>
      <c r="G531" s="1"/>
      <c r="H531" s="1"/>
      <c r="I531" s="3"/>
      <c r="J531" s="3"/>
      <c r="K531" s="1"/>
      <c r="L531" s="1"/>
      <c r="M531" s="1"/>
      <c r="N531" s="1"/>
      <c r="O531" s="1"/>
      <c r="P531" s="1"/>
      <c r="Q531" s="1"/>
      <c r="R531" s="1"/>
      <c r="S531" s="1"/>
      <c r="T531" s="1"/>
      <c r="U531" s="1"/>
      <c r="V531" s="1"/>
      <c r="W531" s="1"/>
      <c r="X531" s="1"/>
      <c r="Y531" s="1"/>
      <c r="Z531" s="1"/>
    </row>
    <row r="532" spans="1:26" ht="15.75" customHeight="1" x14ac:dyDescent="0.25">
      <c r="A532" s="1"/>
      <c r="B532" s="1"/>
      <c r="C532" s="15"/>
      <c r="D532" s="3"/>
      <c r="E532" s="1"/>
      <c r="F532" s="3"/>
      <c r="G532" s="1"/>
      <c r="H532" s="1"/>
      <c r="I532" s="3"/>
      <c r="J532" s="3"/>
      <c r="K532" s="1"/>
      <c r="L532" s="1"/>
      <c r="M532" s="1"/>
      <c r="N532" s="1"/>
      <c r="O532" s="1"/>
      <c r="P532" s="1"/>
      <c r="Q532" s="1"/>
      <c r="R532" s="1"/>
      <c r="S532" s="1"/>
      <c r="T532" s="1"/>
      <c r="U532" s="1"/>
      <c r="V532" s="1"/>
      <c r="W532" s="1"/>
      <c r="X532" s="1"/>
      <c r="Y532" s="1"/>
      <c r="Z532" s="1"/>
    </row>
    <row r="533" spans="1:26" ht="15.75" customHeight="1" x14ac:dyDescent="0.25">
      <c r="A533" s="1"/>
      <c r="B533" s="1"/>
      <c r="C533" s="15"/>
      <c r="D533" s="3"/>
      <c r="E533" s="1"/>
      <c r="F533" s="3"/>
      <c r="G533" s="1"/>
      <c r="H533" s="1"/>
      <c r="I533" s="3"/>
      <c r="J533" s="3"/>
      <c r="K533" s="1"/>
      <c r="L533" s="1"/>
      <c r="M533" s="1"/>
      <c r="N533" s="1"/>
      <c r="O533" s="1"/>
      <c r="P533" s="1"/>
      <c r="Q533" s="1"/>
      <c r="R533" s="1"/>
      <c r="S533" s="1"/>
      <c r="T533" s="1"/>
      <c r="U533" s="1"/>
      <c r="V533" s="1"/>
      <c r="W533" s="1"/>
      <c r="X533" s="1"/>
      <c r="Y533" s="1"/>
      <c r="Z533" s="1"/>
    </row>
    <row r="534" spans="1:26" ht="15.75" customHeight="1" x14ac:dyDescent="0.25">
      <c r="A534" s="1"/>
      <c r="B534" s="1"/>
      <c r="C534" s="15"/>
      <c r="D534" s="3"/>
      <c r="E534" s="1"/>
      <c r="F534" s="3"/>
      <c r="G534" s="1"/>
      <c r="H534" s="1"/>
      <c r="I534" s="3"/>
      <c r="J534" s="3"/>
      <c r="K534" s="1"/>
      <c r="L534" s="1"/>
      <c r="M534" s="1"/>
      <c r="N534" s="1"/>
      <c r="O534" s="1"/>
      <c r="P534" s="1"/>
      <c r="Q534" s="1"/>
      <c r="R534" s="1"/>
      <c r="S534" s="1"/>
      <c r="T534" s="1"/>
      <c r="U534" s="1"/>
      <c r="V534" s="1"/>
      <c r="W534" s="1"/>
      <c r="X534" s="1"/>
      <c r="Y534" s="1"/>
      <c r="Z534" s="1"/>
    </row>
    <row r="535" spans="1:26" ht="15.75" customHeight="1" x14ac:dyDescent="0.25">
      <c r="A535" s="1"/>
      <c r="B535" s="1"/>
      <c r="C535" s="15"/>
      <c r="D535" s="3"/>
      <c r="E535" s="1"/>
      <c r="F535" s="3"/>
      <c r="G535" s="1"/>
      <c r="H535" s="1"/>
      <c r="I535" s="3"/>
      <c r="J535" s="3"/>
      <c r="K535" s="1"/>
      <c r="L535" s="1"/>
      <c r="M535" s="1"/>
      <c r="N535" s="1"/>
      <c r="O535" s="1"/>
      <c r="P535" s="1"/>
      <c r="Q535" s="1"/>
      <c r="R535" s="1"/>
      <c r="S535" s="1"/>
      <c r="T535" s="1"/>
      <c r="U535" s="1"/>
      <c r="V535" s="1"/>
      <c r="W535" s="1"/>
      <c r="X535" s="1"/>
      <c r="Y535" s="1"/>
      <c r="Z535" s="1"/>
    </row>
    <row r="536" spans="1:26" ht="15.75" customHeight="1" x14ac:dyDescent="0.25">
      <c r="A536" s="1"/>
      <c r="B536" s="1"/>
      <c r="C536" s="15"/>
      <c r="D536" s="3"/>
      <c r="E536" s="1"/>
      <c r="F536" s="3"/>
      <c r="G536" s="1"/>
      <c r="H536" s="1"/>
      <c r="I536" s="3"/>
      <c r="J536" s="3"/>
      <c r="K536" s="1"/>
      <c r="L536" s="1"/>
      <c r="M536" s="1"/>
      <c r="N536" s="1"/>
      <c r="O536" s="1"/>
      <c r="P536" s="1"/>
      <c r="Q536" s="1"/>
      <c r="R536" s="1"/>
      <c r="S536" s="1"/>
      <c r="T536" s="1"/>
      <c r="U536" s="1"/>
      <c r="V536" s="1"/>
      <c r="W536" s="1"/>
      <c r="X536" s="1"/>
      <c r="Y536" s="1"/>
      <c r="Z536" s="1"/>
    </row>
    <row r="537" spans="1:26" ht="15.75" customHeight="1" x14ac:dyDescent="0.25">
      <c r="A537" s="1"/>
      <c r="B537" s="1"/>
      <c r="C537" s="15"/>
      <c r="D537" s="3"/>
      <c r="E537" s="1"/>
      <c r="F537" s="3"/>
      <c r="G537" s="1"/>
      <c r="H537" s="1"/>
      <c r="I537" s="3"/>
      <c r="J537" s="3"/>
      <c r="K537" s="1"/>
      <c r="L537" s="1"/>
      <c r="M537" s="1"/>
      <c r="N537" s="1"/>
      <c r="O537" s="1"/>
      <c r="P537" s="1"/>
      <c r="Q537" s="1"/>
      <c r="R537" s="1"/>
      <c r="S537" s="1"/>
      <c r="T537" s="1"/>
      <c r="U537" s="1"/>
      <c r="V537" s="1"/>
      <c r="W537" s="1"/>
      <c r="X537" s="1"/>
      <c r="Y537" s="1"/>
      <c r="Z537" s="1"/>
    </row>
    <row r="538" spans="1:26" ht="15.75" customHeight="1" x14ac:dyDescent="0.25">
      <c r="A538" s="1"/>
      <c r="B538" s="1"/>
      <c r="C538" s="15"/>
      <c r="D538" s="3"/>
      <c r="E538" s="1"/>
      <c r="F538" s="3"/>
      <c r="G538" s="1"/>
      <c r="H538" s="1"/>
      <c r="I538" s="3"/>
      <c r="J538" s="3"/>
      <c r="K538" s="1"/>
      <c r="L538" s="1"/>
      <c r="M538" s="1"/>
      <c r="N538" s="1"/>
      <c r="O538" s="1"/>
      <c r="P538" s="1"/>
      <c r="Q538" s="1"/>
      <c r="R538" s="1"/>
      <c r="S538" s="1"/>
      <c r="T538" s="1"/>
      <c r="U538" s="1"/>
      <c r="V538" s="1"/>
      <c r="W538" s="1"/>
      <c r="X538" s="1"/>
      <c r="Y538" s="1"/>
      <c r="Z538" s="1"/>
    </row>
    <row r="539" spans="1:26" ht="15.75" customHeight="1" x14ac:dyDescent="0.25">
      <c r="A539" s="1"/>
      <c r="B539" s="1"/>
      <c r="C539" s="15"/>
      <c r="D539" s="3"/>
      <c r="E539" s="1"/>
      <c r="F539" s="3"/>
      <c r="G539" s="1"/>
      <c r="H539" s="1"/>
      <c r="I539" s="3"/>
      <c r="J539" s="3"/>
      <c r="K539" s="1"/>
      <c r="L539" s="1"/>
      <c r="M539" s="1"/>
      <c r="N539" s="1"/>
      <c r="O539" s="1"/>
      <c r="P539" s="1"/>
      <c r="Q539" s="1"/>
      <c r="R539" s="1"/>
      <c r="S539" s="1"/>
      <c r="T539" s="1"/>
      <c r="U539" s="1"/>
      <c r="V539" s="1"/>
      <c r="W539" s="1"/>
      <c r="X539" s="1"/>
      <c r="Y539" s="1"/>
      <c r="Z539" s="1"/>
    </row>
    <row r="540" spans="1:26" ht="15.75" customHeight="1" x14ac:dyDescent="0.25">
      <c r="A540" s="1"/>
      <c r="B540" s="1"/>
      <c r="C540" s="15"/>
      <c r="D540" s="3"/>
      <c r="E540" s="1"/>
      <c r="F540" s="3"/>
      <c r="G540" s="1"/>
      <c r="H540" s="1"/>
      <c r="I540" s="3"/>
      <c r="J540" s="3"/>
      <c r="K540" s="1"/>
      <c r="L540" s="1"/>
      <c r="M540" s="1"/>
      <c r="N540" s="1"/>
      <c r="O540" s="1"/>
      <c r="P540" s="1"/>
      <c r="Q540" s="1"/>
      <c r="R540" s="1"/>
      <c r="S540" s="1"/>
      <c r="T540" s="1"/>
      <c r="U540" s="1"/>
      <c r="V540" s="1"/>
      <c r="W540" s="1"/>
      <c r="X540" s="1"/>
      <c r="Y540" s="1"/>
      <c r="Z540" s="1"/>
    </row>
    <row r="541" spans="1:26" ht="15.75" customHeight="1" x14ac:dyDescent="0.25">
      <c r="A541" s="1"/>
      <c r="B541" s="1"/>
      <c r="C541" s="15"/>
      <c r="D541" s="3"/>
      <c r="E541" s="1"/>
      <c r="F541" s="3"/>
      <c r="G541" s="1"/>
      <c r="H541" s="1"/>
      <c r="I541" s="3"/>
      <c r="J541" s="3"/>
      <c r="K541" s="1"/>
      <c r="L541" s="1"/>
      <c r="M541" s="1"/>
      <c r="N541" s="1"/>
      <c r="O541" s="1"/>
      <c r="P541" s="1"/>
      <c r="Q541" s="1"/>
      <c r="R541" s="1"/>
      <c r="S541" s="1"/>
      <c r="T541" s="1"/>
      <c r="U541" s="1"/>
      <c r="V541" s="1"/>
      <c r="W541" s="1"/>
      <c r="X541" s="1"/>
      <c r="Y541" s="1"/>
      <c r="Z541" s="1"/>
    </row>
    <row r="542" spans="1:26" ht="15.75" customHeight="1" x14ac:dyDescent="0.25">
      <c r="A542" s="1"/>
      <c r="B542" s="1"/>
      <c r="C542" s="15"/>
      <c r="D542" s="3"/>
      <c r="E542" s="1"/>
      <c r="F542" s="3"/>
      <c r="G542" s="1"/>
      <c r="H542" s="1"/>
      <c r="I542" s="3"/>
      <c r="J542" s="3"/>
      <c r="K542" s="1"/>
      <c r="L542" s="1"/>
      <c r="M542" s="1"/>
      <c r="N542" s="1"/>
      <c r="O542" s="1"/>
      <c r="P542" s="1"/>
      <c r="Q542" s="1"/>
      <c r="R542" s="1"/>
      <c r="S542" s="1"/>
      <c r="T542" s="1"/>
      <c r="U542" s="1"/>
      <c r="V542" s="1"/>
      <c r="W542" s="1"/>
      <c r="X542" s="1"/>
      <c r="Y542" s="1"/>
      <c r="Z542" s="1"/>
    </row>
    <row r="543" spans="1:26" ht="15.75" customHeight="1" x14ac:dyDescent="0.25">
      <c r="A543" s="1"/>
      <c r="B543" s="1"/>
      <c r="C543" s="15"/>
      <c r="D543" s="3"/>
      <c r="E543" s="1"/>
      <c r="F543" s="3"/>
      <c r="G543" s="1"/>
      <c r="H543" s="1"/>
      <c r="I543" s="3"/>
      <c r="J543" s="3"/>
      <c r="K543" s="1"/>
      <c r="L543" s="1"/>
      <c r="M543" s="1"/>
      <c r="N543" s="1"/>
      <c r="O543" s="1"/>
      <c r="P543" s="1"/>
      <c r="Q543" s="1"/>
      <c r="R543" s="1"/>
      <c r="S543" s="1"/>
      <c r="T543" s="1"/>
      <c r="U543" s="1"/>
      <c r="V543" s="1"/>
      <c r="W543" s="1"/>
      <c r="X543" s="1"/>
      <c r="Y543" s="1"/>
      <c r="Z543" s="1"/>
    </row>
    <row r="544" spans="1:26" ht="15.75" customHeight="1" x14ac:dyDescent="0.25">
      <c r="A544" s="1"/>
      <c r="B544" s="1"/>
      <c r="C544" s="15"/>
      <c r="D544" s="3"/>
      <c r="E544" s="1"/>
      <c r="F544" s="3"/>
      <c r="G544" s="1"/>
      <c r="H544" s="1"/>
      <c r="I544" s="3"/>
      <c r="J544" s="3"/>
      <c r="K544" s="1"/>
      <c r="L544" s="1"/>
      <c r="M544" s="1"/>
      <c r="N544" s="1"/>
      <c r="O544" s="1"/>
      <c r="P544" s="1"/>
      <c r="Q544" s="1"/>
      <c r="R544" s="1"/>
      <c r="S544" s="1"/>
      <c r="T544" s="1"/>
      <c r="U544" s="1"/>
      <c r="V544" s="1"/>
      <c r="W544" s="1"/>
      <c r="X544" s="1"/>
      <c r="Y544" s="1"/>
      <c r="Z544" s="1"/>
    </row>
    <row r="545" spans="1:26" ht="15.75" customHeight="1" x14ac:dyDescent="0.25">
      <c r="A545" s="1"/>
      <c r="B545" s="1"/>
      <c r="C545" s="15"/>
      <c r="D545" s="3"/>
      <c r="E545" s="1"/>
      <c r="F545" s="3"/>
      <c r="G545" s="1"/>
      <c r="H545" s="1"/>
      <c r="I545" s="3"/>
      <c r="J545" s="3"/>
      <c r="K545" s="1"/>
      <c r="L545" s="1"/>
      <c r="M545" s="1"/>
      <c r="N545" s="1"/>
      <c r="O545" s="1"/>
      <c r="P545" s="1"/>
      <c r="Q545" s="1"/>
      <c r="R545" s="1"/>
      <c r="S545" s="1"/>
      <c r="T545" s="1"/>
      <c r="U545" s="1"/>
      <c r="V545" s="1"/>
      <c r="W545" s="1"/>
      <c r="X545" s="1"/>
      <c r="Y545" s="1"/>
      <c r="Z545" s="1"/>
    </row>
    <row r="546" spans="1:26" ht="15.75" customHeight="1" x14ac:dyDescent="0.25">
      <c r="A546" s="1"/>
      <c r="B546" s="1"/>
      <c r="C546" s="15"/>
      <c r="D546" s="3"/>
      <c r="E546" s="1"/>
      <c r="F546" s="3"/>
      <c r="G546" s="1"/>
      <c r="H546" s="1"/>
      <c r="I546" s="3"/>
      <c r="J546" s="3"/>
      <c r="K546" s="1"/>
      <c r="L546" s="1"/>
      <c r="M546" s="1"/>
      <c r="N546" s="1"/>
      <c r="O546" s="1"/>
      <c r="P546" s="1"/>
      <c r="Q546" s="1"/>
      <c r="R546" s="1"/>
      <c r="S546" s="1"/>
      <c r="T546" s="1"/>
      <c r="U546" s="1"/>
      <c r="V546" s="1"/>
      <c r="W546" s="1"/>
      <c r="X546" s="1"/>
      <c r="Y546" s="1"/>
      <c r="Z546" s="1"/>
    </row>
    <row r="547" spans="1:26" ht="15.75" customHeight="1" x14ac:dyDescent="0.25">
      <c r="A547" s="1"/>
      <c r="B547" s="1"/>
      <c r="C547" s="15"/>
      <c r="D547" s="3"/>
      <c r="E547" s="1"/>
      <c r="F547" s="3"/>
      <c r="G547" s="1"/>
      <c r="H547" s="1"/>
      <c r="I547" s="3"/>
      <c r="J547" s="3"/>
      <c r="K547" s="1"/>
      <c r="L547" s="1"/>
      <c r="M547" s="1"/>
      <c r="N547" s="1"/>
      <c r="O547" s="1"/>
      <c r="P547" s="1"/>
      <c r="Q547" s="1"/>
      <c r="R547" s="1"/>
      <c r="S547" s="1"/>
      <c r="T547" s="1"/>
      <c r="U547" s="1"/>
      <c r="V547" s="1"/>
      <c r="W547" s="1"/>
      <c r="X547" s="1"/>
      <c r="Y547" s="1"/>
      <c r="Z547" s="1"/>
    </row>
    <row r="548" spans="1:26" ht="15.75" customHeight="1" x14ac:dyDescent="0.25">
      <c r="A548" s="1"/>
      <c r="B548" s="1"/>
      <c r="C548" s="15"/>
      <c r="D548" s="3"/>
      <c r="E548" s="1"/>
      <c r="F548" s="3"/>
      <c r="G548" s="1"/>
      <c r="H548" s="1"/>
      <c r="I548" s="3"/>
      <c r="J548" s="3"/>
      <c r="K548" s="1"/>
      <c r="L548" s="1"/>
      <c r="M548" s="1"/>
      <c r="N548" s="1"/>
      <c r="O548" s="1"/>
      <c r="P548" s="1"/>
      <c r="Q548" s="1"/>
      <c r="R548" s="1"/>
      <c r="S548" s="1"/>
      <c r="T548" s="1"/>
      <c r="U548" s="1"/>
      <c r="V548" s="1"/>
      <c r="W548" s="1"/>
      <c r="X548" s="1"/>
      <c r="Y548" s="1"/>
      <c r="Z548" s="1"/>
    </row>
    <row r="549" spans="1:26" ht="15.75" customHeight="1" x14ac:dyDescent="0.25">
      <c r="A549" s="1"/>
      <c r="B549" s="1"/>
      <c r="C549" s="15"/>
      <c r="D549" s="3"/>
      <c r="E549" s="1"/>
      <c r="F549" s="3"/>
      <c r="G549" s="1"/>
      <c r="H549" s="1"/>
      <c r="I549" s="3"/>
      <c r="J549" s="3"/>
      <c r="K549" s="1"/>
      <c r="L549" s="1"/>
      <c r="M549" s="1"/>
      <c r="N549" s="1"/>
      <c r="O549" s="1"/>
      <c r="P549" s="1"/>
      <c r="Q549" s="1"/>
      <c r="R549" s="1"/>
      <c r="S549" s="1"/>
      <c r="T549" s="1"/>
      <c r="U549" s="1"/>
      <c r="V549" s="1"/>
      <c r="W549" s="1"/>
      <c r="X549" s="1"/>
      <c r="Y549" s="1"/>
      <c r="Z549" s="1"/>
    </row>
    <row r="550" spans="1:26" ht="15.75" customHeight="1" x14ac:dyDescent="0.25">
      <c r="A550" s="1"/>
      <c r="B550" s="1"/>
      <c r="C550" s="15"/>
      <c r="D550" s="3"/>
      <c r="E550" s="1"/>
      <c r="F550" s="3"/>
      <c r="G550" s="1"/>
      <c r="H550" s="1"/>
      <c r="I550" s="3"/>
      <c r="J550" s="3"/>
      <c r="K550" s="1"/>
      <c r="L550" s="1"/>
      <c r="M550" s="1"/>
      <c r="N550" s="1"/>
      <c r="O550" s="1"/>
      <c r="P550" s="1"/>
      <c r="Q550" s="1"/>
      <c r="R550" s="1"/>
      <c r="S550" s="1"/>
      <c r="T550" s="1"/>
      <c r="U550" s="1"/>
      <c r="V550" s="1"/>
      <c r="W550" s="1"/>
      <c r="X550" s="1"/>
      <c r="Y550" s="1"/>
      <c r="Z550" s="1"/>
    </row>
    <row r="551" spans="1:26" ht="15.75" customHeight="1" x14ac:dyDescent="0.25">
      <c r="A551" s="1"/>
      <c r="B551" s="1"/>
      <c r="C551" s="15"/>
      <c r="D551" s="3"/>
      <c r="E551" s="1"/>
      <c r="F551" s="3"/>
      <c r="G551" s="1"/>
      <c r="H551" s="1"/>
      <c r="I551" s="3"/>
      <c r="J551" s="3"/>
      <c r="K551" s="1"/>
      <c r="L551" s="1"/>
      <c r="M551" s="1"/>
      <c r="N551" s="1"/>
      <c r="O551" s="1"/>
      <c r="P551" s="1"/>
      <c r="Q551" s="1"/>
      <c r="R551" s="1"/>
      <c r="S551" s="1"/>
      <c r="T551" s="1"/>
      <c r="U551" s="1"/>
      <c r="V551" s="1"/>
      <c r="W551" s="1"/>
      <c r="X551" s="1"/>
      <c r="Y551" s="1"/>
      <c r="Z551" s="1"/>
    </row>
    <row r="552" spans="1:26" ht="15.75" customHeight="1" x14ac:dyDescent="0.25">
      <c r="A552" s="1"/>
      <c r="B552" s="1"/>
      <c r="C552" s="15"/>
      <c r="D552" s="3"/>
      <c r="E552" s="1"/>
      <c r="F552" s="3"/>
      <c r="G552" s="1"/>
      <c r="H552" s="1"/>
      <c r="I552" s="3"/>
      <c r="J552" s="3"/>
      <c r="K552" s="1"/>
      <c r="L552" s="1"/>
      <c r="M552" s="1"/>
      <c r="N552" s="1"/>
      <c r="O552" s="1"/>
      <c r="P552" s="1"/>
      <c r="Q552" s="1"/>
      <c r="R552" s="1"/>
      <c r="S552" s="1"/>
      <c r="T552" s="1"/>
      <c r="U552" s="1"/>
      <c r="V552" s="1"/>
      <c r="W552" s="1"/>
      <c r="X552" s="1"/>
      <c r="Y552" s="1"/>
      <c r="Z552" s="1"/>
    </row>
    <row r="553" spans="1:26" ht="15.75" customHeight="1" x14ac:dyDescent="0.25">
      <c r="A553" s="1"/>
      <c r="B553" s="1"/>
      <c r="C553" s="15"/>
      <c r="D553" s="3"/>
      <c r="E553" s="1"/>
      <c r="F553" s="3"/>
      <c r="G553" s="1"/>
      <c r="H553" s="1"/>
      <c r="I553" s="3"/>
      <c r="J553" s="3"/>
      <c r="K553" s="1"/>
      <c r="L553" s="1"/>
      <c r="M553" s="1"/>
      <c r="N553" s="1"/>
      <c r="O553" s="1"/>
      <c r="P553" s="1"/>
      <c r="Q553" s="1"/>
      <c r="R553" s="1"/>
      <c r="S553" s="1"/>
      <c r="T553" s="1"/>
      <c r="U553" s="1"/>
      <c r="V553" s="1"/>
      <c r="W553" s="1"/>
      <c r="X553" s="1"/>
      <c r="Y553" s="1"/>
      <c r="Z553" s="1"/>
    </row>
    <row r="554" spans="1:26" ht="15.75" customHeight="1" x14ac:dyDescent="0.25">
      <c r="A554" s="1"/>
      <c r="B554" s="1"/>
      <c r="C554" s="15"/>
      <c r="D554" s="3"/>
      <c r="E554" s="1"/>
      <c r="F554" s="3"/>
      <c r="G554" s="1"/>
      <c r="H554" s="1"/>
      <c r="I554" s="3"/>
      <c r="J554" s="3"/>
      <c r="K554" s="1"/>
      <c r="L554" s="1"/>
      <c r="M554" s="1"/>
      <c r="N554" s="1"/>
      <c r="O554" s="1"/>
      <c r="P554" s="1"/>
      <c r="Q554" s="1"/>
      <c r="R554" s="1"/>
      <c r="S554" s="1"/>
      <c r="T554" s="1"/>
      <c r="U554" s="1"/>
      <c r="V554" s="1"/>
      <c r="W554" s="1"/>
      <c r="X554" s="1"/>
      <c r="Y554" s="1"/>
      <c r="Z554" s="1"/>
    </row>
    <row r="555" spans="1:26" ht="15.75" customHeight="1" x14ac:dyDescent="0.25">
      <c r="A555" s="1"/>
      <c r="B555" s="1"/>
      <c r="C555" s="15"/>
      <c r="D555" s="3"/>
      <c r="E555" s="1"/>
      <c r="F555" s="3"/>
      <c r="G555" s="1"/>
      <c r="H555" s="1"/>
      <c r="I555" s="3"/>
      <c r="J555" s="3"/>
      <c r="K555" s="1"/>
      <c r="L555" s="1"/>
      <c r="M555" s="1"/>
      <c r="N555" s="1"/>
      <c r="O555" s="1"/>
      <c r="P555" s="1"/>
      <c r="Q555" s="1"/>
      <c r="R555" s="1"/>
      <c r="S555" s="1"/>
      <c r="T555" s="1"/>
      <c r="U555" s="1"/>
      <c r="V555" s="1"/>
      <c r="W555" s="1"/>
      <c r="X555" s="1"/>
      <c r="Y555" s="1"/>
      <c r="Z555" s="1"/>
    </row>
    <row r="556" spans="1:26" ht="15.75" customHeight="1" x14ac:dyDescent="0.25">
      <c r="A556" s="1"/>
      <c r="B556" s="1"/>
      <c r="C556" s="15"/>
      <c r="D556" s="3"/>
      <c r="E556" s="1"/>
      <c r="F556" s="3"/>
      <c r="G556" s="1"/>
      <c r="H556" s="1"/>
      <c r="I556" s="3"/>
      <c r="J556" s="3"/>
      <c r="K556" s="1"/>
      <c r="L556" s="1"/>
      <c r="M556" s="1"/>
      <c r="N556" s="1"/>
      <c r="O556" s="1"/>
      <c r="P556" s="1"/>
      <c r="Q556" s="1"/>
      <c r="R556" s="1"/>
      <c r="S556" s="1"/>
      <c r="T556" s="1"/>
      <c r="U556" s="1"/>
      <c r="V556" s="1"/>
      <c r="W556" s="1"/>
      <c r="X556" s="1"/>
      <c r="Y556" s="1"/>
      <c r="Z556" s="1"/>
    </row>
    <row r="557" spans="1:26" ht="15.75" customHeight="1" x14ac:dyDescent="0.25">
      <c r="A557" s="1"/>
      <c r="B557" s="1"/>
      <c r="C557" s="15"/>
      <c r="D557" s="3"/>
      <c r="E557" s="1"/>
      <c r="F557" s="3"/>
      <c r="G557" s="1"/>
      <c r="H557" s="1"/>
      <c r="I557" s="3"/>
      <c r="J557" s="3"/>
      <c r="K557" s="1"/>
      <c r="L557" s="1"/>
      <c r="M557" s="1"/>
      <c r="N557" s="1"/>
      <c r="O557" s="1"/>
      <c r="P557" s="1"/>
      <c r="Q557" s="1"/>
      <c r="R557" s="1"/>
      <c r="S557" s="1"/>
      <c r="T557" s="1"/>
      <c r="U557" s="1"/>
      <c r="V557" s="1"/>
      <c r="W557" s="1"/>
      <c r="X557" s="1"/>
      <c r="Y557" s="1"/>
      <c r="Z557" s="1"/>
    </row>
    <row r="558" spans="1:26" ht="15.75" customHeight="1" x14ac:dyDescent="0.25">
      <c r="A558" s="1"/>
      <c r="B558" s="1"/>
      <c r="C558" s="15"/>
      <c r="D558" s="3"/>
      <c r="E558" s="1"/>
      <c r="F558" s="3"/>
      <c r="G558" s="1"/>
      <c r="H558" s="1"/>
      <c r="I558" s="3"/>
      <c r="J558" s="3"/>
      <c r="K558" s="1"/>
      <c r="L558" s="1"/>
      <c r="M558" s="1"/>
      <c r="N558" s="1"/>
      <c r="O558" s="1"/>
      <c r="P558" s="1"/>
      <c r="Q558" s="1"/>
      <c r="R558" s="1"/>
      <c r="S558" s="1"/>
      <c r="T558" s="1"/>
      <c r="U558" s="1"/>
      <c r="V558" s="1"/>
      <c r="W558" s="1"/>
      <c r="X558" s="1"/>
      <c r="Y558" s="1"/>
      <c r="Z558" s="1"/>
    </row>
    <row r="559" spans="1:26" ht="15.75" customHeight="1" x14ac:dyDescent="0.25">
      <c r="A559" s="1"/>
      <c r="B559" s="1"/>
      <c r="C559" s="15"/>
      <c r="D559" s="3"/>
      <c r="E559" s="1"/>
      <c r="F559" s="3"/>
      <c r="G559" s="1"/>
      <c r="H559" s="1"/>
      <c r="I559" s="3"/>
      <c r="J559" s="3"/>
      <c r="K559" s="1"/>
      <c r="L559" s="1"/>
      <c r="M559" s="1"/>
      <c r="N559" s="1"/>
      <c r="O559" s="1"/>
      <c r="P559" s="1"/>
      <c r="Q559" s="1"/>
      <c r="R559" s="1"/>
      <c r="S559" s="1"/>
      <c r="T559" s="1"/>
      <c r="U559" s="1"/>
      <c r="V559" s="1"/>
      <c r="W559" s="1"/>
      <c r="X559" s="1"/>
      <c r="Y559" s="1"/>
      <c r="Z559" s="1"/>
    </row>
    <row r="560" spans="1:26" ht="15.75" customHeight="1" x14ac:dyDescent="0.25">
      <c r="A560" s="1"/>
      <c r="B560" s="1"/>
      <c r="C560" s="15"/>
      <c r="D560" s="3"/>
      <c r="E560" s="1"/>
      <c r="F560" s="3"/>
      <c r="G560" s="1"/>
      <c r="H560" s="1"/>
      <c r="I560" s="3"/>
      <c r="J560" s="3"/>
      <c r="K560" s="1"/>
      <c r="L560" s="1"/>
      <c r="M560" s="1"/>
      <c r="N560" s="1"/>
      <c r="O560" s="1"/>
      <c r="P560" s="1"/>
      <c r="Q560" s="1"/>
      <c r="R560" s="1"/>
      <c r="S560" s="1"/>
      <c r="T560" s="1"/>
      <c r="U560" s="1"/>
      <c r="V560" s="1"/>
      <c r="W560" s="1"/>
      <c r="X560" s="1"/>
      <c r="Y560" s="1"/>
      <c r="Z560" s="1"/>
    </row>
    <row r="561" spans="1:26" ht="15.75" customHeight="1" x14ac:dyDescent="0.25">
      <c r="A561" s="1"/>
      <c r="B561" s="1"/>
      <c r="C561" s="15"/>
      <c r="D561" s="3"/>
      <c r="E561" s="1"/>
      <c r="F561" s="3"/>
      <c r="G561" s="1"/>
      <c r="H561" s="1"/>
      <c r="I561" s="3"/>
      <c r="J561" s="3"/>
      <c r="K561" s="1"/>
      <c r="L561" s="1"/>
      <c r="M561" s="1"/>
      <c r="N561" s="1"/>
      <c r="O561" s="1"/>
      <c r="P561" s="1"/>
      <c r="Q561" s="1"/>
      <c r="R561" s="1"/>
      <c r="S561" s="1"/>
      <c r="T561" s="1"/>
      <c r="U561" s="1"/>
      <c r="V561" s="1"/>
      <c r="W561" s="1"/>
      <c r="X561" s="1"/>
      <c r="Y561" s="1"/>
      <c r="Z561" s="1"/>
    </row>
    <row r="562" spans="1:26" ht="15.75" customHeight="1" x14ac:dyDescent="0.25">
      <c r="A562" s="1"/>
      <c r="B562" s="1"/>
      <c r="C562" s="15"/>
      <c r="D562" s="3"/>
      <c r="E562" s="1"/>
      <c r="F562" s="3"/>
      <c r="G562" s="1"/>
      <c r="H562" s="1"/>
      <c r="I562" s="3"/>
      <c r="J562" s="3"/>
      <c r="K562" s="1"/>
      <c r="L562" s="1"/>
      <c r="M562" s="1"/>
      <c r="N562" s="1"/>
      <c r="O562" s="1"/>
      <c r="P562" s="1"/>
      <c r="Q562" s="1"/>
      <c r="R562" s="1"/>
      <c r="S562" s="1"/>
      <c r="T562" s="1"/>
      <c r="U562" s="1"/>
      <c r="V562" s="1"/>
      <c r="W562" s="1"/>
      <c r="X562" s="1"/>
      <c r="Y562" s="1"/>
      <c r="Z562" s="1"/>
    </row>
    <row r="563" spans="1:26" ht="15.75" customHeight="1" x14ac:dyDescent="0.25">
      <c r="A563" s="1"/>
      <c r="B563" s="1"/>
      <c r="C563" s="15"/>
      <c r="D563" s="3"/>
      <c r="E563" s="1"/>
      <c r="F563" s="3"/>
      <c r="G563" s="1"/>
      <c r="H563" s="1"/>
      <c r="I563" s="3"/>
      <c r="J563" s="3"/>
      <c r="K563" s="1"/>
      <c r="L563" s="1"/>
      <c r="M563" s="1"/>
      <c r="N563" s="1"/>
      <c r="O563" s="1"/>
      <c r="P563" s="1"/>
      <c r="Q563" s="1"/>
      <c r="R563" s="1"/>
      <c r="S563" s="1"/>
      <c r="T563" s="1"/>
      <c r="U563" s="1"/>
      <c r="V563" s="1"/>
      <c r="W563" s="1"/>
      <c r="X563" s="1"/>
      <c r="Y563" s="1"/>
      <c r="Z563" s="1"/>
    </row>
    <row r="564" spans="1:26" ht="15.75" customHeight="1" x14ac:dyDescent="0.25">
      <c r="A564" s="1"/>
      <c r="B564" s="1"/>
      <c r="C564" s="15"/>
      <c r="D564" s="3"/>
      <c r="E564" s="1"/>
      <c r="F564" s="3"/>
      <c r="G564" s="1"/>
      <c r="H564" s="1"/>
      <c r="I564" s="3"/>
      <c r="J564" s="3"/>
      <c r="K564" s="1"/>
      <c r="L564" s="1"/>
      <c r="M564" s="1"/>
      <c r="N564" s="1"/>
      <c r="O564" s="1"/>
      <c r="P564" s="1"/>
      <c r="Q564" s="1"/>
      <c r="R564" s="1"/>
      <c r="S564" s="1"/>
      <c r="T564" s="1"/>
      <c r="U564" s="1"/>
      <c r="V564" s="1"/>
      <c r="W564" s="1"/>
      <c r="X564" s="1"/>
      <c r="Y564" s="1"/>
      <c r="Z564" s="1"/>
    </row>
    <row r="565" spans="1:26" ht="15.75" customHeight="1" x14ac:dyDescent="0.25">
      <c r="A565" s="1"/>
      <c r="B565" s="1"/>
      <c r="C565" s="15"/>
      <c r="D565" s="3"/>
      <c r="E565" s="1"/>
      <c r="F565" s="3"/>
      <c r="G565" s="1"/>
      <c r="H565" s="1"/>
      <c r="I565" s="3"/>
      <c r="J565" s="3"/>
      <c r="K565" s="1"/>
      <c r="L565" s="1"/>
      <c r="M565" s="1"/>
      <c r="N565" s="1"/>
      <c r="O565" s="1"/>
      <c r="P565" s="1"/>
      <c r="Q565" s="1"/>
      <c r="R565" s="1"/>
      <c r="S565" s="1"/>
      <c r="T565" s="1"/>
      <c r="U565" s="1"/>
      <c r="V565" s="1"/>
      <c r="W565" s="1"/>
      <c r="X565" s="1"/>
      <c r="Y565" s="1"/>
      <c r="Z565" s="1"/>
    </row>
    <row r="566" spans="1:26" ht="15.75" customHeight="1" x14ac:dyDescent="0.25">
      <c r="A566" s="1"/>
      <c r="B566" s="1"/>
      <c r="C566" s="15"/>
      <c r="D566" s="3"/>
      <c r="E566" s="1"/>
      <c r="F566" s="3"/>
      <c r="G566" s="1"/>
      <c r="H566" s="1"/>
      <c r="I566" s="3"/>
      <c r="J566" s="3"/>
      <c r="K566" s="1"/>
      <c r="L566" s="1"/>
      <c r="M566" s="1"/>
      <c r="N566" s="1"/>
      <c r="O566" s="1"/>
      <c r="P566" s="1"/>
      <c r="Q566" s="1"/>
      <c r="R566" s="1"/>
      <c r="S566" s="1"/>
      <c r="T566" s="1"/>
      <c r="U566" s="1"/>
      <c r="V566" s="1"/>
      <c r="W566" s="1"/>
      <c r="X566" s="1"/>
      <c r="Y566" s="1"/>
      <c r="Z566" s="1"/>
    </row>
    <row r="567" spans="1:26" ht="15.75" customHeight="1" x14ac:dyDescent="0.25">
      <c r="A567" s="1"/>
      <c r="B567" s="1"/>
      <c r="C567" s="15"/>
      <c r="D567" s="3"/>
      <c r="E567" s="1"/>
      <c r="F567" s="3"/>
      <c r="G567" s="1"/>
      <c r="H567" s="1"/>
      <c r="I567" s="3"/>
      <c r="J567" s="3"/>
      <c r="K567" s="1"/>
      <c r="L567" s="1"/>
      <c r="M567" s="1"/>
      <c r="N567" s="1"/>
      <c r="O567" s="1"/>
      <c r="P567" s="1"/>
      <c r="Q567" s="1"/>
      <c r="R567" s="1"/>
      <c r="S567" s="1"/>
      <c r="T567" s="1"/>
      <c r="U567" s="1"/>
      <c r="V567" s="1"/>
      <c r="W567" s="1"/>
      <c r="X567" s="1"/>
      <c r="Y567" s="1"/>
      <c r="Z567" s="1"/>
    </row>
    <row r="568" spans="1:26" ht="15.75" customHeight="1" x14ac:dyDescent="0.25">
      <c r="A568" s="1"/>
      <c r="B568" s="1"/>
      <c r="C568" s="15"/>
      <c r="D568" s="3"/>
      <c r="E568" s="1"/>
      <c r="F568" s="3"/>
      <c r="G568" s="1"/>
      <c r="H568" s="1"/>
      <c r="I568" s="3"/>
      <c r="J568" s="3"/>
      <c r="K568" s="1"/>
      <c r="L568" s="1"/>
      <c r="M568" s="1"/>
      <c r="N568" s="1"/>
      <c r="O568" s="1"/>
      <c r="P568" s="1"/>
      <c r="Q568" s="1"/>
      <c r="R568" s="1"/>
      <c r="S568" s="1"/>
      <c r="T568" s="1"/>
      <c r="U568" s="1"/>
      <c r="V568" s="1"/>
      <c r="W568" s="1"/>
      <c r="X568" s="1"/>
      <c r="Y568" s="1"/>
      <c r="Z568" s="1"/>
    </row>
    <row r="569" spans="1:26" ht="15.75" customHeight="1" x14ac:dyDescent="0.25">
      <c r="A569" s="1"/>
      <c r="B569" s="1"/>
      <c r="C569" s="15"/>
      <c r="D569" s="3"/>
      <c r="E569" s="1"/>
      <c r="F569" s="3"/>
      <c r="G569" s="1"/>
      <c r="H569" s="1"/>
      <c r="I569" s="3"/>
      <c r="J569" s="3"/>
      <c r="K569" s="1"/>
      <c r="L569" s="1"/>
      <c r="M569" s="1"/>
      <c r="N569" s="1"/>
      <c r="O569" s="1"/>
      <c r="P569" s="1"/>
      <c r="Q569" s="1"/>
      <c r="R569" s="1"/>
      <c r="S569" s="1"/>
      <c r="T569" s="1"/>
      <c r="U569" s="1"/>
      <c r="V569" s="1"/>
      <c r="W569" s="1"/>
      <c r="X569" s="1"/>
      <c r="Y569" s="1"/>
      <c r="Z569" s="1"/>
    </row>
    <row r="570" spans="1:26" ht="15.75" customHeight="1" x14ac:dyDescent="0.25">
      <c r="A570" s="1"/>
      <c r="B570" s="1"/>
      <c r="C570" s="15"/>
      <c r="D570" s="3"/>
      <c r="E570" s="1"/>
      <c r="F570" s="3"/>
      <c r="G570" s="1"/>
      <c r="H570" s="1"/>
      <c r="I570" s="3"/>
      <c r="J570" s="3"/>
      <c r="K570" s="1"/>
      <c r="L570" s="1"/>
      <c r="M570" s="1"/>
      <c r="N570" s="1"/>
      <c r="O570" s="1"/>
      <c r="P570" s="1"/>
      <c r="Q570" s="1"/>
      <c r="R570" s="1"/>
      <c r="S570" s="1"/>
      <c r="T570" s="1"/>
      <c r="U570" s="1"/>
      <c r="V570" s="1"/>
      <c r="W570" s="1"/>
      <c r="X570" s="1"/>
      <c r="Y570" s="1"/>
      <c r="Z570" s="1"/>
    </row>
    <row r="571" spans="1:26" ht="15.75" customHeight="1" x14ac:dyDescent="0.25">
      <c r="A571" s="1"/>
      <c r="B571" s="1"/>
      <c r="C571" s="15"/>
      <c r="D571" s="3"/>
      <c r="E571" s="1"/>
      <c r="F571" s="3"/>
      <c r="G571" s="1"/>
      <c r="H571" s="1"/>
      <c r="I571" s="3"/>
      <c r="J571" s="3"/>
      <c r="K571" s="1"/>
      <c r="L571" s="1"/>
      <c r="M571" s="1"/>
      <c r="N571" s="1"/>
      <c r="O571" s="1"/>
      <c r="P571" s="1"/>
      <c r="Q571" s="1"/>
      <c r="R571" s="1"/>
      <c r="S571" s="1"/>
      <c r="T571" s="1"/>
      <c r="U571" s="1"/>
      <c r="V571" s="1"/>
      <c r="W571" s="1"/>
      <c r="X571" s="1"/>
      <c r="Y571" s="1"/>
      <c r="Z571" s="1"/>
    </row>
    <row r="572" spans="1:26" ht="15.75" customHeight="1" x14ac:dyDescent="0.25">
      <c r="A572" s="1"/>
      <c r="B572" s="1"/>
      <c r="C572" s="15"/>
      <c r="D572" s="3"/>
      <c r="E572" s="1"/>
      <c r="F572" s="3"/>
      <c r="G572" s="1"/>
      <c r="H572" s="1"/>
      <c r="I572" s="3"/>
      <c r="J572" s="3"/>
      <c r="K572" s="1"/>
      <c r="L572" s="1"/>
      <c r="M572" s="1"/>
      <c r="N572" s="1"/>
      <c r="O572" s="1"/>
      <c r="P572" s="1"/>
      <c r="Q572" s="1"/>
      <c r="R572" s="1"/>
      <c r="S572" s="1"/>
      <c r="T572" s="1"/>
      <c r="U572" s="1"/>
      <c r="V572" s="1"/>
      <c r="W572" s="1"/>
      <c r="X572" s="1"/>
      <c r="Y572" s="1"/>
      <c r="Z572" s="1"/>
    </row>
    <row r="573" spans="1:26" ht="15.75" customHeight="1" x14ac:dyDescent="0.25">
      <c r="A573" s="1"/>
      <c r="B573" s="1"/>
      <c r="C573" s="15"/>
      <c r="D573" s="3"/>
      <c r="E573" s="1"/>
      <c r="F573" s="3"/>
      <c r="G573" s="1"/>
      <c r="H573" s="1"/>
      <c r="I573" s="3"/>
      <c r="J573" s="3"/>
      <c r="K573" s="1"/>
      <c r="L573" s="1"/>
      <c r="M573" s="1"/>
      <c r="N573" s="1"/>
      <c r="O573" s="1"/>
      <c r="P573" s="1"/>
      <c r="Q573" s="1"/>
      <c r="R573" s="1"/>
      <c r="S573" s="1"/>
      <c r="T573" s="1"/>
      <c r="U573" s="1"/>
      <c r="V573" s="1"/>
      <c r="W573" s="1"/>
      <c r="X573" s="1"/>
      <c r="Y573" s="1"/>
      <c r="Z573" s="1"/>
    </row>
    <row r="574" spans="1:26" ht="15.75" customHeight="1" x14ac:dyDescent="0.25">
      <c r="A574" s="1"/>
      <c r="B574" s="1"/>
      <c r="C574" s="15"/>
      <c r="D574" s="3"/>
      <c r="E574" s="1"/>
      <c r="F574" s="3"/>
      <c r="G574" s="1"/>
      <c r="H574" s="1"/>
      <c r="I574" s="3"/>
      <c r="J574" s="3"/>
      <c r="K574" s="1"/>
      <c r="L574" s="1"/>
      <c r="M574" s="1"/>
      <c r="N574" s="1"/>
      <c r="O574" s="1"/>
      <c r="P574" s="1"/>
      <c r="Q574" s="1"/>
      <c r="R574" s="1"/>
      <c r="S574" s="1"/>
      <c r="T574" s="1"/>
      <c r="U574" s="1"/>
      <c r="V574" s="1"/>
      <c r="W574" s="1"/>
      <c r="X574" s="1"/>
      <c r="Y574" s="1"/>
      <c r="Z574" s="1"/>
    </row>
    <row r="575" spans="1:26" ht="15.75" customHeight="1" x14ac:dyDescent="0.25">
      <c r="A575" s="1"/>
      <c r="B575" s="1"/>
      <c r="C575" s="15"/>
      <c r="D575" s="3"/>
      <c r="E575" s="1"/>
      <c r="F575" s="3"/>
      <c r="G575" s="1"/>
      <c r="H575" s="1"/>
      <c r="I575" s="3"/>
      <c r="J575" s="3"/>
      <c r="K575" s="1"/>
      <c r="L575" s="1"/>
      <c r="M575" s="1"/>
      <c r="N575" s="1"/>
      <c r="O575" s="1"/>
      <c r="P575" s="1"/>
      <c r="Q575" s="1"/>
      <c r="R575" s="1"/>
      <c r="S575" s="1"/>
      <c r="T575" s="1"/>
      <c r="U575" s="1"/>
      <c r="V575" s="1"/>
      <c r="W575" s="1"/>
      <c r="X575" s="1"/>
      <c r="Y575" s="1"/>
      <c r="Z575" s="1"/>
    </row>
    <row r="576" spans="1:26" ht="15.75" customHeight="1" x14ac:dyDescent="0.25">
      <c r="A576" s="1"/>
      <c r="B576" s="1"/>
      <c r="C576" s="15"/>
      <c r="D576" s="3"/>
      <c r="E576" s="1"/>
      <c r="F576" s="3"/>
      <c r="G576" s="1"/>
      <c r="H576" s="1"/>
      <c r="I576" s="3"/>
      <c r="J576" s="3"/>
      <c r="K576" s="1"/>
      <c r="L576" s="1"/>
      <c r="M576" s="1"/>
      <c r="N576" s="1"/>
      <c r="O576" s="1"/>
      <c r="P576" s="1"/>
      <c r="Q576" s="1"/>
      <c r="R576" s="1"/>
      <c r="S576" s="1"/>
      <c r="T576" s="1"/>
      <c r="U576" s="1"/>
      <c r="V576" s="1"/>
      <c r="W576" s="1"/>
      <c r="X576" s="1"/>
      <c r="Y576" s="1"/>
      <c r="Z576" s="1"/>
    </row>
    <row r="577" spans="1:26" ht="15.75" customHeight="1" x14ac:dyDescent="0.25">
      <c r="A577" s="1"/>
      <c r="B577" s="1"/>
      <c r="C577" s="15"/>
      <c r="D577" s="3"/>
      <c r="E577" s="1"/>
      <c r="F577" s="3"/>
      <c r="G577" s="1"/>
      <c r="H577" s="1"/>
      <c r="I577" s="3"/>
      <c r="J577" s="3"/>
      <c r="K577" s="1"/>
      <c r="L577" s="1"/>
      <c r="M577" s="1"/>
      <c r="N577" s="1"/>
      <c r="O577" s="1"/>
      <c r="P577" s="1"/>
      <c r="Q577" s="1"/>
      <c r="R577" s="1"/>
      <c r="S577" s="1"/>
      <c r="T577" s="1"/>
      <c r="U577" s="1"/>
      <c r="V577" s="1"/>
      <c r="W577" s="1"/>
      <c r="X577" s="1"/>
      <c r="Y577" s="1"/>
      <c r="Z577" s="1"/>
    </row>
    <row r="578" spans="1:26" ht="15.75" customHeight="1" x14ac:dyDescent="0.25">
      <c r="A578" s="1"/>
      <c r="B578" s="1"/>
      <c r="C578" s="15"/>
      <c r="D578" s="3"/>
      <c r="E578" s="1"/>
      <c r="F578" s="3"/>
      <c r="G578" s="1"/>
      <c r="H578" s="1"/>
      <c r="I578" s="3"/>
      <c r="J578" s="3"/>
      <c r="K578" s="1"/>
      <c r="L578" s="1"/>
      <c r="M578" s="1"/>
      <c r="N578" s="1"/>
      <c r="O578" s="1"/>
      <c r="P578" s="1"/>
      <c r="Q578" s="1"/>
      <c r="R578" s="1"/>
      <c r="S578" s="1"/>
      <c r="T578" s="1"/>
      <c r="U578" s="1"/>
      <c r="V578" s="1"/>
      <c r="W578" s="1"/>
      <c r="X578" s="1"/>
      <c r="Y578" s="1"/>
      <c r="Z578" s="1"/>
    </row>
    <row r="579" spans="1:26" ht="15.75" customHeight="1" x14ac:dyDescent="0.25">
      <c r="A579" s="1"/>
      <c r="B579" s="1"/>
      <c r="C579" s="15"/>
      <c r="D579" s="3"/>
      <c r="E579" s="1"/>
      <c r="F579" s="3"/>
      <c r="G579" s="1"/>
      <c r="H579" s="1"/>
      <c r="I579" s="3"/>
      <c r="J579" s="3"/>
      <c r="K579" s="1"/>
      <c r="L579" s="1"/>
      <c r="M579" s="1"/>
      <c r="N579" s="1"/>
      <c r="O579" s="1"/>
      <c r="P579" s="1"/>
      <c r="Q579" s="1"/>
      <c r="R579" s="1"/>
      <c r="S579" s="1"/>
      <c r="T579" s="1"/>
      <c r="U579" s="1"/>
      <c r="V579" s="1"/>
      <c r="W579" s="1"/>
      <c r="X579" s="1"/>
      <c r="Y579" s="1"/>
      <c r="Z579" s="1"/>
    </row>
    <row r="580" spans="1:26" ht="15.75" customHeight="1" x14ac:dyDescent="0.25">
      <c r="A580" s="1"/>
      <c r="B580" s="1"/>
      <c r="C580" s="15"/>
      <c r="D580" s="3"/>
      <c r="E580" s="1"/>
      <c r="F580" s="3"/>
      <c r="G580" s="1"/>
      <c r="H580" s="1"/>
      <c r="I580" s="3"/>
      <c r="J580" s="3"/>
      <c r="K580" s="1"/>
      <c r="L580" s="1"/>
      <c r="M580" s="1"/>
      <c r="N580" s="1"/>
      <c r="O580" s="1"/>
      <c r="P580" s="1"/>
      <c r="Q580" s="1"/>
      <c r="R580" s="1"/>
      <c r="S580" s="1"/>
      <c r="T580" s="1"/>
      <c r="U580" s="1"/>
      <c r="V580" s="1"/>
      <c r="W580" s="1"/>
      <c r="X580" s="1"/>
      <c r="Y580" s="1"/>
      <c r="Z580" s="1"/>
    </row>
    <row r="581" spans="1:26" ht="15.75" customHeight="1" x14ac:dyDescent="0.25">
      <c r="A581" s="1"/>
      <c r="B581" s="1"/>
      <c r="C581" s="15"/>
      <c r="D581" s="3"/>
      <c r="E581" s="1"/>
      <c r="F581" s="3"/>
      <c r="G581" s="1"/>
      <c r="H581" s="1"/>
      <c r="I581" s="3"/>
      <c r="J581" s="3"/>
      <c r="K581" s="1"/>
      <c r="L581" s="1"/>
      <c r="M581" s="1"/>
      <c r="N581" s="1"/>
      <c r="O581" s="1"/>
      <c r="P581" s="1"/>
      <c r="Q581" s="1"/>
      <c r="R581" s="1"/>
      <c r="S581" s="1"/>
      <c r="T581" s="1"/>
      <c r="U581" s="1"/>
      <c r="V581" s="1"/>
      <c r="W581" s="1"/>
      <c r="X581" s="1"/>
      <c r="Y581" s="1"/>
      <c r="Z581" s="1"/>
    </row>
    <row r="582" spans="1:26" ht="15.75" customHeight="1" x14ac:dyDescent="0.25">
      <c r="A582" s="1"/>
      <c r="B582" s="1"/>
      <c r="C582" s="15"/>
      <c r="D582" s="3"/>
      <c r="E582" s="1"/>
      <c r="F582" s="3"/>
      <c r="G582" s="1"/>
      <c r="H582" s="1"/>
      <c r="I582" s="3"/>
      <c r="J582" s="3"/>
      <c r="K582" s="1"/>
      <c r="L582" s="1"/>
      <c r="M582" s="1"/>
      <c r="N582" s="1"/>
      <c r="O582" s="1"/>
      <c r="P582" s="1"/>
      <c r="Q582" s="1"/>
      <c r="R582" s="1"/>
      <c r="S582" s="1"/>
      <c r="T582" s="1"/>
      <c r="U582" s="1"/>
      <c r="V582" s="1"/>
      <c r="W582" s="1"/>
      <c r="X582" s="1"/>
      <c r="Y582" s="1"/>
      <c r="Z582" s="1"/>
    </row>
    <row r="583" spans="1:26" ht="15.75" customHeight="1" x14ac:dyDescent="0.25">
      <c r="A583" s="1"/>
      <c r="B583" s="1"/>
      <c r="C583" s="15"/>
      <c r="D583" s="3"/>
      <c r="E583" s="1"/>
      <c r="F583" s="3"/>
      <c r="G583" s="1"/>
      <c r="H583" s="1"/>
      <c r="I583" s="3"/>
      <c r="J583" s="3"/>
      <c r="K583" s="1"/>
      <c r="L583" s="1"/>
      <c r="M583" s="1"/>
      <c r="N583" s="1"/>
      <c r="O583" s="1"/>
      <c r="P583" s="1"/>
      <c r="Q583" s="1"/>
      <c r="R583" s="1"/>
      <c r="S583" s="1"/>
      <c r="T583" s="1"/>
      <c r="U583" s="1"/>
      <c r="V583" s="1"/>
      <c r="W583" s="1"/>
      <c r="X583" s="1"/>
      <c r="Y583" s="1"/>
      <c r="Z583" s="1"/>
    </row>
    <row r="584" spans="1:26" ht="15.75" customHeight="1" x14ac:dyDescent="0.25">
      <c r="A584" s="1"/>
      <c r="B584" s="1"/>
      <c r="C584" s="15"/>
      <c r="D584" s="3"/>
      <c r="E584" s="1"/>
      <c r="F584" s="3"/>
      <c r="G584" s="1"/>
      <c r="H584" s="1"/>
      <c r="I584" s="3"/>
      <c r="J584" s="3"/>
      <c r="K584" s="1"/>
      <c r="L584" s="1"/>
      <c r="M584" s="1"/>
      <c r="N584" s="1"/>
      <c r="O584" s="1"/>
      <c r="P584" s="1"/>
      <c r="Q584" s="1"/>
      <c r="R584" s="1"/>
      <c r="S584" s="1"/>
      <c r="T584" s="1"/>
      <c r="U584" s="1"/>
      <c r="V584" s="1"/>
      <c r="W584" s="1"/>
      <c r="X584" s="1"/>
      <c r="Y584" s="1"/>
      <c r="Z584" s="1"/>
    </row>
    <row r="585" spans="1:26" ht="15.75" customHeight="1" x14ac:dyDescent="0.25">
      <c r="A585" s="1"/>
      <c r="B585" s="1"/>
      <c r="C585" s="15"/>
      <c r="D585" s="3"/>
      <c r="E585" s="1"/>
      <c r="F585" s="3"/>
      <c r="G585" s="1"/>
      <c r="H585" s="1"/>
      <c r="I585" s="3"/>
      <c r="J585" s="3"/>
      <c r="K585" s="1"/>
      <c r="L585" s="1"/>
      <c r="M585" s="1"/>
      <c r="N585" s="1"/>
      <c r="O585" s="1"/>
      <c r="P585" s="1"/>
      <c r="Q585" s="1"/>
      <c r="R585" s="1"/>
      <c r="S585" s="1"/>
      <c r="T585" s="1"/>
      <c r="U585" s="1"/>
      <c r="V585" s="1"/>
      <c r="W585" s="1"/>
      <c r="X585" s="1"/>
      <c r="Y585" s="1"/>
      <c r="Z585" s="1"/>
    </row>
    <row r="586" spans="1:26" ht="15.75" customHeight="1" x14ac:dyDescent="0.25">
      <c r="A586" s="1"/>
      <c r="B586" s="1"/>
      <c r="C586" s="15"/>
      <c r="D586" s="3"/>
      <c r="E586" s="1"/>
      <c r="F586" s="3"/>
      <c r="G586" s="1"/>
      <c r="H586" s="1"/>
      <c r="I586" s="3"/>
      <c r="J586" s="3"/>
      <c r="K586" s="1"/>
      <c r="L586" s="1"/>
      <c r="M586" s="1"/>
      <c r="N586" s="1"/>
      <c r="O586" s="1"/>
      <c r="P586" s="1"/>
      <c r="Q586" s="1"/>
      <c r="R586" s="1"/>
      <c r="S586" s="1"/>
      <c r="T586" s="1"/>
      <c r="U586" s="1"/>
      <c r="V586" s="1"/>
      <c r="W586" s="1"/>
      <c r="X586" s="1"/>
      <c r="Y586" s="1"/>
      <c r="Z586" s="1"/>
    </row>
    <row r="587" spans="1:26" ht="15.75" customHeight="1" x14ac:dyDescent="0.25">
      <c r="A587" s="1"/>
      <c r="B587" s="1"/>
      <c r="C587" s="15"/>
      <c r="D587" s="3"/>
      <c r="E587" s="1"/>
      <c r="F587" s="3"/>
      <c r="G587" s="1"/>
      <c r="H587" s="1"/>
      <c r="I587" s="3"/>
      <c r="J587" s="3"/>
      <c r="K587" s="1"/>
      <c r="L587" s="1"/>
      <c r="M587" s="1"/>
      <c r="N587" s="1"/>
      <c r="O587" s="1"/>
      <c r="P587" s="1"/>
      <c r="Q587" s="1"/>
      <c r="R587" s="1"/>
      <c r="S587" s="1"/>
      <c r="T587" s="1"/>
      <c r="U587" s="1"/>
      <c r="V587" s="1"/>
      <c r="W587" s="1"/>
      <c r="X587" s="1"/>
      <c r="Y587" s="1"/>
      <c r="Z587" s="1"/>
    </row>
    <row r="588" spans="1:26" ht="15.75" customHeight="1" x14ac:dyDescent="0.25">
      <c r="A588" s="1"/>
      <c r="B588" s="1"/>
      <c r="C588" s="15"/>
      <c r="D588" s="3"/>
      <c r="E588" s="1"/>
      <c r="F588" s="3"/>
      <c r="G588" s="1"/>
      <c r="H588" s="1"/>
      <c r="I588" s="3"/>
      <c r="J588" s="3"/>
      <c r="K588" s="1"/>
      <c r="L588" s="1"/>
      <c r="M588" s="1"/>
      <c r="N588" s="1"/>
      <c r="O588" s="1"/>
      <c r="P588" s="1"/>
      <c r="Q588" s="1"/>
      <c r="R588" s="1"/>
      <c r="S588" s="1"/>
      <c r="T588" s="1"/>
      <c r="U588" s="1"/>
      <c r="V588" s="1"/>
      <c r="W588" s="1"/>
      <c r="X588" s="1"/>
      <c r="Y588" s="1"/>
      <c r="Z588" s="1"/>
    </row>
    <row r="589" spans="1:26" ht="15.75" customHeight="1" x14ac:dyDescent="0.25">
      <c r="A589" s="1"/>
      <c r="B589" s="1"/>
      <c r="C589" s="15"/>
      <c r="D589" s="3"/>
      <c r="E589" s="1"/>
      <c r="F589" s="3"/>
      <c r="G589" s="1"/>
      <c r="H589" s="1"/>
      <c r="I589" s="3"/>
      <c r="J589" s="3"/>
      <c r="K589" s="1"/>
      <c r="L589" s="1"/>
      <c r="M589" s="1"/>
      <c r="N589" s="1"/>
      <c r="O589" s="1"/>
      <c r="P589" s="1"/>
      <c r="Q589" s="1"/>
      <c r="R589" s="1"/>
      <c r="S589" s="1"/>
      <c r="T589" s="1"/>
      <c r="U589" s="1"/>
      <c r="V589" s="1"/>
      <c r="W589" s="1"/>
      <c r="X589" s="1"/>
      <c r="Y589" s="1"/>
      <c r="Z589" s="1"/>
    </row>
    <row r="590" spans="1:26" ht="15.75" customHeight="1" x14ac:dyDescent="0.25">
      <c r="A590" s="1"/>
      <c r="B590" s="1"/>
      <c r="C590" s="15"/>
      <c r="D590" s="3"/>
      <c r="E590" s="1"/>
      <c r="F590" s="3"/>
      <c r="G590" s="1"/>
      <c r="H590" s="1"/>
      <c r="I590" s="3"/>
      <c r="J590" s="3"/>
      <c r="K590" s="1"/>
      <c r="L590" s="1"/>
      <c r="M590" s="1"/>
      <c r="N590" s="1"/>
      <c r="O590" s="1"/>
      <c r="P590" s="1"/>
      <c r="Q590" s="1"/>
      <c r="R590" s="1"/>
      <c r="S590" s="1"/>
      <c r="T590" s="1"/>
      <c r="U590" s="1"/>
      <c r="V590" s="1"/>
      <c r="W590" s="1"/>
      <c r="X590" s="1"/>
      <c r="Y590" s="1"/>
      <c r="Z590" s="1"/>
    </row>
    <row r="591" spans="1:26" ht="15.75" customHeight="1" x14ac:dyDescent="0.25">
      <c r="A591" s="1"/>
      <c r="B591" s="1"/>
      <c r="C591" s="15"/>
      <c r="D591" s="3"/>
      <c r="E591" s="1"/>
      <c r="F591" s="3"/>
      <c r="G591" s="1"/>
      <c r="H591" s="1"/>
      <c r="I591" s="3"/>
      <c r="J591" s="3"/>
      <c r="K591" s="1"/>
      <c r="L591" s="1"/>
      <c r="M591" s="1"/>
      <c r="N591" s="1"/>
      <c r="O591" s="1"/>
      <c r="P591" s="1"/>
      <c r="Q591" s="1"/>
      <c r="R591" s="1"/>
      <c r="S591" s="1"/>
      <c r="T591" s="1"/>
      <c r="U591" s="1"/>
      <c r="V591" s="1"/>
      <c r="W591" s="1"/>
      <c r="X591" s="1"/>
      <c r="Y591" s="1"/>
      <c r="Z591" s="1"/>
    </row>
    <row r="592" spans="1:26" ht="15.75" customHeight="1" x14ac:dyDescent="0.25">
      <c r="A592" s="1"/>
      <c r="B592" s="1"/>
      <c r="C592" s="15"/>
      <c r="D592" s="3"/>
      <c r="E592" s="1"/>
      <c r="F592" s="3"/>
      <c r="G592" s="1"/>
      <c r="H592" s="1"/>
      <c r="I592" s="3"/>
      <c r="J592" s="3"/>
      <c r="K592" s="1"/>
      <c r="L592" s="1"/>
      <c r="M592" s="1"/>
      <c r="N592" s="1"/>
      <c r="O592" s="1"/>
      <c r="P592" s="1"/>
      <c r="Q592" s="1"/>
      <c r="R592" s="1"/>
      <c r="S592" s="1"/>
      <c r="T592" s="1"/>
      <c r="U592" s="1"/>
      <c r="V592" s="1"/>
      <c r="W592" s="1"/>
      <c r="X592" s="1"/>
      <c r="Y592" s="1"/>
      <c r="Z592" s="1"/>
    </row>
    <row r="593" spans="1:26" ht="15.75" customHeight="1" x14ac:dyDescent="0.25">
      <c r="A593" s="1"/>
      <c r="B593" s="1"/>
      <c r="C593" s="15"/>
      <c r="D593" s="3"/>
      <c r="E593" s="1"/>
      <c r="F593" s="3"/>
      <c r="G593" s="1"/>
      <c r="H593" s="1"/>
      <c r="I593" s="3"/>
      <c r="J593" s="3"/>
      <c r="K593" s="1"/>
      <c r="L593" s="1"/>
      <c r="M593" s="1"/>
      <c r="N593" s="1"/>
      <c r="O593" s="1"/>
      <c r="P593" s="1"/>
      <c r="Q593" s="1"/>
      <c r="R593" s="1"/>
      <c r="S593" s="1"/>
      <c r="T593" s="1"/>
      <c r="U593" s="1"/>
      <c r="V593" s="1"/>
      <c r="W593" s="1"/>
      <c r="X593" s="1"/>
      <c r="Y593" s="1"/>
      <c r="Z593" s="1"/>
    </row>
    <row r="594" spans="1:26" ht="15.75" customHeight="1" x14ac:dyDescent="0.25">
      <c r="A594" s="1"/>
      <c r="B594" s="1"/>
      <c r="C594" s="15"/>
      <c r="D594" s="3"/>
      <c r="E594" s="1"/>
      <c r="F594" s="3"/>
      <c r="G594" s="1"/>
      <c r="H594" s="1"/>
      <c r="I594" s="3"/>
      <c r="J594" s="3"/>
      <c r="K594" s="1"/>
      <c r="L594" s="1"/>
      <c r="M594" s="1"/>
      <c r="N594" s="1"/>
      <c r="O594" s="1"/>
      <c r="P594" s="1"/>
      <c r="Q594" s="1"/>
      <c r="R594" s="1"/>
      <c r="S594" s="1"/>
      <c r="T594" s="1"/>
      <c r="U594" s="1"/>
      <c r="V594" s="1"/>
      <c r="W594" s="1"/>
      <c r="X594" s="1"/>
      <c r="Y594" s="1"/>
      <c r="Z594" s="1"/>
    </row>
    <row r="595" spans="1:26" ht="15.75" customHeight="1" x14ac:dyDescent="0.25">
      <c r="A595" s="1"/>
      <c r="B595" s="1"/>
      <c r="C595" s="15"/>
      <c r="D595" s="3"/>
      <c r="E595" s="1"/>
      <c r="F595" s="3"/>
      <c r="G595" s="1"/>
      <c r="H595" s="1"/>
      <c r="I595" s="3"/>
      <c r="J595" s="3"/>
      <c r="K595" s="1"/>
      <c r="L595" s="1"/>
      <c r="M595" s="1"/>
      <c r="N595" s="1"/>
      <c r="O595" s="1"/>
      <c r="P595" s="1"/>
      <c r="Q595" s="1"/>
      <c r="R595" s="1"/>
      <c r="S595" s="1"/>
      <c r="T595" s="1"/>
      <c r="U595" s="1"/>
      <c r="V595" s="1"/>
      <c r="W595" s="1"/>
      <c r="X595" s="1"/>
      <c r="Y595" s="1"/>
      <c r="Z595" s="1"/>
    </row>
    <row r="596" spans="1:26" ht="15.75" customHeight="1" x14ac:dyDescent="0.25">
      <c r="A596" s="1"/>
      <c r="B596" s="1"/>
      <c r="C596" s="15"/>
      <c r="D596" s="3"/>
      <c r="E596" s="1"/>
      <c r="F596" s="3"/>
      <c r="G596" s="1"/>
      <c r="H596" s="1"/>
      <c r="I596" s="3"/>
      <c r="J596" s="3"/>
      <c r="K596" s="1"/>
      <c r="L596" s="1"/>
      <c r="M596" s="1"/>
      <c r="N596" s="1"/>
      <c r="O596" s="1"/>
      <c r="P596" s="1"/>
      <c r="Q596" s="1"/>
      <c r="R596" s="1"/>
      <c r="S596" s="1"/>
      <c r="T596" s="1"/>
      <c r="U596" s="1"/>
      <c r="V596" s="1"/>
      <c r="W596" s="1"/>
      <c r="X596" s="1"/>
      <c r="Y596" s="1"/>
      <c r="Z596" s="1"/>
    </row>
    <row r="597" spans="1:26" ht="15.75" customHeight="1" x14ac:dyDescent="0.25">
      <c r="A597" s="1"/>
      <c r="B597" s="1"/>
      <c r="C597" s="15"/>
      <c r="D597" s="3"/>
      <c r="E597" s="1"/>
      <c r="F597" s="3"/>
      <c r="G597" s="1"/>
      <c r="H597" s="1"/>
      <c r="I597" s="3"/>
      <c r="J597" s="3"/>
      <c r="K597" s="1"/>
      <c r="L597" s="1"/>
      <c r="M597" s="1"/>
      <c r="N597" s="1"/>
      <c r="O597" s="1"/>
      <c r="P597" s="1"/>
      <c r="Q597" s="1"/>
      <c r="R597" s="1"/>
      <c r="S597" s="1"/>
      <c r="T597" s="1"/>
      <c r="U597" s="1"/>
      <c r="V597" s="1"/>
      <c r="W597" s="1"/>
      <c r="X597" s="1"/>
      <c r="Y597" s="1"/>
      <c r="Z597" s="1"/>
    </row>
    <row r="598" spans="1:26" ht="15.75" customHeight="1" x14ac:dyDescent="0.25">
      <c r="A598" s="1"/>
      <c r="B598" s="1"/>
      <c r="C598" s="15"/>
      <c r="D598" s="3"/>
      <c r="E598" s="1"/>
      <c r="F598" s="3"/>
      <c r="G598" s="1"/>
      <c r="H598" s="1"/>
      <c r="I598" s="3"/>
      <c r="J598" s="3"/>
      <c r="K598" s="1"/>
      <c r="L598" s="1"/>
      <c r="M598" s="1"/>
      <c r="N598" s="1"/>
      <c r="O598" s="1"/>
      <c r="P598" s="1"/>
      <c r="Q598" s="1"/>
      <c r="R598" s="1"/>
      <c r="S598" s="1"/>
      <c r="T598" s="1"/>
      <c r="U598" s="1"/>
      <c r="V598" s="1"/>
      <c r="W598" s="1"/>
      <c r="X598" s="1"/>
      <c r="Y598" s="1"/>
      <c r="Z598" s="1"/>
    </row>
    <row r="599" spans="1:26" ht="15.75" customHeight="1" x14ac:dyDescent="0.25">
      <c r="A599" s="1"/>
      <c r="B599" s="1"/>
      <c r="C599" s="15"/>
      <c r="D599" s="3"/>
      <c r="E599" s="1"/>
      <c r="F599" s="3"/>
      <c r="G599" s="1"/>
      <c r="H599" s="1"/>
      <c r="I599" s="3"/>
      <c r="J599" s="3"/>
      <c r="K599" s="1"/>
      <c r="L599" s="1"/>
      <c r="M599" s="1"/>
      <c r="N599" s="1"/>
      <c r="O599" s="1"/>
      <c r="P599" s="1"/>
      <c r="Q599" s="1"/>
      <c r="R599" s="1"/>
      <c r="S599" s="1"/>
      <c r="T599" s="1"/>
      <c r="U599" s="1"/>
      <c r="V599" s="1"/>
      <c r="W599" s="1"/>
      <c r="X599" s="1"/>
      <c r="Y599" s="1"/>
      <c r="Z599" s="1"/>
    </row>
    <row r="600" spans="1:26" ht="15.75" customHeight="1" x14ac:dyDescent="0.25">
      <c r="A600" s="1"/>
      <c r="B600" s="1"/>
      <c r="C600" s="15"/>
      <c r="D600" s="3"/>
      <c r="E600" s="1"/>
      <c r="F600" s="3"/>
      <c r="G600" s="1"/>
      <c r="H600" s="1"/>
      <c r="I600" s="3"/>
      <c r="J600" s="3"/>
      <c r="K600" s="1"/>
      <c r="L600" s="1"/>
      <c r="M600" s="1"/>
      <c r="N600" s="1"/>
      <c r="O600" s="1"/>
      <c r="P600" s="1"/>
      <c r="Q600" s="1"/>
      <c r="R600" s="1"/>
      <c r="S600" s="1"/>
      <c r="T600" s="1"/>
      <c r="U600" s="1"/>
      <c r="V600" s="1"/>
      <c r="W600" s="1"/>
      <c r="X600" s="1"/>
      <c r="Y600" s="1"/>
      <c r="Z600" s="1"/>
    </row>
    <row r="601" spans="1:26" ht="15.75" customHeight="1" x14ac:dyDescent="0.25">
      <c r="A601" s="1"/>
      <c r="B601" s="1"/>
      <c r="C601" s="15"/>
      <c r="D601" s="3"/>
      <c r="E601" s="1"/>
      <c r="F601" s="3"/>
      <c r="G601" s="1"/>
      <c r="H601" s="1"/>
      <c r="I601" s="3"/>
      <c r="J601" s="3"/>
      <c r="K601" s="1"/>
      <c r="L601" s="1"/>
      <c r="M601" s="1"/>
      <c r="N601" s="1"/>
      <c r="O601" s="1"/>
      <c r="P601" s="1"/>
      <c r="Q601" s="1"/>
      <c r="R601" s="1"/>
      <c r="S601" s="1"/>
      <c r="T601" s="1"/>
      <c r="U601" s="1"/>
      <c r="V601" s="1"/>
      <c r="W601" s="1"/>
      <c r="X601" s="1"/>
      <c r="Y601" s="1"/>
      <c r="Z601" s="1"/>
    </row>
    <row r="602" spans="1:26" ht="15.75" customHeight="1" x14ac:dyDescent="0.25">
      <c r="A602" s="1"/>
      <c r="B602" s="1"/>
      <c r="C602" s="15"/>
      <c r="D602" s="3"/>
      <c r="E602" s="1"/>
      <c r="F602" s="3"/>
      <c r="G602" s="1"/>
      <c r="H602" s="1"/>
      <c r="I602" s="3"/>
      <c r="J602" s="3"/>
      <c r="K602" s="1"/>
      <c r="L602" s="1"/>
      <c r="M602" s="1"/>
      <c r="N602" s="1"/>
      <c r="O602" s="1"/>
      <c r="P602" s="1"/>
      <c r="Q602" s="1"/>
      <c r="R602" s="1"/>
      <c r="S602" s="1"/>
      <c r="T602" s="1"/>
      <c r="U602" s="1"/>
      <c r="V602" s="1"/>
      <c r="W602" s="1"/>
      <c r="X602" s="1"/>
      <c r="Y602" s="1"/>
      <c r="Z602" s="1"/>
    </row>
    <row r="603" spans="1:26" ht="15.75" customHeight="1" x14ac:dyDescent="0.25">
      <c r="A603" s="1"/>
      <c r="B603" s="1"/>
      <c r="C603" s="15"/>
      <c r="D603" s="3"/>
      <c r="E603" s="1"/>
      <c r="F603" s="3"/>
      <c r="G603" s="1"/>
      <c r="H603" s="1"/>
      <c r="I603" s="3"/>
      <c r="J603" s="3"/>
      <c r="K603" s="1"/>
      <c r="L603" s="1"/>
      <c r="M603" s="1"/>
      <c r="N603" s="1"/>
      <c r="O603" s="1"/>
      <c r="P603" s="1"/>
      <c r="Q603" s="1"/>
      <c r="R603" s="1"/>
      <c r="S603" s="1"/>
      <c r="T603" s="1"/>
      <c r="U603" s="1"/>
      <c r="V603" s="1"/>
      <c r="W603" s="1"/>
      <c r="X603" s="1"/>
      <c r="Y603" s="1"/>
      <c r="Z603" s="1"/>
    </row>
    <row r="604" spans="1:26" ht="15.75" customHeight="1" x14ac:dyDescent="0.25">
      <c r="A604" s="1"/>
      <c r="B604" s="1"/>
      <c r="C604" s="15"/>
      <c r="D604" s="3"/>
      <c r="E604" s="1"/>
      <c r="F604" s="3"/>
      <c r="G604" s="1"/>
      <c r="H604" s="1"/>
      <c r="I604" s="3"/>
      <c r="J604" s="3"/>
      <c r="K604" s="1"/>
      <c r="L604" s="1"/>
      <c r="M604" s="1"/>
      <c r="N604" s="1"/>
      <c r="O604" s="1"/>
      <c r="P604" s="1"/>
      <c r="Q604" s="1"/>
      <c r="R604" s="1"/>
      <c r="S604" s="1"/>
      <c r="T604" s="1"/>
      <c r="U604" s="1"/>
      <c r="V604" s="1"/>
      <c r="W604" s="1"/>
      <c r="X604" s="1"/>
      <c r="Y604" s="1"/>
      <c r="Z604" s="1"/>
    </row>
    <row r="605" spans="1:26" ht="15.75" customHeight="1" x14ac:dyDescent="0.25">
      <c r="A605" s="1"/>
      <c r="B605" s="1"/>
      <c r="C605" s="15"/>
      <c r="D605" s="3"/>
      <c r="E605" s="1"/>
      <c r="F605" s="3"/>
      <c r="G605" s="1"/>
      <c r="H605" s="1"/>
      <c r="I605" s="3"/>
      <c r="J605" s="3"/>
      <c r="K605" s="1"/>
      <c r="L605" s="1"/>
      <c r="M605" s="1"/>
      <c r="N605" s="1"/>
      <c r="O605" s="1"/>
      <c r="P605" s="1"/>
      <c r="Q605" s="1"/>
      <c r="R605" s="1"/>
      <c r="S605" s="1"/>
      <c r="T605" s="1"/>
      <c r="U605" s="1"/>
      <c r="V605" s="1"/>
      <c r="W605" s="1"/>
      <c r="X605" s="1"/>
      <c r="Y605" s="1"/>
      <c r="Z605" s="1"/>
    </row>
    <row r="606" spans="1:26" ht="15.75" customHeight="1" x14ac:dyDescent="0.25">
      <c r="A606" s="1"/>
      <c r="B606" s="1"/>
      <c r="C606" s="15"/>
      <c r="D606" s="3"/>
      <c r="E606" s="1"/>
      <c r="F606" s="3"/>
      <c r="G606" s="1"/>
      <c r="H606" s="1"/>
      <c r="I606" s="3"/>
      <c r="J606" s="3"/>
      <c r="K606" s="1"/>
      <c r="L606" s="1"/>
      <c r="M606" s="1"/>
      <c r="N606" s="1"/>
      <c r="O606" s="1"/>
      <c r="P606" s="1"/>
      <c r="Q606" s="1"/>
      <c r="R606" s="1"/>
      <c r="S606" s="1"/>
      <c r="T606" s="1"/>
      <c r="U606" s="1"/>
      <c r="V606" s="1"/>
      <c r="W606" s="1"/>
      <c r="X606" s="1"/>
      <c r="Y606" s="1"/>
      <c r="Z606" s="1"/>
    </row>
    <row r="607" spans="1:26" ht="15.75" customHeight="1" x14ac:dyDescent="0.25">
      <c r="A607" s="1"/>
      <c r="B607" s="1"/>
      <c r="C607" s="15"/>
      <c r="D607" s="3"/>
      <c r="E607" s="1"/>
      <c r="F607" s="3"/>
      <c r="G607" s="1"/>
      <c r="H607" s="1"/>
      <c r="I607" s="3"/>
      <c r="J607" s="3"/>
      <c r="K607" s="1"/>
      <c r="L607" s="1"/>
      <c r="M607" s="1"/>
      <c r="N607" s="1"/>
      <c r="O607" s="1"/>
      <c r="P607" s="1"/>
      <c r="Q607" s="1"/>
      <c r="R607" s="1"/>
      <c r="S607" s="1"/>
      <c r="T607" s="1"/>
      <c r="U607" s="1"/>
      <c r="V607" s="1"/>
      <c r="W607" s="1"/>
      <c r="X607" s="1"/>
      <c r="Y607" s="1"/>
      <c r="Z607" s="1"/>
    </row>
    <row r="608" spans="1:26" ht="15.75" customHeight="1" x14ac:dyDescent="0.25">
      <c r="A608" s="1"/>
      <c r="B608" s="1"/>
      <c r="C608" s="15"/>
      <c r="D608" s="3"/>
      <c r="E608" s="1"/>
      <c r="F608" s="3"/>
      <c r="G608" s="1"/>
      <c r="H608" s="1"/>
      <c r="I608" s="3"/>
      <c r="J608" s="3"/>
      <c r="K608" s="1"/>
      <c r="L608" s="1"/>
      <c r="M608" s="1"/>
      <c r="N608" s="1"/>
      <c r="O608" s="1"/>
      <c r="P608" s="1"/>
      <c r="Q608" s="1"/>
      <c r="R608" s="1"/>
      <c r="S608" s="1"/>
      <c r="T608" s="1"/>
      <c r="U608" s="1"/>
      <c r="V608" s="1"/>
      <c r="W608" s="1"/>
      <c r="X608" s="1"/>
      <c r="Y608" s="1"/>
      <c r="Z608" s="1"/>
    </row>
    <row r="609" spans="1:26" ht="15.75" customHeight="1" x14ac:dyDescent="0.25">
      <c r="A609" s="1"/>
      <c r="B609" s="1"/>
      <c r="C609" s="15"/>
      <c r="D609" s="3"/>
      <c r="E609" s="1"/>
      <c r="F609" s="3"/>
      <c r="G609" s="1"/>
      <c r="H609" s="1"/>
      <c r="I609" s="3"/>
      <c r="J609" s="3"/>
      <c r="K609" s="1"/>
      <c r="L609" s="1"/>
      <c r="M609" s="1"/>
      <c r="N609" s="1"/>
      <c r="O609" s="1"/>
      <c r="P609" s="1"/>
      <c r="Q609" s="1"/>
      <c r="R609" s="1"/>
      <c r="S609" s="1"/>
      <c r="T609" s="1"/>
      <c r="U609" s="1"/>
      <c r="V609" s="1"/>
      <c r="W609" s="1"/>
      <c r="X609" s="1"/>
      <c r="Y609" s="1"/>
      <c r="Z609" s="1"/>
    </row>
    <row r="610" spans="1:26" ht="15.75" customHeight="1" x14ac:dyDescent="0.25">
      <c r="A610" s="1"/>
      <c r="B610" s="1"/>
      <c r="C610" s="15"/>
      <c r="D610" s="3"/>
      <c r="E610" s="1"/>
      <c r="F610" s="3"/>
      <c r="G610" s="1"/>
      <c r="H610" s="1"/>
      <c r="I610" s="3"/>
      <c r="J610" s="3"/>
      <c r="K610" s="1"/>
      <c r="L610" s="1"/>
      <c r="M610" s="1"/>
      <c r="N610" s="1"/>
      <c r="O610" s="1"/>
      <c r="P610" s="1"/>
      <c r="Q610" s="1"/>
      <c r="R610" s="1"/>
      <c r="S610" s="1"/>
      <c r="T610" s="1"/>
      <c r="U610" s="1"/>
      <c r="V610" s="1"/>
      <c r="W610" s="1"/>
      <c r="X610" s="1"/>
      <c r="Y610" s="1"/>
      <c r="Z610" s="1"/>
    </row>
    <row r="611" spans="1:26" ht="15.75" customHeight="1" x14ac:dyDescent="0.25">
      <c r="A611" s="1"/>
      <c r="B611" s="1"/>
      <c r="C611" s="15"/>
      <c r="D611" s="3"/>
      <c r="E611" s="1"/>
      <c r="F611" s="3"/>
      <c r="G611" s="1"/>
      <c r="H611" s="1"/>
      <c r="I611" s="3"/>
      <c r="J611" s="3"/>
      <c r="K611" s="1"/>
      <c r="L611" s="1"/>
      <c r="M611" s="1"/>
      <c r="N611" s="1"/>
      <c r="O611" s="1"/>
      <c r="P611" s="1"/>
      <c r="Q611" s="1"/>
      <c r="R611" s="1"/>
      <c r="S611" s="1"/>
      <c r="T611" s="1"/>
      <c r="U611" s="1"/>
      <c r="V611" s="1"/>
      <c r="W611" s="1"/>
      <c r="X611" s="1"/>
      <c r="Y611" s="1"/>
      <c r="Z611" s="1"/>
    </row>
    <row r="612" spans="1:26" ht="15.75" customHeight="1" x14ac:dyDescent="0.25">
      <c r="A612" s="1"/>
      <c r="B612" s="1"/>
      <c r="C612" s="15"/>
      <c r="D612" s="3"/>
      <c r="E612" s="1"/>
      <c r="F612" s="3"/>
      <c r="G612" s="1"/>
      <c r="H612" s="1"/>
      <c r="I612" s="3"/>
      <c r="J612" s="3"/>
      <c r="K612" s="1"/>
      <c r="L612" s="1"/>
      <c r="M612" s="1"/>
      <c r="N612" s="1"/>
      <c r="O612" s="1"/>
      <c r="P612" s="1"/>
      <c r="Q612" s="1"/>
      <c r="R612" s="1"/>
      <c r="S612" s="1"/>
      <c r="T612" s="1"/>
      <c r="U612" s="1"/>
      <c r="V612" s="1"/>
      <c r="W612" s="1"/>
      <c r="X612" s="1"/>
      <c r="Y612" s="1"/>
      <c r="Z612" s="1"/>
    </row>
    <row r="613" spans="1:26" ht="15.75" customHeight="1" x14ac:dyDescent="0.25">
      <c r="A613" s="1"/>
      <c r="B613" s="1"/>
      <c r="C613" s="15"/>
      <c r="D613" s="3"/>
      <c r="E613" s="1"/>
      <c r="F613" s="3"/>
      <c r="G613" s="1"/>
      <c r="H613" s="1"/>
      <c r="I613" s="3"/>
      <c r="J613" s="3"/>
      <c r="K613" s="1"/>
      <c r="L613" s="1"/>
      <c r="M613" s="1"/>
      <c r="N613" s="1"/>
      <c r="O613" s="1"/>
      <c r="P613" s="1"/>
      <c r="Q613" s="1"/>
      <c r="R613" s="1"/>
      <c r="S613" s="1"/>
      <c r="T613" s="1"/>
      <c r="U613" s="1"/>
      <c r="V613" s="1"/>
      <c r="W613" s="1"/>
      <c r="X613" s="1"/>
      <c r="Y613" s="1"/>
      <c r="Z613" s="1"/>
    </row>
    <row r="614" spans="1:26" ht="15.75" customHeight="1" x14ac:dyDescent="0.25">
      <c r="A614" s="1"/>
      <c r="B614" s="1"/>
      <c r="C614" s="15"/>
      <c r="D614" s="3"/>
      <c r="E614" s="1"/>
      <c r="F614" s="3"/>
      <c r="G614" s="1"/>
      <c r="H614" s="1"/>
      <c r="I614" s="3"/>
      <c r="J614" s="3"/>
      <c r="K614" s="1"/>
      <c r="L614" s="1"/>
      <c r="M614" s="1"/>
      <c r="N614" s="1"/>
      <c r="O614" s="1"/>
      <c r="P614" s="1"/>
      <c r="Q614" s="1"/>
      <c r="R614" s="1"/>
      <c r="S614" s="1"/>
      <c r="T614" s="1"/>
      <c r="U614" s="1"/>
      <c r="V614" s="1"/>
      <c r="W614" s="1"/>
      <c r="X614" s="1"/>
      <c r="Y614" s="1"/>
      <c r="Z614" s="1"/>
    </row>
    <row r="615" spans="1:26" ht="15.75" customHeight="1" x14ac:dyDescent="0.25">
      <c r="A615" s="1"/>
      <c r="B615" s="1"/>
      <c r="C615" s="15"/>
      <c r="D615" s="3"/>
      <c r="E615" s="1"/>
      <c r="F615" s="3"/>
      <c r="G615" s="1"/>
      <c r="H615" s="1"/>
      <c r="I615" s="3"/>
      <c r="J615" s="3"/>
      <c r="K615" s="1"/>
      <c r="L615" s="1"/>
      <c r="M615" s="1"/>
      <c r="N615" s="1"/>
      <c r="O615" s="1"/>
      <c r="P615" s="1"/>
      <c r="Q615" s="1"/>
      <c r="R615" s="1"/>
      <c r="S615" s="1"/>
      <c r="T615" s="1"/>
      <c r="U615" s="1"/>
      <c r="V615" s="1"/>
      <c r="W615" s="1"/>
      <c r="X615" s="1"/>
      <c r="Y615" s="1"/>
      <c r="Z615" s="1"/>
    </row>
    <row r="616" spans="1:26" ht="15.75" customHeight="1" x14ac:dyDescent="0.25">
      <c r="A616" s="1"/>
      <c r="B616" s="1"/>
      <c r="C616" s="15"/>
      <c r="D616" s="3"/>
      <c r="E616" s="1"/>
      <c r="F616" s="3"/>
      <c r="G616" s="1"/>
      <c r="H616" s="1"/>
      <c r="I616" s="3"/>
      <c r="J616" s="3"/>
      <c r="K616" s="1"/>
      <c r="L616" s="1"/>
      <c r="M616" s="1"/>
      <c r="N616" s="1"/>
      <c r="O616" s="1"/>
      <c r="P616" s="1"/>
      <c r="Q616" s="1"/>
      <c r="R616" s="1"/>
      <c r="S616" s="1"/>
      <c r="T616" s="1"/>
      <c r="U616" s="1"/>
      <c r="V616" s="1"/>
      <c r="W616" s="1"/>
      <c r="X616" s="1"/>
      <c r="Y616" s="1"/>
      <c r="Z616" s="1"/>
    </row>
    <row r="617" spans="1:26" ht="15.75" customHeight="1" x14ac:dyDescent="0.25">
      <c r="A617" s="1"/>
      <c r="B617" s="1"/>
      <c r="C617" s="15"/>
      <c r="D617" s="3"/>
      <c r="E617" s="1"/>
      <c r="F617" s="3"/>
      <c r="G617" s="1"/>
      <c r="H617" s="1"/>
      <c r="I617" s="3"/>
      <c r="J617" s="3"/>
      <c r="K617" s="1"/>
      <c r="L617" s="1"/>
      <c r="M617" s="1"/>
      <c r="N617" s="1"/>
      <c r="O617" s="1"/>
      <c r="P617" s="1"/>
      <c r="Q617" s="1"/>
      <c r="R617" s="1"/>
      <c r="S617" s="1"/>
      <c r="T617" s="1"/>
      <c r="U617" s="1"/>
      <c r="V617" s="1"/>
      <c r="W617" s="1"/>
      <c r="X617" s="1"/>
      <c r="Y617" s="1"/>
      <c r="Z617" s="1"/>
    </row>
    <row r="618" spans="1:26" ht="15.75" customHeight="1" x14ac:dyDescent="0.25">
      <c r="A618" s="1"/>
      <c r="B618" s="1"/>
      <c r="C618" s="15"/>
      <c r="D618" s="3"/>
      <c r="E618" s="1"/>
      <c r="F618" s="3"/>
      <c r="G618" s="1"/>
      <c r="H618" s="1"/>
      <c r="I618" s="3"/>
      <c r="J618" s="3"/>
      <c r="K618" s="1"/>
      <c r="L618" s="1"/>
      <c r="M618" s="1"/>
      <c r="N618" s="1"/>
      <c r="O618" s="1"/>
      <c r="P618" s="1"/>
      <c r="Q618" s="1"/>
      <c r="R618" s="1"/>
      <c r="S618" s="1"/>
      <c r="T618" s="1"/>
      <c r="U618" s="1"/>
      <c r="V618" s="1"/>
      <c r="W618" s="1"/>
      <c r="X618" s="1"/>
      <c r="Y618" s="1"/>
      <c r="Z618" s="1"/>
    </row>
    <row r="619" spans="1:26" ht="15.75" customHeight="1" x14ac:dyDescent="0.25">
      <c r="A619" s="1"/>
      <c r="B619" s="1"/>
      <c r="C619" s="15"/>
      <c r="D619" s="3"/>
      <c r="E619" s="1"/>
      <c r="F619" s="3"/>
      <c r="G619" s="1"/>
      <c r="H619" s="1"/>
      <c r="I619" s="3"/>
      <c r="J619" s="3"/>
      <c r="K619" s="1"/>
      <c r="L619" s="1"/>
      <c r="M619" s="1"/>
      <c r="N619" s="1"/>
      <c r="O619" s="1"/>
      <c r="P619" s="1"/>
      <c r="Q619" s="1"/>
      <c r="R619" s="1"/>
      <c r="S619" s="1"/>
      <c r="T619" s="1"/>
      <c r="U619" s="1"/>
      <c r="V619" s="1"/>
      <c r="W619" s="1"/>
      <c r="X619" s="1"/>
      <c r="Y619" s="1"/>
      <c r="Z619" s="1"/>
    </row>
    <row r="620" spans="1:26" ht="15.75" customHeight="1" x14ac:dyDescent="0.25">
      <c r="A620" s="1"/>
      <c r="B620" s="1"/>
      <c r="C620" s="15"/>
      <c r="D620" s="3"/>
      <c r="E620" s="1"/>
      <c r="F620" s="3"/>
      <c r="G620" s="1"/>
      <c r="H620" s="1"/>
      <c r="I620" s="3"/>
      <c r="J620" s="3"/>
      <c r="K620" s="1"/>
      <c r="L620" s="1"/>
      <c r="M620" s="1"/>
      <c r="N620" s="1"/>
      <c r="O620" s="1"/>
      <c r="P620" s="1"/>
      <c r="Q620" s="1"/>
      <c r="R620" s="1"/>
      <c r="S620" s="1"/>
      <c r="T620" s="1"/>
      <c r="U620" s="1"/>
      <c r="V620" s="1"/>
      <c r="W620" s="1"/>
      <c r="X620" s="1"/>
      <c r="Y620" s="1"/>
      <c r="Z620" s="1"/>
    </row>
    <row r="621" spans="1:26" ht="15.75" customHeight="1" x14ac:dyDescent="0.25">
      <c r="A621" s="1"/>
      <c r="B621" s="1"/>
      <c r="C621" s="15"/>
      <c r="D621" s="3"/>
      <c r="E621" s="1"/>
      <c r="F621" s="3"/>
      <c r="G621" s="1"/>
      <c r="H621" s="1"/>
      <c r="I621" s="3"/>
      <c r="J621" s="3"/>
      <c r="K621" s="1"/>
      <c r="L621" s="1"/>
      <c r="M621" s="1"/>
      <c r="N621" s="1"/>
      <c r="O621" s="1"/>
      <c r="P621" s="1"/>
      <c r="Q621" s="1"/>
      <c r="R621" s="1"/>
      <c r="S621" s="1"/>
      <c r="T621" s="1"/>
      <c r="U621" s="1"/>
      <c r="V621" s="1"/>
      <c r="W621" s="1"/>
      <c r="X621" s="1"/>
      <c r="Y621" s="1"/>
      <c r="Z621" s="1"/>
    </row>
    <row r="622" spans="1:26" ht="15.75" customHeight="1" x14ac:dyDescent="0.25">
      <c r="A622" s="1"/>
      <c r="B622" s="1"/>
      <c r="C622" s="15"/>
      <c r="D622" s="3"/>
      <c r="E622" s="1"/>
      <c r="F622" s="3"/>
      <c r="G622" s="1"/>
      <c r="H622" s="1"/>
      <c r="I622" s="3"/>
      <c r="J622" s="3"/>
      <c r="K622" s="1"/>
      <c r="L622" s="1"/>
      <c r="M622" s="1"/>
      <c r="N622" s="1"/>
      <c r="O622" s="1"/>
      <c r="P622" s="1"/>
      <c r="Q622" s="1"/>
      <c r="R622" s="1"/>
      <c r="S622" s="1"/>
      <c r="T622" s="1"/>
      <c r="U622" s="1"/>
      <c r="V622" s="1"/>
      <c r="W622" s="1"/>
      <c r="X622" s="1"/>
      <c r="Y622" s="1"/>
      <c r="Z622" s="1"/>
    </row>
    <row r="623" spans="1:26" ht="15.75" customHeight="1" x14ac:dyDescent="0.25">
      <c r="A623" s="1"/>
      <c r="B623" s="1"/>
      <c r="C623" s="15"/>
      <c r="D623" s="3"/>
      <c r="E623" s="1"/>
      <c r="F623" s="3"/>
      <c r="G623" s="1"/>
      <c r="H623" s="1"/>
      <c r="I623" s="3"/>
      <c r="J623" s="3"/>
      <c r="K623" s="1"/>
      <c r="L623" s="1"/>
      <c r="M623" s="1"/>
      <c r="N623" s="1"/>
      <c r="O623" s="1"/>
      <c r="P623" s="1"/>
      <c r="Q623" s="1"/>
      <c r="R623" s="1"/>
      <c r="S623" s="1"/>
      <c r="T623" s="1"/>
      <c r="U623" s="1"/>
      <c r="V623" s="1"/>
      <c r="W623" s="1"/>
      <c r="X623" s="1"/>
      <c r="Y623" s="1"/>
      <c r="Z623" s="1"/>
    </row>
    <row r="624" spans="1:26" ht="15.75" customHeight="1" x14ac:dyDescent="0.25">
      <c r="A624" s="1"/>
      <c r="B624" s="1"/>
      <c r="C624" s="15"/>
      <c r="D624" s="3"/>
      <c r="E624" s="1"/>
      <c r="F624" s="3"/>
      <c r="G624" s="1"/>
      <c r="H624" s="1"/>
      <c r="I624" s="3"/>
      <c r="J624" s="3"/>
      <c r="K624" s="1"/>
      <c r="L624" s="1"/>
      <c r="M624" s="1"/>
      <c r="N624" s="1"/>
      <c r="O624" s="1"/>
      <c r="P624" s="1"/>
      <c r="Q624" s="1"/>
      <c r="R624" s="1"/>
      <c r="S624" s="1"/>
      <c r="T624" s="1"/>
      <c r="U624" s="1"/>
      <c r="V624" s="1"/>
      <c r="W624" s="1"/>
      <c r="X624" s="1"/>
      <c r="Y624" s="1"/>
      <c r="Z624" s="1"/>
    </row>
    <row r="625" spans="1:26" ht="15.75" customHeight="1" x14ac:dyDescent="0.25">
      <c r="A625" s="1"/>
      <c r="B625" s="1"/>
      <c r="C625" s="15"/>
      <c r="D625" s="3"/>
      <c r="E625" s="1"/>
      <c r="F625" s="3"/>
      <c r="G625" s="1"/>
      <c r="H625" s="1"/>
      <c r="I625" s="3"/>
      <c r="J625" s="3"/>
      <c r="K625" s="1"/>
      <c r="L625" s="1"/>
      <c r="M625" s="1"/>
      <c r="N625" s="1"/>
      <c r="O625" s="1"/>
      <c r="P625" s="1"/>
      <c r="Q625" s="1"/>
      <c r="R625" s="1"/>
      <c r="S625" s="1"/>
      <c r="T625" s="1"/>
      <c r="U625" s="1"/>
      <c r="V625" s="1"/>
      <c r="W625" s="1"/>
      <c r="X625" s="1"/>
      <c r="Y625" s="1"/>
      <c r="Z625" s="1"/>
    </row>
    <row r="626" spans="1:26" ht="15.75" customHeight="1" x14ac:dyDescent="0.25">
      <c r="A626" s="1"/>
      <c r="B626" s="1"/>
      <c r="C626" s="15"/>
      <c r="D626" s="3"/>
      <c r="E626" s="1"/>
      <c r="F626" s="3"/>
      <c r="G626" s="1"/>
      <c r="H626" s="1"/>
      <c r="I626" s="3"/>
      <c r="J626" s="3"/>
      <c r="K626" s="1"/>
      <c r="L626" s="1"/>
      <c r="M626" s="1"/>
      <c r="N626" s="1"/>
      <c r="O626" s="1"/>
      <c r="P626" s="1"/>
      <c r="Q626" s="1"/>
      <c r="R626" s="1"/>
      <c r="S626" s="1"/>
      <c r="T626" s="1"/>
      <c r="U626" s="1"/>
      <c r="V626" s="1"/>
      <c r="W626" s="1"/>
      <c r="X626" s="1"/>
      <c r="Y626" s="1"/>
      <c r="Z626" s="1"/>
    </row>
    <row r="627" spans="1:26" ht="15.75" customHeight="1" x14ac:dyDescent="0.25">
      <c r="A627" s="1"/>
      <c r="B627" s="1"/>
      <c r="C627" s="15"/>
      <c r="D627" s="3"/>
      <c r="E627" s="1"/>
      <c r="F627" s="3"/>
      <c r="G627" s="1"/>
      <c r="H627" s="1"/>
      <c r="I627" s="3"/>
      <c r="J627" s="3"/>
      <c r="K627" s="1"/>
      <c r="L627" s="1"/>
      <c r="M627" s="1"/>
      <c r="N627" s="1"/>
      <c r="O627" s="1"/>
      <c r="P627" s="1"/>
      <c r="Q627" s="1"/>
      <c r="R627" s="1"/>
      <c r="S627" s="1"/>
      <c r="T627" s="1"/>
      <c r="U627" s="1"/>
      <c r="V627" s="1"/>
      <c r="W627" s="1"/>
      <c r="X627" s="1"/>
      <c r="Y627" s="1"/>
      <c r="Z627" s="1"/>
    </row>
    <row r="628" spans="1:26" ht="15.75" customHeight="1" x14ac:dyDescent="0.25">
      <c r="A628" s="1"/>
      <c r="B628" s="1"/>
      <c r="C628" s="15"/>
      <c r="D628" s="3"/>
      <c r="E628" s="1"/>
      <c r="F628" s="3"/>
      <c r="G628" s="1"/>
      <c r="H628" s="1"/>
      <c r="I628" s="3"/>
      <c r="J628" s="3"/>
      <c r="K628" s="1"/>
      <c r="L628" s="1"/>
      <c r="M628" s="1"/>
      <c r="N628" s="1"/>
      <c r="O628" s="1"/>
      <c r="P628" s="1"/>
      <c r="Q628" s="1"/>
      <c r="R628" s="1"/>
      <c r="S628" s="1"/>
      <c r="T628" s="1"/>
      <c r="U628" s="1"/>
      <c r="V628" s="1"/>
      <c r="W628" s="1"/>
      <c r="X628" s="1"/>
      <c r="Y628" s="1"/>
      <c r="Z628" s="1"/>
    </row>
    <row r="629" spans="1:26" ht="15.75" customHeight="1" x14ac:dyDescent="0.25">
      <c r="A629" s="1"/>
      <c r="B629" s="1"/>
      <c r="C629" s="15"/>
      <c r="D629" s="3"/>
      <c r="E629" s="1"/>
      <c r="F629" s="3"/>
      <c r="G629" s="1"/>
      <c r="H629" s="1"/>
      <c r="I629" s="3"/>
      <c r="J629" s="3"/>
      <c r="K629" s="1"/>
      <c r="L629" s="1"/>
      <c r="M629" s="1"/>
      <c r="N629" s="1"/>
      <c r="O629" s="1"/>
      <c r="P629" s="1"/>
      <c r="Q629" s="1"/>
      <c r="R629" s="1"/>
      <c r="S629" s="1"/>
      <c r="T629" s="1"/>
      <c r="U629" s="1"/>
      <c r="V629" s="1"/>
      <c r="W629" s="1"/>
      <c r="X629" s="1"/>
      <c r="Y629" s="1"/>
      <c r="Z629" s="1"/>
    </row>
    <row r="630" spans="1:26" ht="15.75" customHeight="1" x14ac:dyDescent="0.25">
      <c r="A630" s="1"/>
      <c r="B630" s="1"/>
      <c r="C630" s="15"/>
      <c r="D630" s="3"/>
      <c r="E630" s="1"/>
      <c r="F630" s="3"/>
      <c r="G630" s="1"/>
      <c r="H630" s="1"/>
      <c r="I630" s="3"/>
      <c r="J630" s="3"/>
      <c r="K630" s="1"/>
      <c r="L630" s="1"/>
      <c r="M630" s="1"/>
      <c r="N630" s="1"/>
      <c r="O630" s="1"/>
      <c r="P630" s="1"/>
      <c r="Q630" s="1"/>
      <c r="R630" s="1"/>
      <c r="S630" s="1"/>
      <c r="T630" s="1"/>
      <c r="U630" s="1"/>
      <c r="V630" s="1"/>
      <c r="W630" s="1"/>
      <c r="X630" s="1"/>
      <c r="Y630" s="1"/>
      <c r="Z630" s="1"/>
    </row>
    <row r="631" spans="1:26" ht="15.75" customHeight="1" x14ac:dyDescent="0.25">
      <c r="A631" s="1"/>
      <c r="B631" s="1"/>
      <c r="C631" s="15"/>
      <c r="D631" s="3"/>
      <c r="E631" s="1"/>
      <c r="F631" s="3"/>
      <c r="G631" s="1"/>
      <c r="H631" s="1"/>
      <c r="I631" s="3"/>
      <c r="J631" s="3"/>
      <c r="K631" s="1"/>
      <c r="L631" s="1"/>
      <c r="M631" s="1"/>
      <c r="N631" s="1"/>
      <c r="O631" s="1"/>
      <c r="P631" s="1"/>
      <c r="Q631" s="1"/>
      <c r="R631" s="1"/>
      <c r="S631" s="1"/>
      <c r="T631" s="1"/>
      <c r="U631" s="1"/>
      <c r="V631" s="1"/>
      <c r="W631" s="1"/>
      <c r="X631" s="1"/>
      <c r="Y631" s="1"/>
      <c r="Z631" s="1"/>
    </row>
    <row r="632" spans="1:26" ht="15.75" customHeight="1" x14ac:dyDescent="0.25">
      <c r="A632" s="1"/>
      <c r="B632" s="1"/>
      <c r="C632" s="15"/>
      <c r="D632" s="3"/>
      <c r="E632" s="1"/>
      <c r="F632" s="3"/>
      <c r="G632" s="1"/>
      <c r="H632" s="1"/>
      <c r="I632" s="3"/>
      <c r="J632" s="3"/>
      <c r="K632" s="1"/>
      <c r="L632" s="1"/>
      <c r="M632" s="1"/>
      <c r="N632" s="1"/>
      <c r="O632" s="1"/>
      <c r="P632" s="1"/>
      <c r="Q632" s="1"/>
      <c r="R632" s="1"/>
      <c r="S632" s="1"/>
      <c r="T632" s="1"/>
      <c r="U632" s="1"/>
      <c r="V632" s="1"/>
      <c r="W632" s="1"/>
      <c r="X632" s="1"/>
      <c r="Y632" s="1"/>
      <c r="Z632" s="1"/>
    </row>
    <row r="633" spans="1:26" ht="15.75" customHeight="1" x14ac:dyDescent="0.25">
      <c r="A633" s="1"/>
      <c r="B633" s="1"/>
      <c r="C633" s="15"/>
      <c r="D633" s="3"/>
      <c r="E633" s="1"/>
      <c r="F633" s="3"/>
      <c r="G633" s="1"/>
      <c r="H633" s="1"/>
      <c r="I633" s="3"/>
      <c r="J633" s="3"/>
      <c r="K633" s="1"/>
      <c r="L633" s="1"/>
      <c r="M633" s="1"/>
      <c r="N633" s="1"/>
      <c r="O633" s="1"/>
      <c r="P633" s="1"/>
      <c r="Q633" s="1"/>
      <c r="R633" s="1"/>
      <c r="S633" s="1"/>
      <c r="T633" s="1"/>
      <c r="U633" s="1"/>
      <c r="V633" s="1"/>
      <c r="W633" s="1"/>
      <c r="X633" s="1"/>
      <c r="Y633" s="1"/>
      <c r="Z633" s="1"/>
    </row>
    <row r="634" spans="1:26" ht="15.75" customHeight="1" x14ac:dyDescent="0.25">
      <c r="A634" s="1"/>
      <c r="B634" s="1"/>
      <c r="C634" s="15"/>
      <c r="D634" s="3"/>
      <c r="E634" s="1"/>
      <c r="F634" s="3"/>
      <c r="G634" s="1"/>
      <c r="H634" s="1"/>
      <c r="I634" s="3"/>
      <c r="J634" s="3"/>
      <c r="K634" s="1"/>
      <c r="L634" s="1"/>
      <c r="M634" s="1"/>
      <c r="N634" s="1"/>
      <c r="O634" s="1"/>
      <c r="P634" s="1"/>
      <c r="Q634" s="1"/>
      <c r="R634" s="1"/>
      <c r="S634" s="1"/>
      <c r="T634" s="1"/>
      <c r="U634" s="1"/>
      <c r="V634" s="1"/>
      <c r="W634" s="1"/>
      <c r="X634" s="1"/>
      <c r="Y634" s="1"/>
      <c r="Z634" s="1"/>
    </row>
    <row r="635" spans="1:26" ht="15.75" customHeight="1" x14ac:dyDescent="0.25">
      <c r="A635" s="1"/>
      <c r="B635" s="1"/>
      <c r="C635" s="15"/>
      <c r="D635" s="3"/>
      <c r="E635" s="1"/>
      <c r="F635" s="3"/>
      <c r="G635" s="1"/>
      <c r="H635" s="1"/>
      <c r="I635" s="3"/>
      <c r="J635" s="3"/>
      <c r="K635" s="1"/>
      <c r="L635" s="1"/>
      <c r="M635" s="1"/>
      <c r="N635" s="1"/>
      <c r="O635" s="1"/>
      <c r="P635" s="1"/>
      <c r="Q635" s="1"/>
      <c r="R635" s="1"/>
      <c r="S635" s="1"/>
      <c r="T635" s="1"/>
      <c r="U635" s="1"/>
      <c r="V635" s="1"/>
      <c r="W635" s="1"/>
      <c r="X635" s="1"/>
      <c r="Y635" s="1"/>
      <c r="Z635" s="1"/>
    </row>
    <row r="636" spans="1:26" ht="15.75" customHeight="1" x14ac:dyDescent="0.25">
      <c r="A636" s="1"/>
      <c r="B636" s="1"/>
      <c r="C636" s="15"/>
      <c r="D636" s="3"/>
      <c r="E636" s="1"/>
      <c r="F636" s="3"/>
      <c r="G636" s="1"/>
      <c r="H636" s="1"/>
      <c r="I636" s="3"/>
      <c r="J636" s="3"/>
      <c r="K636" s="1"/>
      <c r="L636" s="1"/>
      <c r="M636" s="1"/>
      <c r="N636" s="1"/>
      <c r="O636" s="1"/>
      <c r="P636" s="1"/>
      <c r="Q636" s="1"/>
      <c r="R636" s="1"/>
      <c r="S636" s="1"/>
      <c r="T636" s="1"/>
      <c r="U636" s="1"/>
      <c r="V636" s="1"/>
      <c r="W636" s="1"/>
      <c r="X636" s="1"/>
      <c r="Y636" s="1"/>
      <c r="Z636" s="1"/>
    </row>
    <row r="637" spans="1:26" ht="15.75" customHeight="1" x14ac:dyDescent="0.25">
      <c r="A637" s="1"/>
      <c r="B637" s="1"/>
      <c r="C637" s="15"/>
      <c r="D637" s="3"/>
      <c r="E637" s="1"/>
      <c r="F637" s="3"/>
      <c r="G637" s="1"/>
      <c r="H637" s="1"/>
      <c r="I637" s="3"/>
      <c r="J637" s="3"/>
      <c r="K637" s="1"/>
      <c r="L637" s="1"/>
      <c r="M637" s="1"/>
      <c r="N637" s="1"/>
      <c r="O637" s="1"/>
      <c r="P637" s="1"/>
      <c r="Q637" s="1"/>
      <c r="R637" s="1"/>
      <c r="S637" s="1"/>
      <c r="T637" s="1"/>
      <c r="U637" s="1"/>
      <c r="V637" s="1"/>
      <c r="W637" s="1"/>
      <c r="X637" s="1"/>
      <c r="Y637" s="1"/>
      <c r="Z637" s="1"/>
    </row>
    <row r="638" spans="1:26" ht="15.75" customHeight="1" x14ac:dyDescent="0.25">
      <c r="A638" s="1"/>
      <c r="B638" s="1"/>
      <c r="C638" s="15"/>
      <c r="D638" s="3"/>
      <c r="E638" s="1"/>
      <c r="F638" s="3"/>
      <c r="G638" s="1"/>
      <c r="H638" s="1"/>
      <c r="I638" s="3"/>
      <c r="J638" s="3"/>
      <c r="K638" s="1"/>
      <c r="L638" s="1"/>
      <c r="M638" s="1"/>
      <c r="N638" s="1"/>
      <c r="O638" s="1"/>
      <c r="P638" s="1"/>
      <c r="Q638" s="1"/>
      <c r="R638" s="1"/>
      <c r="S638" s="1"/>
      <c r="T638" s="1"/>
      <c r="U638" s="1"/>
      <c r="V638" s="1"/>
      <c r="W638" s="1"/>
      <c r="X638" s="1"/>
      <c r="Y638" s="1"/>
      <c r="Z638" s="1"/>
    </row>
    <row r="639" spans="1:26" ht="15.75" customHeight="1" x14ac:dyDescent="0.25">
      <c r="A639" s="1"/>
      <c r="B639" s="1"/>
      <c r="C639" s="15"/>
      <c r="D639" s="3"/>
      <c r="E639" s="1"/>
      <c r="F639" s="3"/>
      <c r="G639" s="1"/>
      <c r="H639" s="1"/>
      <c r="I639" s="3"/>
      <c r="J639" s="3"/>
      <c r="K639" s="1"/>
      <c r="L639" s="1"/>
      <c r="M639" s="1"/>
      <c r="N639" s="1"/>
      <c r="O639" s="1"/>
      <c r="P639" s="1"/>
      <c r="Q639" s="1"/>
      <c r="R639" s="1"/>
      <c r="S639" s="1"/>
      <c r="T639" s="1"/>
      <c r="U639" s="1"/>
      <c r="V639" s="1"/>
      <c r="W639" s="1"/>
      <c r="X639" s="1"/>
      <c r="Y639" s="1"/>
      <c r="Z639" s="1"/>
    </row>
    <row r="640" spans="1:26" ht="15.75" customHeight="1" x14ac:dyDescent="0.25">
      <c r="A640" s="1"/>
      <c r="B640" s="1"/>
      <c r="C640" s="15"/>
      <c r="D640" s="3"/>
      <c r="E640" s="1"/>
      <c r="F640" s="3"/>
      <c r="G640" s="1"/>
      <c r="H640" s="1"/>
      <c r="I640" s="3"/>
      <c r="J640" s="3"/>
      <c r="K640" s="1"/>
      <c r="L640" s="1"/>
      <c r="M640" s="1"/>
      <c r="N640" s="1"/>
      <c r="O640" s="1"/>
      <c r="P640" s="1"/>
      <c r="Q640" s="1"/>
      <c r="R640" s="1"/>
      <c r="S640" s="1"/>
      <c r="T640" s="1"/>
      <c r="U640" s="1"/>
      <c r="V640" s="1"/>
      <c r="W640" s="1"/>
      <c r="X640" s="1"/>
      <c r="Y640" s="1"/>
      <c r="Z640" s="1"/>
    </row>
    <row r="641" spans="1:26" ht="15.75" customHeight="1" x14ac:dyDescent="0.25">
      <c r="A641" s="1"/>
      <c r="B641" s="1"/>
      <c r="C641" s="15"/>
      <c r="D641" s="3"/>
      <c r="E641" s="1"/>
      <c r="F641" s="3"/>
      <c r="G641" s="1"/>
      <c r="H641" s="1"/>
      <c r="I641" s="3"/>
      <c r="J641" s="3"/>
      <c r="K641" s="1"/>
      <c r="L641" s="1"/>
      <c r="M641" s="1"/>
      <c r="N641" s="1"/>
      <c r="O641" s="1"/>
      <c r="P641" s="1"/>
      <c r="Q641" s="1"/>
      <c r="R641" s="1"/>
      <c r="S641" s="1"/>
      <c r="T641" s="1"/>
      <c r="U641" s="1"/>
      <c r="V641" s="1"/>
      <c r="W641" s="1"/>
      <c r="X641" s="1"/>
      <c r="Y641" s="1"/>
      <c r="Z641" s="1"/>
    </row>
    <row r="642" spans="1:26" ht="15.75" customHeight="1" x14ac:dyDescent="0.25">
      <c r="A642" s="1"/>
      <c r="B642" s="1"/>
      <c r="C642" s="15"/>
      <c r="D642" s="3"/>
      <c r="E642" s="1"/>
      <c r="F642" s="3"/>
      <c r="G642" s="1"/>
      <c r="H642" s="1"/>
      <c r="I642" s="3"/>
      <c r="J642" s="3"/>
      <c r="K642" s="1"/>
      <c r="L642" s="1"/>
      <c r="M642" s="1"/>
      <c r="N642" s="1"/>
      <c r="O642" s="1"/>
      <c r="P642" s="1"/>
      <c r="Q642" s="1"/>
      <c r="R642" s="1"/>
      <c r="S642" s="1"/>
      <c r="T642" s="1"/>
      <c r="U642" s="1"/>
      <c r="V642" s="1"/>
      <c r="W642" s="1"/>
      <c r="X642" s="1"/>
      <c r="Y642" s="1"/>
      <c r="Z642" s="1"/>
    </row>
    <row r="643" spans="1:26" ht="15.75" customHeight="1" x14ac:dyDescent="0.25">
      <c r="A643" s="1"/>
      <c r="B643" s="1"/>
      <c r="C643" s="15"/>
      <c r="D643" s="3"/>
      <c r="E643" s="1"/>
      <c r="F643" s="3"/>
      <c r="G643" s="1"/>
      <c r="H643" s="1"/>
      <c r="I643" s="3"/>
      <c r="J643" s="3"/>
      <c r="K643" s="1"/>
      <c r="L643" s="1"/>
      <c r="M643" s="1"/>
      <c r="N643" s="1"/>
      <c r="O643" s="1"/>
      <c r="P643" s="1"/>
      <c r="Q643" s="1"/>
      <c r="R643" s="1"/>
      <c r="S643" s="1"/>
      <c r="T643" s="1"/>
      <c r="U643" s="1"/>
      <c r="V643" s="1"/>
      <c r="W643" s="1"/>
      <c r="X643" s="1"/>
      <c r="Y643" s="1"/>
      <c r="Z643" s="1"/>
    </row>
    <row r="644" spans="1:26" ht="15.75" customHeight="1" x14ac:dyDescent="0.25">
      <c r="A644" s="1"/>
      <c r="B644" s="1"/>
      <c r="C644" s="15"/>
      <c r="D644" s="3"/>
      <c r="E644" s="1"/>
      <c r="F644" s="3"/>
      <c r="G644" s="1"/>
      <c r="H644" s="1"/>
      <c r="I644" s="3"/>
      <c r="J644" s="3"/>
      <c r="K644" s="1"/>
      <c r="L644" s="1"/>
      <c r="M644" s="1"/>
      <c r="N644" s="1"/>
      <c r="O644" s="1"/>
      <c r="P644" s="1"/>
      <c r="Q644" s="1"/>
      <c r="R644" s="1"/>
      <c r="S644" s="1"/>
      <c r="T644" s="1"/>
      <c r="U644" s="1"/>
      <c r="V644" s="1"/>
      <c r="W644" s="1"/>
      <c r="X644" s="1"/>
      <c r="Y644" s="1"/>
      <c r="Z644" s="1"/>
    </row>
    <row r="645" spans="1:26" ht="15.75" customHeight="1" x14ac:dyDescent="0.25">
      <c r="A645" s="1"/>
      <c r="B645" s="1"/>
      <c r="C645" s="15"/>
      <c r="D645" s="3"/>
      <c r="E645" s="1"/>
      <c r="F645" s="3"/>
      <c r="G645" s="1"/>
      <c r="H645" s="1"/>
      <c r="I645" s="3"/>
      <c r="J645" s="3"/>
      <c r="K645" s="1"/>
      <c r="L645" s="1"/>
      <c r="M645" s="1"/>
      <c r="N645" s="1"/>
      <c r="O645" s="1"/>
      <c r="P645" s="1"/>
      <c r="Q645" s="1"/>
      <c r="R645" s="1"/>
      <c r="S645" s="1"/>
      <c r="T645" s="1"/>
      <c r="U645" s="1"/>
      <c r="V645" s="1"/>
      <c r="W645" s="1"/>
      <c r="X645" s="1"/>
      <c r="Y645" s="1"/>
      <c r="Z645" s="1"/>
    </row>
    <row r="646" spans="1:26" ht="15.75" customHeight="1" x14ac:dyDescent="0.25">
      <c r="A646" s="1"/>
      <c r="B646" s="1"/>
      <c r="C646" s="15"/>
      <c r="D646" s="3"/>
      <c r="E646" s="1"/>
      <c r="F646" s="3"/>
      <c r="G646" s="1"/>
      <c r="H646" s="1"/>
      <c r="I646" s="3"/>
      <c r="J646" s="3"/>
      <c r="K646" s="1"/>
      <c r="L646" s="1"/>
      <c r="M646" s="1"/>
      <c r="N646" s="1"/>
      <c r="O646" s="1"/>
      <c r="P646" s="1"/>
      <c r="Q646" s="1"/>
      <c r="R646" s="1"/>
      <c r="S646" s="1"/>
      <c r="T646" s="1"/>
      <c r="U646" s="1"/>
      <c r="V646" s="1"/>
      <c r="W646" s="1"/>
      <c r="X646" s="1"/>
      <c r="Y646" s="1"/>
      <c r="Z646" s="1"/>
    </row>
    <row r="647" spans="1:26" ht="15.75" customHeight="1" x14ac:dyDescent="0.25">
      <c r="A647" s="1"/>
      <c r="B647" s="1"/>
      <c r="C647" s="15"/>
      <c r="D647" s="3"/>
      <c r="E647" s="1"/>
      <c r="F647" s="3"/>
      <c r="G647" s="1"/>
      <c r="H647" s="1"/>
      <c r="I647" s="3"/>
      <c r="J647" s="3"/>
      <c r="K647" s="1"/>
      <c r="L647" s="1"/>
      <c r="M647" s="1"/>
      <c r="N647" s="1"/>
      <c r="O647" s="1"/>
      <c r="P647" s="1"/>
      <c r="Q647" s="1"/>
      <c r="R647" s="1"/>
      <c r="S647" s="1"/>
      <c r="T647" s="1"/>
      <c r="U647" s="1"/>
      <c r="V647" s="1"/>
      <c r="W647" s="1"/>
      <c r="X647" s="1"/>
      <c r="Y647" s="1"/>
      <c r="Z647" s="1"/>
    </row>
    <row r="648" spans="1:26" ht="15.75" customHeight="1" x14ac:dyDescent="0.25">
      <c r="A648" s="1"/>
      <c r="B648" s="1"/>
      <c r="C648" s="15"/>
      <c r="D648" s="3"/>
      <c r="E648" s="1"/>
      <c r="F648" s="3"/>
      <c r="G648" s="1"/>
      <c r="H648" s="1"/>
      <c r="I648" s="3"/>
      <c r="J648" s="3"/>
      <c r="K648" s="1"/>
      <c r="L648" s="1"/>
      <c r="M648" s="1"/>
      <c r="N648" s="1"/>
      <c r="O648" s="1"/>
      <c r="P648" s="1"/>
      <c r="Q648" s="1"/>
      <c r="R648" s="1"/>
      <c r="S648" s="1"/>
      <c r="T648" s="1"/>
      <c r="U648" s="1"/>
      <c r="V648" s="1"/>
      <c r="W648" s="1"/>
      <c r="X648" s="1"/>
      <c r="Y648" s="1"/>
      <c r="Z648" s="1"/>
    </row>
    <row r="649" spans="1:26" ht="15.75" customHeight="1" x14ac:dyDescent="0.25">
      <c r="A649" s="1"/>
      <c r="B649" s="1"/>
      <c r="C649" s="15"/>
      <c r="D649" s="3"/>
      <c r="E649" s="1"/>
      <c r="F649" s="3"/>
      <c r="G649" s="1"/>
      <c r="H649" s="1"/>
      <c r="I649" s="3"/>
      <c r="J649" s="3"/>
      <c r="K649" s="1"/>
      <c r="L649" s="1"/>
      <c r="M649" s="1"/>
      <c r="N649" s="1"/>
      <c r="O649" s="1"/>
      <c r="P649" s="1"/>
      <c r="Q649" s="1"/>
      <c r="R649" s="1"/>
      <c r="S649" s="1"/>
      <c r="T649" s="1"/>
      <c r="U649" s="1"/>
      <c r="V649" s="1"/>
      <c r="W649" s="1"/>
      <c r="X649" s="1"/>
      <c r="Y649" s="1"/>
      <c r="Z649" s="1"/>
    </row>
    <row r="650" spans="1:26" ht="15.75" customHeight="1" x14ac:dyDescent="0.25">
      <c r="A650" s="1"/>
      <c r="B650" s="1"/>
      <c r="C650" s="15"/>
      <c r="D650" s="3"/>
      <c r="E650" s="1"/>
      <c r="F650" s="3"/>
      <c r="G650" s="1"/>
      <c r="H650" s="1"/>
      <c r="I650" s="3"/>
      <c r="J650" s="3"/>
      <c r="K650" s="1"/>
      <c r="L650" s="1"/>
      <c r="M650" s="1"/>
      <c r="N650" s="1"/>
      <c r="O650" s="1"/>
      <c r="P650" s="1"/>
      <c r="Q650" s="1"/>
      <c r="R650" s="1"/>
      <c r="S650" s="1"/>
      <c r="T650" s="1"/>
      <c r="U650" s="1"/>
      <c r="V650" s="1"/>
      <c r="W650" s="1"/>
      <c r="X650" s="1"/>
      <c r="Y650" s="1"/>
      <c r="Z650" s="1"/>
    </row>
    <row r="651" spans="1:26" ht="15.75" customHeight="1" x14ac:dyDescent="0.25">
      <c r="A651" s="1"/>
      <c r="B651" s="1"/>
      <c r="C651" s="15"/>
      <c r="D651" s="3"/>
      <c r="E651" s="1"/>
      <c r="F651" s="3"/>
      <c r="G651" s="1"/>
      <c r="H651" s="1"/>
      <c r="I651" s="3"/>
      <c r="J651" s="3"/>
      <c r="K651" s="1"/>
      <c r="L651" s="1"/>
      <c r="M651" s="1"/>
      <c r="N651" s="1"/>
      <c r="O651" s="1"/>
      <c r="P651" s="1"/>
      <c r="Q651" s="1"/>
      <c r="R651" s="1"/>
      <c r="S651" s="1"/>
      <c r="T651" s="1"/>
      <c r="U651" s="1"/>
      <c r="V651" s="1"/>
      <c r="W651" s="1"/>
      <c r="X651" s="1"/>
      <c r="Y651" s="1"/>
      <c r="Z651" s="1"/>
    </row>
    <row r="652" spans="1:26" ht="15.75" customHeight="1" x14ac:dyDescent="0.25">
      <c r="A652" s="1"/>
      <c r="B652" s="1"/>
      <c r="C652" s="15"/>
      <c r="D652" s="3"/>
      <c r="E652" s="1"/>
      <c r="F652" s="3"/>
      <c r="G652" s="1"/>
      <c r="H652" s="1"/>
      <c r="I652" s="3"/>
      <c r="J652" s="3"/>
      <c r="K652" s="1"/>
      <c r="L652" s="1"/>
      <c r="M652" s="1"/>
      <c r="N652" s="1"/>
      <c r="O652" s="1"/>
      <c r="P652" s="1"/>
      <c r="Q652" s="1"/>
      <c r="R652" s="1"/>
      <c r="S652" s="1"/>
      <c r="T652" s="1"/>
      <c r="U652" s="1"/>
      <c r="V652" s="1"/>
      <c r="W652" s="1"/>
      <c r="X652" s="1"/>
      <c r="Y652" s="1"/>
      <c r="Z652" s="1"/>
    </row>
    <row r="653" spans="1:26" ht="15.75" customHeight="1" x14ac:dyDescent="0.25">
      <c r="A653" s="1"/>
      <c r="B653" s="1"/>
      <c r="C653" s="15"/>
      <c r="D653" s="3"/>
      <c r="E653" s="1"/>
      <c r="F653" s="3"/>
      <c r="G653" s="1"/>
      <c r="H653" s="1"/>
      <c r="I653" s="3"/>
      <c r="J653" s="3"/>
      <c r="K653" s="1"/>
      <c r="L653" s="1"/>
      <c r="M653" s="1"/>
      <c r="N653" s="1"/>
      <c r="O653" s="1"/>
      <c r="P653" s="1"/>
      <c r="Q653" s="1"/>
      <c r="R653" s="1"/>
      <c r="S653" s="1"/>
      <c r="T653" s="1"/>
      <c r="U653" s="1"/>
      <c r="V653" s="1"/>
      <c r="W653" s="1"/>
      <c r="X653" s="1"/>
      <c r="Y653" s="1"/>
      <c r="Z653" s="1"/>
    </row>
    <row r="654" spans="1:26" ht="15.75" customHeight="1" x14ac:dyDescent="0.25">
      <c r="A654" s="1"/>
      <c r="B654" s="1"/>
      <c r="C654" s="15"/>
      <c r="D654" s="3"/>
      <c r="E654" s="1"/>
      <c r="F654" s="3"/>
      <c r="G654" s="1"/>
      <c r="H654" s="1"/>
      <c r="I654" s="3"/>
      <c r="J654" s="3"/>
      <c r="K654" s="1"/>
      <c r="L654" s="1"/>
      <c r="M654" s="1"/>
      <c r="N654" s="1"/>
      <c r="O654" s="1"/>
      <c r="P654" s="1"/>
      <c r="Q654" s="1"/>
      <c r="R654" s="1"/>
      <c r="S654" s="1"/>
      <c r="T654" s="1"/>
      <c r="U654" s="1"/>
      <c r="V654" s="1"/>
      <c r="W654" s="1"/>
      <c r="X654" s="1"/>
      <c r="Y654" s="1"/>
      <c r="Z654" s="1"/>
    </row>
    <row r="655" spans="1:26" ht="15.75" customHeight="1" x14ac:dyDescent="0.25">
      <c r="A655" s="1"/>
      <c r="B655" s="1"/>
      <c r="C655" s="15"/>
      <c r="D655" s="3"/>
      <c r="E655" s="1"/>
      <c r="F655" s="3"/>
      <c r="G655" s="1"/>
      <c r="H655" s="1"/>
      <c r="I655" s="3"/>
      <c r="J655" s="3"/>
      <c r="K655" s="1"/>
      <c r="L655" s="1"/>
      <c r="M655" s="1"/>
      <c r="N655" s="1"/>
      <c r="O655" s="1"/>
      <c r="P655" s="1"/>
      <c r="Q655" s="1"/>
      <c r="R655" s="1"/>
      <c r="S655" s="1"/>
      <c r="T655" s="1"/>
      <c r="U655" s="1"/>
      <c r="V655" s="1"/>
      <c r="W655" s="1"/>
      <c r="X655" s="1"/>
      <c r="Y655" s="1"/>
      <c r="Z655" s="1"/>
    </row>
    <row r="656" spans="1:26" ht="15.75" customHeight="1" x14ac:dyDescent="0.25">
      <c r="A656" s="1"/>
      <c r="B656" s="1"/>
      <c r="C656" s="15"/>
      <c r="D656" s="3"/>
      <c r="E656" s="1"/>
      <c r="F656" s="3"/>
      <c r="G656" s="1"/>
      <c r="H656" s="1"/>
      <c r="I656" s="3"/>
      <c r="J656" s="3"/>
      <c r="K656" s="1"/>
      <c r="L656" s="1"/>
      <c r="M656" s="1"/>
      <c r="N656" s="1"/>
      <c r="O656" s="1"/>
      <c r="P656" s="1"/>
      <c r="Q656" s="1"/>
      <c r="R656" s="1"/>
      <c r="S656" s="1"/>
      <c r="T656" s="1"/>
      <c r="U656" s="1"/>
      <c r="V656" s="1"/>
      <c r="W656" s="1"/>
      <c r="X656" s="1"/>
      <c r="Y656" s="1"/>
      <c r="Z656" s="1"/>
    </row>
    <row r="657" spans="1:26" ht="15.75" customHeight="1" x14ac:dyDescent="0.25">
      <c r="A657" s="1"/>
      <c r="B657" s="1"/>
      <c r="C657" s="15"/>
      <c r="D657" s="3"/>
      <c r="E657" s="1"/>
      <c r="F657" s="3"/>
      <c r="G657" s="1"/>
      <c r="H657" s="1"/>
      <c r="I657" s="3"/>
      <c r="J657" s="3"/>
      <c r="K657" s="1"/>
      <c r="L657" s="1"/>
      <c r="M657" s="1"/>
      <c r="N657" s="1"/>
      <c r="O657" s="1"/>
      <c r="P657" s="1"/>
      <c r="Q657" s="1"/>
      <c r="R657" s="1"/>
      <c r="S657" s="1"/>
      <c r="T657" s="1"/>
      <c r="U657" s="1"/>
      <c r="V657" s="1"/>
      <c r="W657" s="1"/>
      <c r="X657" s="1"/>
      <c r="Y657" s="1"/>
      <c r="Z657" s="1"/>
    </row>
    <row r="658" spans="1:26" ht="15.75" customHeight="1" x14ac:dyDescent="0.25">
      <c r="A658" s="1"/>
      <c r="B658" s="1"/>
      <c r="C658" s="15"/>
      <c r="D658" s="3"/>
      <c r="E658" s="1"/>
      <c r="F658" s="3"/>
      <c r="G658" s="1"/>
      <c r="H658" s="1"/>
      <c r="I658" s="3"/>
      <c r="J658" s="3"/>
      <c r="K658" s="1"/>
      <c r="L658" s="1"/>
      <c r="M658" s="1"/>
      <c r="N658" s="1"/>
      <c r="O658" s="1"/>
      <c r="P658" s="1"/>
      <c r="Q658" s="1"/>
      <c r="R658" s="1"/>
      <c r="S658" s="1"/>
      <c r="T658" s="1"/>
      <c r="U658" s="1"/>
      <c r="V658" s="1"/>
      <c r="W658" s="1"/>
      <c r="X658" s="1"/>
      <c r="Y658" s="1"/>
      <c r="Z658" s="1"/>
    </row>
    <row r="659" spans="1:26" ht="15.75" customHeight="1" x14ac:dyDescent="0.25">
      <c r="A659" s="1"/>
      <c r="B659" s="1"/>
      <c r="C659" s="15"/>
      <c r="D659" s="3"/>
      <c r="E659" s="1"/>
      <c r="F659" s="3"/>
      <c r="G659" s="1"/>
      <c r="H659" s="1"/>
      <c r="I659" s="3"/>
      <c r="J659" s="3"/>
      <c r="K659" s="1"/>
      <c r="L659" s="1"/>
      <c r="M659" s="1"/>
      <c r="N659" s="1"/>
      <c r="O659" s="1"/>
      <c r="P659" s="1"/>
      <c r="Q659" s="1"/>
      <c r="R659" s="1"/>
      <c r="S659" s="1"/>
      <c r="T659" s="1"/>
      <c r="U659" s="1"/>
      <c r="V659" s="1"/>
      <c r="W659" s="1"/>
      <c r="X659" s="1"/>
      <c r="Y659" s="1"/>
      <c r="Z659" s="1"/>
    </row>
    <row r="660" spans="1:26" ht="15.75" customHeight="1" x14ac:dyDescent="0.25">
      <c r="A660" s="1"/>
      <c r="B660" s="1"/>
      <c r="C660" s="15"/>
      <c r="D660" s="3"/>
      <c r="E660" s="1"/>
      <c r="F660" s="3"/>
      <c r="G660" s="1"/>
      <c r="H660" s="1"/>
      <c r="I660" s="3"/>
      <c r="J660" s="3"/>
      <c r="K660" s="1"/>
      <c r="L660" s="1"/>
      <c r="M660" s="1"/>
      <c r="N660" s="1"/>
      <c r="O660" s="1"/>
      <c r="P660" s="1"/>
      <c r="Q660" s="1"/>
      <c r="R660" s="1"/>
      <c r="S660" s="1"/>
      <c r="T660" s="1"/>
      <c r="U660" s="1"/>
      <c r="V660" s="1"/>
      <c r="W660" s="1"/>
      <c r="X660" s="1"/>
      <c r="Y660" s="1"/>
      <c r="Z660" s="1"/>
    </row>
    <row r="661" spans="1:26" ht="15.75" customHeight="1" x14ac:dyDescent="0.25">
      <c r="A661" s="1"/>
      <c r="B661" s="1"/>
      <c r="C661" s="15"/>
      <c r="D661" s="3"/>
      <c r="E661" s="1"/>
      <c r="F661" s="3"/>
      <c r="G661" s="1"/>
      <c r="H661" s="1"/>
      <c r="I661" s="3"/>
      <c r="J661" s="3"/>
      <c r="K661" s="1"/>
      <c r="L661" s="1"/>
      <c r="M661" s="1"/>
      <c r="N661" s="1"/>
      <c r="O661" s="1"/>
      <c r="P661" s="1"/>
      <c r="Q661" s="1"/>
      <c r="R661" s="1"/>
      <c r="S661" s="1"/>
      <c r="T661" s="1"/>
      <c r="U661" s="1"/>
      <c r="V661" s="1"/>
      <c r="W661" s="1"/>
      <c r="X661" s="1"/>
      <c r="Y661" s="1"/>
      <c r="Z661" s="1"/>
    </row>
    <row r="662" spans="1:26" ht="15.75" customHeight="1" x14ac:dyDescent="0.25">
      <c r="A662" s="1"/>
      <c r="B662" s="1"/>
      <c r="C662" s="15"/>
      <c r="D662" s="3"/>
      <c r="E662" s="1"/>
      <c r="F662" s="3"/>
      <c r="G662" s="1"/>
      <c r="H662" s="1"/>
      <c r="I662" s="3"/>
      <c r="J662" s="3"/>
      <c r="K662" s="1"/>
      <c r="L662" s="1"/>
      <c r="M662" s="1"/>
      <c r="N662" s="1"/>
      <c r="O662" s="1"/>
      <c r="P662" s="1"/>
      <c r="Q662" s="1"/>
      <c r="R662" s="1"/>
      <c r="S662" s="1"/>
      <c r="T662" s="1"/>
      <c r="U662" s="1"/>
      <c r="V662" s="1"/>
      <c r="W662" s="1"/>
      <c r="X662" s="1"/>
      <c r="Y662" s="1"/>
      <c r="Z662" s="1"/>
    </row>
    <row r="663" spans="1:26" ht="15.75" customHeight="1" x14ac:dyDescent="0.25">
      <c r="A663" s="1"/>
      <c r="B663" s="1"/>
      <c r="C663" s="15"/>
      <c r="D663" s="3"/>
      <c r="E663" s="1"/>
      <c r="F663" s="3"/>
      <c r="G663" s="1"/>
      <c r="H663" s="1"/>
      <c r="I663" s="3"/>
      <c r="J663" s="3"/>
      <c r="K663" s="1"/>
      <c r="L663" s="1"/>
      <c r="M663" s="1"/>
      <c r="N663" s="1"/>
      <c r="O663" s="1"/>
      <c r="P663" s="1"/>
      <c r="Q663" s="1"/>
      <c r="R663" s="1"/>
      <c r="S663" s="1"/>
      <c r="T663" s="1"/>
      <c r="U663" s="1"/>
      <c r="V663" s="1"/>
      <c r="W663" s="1"/>
      <c r="X663" s="1"/>
      <c r="Y663" s="1"/>
      <c r="Z663" s="1"/>
    </row>
    <row r="664" spans="1:26" ht="15.75" customHeight="1" x14ac:dyDescent="0.25">
      <c r="A664" s="1"/>
      <c r="B664" s="1"/>
      <c r="C664" s="15"/>
      <c r="D664" s="3"/>
      <c r="E664" s="1"/>
      <c r="F664" s="3"/>
      <c r="G664" s="1"/>
      <c r="H664" s="1"/>
      <c r="I664" s="3"/>
      <c r="J664" s="3"/>
      <c r="K664" s="1"/>
      <c r="L664" s="1"/>
      <c r="M664" s="1"/>
      <c r="N664" s="1"/>
      <c r="O664" s="1"/>
      <c r="P664" s="1"/>
      <c r="Q664" s="1"/>
      <c r="R664" s="1"/>
      <c r="S664" s="1"/>
      <c r="T664" s="1"/>
      <c r="U664" s="1"/>
      <c r="V664" s="1"/>
      <c r="W664" s="1"/>
      <c r="X664" s="1"/>
      <c r="Y664" s="1"/>
      <c r="Z664" s="1"/>
    </row>
    <row r="665" spans="1:26" ht="15.75" customHeight="1" x14ac:dyDescent="0.25">
      <c r="A665" s="1"/>
      <c r="B665" s="1"/>
      <c r="C665" s="15"/>
      <c r="D665" s="3"/>
      <c r="E665" s="1"/>
      <c r="F665" s="3"/>
      <c r="G665" s="1"/>
      <c r="H665" s="1"/>
      <c r="I665" s="3"/>
      <c r="J665" s="3"/>
      <c r="K665" s="1"/>
      <c r="L665" s="1"/>
      <c r="M665" s="1"/>
      <c r="N665" s="1"/>
      <c r="O665" s="1"/>
      <c r="P665" s="1"/>
      <c r="Q665" s="1"/>
      <c r="R665" s="1"/>
      <c r="S665" s="1"/>
      <c r="T665" s="1"/>
      <c r="U665" s="1"/>
      <c r="V665" s="1"/>
      <c r="W665" s="1"/>
      <c r="X665" s="1"/>
      <c r="Y665" s="1"/>
      <c r="Z665" s="1"/>
    </row>
    <row r="666" spans="1:26" ht="15.75" customHeight="1" x14ac:dyDescent="0.25">
      <c r="A666" s="1"/>
      <c r="B666" s="1"/>
      <c r="C666" s="15"/>
      <c r="D666" s="3"/>
      <c r="E666" s="1"/>
      <c r="F666" s="3"/>
      <c r="G666" s="1"/>
      <c r="H666" s="1"/>
      <c r="I666" s="3"/>
      <c r="J666" s="3"/>
      <c r="K666" s="1"/>
      <c r="L666" s="1"/>
      <c r="M666" s="1"/>
      <c r="N666" s="1"/>
      <c r="O666" s="1"/>
      <c r="P666" s="1"/>
      <c r="Q666" s="1"/>
      <c r="R666" s="1"/>
      <c r="S666" s="1"/>
      <c r="T666" s="1"/>
      <c r="U666" s="1"/>
      <c r="V666" s="1"/>
      <c r="W666" s="1"/>
      <c r="X666" s="1"/>
      <c r="Y666" s="1"/>
      <c r="Z666" s="1"/>
    </row>
    <row r="667" spans="1:26" ht="15.75" customHeight="1" x14ac:dyDescent="0.25">
      <c r="A667" s="1"/>
      <c r="B667" s="1"/>
      <c r="C667" s="15"/>
      <c r="D667" s="3"/>
      <c r="E667" s="1"/>
      <c r="F667" s="3"/>
      <c r="G667" s="1"/>
      <c r="H667" s="1"/>
      <c r="I667" s="3"/>
      <c r="J667" s="3"/>
      <c r="K667" s="1"/>
      <c r="L667" s="1"/>
      <c r="M667" s="1"/>
      <c r="N667" s="1"/>
      <c r="O667" s="1"/>
      <c r="P667" s="1"/>
      <c r="Q667" s="1"/>
      <c r="R667" s="1"/>
      <c r="S667" s="1"/>
      <c r="T667" s="1"/>
      <c r="U667" s="1"/>
      <c r="V667" s="1"/>
      <c r="W667" s="1"/>
      <c r="X667" s="1"/>
      <c r="Y667" s="1"/>
      <c r="Z667" s="1"/>
    </row>
    <row r="668" spans="1:26" ht="15.75" customHeight="1" x14ac:dyDescent="0.25">
      <c r="A668" s="1"/>
      <c r="B668" s="1"/>
      <c r="C668" s="15"/>
      <c r="D668" s="3"/>
      <c r="E668" s="1"/>
      <c r="F668" s="3"/>
      <c r="G668" s="1"/>
      <c r="H668" s="1"/>
      <c r="I668" s="3"/>
      <c r="J668" s="3"/>
      <c r="K668" s="1"/>
      <c r="L668" s="1"/>
      <c r="M668" s="1"/>
      <c r="N668" s="1"/>
      <c r="O668" s="1"/>
      <c r="P668" s="1"/>
      <c r="Q668" s="1"/>
      <c r="R668" s="1"/>
      <c r="S668" s="1"/>
      <c r="T668" s="1"/>
      <c r="U668" s="1"/>
      <c r="V668" s="1"/>
      <c r="W668" s="1"/>
      <c r="X668" s="1"/>
      <c r="Y668" s="1"/>
      <c r="Z668" s="1"/>
    </row>
    <row r="669" spans="1:26" ht="15.75" customHeight="1" x14ac:dyDescent="0.25">
      <c r="A669" s="1"/>
      <c r="B669" s="1"/>
      <c r="C669" s="15"/>
      <c r="D669" s="3"/>
      <c r="E669" s="1"/>
      <c r="F669" s="3"/>
      <c r="G669" s="1"/>
      <c r="H669" s="1"/>
      <c r="I669" s="3"/>
      <c r="J669" s="3"/>
      <c r="K669" s="1"/>
      <c r="L669" s="1"/>
      <c r="M669" s="1"/>
      <c r="N669" s="1"/>
      <c r="O669" s="1"/>
      <c r="P669" s="1"/>
      <c r="Q669" s="1"/>
      <c r="R669" s="1"/>
      <c r="S669" s="1"/>
      <c r="T669" s="1"/>
      <c r="U669" s="1"/>
      <c r="V669" s="1"/>
      <c r="W669" s="1"/>
      <c r="X669" s="1"/>
      <c r="Y669" s="1"/>
      <c r="Z669" s="1"/>
    </row>
    <row r="670" spans="1:26" ht="15.75" customHeight="1" x14ac:dyDescent="0.25">
      <c r="A670" s="1"/>
      <c r="B670" s="1"/>
      <c r="C670" s="15"/>
      <c r="D670" s="3"/>
      <c r="E670" s="1"/>
      <c r="F670" s="3"/>
      <c r="G670" s="1"/>
      <c r="H670" s="1"/>
      <c r="I670" s="3"/>
      <c r="J670" s="3"/>
      <c r="K670" s="1"/>
      <c r="L670" s="1"/>
      <c r="M670" s="1"/>
      <c r="N670" s="1"/>
      <c r="O670" s="1"/>
      <c r="P670" s="1"/>
      <c r="Q670" s="1"/>
      <c r="R670" s="1"/>
      <c r="S670" s="1"/>
      <c r="T670" s="1"/>
      <c r="U670" s="1"/>
      <c r="V670" s="1"/>
      <c r="W670" s="1"/>
      <c r="X670" s="1"/>
      <c r="Y670" s="1"/>
      <c r="Z670" s="1"/>
    </row>
    <row r="671" spans="1:26" ht="15.75" customHeight="1" x14ac:dyDescent="0.25">
      <c r="A671" s="1"/>
      <c r="B671" s="1"/>
      <c r="C671" s="15"/>
      <c r="D671" s="3"/>
      <c r="E671" s="1"/>
      <c r="F671" s="3"/>
      <c r="G671" s="1"/>
      <c r="H671" s="1"/>
      <c r="I671" s="3"/>
      <c r="J671" s="3"/>
      <c r="K671" s="1"/>
      <c r="L671" s="1"/>
      <c r="M671" s="1"/>
      <c r="N671" s="1"/>
      <c r="O671" s="1"/>
      <c r="P671" s="1"/>
      <c r="Q671" s="1"/>
      <c r="R671" s="1"/>
      <c r="S671" s="1"/>
      <c r="T671" s="1"/>
      <c r="U671" s="1"/>
      <c r="V671" s="1"/>
      <c r="W671" s="1"/>
      <c r="X671" s="1"/>
      <c r="Y671" s="1"/>
      <c r="Z671" s="1"/>
    </row>
    <row r="672" spans="1:26" ht="15.75" customHeight="1" x14ac:dyDescent="0.25">
      <c r="A672" s="1"/>
      <c r="B672" s="1"/>
      <c r="C672" s="15"/>
      <c r="D672" s="3"/>
      <c r="E672" s="1"/>
      <c r="F672" s="3"/>
      <c r="G672" s="1"/>
      <c r="H672" s="1"/>
      <c r="I672" s="3"/>
      <c r="J672" s="3"/>
      <c r="K672" s="1"/>
      <c r="L672" s="1"/>
      <c r="M672" s="1"/>
      <c r="N672" s="1"/>
      <c r="O672" s="1"/>
      <c r="P672" s="1"/>
      <c r="Q672" s="1"/>
      <c r="R672" s="1"/>
      <c r="S672" s="1"/>
      <c r="T672" s="1"/>
      <c r="U672" s="1"/>
      <c r="V672" s="1"/>
      <c r="W672" s="1"/>
      <c r="X672" s="1"/>
      <c r="Y672" s="1"/>
      <c r="Z672" s="1"/>
    </row>
    <row r="673" spans="1:26" ht="15.75" customHeight="1" x14ac:dyDescent="0.25">
      <c r="A673" s="1"/>
      <c r="B673" s="1"/>
      <c r="C673" s="15"/>
      <c r="D673" s="3"/>
      <c r="E673" s="1"/>
      <c r="F673" s="3"/>
      <c r="G673" s="1"/>
      <c r="H673" s="1"/>
      <c r="I673" s="3"/>
      <c r="J673" s="3"/>
      <c r="K673" s="1"/>
      <c r="L673" s="1"/>
      <c r="M673" s="1"/>
      <c r="N673" s="1"/>
      <c r="O673" s="1"/>
      <c r="P673" s="1"/>
      <c r="Q673" s="1"/>
      <c r="R673" s="1"/>
      <c r="S673" s="1"/>
      <c r="T673" s="1"/>
      <c r="U673" s="1"/>
      <c r="V673" s="1"/>
      <c r="W673" s="1"/>
      <c r="X673" s="1"/>
      <c r="Y673" s="1"/>
      <c r="Z673" s="1"/>
    </row>
    <row r="674" spans="1:26" ht="15.75" customHeight="1" x14ac:dyDescent="0.25">
      <c r="A674" s="1"/>
      <c r="B674" s="1"/>
      <c r="C674" s="15"/>
      <c r="D674" s="3"/>
      <c r="E674" s="1"/>
      <c r="F674" s="3"/>
      <c r="G674" s="1"/>
      <c r="H674" s="1"/>
      <c r="I674" s="3"/>
      <c r="J674" s="3"/>
      <c r="K674" s="1"/>
      <c r="L674" s="1"/>
      <c r="M674" s="1"/>
      <c r="N674" s="1"/>
      <c r="O674" s="1"/>
      <c r="P674" s="1"/>
      <c r="Q674" s="1"/>
      <c r="R674" s="1"/>
      <c r="S674" s="1"/>
      <c r="T674" s="1"/>
      <c r="U674" s="1"/>
      <c r="V674" s="1"/>
      <c r="W674" s="1"/>
      <c r="X674" s="1"/>
      <c r="Y674" s="1"/>
      <c r="Z674" s="1"/>
    </row>
    <row r="675" spans="1:26" ht="15.75" customHeight="1" x14ac:dyDescent="0.25">
      <c r="A675" s="1"/>
      <c r="B675" s="1"/>
      <c r="C675" s="15"/>
      <c r="D675" s="3"/>
      <c r="E675" s="1"/>
      <c r="F675" s="3"/>
      <c r="G675" s="1"/>
      <c r="H675" s="1"/>
      <c r="I675" s="3"/>
      <c r="J675" s="3"/>
      <c r="K675" s="1"/>
      <c r="L675" s="1"/>
      <c r="M675" s="1"/>
      <c r="N675" s="1"/>
      <c r="O675" s="1"/>
      <c r="P675" s="1"/>
      <c r="Q675" s="1"/>
      <c r="R675" s="1"/>
      <c r="S675" s="1"/>
      <c r="T675" s="1"/>
      <c r="U675" s="1"/>
      <c r="V675" s="1"/>
      <c r="W675" s="1"/>
      <c r="X675" s="1"/>
      <c r="Y675" s="1"/>
      <c r="Z675" s="1"/>
    </row>
    <row r="676" spans="1:26" ht="15.75" customHeight="1" x14ac:dyDescent="0.25">
      <c r="A676" s="1"/>
      <c r="B676" s="1"/>
      <c r="C676" s="15"/>
      <c r="D676" s="3"/>
      <c r="E676" s="1"/>
      <c r="F676" s="3"/>
      <c r="G676" s="1"/>
      <c r="H676" s="1"/>
      <c r="I676" s="3"/>
      <c r="J676" s="3"/>
      <c r="K676" s="1"/>
      <c r="L676" s="1"/>
      <c r="M676" s="1"/>
      <c r="N676" s="1"/>
      <c r="O676" s="1"/>
      <c r="P676" s="1"/>
      <c r="Q676" s="1"/>
      <c r="R676" s="1"/>
      <c r="S676" s="1"/>
      <c r="T676" s="1"/>
      <c r="U676" s="1"/>
      <c r="V676" s="1"/>
      <c r="W676" s="1"/>
      <c r="X676" s="1"/>
      <c r="Y676" s="1"/>
      <c r="Z676" s="1"/>
    </row>
    <row r="677" spans="1:26" ht="15.75" customHeight="1" x14ac:dyDescent="0.25">
      <c r="A677" s="1"/>
      <c r="B677" s="1"/>
      <c r="C677" s="15"/>
      <c r="D677" s="3"/>
      <c r="E677" s="1"/>
      <c r="F677" s="3"/>
      <c r="G677" s="1"/>
      <c r="H677" s="1"/>
      <c r="I677" s="3"/>
      <c r="J677" s="3"/>
      <c r="K677" s="1"/>
      <c r="L677" s="1"/>
      <c r="M677" s="1"/>
      <c r="N677" s="1"/>
      <c r="O677" s="1"/>
      <c r="P677" s="1"/>
      <c r="Q677" s="1"/>
      <c r="R677" s="1"/>
      <c r="S677" s="1"/>
      <c r="T677" s="1"/>
      <c r="U677" s="1"/>
      <c r="V677" s="1"/>
      <c r="W677" s="1"/>
      <c r="X677" s="1"/>
      <c r="Y677" s="1"/>
      <c r="Z677" s="1"/>
    </row>
    <row r="678" spans="1:26" ht="15.75" customHeight="1" x14ac:dyDescent="0.25">
      <c r="A678" s="1"/>
      <c r="B678" s="1"/>
      <c r="C678" s="15"/>
      <c r="D678" s="3"/>
      <c r="E678" s="1"/>
      <c r="F678" s="3"/>
      <c r="G678" s="1"/>
      <c r="H678" s="1"/>
      <c r="I678" s="3"/>
      <c r="J678" s="3"/>
      <c r="K678" s="1"/>
      <c r="L678" s="1"/>
      <c r="M678" s="1"/>
      <c r="N678" s="1"/>
      <c r="O678" s="1"/>
      <c r="P678" s="1"/>
      <c r="Q678" s="1"/>
      <c r="R678" s="1"/>
      <c r="S678" s="1"/>
      <c r="T678" s="1"/>
      <c r="U678" s="1"/>
      <c r="V678" s="1"/>
      <c r="W678" s="1"/>
      <c r="X678" s="1"/>
      <c r="Y678" s="1"/>
      <c r="Z678" s="1"/>
    </row>
    <row r="679" spans="1:26" ht="15.75" customHeight="1" x14ac:dyDescent="0.25">
      <c r="A679" s="1"/>
      <c r="B679" s="1"/>
      <c r="C679" s="15"/>
      <c r="D679" s="3"/>
      <c r="E679" s="1"/>
      <c r="F679" s="3"/>
      <c r="G679" s="1"/>
      <c r="H679" s="1"/>
      <c r="I679" s="3"/>
      <c r="J679" s="3"/>
      <c r="K679" s="1"/>
      <c r="L679" s="1"/>
      <c r="M679" s="1"/>
      <c r="N679" s="1"/>
      <c r="O679" s="1"/>
      <c r="P679" s="1"/>
      <c r="Q679" s="1"/>
      <c r="R679" s="1"/>
      <c r="S679" s="1"/>
      <c r="T679" s="1"/>
      <c r="U679" s="1"/>
      <c r="V679" s="1"/>
      <c r="W679" s="1"/>
      <c r="X679" s="1"/>
      <c r="Y679" s="1"/>
      <c r="Z679" s="1"/>
    </row>
    <row r="680" spans="1:26" ht="15.75" customHeight="1" x14ac:dyDescent="0.25">
      <c r="A680" s="1"/>
      <c r="B680" s="1"/>
      <c r="C680" s="15"/>
      <c r="D680" s="3"/>
      <c r="E680" s="1"/>
      <c r="F680" s="3"/>
      <c r="G680" s="1"/>
      <c r="H680" s="1"/>
      <c r="I680" s="3"/>
      <c r="J680" s="3"/>
      <c r="K680" s="1"/>
      <c r="L680" s="1"/>
      <c r="M680" s="1"/>
      <c r="N680" s="1"/>
      <c r="O680" s="1"/>
      <c r="P680" s="1"/>
      <c r="Q680" s="1"/>
      <c r="R680" s="1"/>
      <c r="S680" s="1"/>
      <c r="T680" s="1"/>
      <c r="U680" s="1"/>
      <c r="V680" s="1"/>
      <c r="W680" s="1"/>
      <c r="X680" s="1"/>
      <c r="Y680" s="1"/>
      <c r="Z680" s="1"/>
    </row>
    <row r="681" spans="1:26" ht="15.75" customHeight="1" x14ac:dyDescent="0.25">
      <c r="A681" s="1"/>
      <c r="B681" s="1"/>
      <c r="C681" s="15"/>
      <c r="D681" s="3"/>
      <c r="E681" s="1"/>
      <c r="F681" s="3"/>
      <c r="G681" s="1"/>
      <c r="H681" s="1"/>
      <c r="I681" s="3"/>
      <c r="J681" s="3"/>
      <c r="K681" s="1"/>
      <c r="L681" s="1"/>
      <c r="M681" s="1"/>
      <c r="N681" s="1"/>
      <c r="O681" s="1"/>
      <c r="P681" s="1"/>
      <c r="Q681" s="1"/>
      <c r="R681" s="1"/>
      <c r="S681" s="1"/>
      <c r="T681" s="1"/>
      <c r="U681" s="1"/>
      <c r="V681" s="1"/>
      <c r="W681" s="1"/>
      <c r="X681" s="1"/>
      <c r="Y681" s="1"/>
      <c r="Z681" s="1"/>
    </row>
    <row r="682" spans="1:26" ht="15.75" customHeight="1" x14ac:dyDescent="0.25">
      <c r="A682" s="1"/>
      <c r="B682" s="1"/>
      <c r="C682" s="15"/>
      <c r="D682" s="3"/>
      <c r="E682" s="1"/>
      <c r="F682" s="3"/>
      <c r="G682" s="1"/>
      <c r="H682" s="1"/>
      <c r="I682" s="3"/>
      <c r="J682" s="3"/>
      <c r="K682" s="1"/>
      <c r="L682" s="1"/>
      <c r="M682" s="1"/>
      <c r="N682" s="1"/>
      <c r="O682" s="1"/>
      <c r="P682" s="1"/>
      <c r="Q682" s="1"/>
      <c r="R682" s="1"/>
      <c r="S682" s="1"/>
      <c r="T682" s="1"/>
      <c r="U682" s="1"/>
      <c r="V682" s="1"/>
      <c r="W682" s="1"/>
      <c r="X682" s="1"/>
      <c r="Y682" s="1"/>
      <c r="Z682" s="1"/>
    </row>
  </sheetData>
  <autoFilter ref="A1:J682" xr:uid="{00000000-0009-0000-0000-000000000000}"/>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showGridLines="0" workbookViewId="0">
      <selection activeCell="E2" sqref="E2"/>
    </sheetView>
  </sheetViews>
  <sheetFormatPr baseColWidth="10" defaultColWidth="14.42578125" defaultRowHeight="15" customHeight="1" x14ac:dyDescent="0.25"/>
  <cols>
    <col min="1" max="1" width="5.85546875" customWidth="1"/>
    <col min="2" max="2" width="12" customWidth="1"/>
    <col min="3" max="3" width="30.28515625" customWidth="1"/>
    <col min="4" max="4" width="29" customWidth="1"/>
    <col min="5" max="5" width="47.7109375" customWidth="1"/>
    <col min="6" max="6" width="42.7109375" customWidth="1"/>
    <col min="7" max="7" width="7.7109375" customWidth="1"/>
    <col min="8" max="8" width="5.28515625" bestFit="1" customWidth="1"/>
    <col min="9" max="9" width="26.5703125" customWidth="1"/>
    <col min="10" max="10" width="29.28515625" customWidth="1"/>
    <col min="11" max="25" width="9.140625" customWidth="1"/>
  </cols>
  <sheetData>
    <row r="1" spans="1:25" s="25" customFormat="1" ht="25.5" x14ac:dyDescent="0.25">
      <c r="A1" s="32" t="s">
        <v>0</v>
      </c>
      <c r="B1" s="32" t="s">
        <v>1</v>
      </c>
      <c r="C1" s="33" t="s">
        <v>2</v>
      </c>
      <c r="D1" s="34" t="str">
        <f ca="1">IFERROR(__xludf.DUMMYFUNCTION("GOOGLETRANSLATE(C1,""ES"",""EN"")"),"Open coding code")</f>
        <v>Open coding code</v>
      </c>
      <c r="E1" s="32" t="s">
        <v>3</v>
      </c>
      <c r="F1" s="34" t="str">
        <f ca="1">IFERROR(__xludf.DUMMYFUNCTION("GOOGLETRANSLATE(E1,""ES"",""EN"")"),"Coded segment")</f>
        <v>Coded segment</v>
      </c>
      <c r="G1" s="32" t="s">
        <v>1152</v>
      </c>
      <c r="H1" s="32" t="s">
        <v>1154</v>
      </c>
      <c r="I1" s="34" t="s">
        <v>4</v>
      </c>
      <c r="J1" s="34" t="str">
        <f ca="1">IFERROR(__xludf.DUMMYFUNCTION("GOOGLETRANSLATE(I1,""ES"",""EN"")"),"Comment Axial coding")</f>
        <v>Comment Axial coding</v>
      </c>
      <c r="K1" s="24"/>
      <c r="L1" s="24"/>
      <c r="M1" s="24"/>
      <c r="N1" s="24"/>
      <c r="O1" s="24"/>
      <c r="P1" s="24"/>
      <c r="Q1" s="24"/>
      <c r="R1" s="24"/>
      <c r="S1" s="24"/>
      <c r="T1" s="24"/>
      <c r="U1" s="24"/>
      <c r="V1" s="24"/>
      <c r="W1" s="24"/>
      <c r="X1" s="24"/>
      <c r="Y1" s="24"/>
    </row>
    <row r="2" spans="1:25" ht="51" x14ac:dyDescent="0.25">
      <c r="A2" s="6" t="s">
        <v>5</v>
      </c>
      <c r="B2" s="17" t="s">
        <v>47</v>
      </c>
      <c r="C2" s="17" t="s">
        <v>827</v>
      </c>
      <c r="D2" s="17" t="str">
        <f ca="1">IFERROR(__xludf.DUMMYFUNCTION("GOOGLETRANSLATE(C2,""ES"",""EN"")"),"FINANCING \ INTERVENTION \ CONVENTIONS WITH INTERSECTOR \ NATIONAL DRUG SERVICE SENDA")</f>
        <v>FINANCING \ INTERVENTION \ CONVENTIONS WITH INTERSECTOR \ NATIONAL DRUG SERVICE SENDA</v>
      </c>
      <c r="E2" s="17" t="s">
        <v>828</v>
      </c>
      <c r="F2" s="17" t="str">
        <f ca="1">IFERROR(__xludf.DUMMYFUNCTION("GOOGLETRANSLATE(E2,""ES"",""EN"")"),"Side 53 million more.")</f>
        <v>Side 53 million more.</v>
      </c>
      <c r="G2" s="18">
        <v>33</v>
      </c>
      <c r="H2" s="19">
        <v>5.2479246843293789E-2</v>
      </c>
      <c r="I2" s="17" t="s">
        <v>829</v>
      </c>
      <c r="J2" s="17" t="str">
        <f ca="1">IFERROR(__xludf.DUMMYFUNCTION("GOOGLETRANSLATE(I2,""ES"",""EN"")"),"Agreements with government organizations of the intersector")</f>
        <v>Agreements with government organizations of the intersector</v>
      </c>
      <c r="K2" s="1"/>
      <c r="L2" s="1"/>
      <c r="M2" s="1"/>
      <c r="N2" s="1"/>
      <c r="O2" s="1"/>
      <c r="P2" s="1"/>
      <c r="Q2" s="1"/>
      <c r="R2" s="1"/>
      <c r="S2" s="1"/>
      <c r="T2" s="1"/>
      <c r="U2" s="1"/>
      <c r="V2" s="1"/>
      <c r="W2" s="1"/>
      <c r="X2" s="1"/>
      <c r="Y2" s="1"/>
    </row>
    <row r="3" spans="1:25" ht="102" x14ac:dyDescent="0.25">
      <c r="A3" s="6" t="s">
        <v>5</v>
      </c>
      <c r="B3" s="17" t="s">
        <v>47</v>
      </c>
      <c r="C3" s="17" t="s">
        <v>830</v>
      </c>
      <c r="D3" s="17" t="str">
        <f ca="1">IFERROR(__xludf.DUMMYFUNCTION("GOOGLETRANSLATE(C3,""ES"",""EN"")"),"FINANCING \ INTERVENTION \ UNIVERSAL GENDER GUARANTEE PLAN")</f>
        <v>FINANCING \ INTERVENTION \ UNIVERSAL GENDER GUARANTEE PLAN</v>
      </c>
      <c r="E3" s="17" t="s">
        <v>831</v>
      </c>
      <c r="F3" s="17" t="str">
        <f ca="1">IFERROR(__xludf.DUMMYFUNCTION("GOOGLETRANSLATE(E3,""ES"",""EN"")"),"I was seeing that Fonasa. Well, the Cosam, the person who arrive in Cosam are those registered in Fonasa. But it has an Award Attention List, so it catches my attention because for example, depression is for over 15 years. If I am 12 years old and I have "&amp;"depression, aren't they going to attend me? Are they going to leave me for the last one on the list? On the waiting list.")</f>
        <v>I was seeing that Fonasa. Well, the Cosam, the person who arrive in Cosam are those registered in Fonasa. But it has an Award Attention List, so it catches my attention because for example, depression is for over 15 years. If I am 12 years old and I have depression, aren't they going to attend me? Are they going to leave me for the last one on the list? On the waiting list.</v>
      </c>
      <c r="G3" s="18">
        <v>368</v>
      </c>
      <c r="H3" s="19">
        <v>0.58522311631309443</v>
      </c>
      <c r="I3" s="17" t="s">
        <v>832</v>
      </c>
      <c r="J3" s="17" t="str">
        <f ca="1">IFERROR(__xludf.DUMMYFUNCTION("GOOGLETRANSLATE(I3,""ES"",""EN"")"),"Universal Health Guarantee Plan (GES)")</f>
        <v>Universal Health Guarantee Plan (GES)</v>
      </c>
      <c r="K3" s="1"/>
      <c r="L3" s="1"/>
      <c r="M3" s="1"/>
      <c r="N3" s="1"/>
      <c r="O3" s="1"/>
      <c r="P3" s="1"/>
      <c r="Q3" s="1"/>
      <c r="R3" s="1"/>
      <c r="S3" s="1"/>
      <c r="T3" s="1"/>
      <c r="U3" s="1"/>
      <c r="V3" s="1"/>
      <c r="W3" s="1"/>
      <c r="X3" s="1"/>
      <c r="Y3" s="1"/>
    </row>
    <row r="4" spans="1:25" ht="63.75" x14ac:dyDescent="0.25">
      <c r="A4" s="6" t="s">
        <v>5</v>
      </c>
      <c r="B4" s="17" t="s">
        <v>47</v>
      </c>
      <c r="C4" s="17" t="s">
        <v>830</v>
      </c>
      <c r="D4" s="17" t="str">
        <f ca="1">IFERROR(__xludf.DUMMYFUNCTION("GOOGLETRANSLATE(C4,""ES"",""EN"")"),"FINANCING \ INTERVENTION \ UNIVERSAL GENDER GUARANTEE PLAN")</f>
        <v>FINANCING \ INTERVENTION \ UNIVERSAL GENDER GUARANTEE PLAN</v>
      </c>
      <c r="E4" s="17" t="s">
        <v>833</v>
      </c>
      <c r="F4" s="17" t="str">
        <f ca="1">IFERROR(__xludf.DUMMYFUNCTION("GOOGLETRANSLATE(E4,""ES"",""EN"")"),"Alcohol and drug use is for children under 20. Attention. Bipolarity is for over 15 years. And Alzheimer's for any age. And I don't know. I think some study has been done. Why did they set this age, these limits?")</f>
        <v>Alcohol and drug use is for children under 20. Attention. Bipolarity is for over 15 years. And Alzheimer's for any age. And I don't know. I think some study has been done. Why did they set this age, these limits?</v>
      </c>
      <c r="G4" s="18">
        <v>244</v>
      </c>
      <c r="H4" s="19">
        <v>0.3880283705988995</v>
      </c>
      <c r="I4" s="17" t="s">
        <v>832</v>
      </c>
      <c r="J4" s="17" t="str">
        <f ca="1">IFERROR(__xludf.DUMMYFUNCTION("GOOGLETRANSLATE(I4,""ES"",""EN"")"),"Universal Health Guarantee Plan (GES)")</f>
        <v>Universal Health Guarantee Plan (GES)</v>
      </c>
      <c r="K4" s="1"/>
      <c r="L4" s="1"/>
      <c r="M4" s="1"/>
      <c r="N4" s="1"/>
      <c r="O4" s="1"/>
      <c r="P4" s="1"/>
      <c r="Q4" s="1"/>
      <c r="R4" s="1"/>
      <c r="S4" s="1"/>
      <c r="T4" s="1"/>
      <c r="U4" s="1"/>
      <c r="V4" s="1"/>
      <c r="W4" s="1"/>
      <c r="X4" s="1"/>
      <c r="Y4" s="1"/>
    </row>
    <row r="5" spans="1:25" ht="114.75" x14ac:dyDescent="0.25">
      <c r="A5" s="6" t="s">
        <v>5</v>
      </c>
      <c r="B5" s="17" t="s">
        <v>47</v>
      </c>
      <c r="C5" s="17" t="s">
        <v>830</v>
      </c>
      <c r="D5" s="17" t="str">
        <f ca="1">IFERROR(__xludf.DUMMYFUNCTION("GOOGLETRANSLATE(C5,""ES"",""EN"")"),"FINANCING \ INTERVENTION \ UNIVERSAL GENDER GUARANTEE PLAN")</f>
        <v>FINANCING \ INTERVENTION \ UNIVERSAL GENDER GUARANTEE PLAN</v>
      </c>
      <c r="E5" s="17" t="s">
        <v>834</v>
      </c>
      <c r="F5" s="17" t="str">
        <f ca="1">IFERROR(__xludf.DUMMYFUNCTION("GOOGLETRANSLATE(E5,""ES"",""EN"")"),"I think it would be an observation for fonasa that they realized that for these diseases there really is no age limit. I cannot think that a person will attend it because he has already turned 15 or I cannot attend it because he already has 21. And it is "&amp;"a matter, they are restrictions that should not exist for my understanding. I think this is an important observation that we could give to Fonasa.")</f>
        <v>I think it would be an observation for fonasa that they realized that for these diseases there really is no age limit. I cannot think that a person will attend it because he has already turned 15 or I cannot attend it because he already has 21. And it is a matter, they are restrictions that should not exist for my understanding. I think this is an important observation that we could give to Fonasa.</v>
      </c>
      <c r="G5" s="18">
        <v>426</v>
      </c>
      <c r="H5" s="19">
        <v>0.67745936834070164</v>
      </c>
      <c r="I5" s="17" t="s">
        <v>832</v>
      </c>
      <c r="J5" s="17" t="str">
        <f ca="1">IFERROR(__xludf.DUMMYFUNCTION("GOOGLETRANSLATE(I5,""ES"",""EN"")"),"Universal Health Guarantee Plan (GES)")</f>
        <v>Universal Health Guarantee Plan (GES)</v>
      </c>
      <c r="K5" s="1"/>
      <c r="L5" s="1"/>
      <c r="M5" s="1"/>
      <c r="N5" s="1"/>
      <c r="O5" s="1"/>
      <c r="P5" s="1"/>
      <c r="Q5" s="1"/>
      <c r="R5" s="1"/>
      <c r="S5" s="1"/>
      <c r="T5" s="1"/>
      <c r="U5" s="1"/>
      <c r="V5" s="1"/>
      <c r="W5" s="1"/>
      <c r="X5" s="1"/>
      <c r="Y5" s="1"/>
    </row>
    <row r="6" spans="1:25" ht="51" x14ac:dyDescent="0.25">
      <c r="A6" s="7" t="s">
        <v>5</v>
      </c>
      <c r="B6" s="17" t="s">
        <v>169</v>
      </c>
      <c r="C6" s="17" t="s">
        <v>835</v>
      </c>
      <c r="D6" s="17" t="str">
        <f ca="1">IFERROR(__xludf.DUMMYFUNCTION("GOOGLETRANSLATE(C6,""ES"",""EN"")"),"Users \ intervention \ affiliated with public insurance")</f>
        <v>Users \ intervention \ affiliated with public insurance</v>
      </c>
      <c r="E6" s="17" t="s">
        <v>836</v>
      </c>
      <c r="F6" s="17" t="str">
        <f ca="1">IFERROR(__xludf.DUMMYFUNCTION("GOOGLETRANSLATE(E6,""ES"",""EN"")"),"Generally when there is fonasa A, true or when there is Fonasa B, which is generally attended in these mental health centers.")</f>
        <v>Generally when there is fonasa A, true or when there is Fonasa B, which is generally attended in these mental health centers.</v>
      </c>
      <c r="G6" s="18">
        <v>137</v>
      </c>
      <c r="H6" s="19">
        <v>0.34221767042190193</v>
      </c>
      <c r="I6" s="17" t="s">
        <v>837</v>
      </c>
      <c r="J6" s="17" t="str">
        <f ca="1">IFERROR(__xludf.DUMMYFUNCTION("GOOGLETRANSLATE(I6,""ES"",""EN"")"),"Confusing, intervening or mediators of the payment mechanism")</f>
        <v>Confusing, intervening or mediators of the payment mechanism</v>
      </c>
      <c r="K6" s="1"/>
      <c r="L6" s="1"/>
      <c r="M6" s="1"/>
      <c r="N6" s="1"/>
      <c r="O6" s="1"/>
      <c r="P6" s="1"/>
      <c r="Q6" s="1"/>
      <c r="R6" s="1"/>
      <c r="S6" s="1"/>
      <c r="T6" s="1"/>
      <c r="U6" s="1"/>
      <c r="V6" s="1"/>
      <c r="W6" s="1"/>
      <c r="X6" s="1"/>
      <c r="Y6" s="1"/>
    </row>
    <row r="7" spans="1:25" ht="51" x14ac:dyDescent="0.25">
      <c r="A7" s="7" t="s">
        <v>5</v>
      </c>
      <c r="B7" s="17" t="s">
        <v>204</v>
      </c>
      <c r="C7" s="17" t="s">
        <v>835</v>
      </c>
      <c r="D7" s="17" t="str">
        <f ca="1">IFERROR(__xludf.DUMMYFUNCTION("GOOGLETRANSLATE(C7,""ES"",""EN"")"),"Users \ intervention \ affiliated with public insurance")</f>
        <v>Users \ intervention \ affiliated with public insurance</v>
      </c>
      <c r="E7" s="17" t="s">
        <v>838</v>
      </c>
      <c r="F7" s="17" t="str">
        <f ca="1">IFERROR(__xludf.DUMMYFUNCTION("GOOGLETRANSLATE(E7,""ES"",""EN"")"),"Or new that is doing what Cosam is financing, is that Cosam evaluates the, puts it as an ""X"" to attention, but that is paid to the cosam for people A and B.")</f>
        <v>Or new that is doing what Cosam is financing, is that Cosam evaluates the, puts it as an "X" to attention, but that is paid to the cosam for people A and B.</v>
      </c>
      <c r="G7" s="18">
        <v>196</v>
      </c>
      <c r="H7" s="19">
        <v>1.2679518695820935</v>
      </c>
      <c r="I7" s="17" t="s">
        <v>837</v>
      </c>
      <c r="J7" s="17" t="str">
        <f ca="1">IFERROR(__xludf.DUMMYFUNCTION("GOOGLETRANSLATE(I7,""ES"",""EN"")"),"Confusing, intervening or mediators of the payment mechanism")</f>
        <v>Confusing, intervening or mediators of the payment mechanism</v>
      </c>
      <c r="K7" s="1"/>
      <c r="L7" s="1"/>
      <c r="M7" s="1"/>
      <c r="N7" s="1"/>
      <c r="O7" s="1"/>
      <c r="P7" s="1"/>
      <c r="Q7" s="1"/>
      <c r="R7" s="1"/>
      <c r="S7" s="1"/>
      <c r="T7" s="1"/>
      <c r="U7" s="1"/>
      <c r="V7" s="1"/>
      <c r="W7" s="1"/>
      <c r="X7" s="1"/>
      <c r="Y7" s="1"/>
    </row>
    <row r="8" spans="1:25" ht="114.75" x14ac:dyDescent="0.25">
      <c r="A8" s="7" t="s">
        <v>5</v>
      </c>
      <c r="B8" s="17" t="s">
        <v>204</v>
      </c>
      <c r="C8" s="17" t="s">
        <v>839</v>
      </c>
      <c r="D8" s="17" t="str">
        <f ca="1">IFERROR(__xludf.DUMMYFUNCTION("GOOGLETRANSLATE(C8,""ES"",""EN"")"),"Users \ intervention \ affiliated with public insurance \ sections c and d copan")</f>
        <v>Users \ intervention \ affiliated with public insurance \ sections c and d copan</v>
      </c>
      <c r="E8" s="17" t="s">
        <v>840</v>
      </c>
      <c r="F8" s="17" t="str">
        <f ca="1">IFERROR(__xludf.DUMMYFUNCTION("GOOGLETRANSLATE(E8,""ES"",""EN"")"),"The Cs have to reimburse somely per 100 and the same D. But from what I have understood and what I have studied lately, Cosam says the consultation an assumption costs $ 10,000 and tells Fonasa this costs the consultation of the patient María Salina and F"&amp;"onasa pays him that as or b but B but but being C and D have to pay a percentage the person who is called who wants health care.")</f>
        <v>The Cs have to reimburse somely per 100 and the same D. But from what I have understood and what I have studied lately, Cosam says the consultation an assumption costs $ 10,000 and tells Fonasa this costs the consultation of the patient María Salina and Fonasa pays him that as or b but B but but being C and D have to pay a percentage the person who is called who wants health care.</v>
      </c>
      <c r="G8" s="18">
        <v>421</v>
      </c>
      <c r="H8" s="19">
        <v>2.7235088627248025</v>
      </c>
      <c r="I8" s="17" t="s">
        <v>837</v>
      </c>
      <c r="J8" s="17" t="str">
        <f ca="1">IFERROR(__xludf.DUMMYFUNCTION("GOOGLETRANSLATE(I8,""ES"",""EN"")"),"Confusing, intervening or mediators of the payment mechanism")</f>
        <v>Confusing, intervening or mediators of the payment mechanism</v>
      </c>
      <c r="K8" s="1"/>
      <c r="L8" s="1"/>
      <c r="M8" s="1"/>
      <c r="N8" s="1"/>
      <c r="O8" s="1"/>
      <c r="P8" s="1"/>
      <c r="Q8" s="1"/>
      <c r="R8" s="1"/>
      <c r="S8" s="1"/>
      <c r="T8" s="1"/>
      <c r="U8" s="1"/>
      <c r="V8" s="1"/>
      <c r="W8" s="1"/>
      <c r="X8" s="1"/>
      <c r="Y8" s="1"/>
    </row>
    <row r="9" spans="1:25" ht="38.25" x14ac:dyDescent="0.25">
      <c r="A9" s="7" t="s">
        <v>5</v>
      </c>
      <c r="B9" s="17" t="s">
        <v>204</v>
      </c>
      <c r="C9" s="17" t="s">
        <v>841</v>
      </c>
      <c r="D9" s="17" t="str">
        <f ca="1">IFERROR(__xludf.DUMMYFUNCTION("GOOGLETRANSLATE(C9,""ES"",""EN"")"),"Users \ intervention \ specific population")</f>
        <v>Users \ intervention \ specific population</v>
      </c>
      <c r="E9" s="17" t="s">
        <v>842</v>
      </c>
      <c r="F9" s="17" t="str">
        <f ca="1">IFERROR(__xludf.DUMMYFUNCTION("GOOGLETRANSLATE(E9,""ES"",""EN"")"),"Prais people have their free attention.")</f>
        <v>Prais people have their free attention.</v>
      </c>
      <c r="G9" s="18">
        <v>42</v>
      </c>
      <c r="H9" s="19">
        <v>0.27170397205330571</v>
      </c>
      <c r="I9" s="17" t="s">
        <v>837</v>
      </c>
      <c r="J9" s="17" t="str">
        <f ca="1">IFERROR(__xludf.DUMMYFUNCTION("GOOGLETRANSLATE(I9,""ES"",""EN"")"),"Confusing, intervening or mediators of the payment mechanism")</f>
        <v>Confusing, intervening or mediators of the payment mechanism</v>
      </c>
      <c r="K9" s="1"/>
      <c r="L9" s="1"/>
      <c r="M9" s="1"/>
      <c r="N9" s="1"/>
      <c r="O9" s="1"/>
      <c r="P9" s="1"/>
      <c r="Q9" s="1"/>
      <c r="R9" s="1"/>
      <c r="S9" s="1"/>
      <c r="T9" s="1"/>
      <c r="U9" s="1"/>
      <c r="V9" s="1"/>
      <c r="W9" s="1"/>
      <c r="X9" s="1"/>
      <c r="Y9" s="1"/>
    </row>
    <row r="10" spans="1:25" ht="76.5" x14ac:dyDescent="0.25">
      <c r="A10" s="12" t="s">
        <v>5</v>
      </c>
      <c r="B10" s="17" t="s">
        <v>204</v>
      </c>
      <c r="C10" s="17" t="s">
        <v>843</v>
      </c>
      <c r="D10" s="17" t="str">
        <f ca="1">IFERROR(__xludf.DUMMYFUNCTION("GOOGLETRANSLATE(C10,""ES"",""EN"")"),"Governance \ intervention \ public policies in favor of community activity")</f>
        <v>Governance \ intervention \ public policies in favor of community activity</v>
      </c>
      <c r="E10" s="17" t="s">
        <v>844</v>
      </c>
      <c r="F10" s="17" t="str">
        <f ca="1">IFERROR(__xludf.DUMMYFUNCTION("GOOGLETRANSLATE(E10,""ES"",""EN"")"),"I believe that in this aspect of the issue of mental health, as I said at first, I believe that we as a community and as much as government and professionals I think they should do a unit and work together, because the health issue is complex mental.")</f>
        <v>I believe that in this aspect of the issue of mental health, as I said at first, I believe that we as a community and as much as government and professionals I think they should do a unit and work together, because the health issue is complex mental.</v>
      </c>
      <c r="G10" s="18">
        <v>265</v>
      </c>
      <c r="H10" s="19">
        <v>1.714322680812524</v>
      </c>
      <c r="I10" s="17" t="s">
        <v>837</v>
      </c>
      <c r="J10" s="17" t="str">
        <f ca="1">IFERROR(__xludf.DUMMYFUNCTION("GOOGLETRANSLATE(I10,""ES"",""EN"")"),"Confusing, intervening or mediators of the payment mechanism")</f>
        <v>Confusing, intervening or mediators of the payment mechanism</v>
      </c>
      <c r="K10" s="1"/>
      <c r="L10" s="1"/>
      <c r="M10" s="1"/>
      <c r="N10" s="1"/>
      <c r="O10" s="1"/>
      <c r="P10" s="1"/>
      <c r="Q10" s="1"/>
      <c r="R10" s="1"/>
      <c r="S10" s="1"/>
      <c r="T10" s="1"/>
      <c r="U10" s="1"/>
      <c r="V10" s="1"/>
      <c r="W10" s="1"/>
      <c r="X10" s="1"/>
      <c r="Y10" s="1"/>
    </row>
    <row r="11" spans="1:25" ht="63.75" x14ac:dyDescent="0.25">
      <c r="A11" s="11" t="s">
        <v>5</v>
      </c>
      <c r="B11" s="17" t="s">
        <v>231</v>
      </c>
      <c r="C11" s="17" t="s">
        <v>845</v>
      </c>
      <c r="D11" s="17" t="str">
        <f ca="1">IFERROR(__xludf.DUMMYFUNCTION("GOOGLETRANSLATE(C11,""ES"",""EN"")"),"Benefits \ intervention \ benefits not valued by fonasa")</f>
        <v>Benefits \ intervention \ benefits not valued by fonasa</v>
      </c>
      <c r="E11" s="17" t="s">
        <v>846</v>
      </c>
      <c r="F11" s="17" t="str">
        <f ca="1">IFERROR(__xludf.DUMMYFUNCTION("GOOGLETRANSLATE(E11,""ES"",""EN"")"),"The other thing is that most people arrived on foot, they did not take a micro. There was a person who had reduced mobility, which was taken collective and that was not covered by Cosam.")</f>
        <v>The other thing is that most people arrived on foot, they did not take a micro. There was a person who had reduced mobility, which was taken collective and that was not covered by Cosam.</v>
      </c>
      <c r="G11" s="18">
        <v>176</v>
      </c>
      <c r="H11" s="19">
        <v>0.5524515035469898</v>
      </c>
      <c r="I11" s="17" t="s">
        <v>847</v>
      </c>
      <c r="J11" s="17" t="str">
        <f ca="1">IFERROR(__xludf.DUMMYFUNCTION("GOOGLETRANSLATE(I11,""ES"",""EN"")"),"Payment associated with a benefit basket")</f>
        <v>Payment associated with a benefit basket</v>
      </c>
      <c r="K11" s="1"/>
      <c r="L11" s="1"/>
      <c r="M11" s="1"/>
      <c r="N11" s="1"/>
      <c r="O11" s="1"/>
      <c r="P11" s="1"/>
      <c r="Q11" s="1"/>
      <c r="R11" s="1"/>
      <c r="S11" s="1"/>
      <c r="T11" s="1"/>
      <c r="U11" s="1"/>
      <c r="V11" s="1"/>
      <c r="W11" s="1"/>
      <c r="X11" s="1"/>
      <c r="Y11" s="1"/>
    </row>
    <row r="12" spans="1:25" ht="178.5" x14ac:dyDescent="0.25">
      <c r="A12" s="12" t="s">
        <v>5</v>
      </c>
      <c r="B12" s="17" t="s">
        <v>231</v>
      </c>
      <c r="C12" s="17" t="s">
        <v>848</v>
      </c>
      <c r="D12" s="17" t="str">
        <f ca="1">IFERROR(__xludf.DUMMYFUNCTION("GOOGLETRANSLATE(C12,""ES"",""EN"")"),"Governance \ intervention \ projects for social organizations")</f>
        <v>Governance \ intervention \ projects for social organizations</v>
      </c>
      <c r="E12" s="17" t="s">
        <v>849</v>
      </c>
      <c r="F12" s="17" t="str">
        <f ca="1">IFERROR(__xludf.DUMMYFUNCTION("GOOGLETRANSLATE(E12,""ES"",""EN"")"),"I just told you that in the center, in the moonlight, a CRD center, I will work a project, and also told you about the School of Art, which was a Fonapi project of Senadis. What Carlos Pérez says and that I share with him. That is, in the back the conditi"&amp;"on. Because there are very few resources and resources, and there comes the appointment with more consistent with Carlos Pérez is that civil society or activist through projects are managing to keep the health status of people a bit afloat.")</f>
        <v>I just told you that in the center, in the moonlight, a CRD center, I will work a project, and also told you about the School of Art, which was a Fonapi project of Senadis. What Carlos Pérez says and that I share with him. That is, in the back the condition. Because there are very few resources and resources, and there comes the appointment with more consistent with Carlos Pérez is that civil society or activist through projects are managing to keep the health status of people a bit afloat.</v>
      </c>
      <c r="G12" s="18">
        <v>707</v>
      </c>
      <c r="H12" s="19">
        <v>2.2192228011802371</v>
      </c>
      <c r="I12" s="17" t="s">
        <v>829</v>
      </c>
      <c r="J12" s="17" t="str">
        <f ca="1">IFERROR(__xludf.DUMMYFUNCTION("GOOGLETRANSLATE(I12,""ES"",""EN"")"),"Agreements with government organizations of the intersector")</f>
        <v>Agreements with government organizations of the intersector</v>
      </c>
      <c r="K12" s="1"/>
      <c r="L12" s="1"/>
      <c r="M12" s="1"/>
      <c r="N12" s="1"/>
      <c r="O12" s="1"/>
      <c r="P12" s="1"/>
      <c r="Q12" s="1"/>
      <c r="R12" s="1"/>
      <c r="S12" s="1"/>
      <c r="T12" s="1"/>
      <c r="U12" s="1"/>
      <c r="V12" s="1"/>
      <c r="W12" s="1"/>
      <c r="X12" s="1"/>
      <c r="Y12" s="1"/>
    </row>
    <row r="13" spans="1:25" ht="102" x14ac:dyDescent="0.25">
      <c r="A13" s="12" t="s">
        <v>5</v>
      </c>
      <c r="B13" s="17" t="s">
        <v>231</v>
      </c>
      <c r="C13" s="17" t="s">
        <v>848</v>
      </c>
      <c r="D13" s="17" t="str">
        <f ca="1">IFERROR(__xludf.DUMMYFUNCTION("GOOGLETRANSLATE(C13,""ES"",""EN"")"),"Governance \ intervention \ projects for social organizations")</f>
        <v>Governance \ intervention \ projects for social organizations</v>
      </c>
      <c r="E13" s="17" t="s">
        <v>850</v>
      </c>
      <c r="F13" s="17" t="str">
        <f ca="1">IFERROR(__xludf.DUMMYFUNCTION("GOOGLETRANSLATE(E13,""ES"",""EN"")"),"Then Fonapi postulates, postulp to Cercotec, postulous A, for example, I postulated a Cercotec to create an inclusive relationship producer. That is, I work with my mind peers in audiovisual productions. That gives work to my peers of mind and on the othe"&amp;"r hand, it helps improve their living conditions and therefore, that has a greater stability on its psychic suffering.")</f>
        <v>Then Fonapi postulates, postulp to Cercotec, postulous A, for example, I postulated a Cercotec to create an inclusive relationship producer. That is, I work with my mind peers in audiovisual productions. That gives work to my peers of mind and on the other hand, it helps improve their living conditions and therefore, that has a greater stability on its psychic suffering.</v>
      </c>
      <c r="G13" s="18">
        <v>384</v>
      </c>
      <c r="H13" s="19">
        <v>1.2053487350116141</v>
      </c>
      <c r="I13" s="17" t="s">
        <v>829</v>
      </c>
      <c r="J13" s="17" t="str">
        <f ca="1">IFERROR(__xludf.DUMMYFUNCTION("GOOGLETRANSLATE(I13,""ES"",""EN"")"),"Agreements with government organizations of the intersector")</f>
        <v>Agreements with government organizations of the intersector</v>
      </c>
      <c r="K13" s="1"/>
      <c r="L13" s="1"/>
      <c r="M13" s="1"/>
      <c r="N13" s="1"/>
      <c r="O13" s="1"/>
      <c r="P13" s="1"/>
      <c r="Q13" s="1"/>
      <c r="R13" s="1"/>
      <c r="S13" s="1"/>
      <c r="T13" s="1"/>
      <c r="U13" s="1"/>
      <c r="V13" s="1"/>
      <c r="W13" s="1"/>
      <c r="X13" s="1"/>
      <c r="Y13" s="1"/>
    </row>
    <row r="14" spans="1:25" ht="114.75" x14ac:dyDescent="0.25">
      <c r="A14" s="12" t="s">
        <v>5</v>
      </c>
      <c r="B14" s="17" t="s">
        <v>231</v>
      </c>
      <c r="C14" s="17" t="s">
        <v>848</v>
      </c>
      <c r="D14" s="17" t="str">
        <f ca="1">IFERROR(__xludf.DUMMYFUNCTION("GOOGLETRANSLATE(C14,""ES"",""EN"")"),"Governance \ intervention \ projects for social organizations")</f>
        <v>Governance \ intervention \ projects for social organizations</v>
      </c>
      <c r="E14" s="17" t="s">
        <v>851</v>
      </c>
      <c r="F14" s="17" t="str">
        <f ca="1">IFERROR(__xludf.DUMMYFUNCTION("GOOGLETRANSLATE(E14,""ES"",""EN"")"),"So, for the moment, since the resources are minimal and that biomedical or biological psychiatry is too hegemonic, well, we have to do as the love center does in Osorno that what they do is apply for project, project every year, every year, project and wi"&amp;"th that to raise initiatives that empower the population, and help substantive improvement and in various degrees of people with psychiatric diagnosis.")</f>
        <v>So, for the moment, since the resources are minimal and that biomedical or biological psychiatry is too hegemonic, well, we have to do as the love center does in Osorno that what they do is apply for project, project every year, every year, project and with that to raise initiatives that empower the population, and help substantive improvement and in various degrees of people with psychiatric diagnosis.</v>
      </c>
      <c r="G14" s="18">
        <v>424</v>
      </c>
      <c r="H14" s="19">
        <v>1.3309058949086572</v>
      </c>
      <c r="I14" s="17" t="s">
        <v>829</v>
      </c>
      <c r="J14" s="17" t="str">
        <f ca="1">IFERROR(__xludf.DUMMYFUNCTION("GOOGLETRANSLATE(I14,""ES"",""EN"")"),"Agreements with government organizations of the intersector")</f>
        <v>Agreements with government organizations of the intersector</v>
      </c>
      <c r="K14" s="1"/>
      <c r="L14" s="1"/>
      <c r="M14" s="1"/>
      <c r="N14" s="1"/>
      <c r="O14" s="1"/>
      <c r="P14" s="1"/>
      <c r="Q14" s="1"/>
      <c r="R14" s="1"/>
      <c r="S14" s="1"/>
      <c r="T14" s="1"/>
      <c r="U14" s="1"/>
      <c r="V14" s="1"/>
      <c r="W14" s="1"/>
      <c r="X14" s="1"/>
      <c r="Y14" s="1"/>
    </row>
    <row r="15" spans="1:25" ht="89.25" x14ac:dyDescent="0.25">
      <c r="A15" s="12" t="s">
        <v>5</v>
      </c>
      <c r="B15" s="17" t="s">
        <v>231</v>
      </c>
      <c r="C15" s="17" t="s">
        <v>848</v>
      </c>
      <c r="D15" s="17" t="str">
        <f ca="1">IFERROR(__xludf.DUMMYFUNCTION("GOOGLETRANSLATE(C15,""ES"",""EN"")"),"Governance \ intervention \ projects for social organizations")</f>
        <v>Governance \ intervention \ projects for social organizations</v>
      </c>
      <c r="E15" s="17" t="s">
        <v>852</v>
      </c>
      <c r="F15" s="17" t="str">
        <f ca="1">IFERROR(__xludf.DUMMYFUNCTION("GOOGLETRANSLATE(E15,""ES"",""EN"")"),"In short, the minimum budget and does not give to do almost anything. And in that sense, what we have left is to expect more people who are activists or do things and do projects where these people participating with psychiatric diagnosis so that they som"&amp;"ehow improve their stability and improve their condition.")</f>
        <v>In short, the minimum budget and does not give to do almost anything. And in that sense, what we have left is to expect more people who are activists or do things and do projects where these people participating with psychiatric diagnosis so that they somehow improve their stability and improve their condition.</v>
      </c>
      <c r="G15" s="18">
        <v>315</v>
      </c>
      <c r="H15" s="19">
        <v>0.98876263418921462</v>
      </c>
      <c r="I15" s="17" t="s">
        <v>829</v>
      </c>
      <c r="J15" s="17" t="str">
        <f ca="1">IFERROR(__xludf.DUMMYFUNCTION("GOOGLETRANSLATE(I15,""ES"",""EN"")"),"Agreements with government organizations of the intersector")</f>
        <v>Agreements with government organizations of the intersector</v>
      </c>
      <c r="K15" s="1"/>
      <c r="L15" s="1"/>
      <c r="M15" s="1"/>
      <c r="N15" s="1"/>
      <c r="O15" s="1"/>
      <c r="P15" s="1"/>
      <c r="Q15" s="1"/>
      <c r="R15" s="1"/>
      <c r="S15" s="1"/>
      <c r="T15" s="1"/>
      <c r="U15" s="1"/>
      <c r="V15" s="1"/>
      <c r="W15" s="1"/>
      <c r="X15" s="1"/>
      <c r="Y15" s="1"/>
    </row>
    <row r="16" spans="1:25" ht="102" x14ac:dyDescent="0.25">
      <c r="A16" s="7" t="s">
        <v>5</v>
      </c>
      <c r="B16" s="17" t="s">
        <v>274</v>
      </c>
      <c r="C16" s="17" t="s">
        <v>835</v>
      </c>
      <c r="D16" s="17" t="str">
        <f ca="1">IFERROR(__xludf.DUMMYFUNCTION("GOOGLETRANSLATE(C16,""ES"",""EN"")"),"Users \ intervention \ affiliated with public insurance")</f>
        <v>Users \ intervention \ affiliated with public insurance</v>
      </c>
      <c r="E16" s="17" t="s">
        <v>853</v>
      </c>
      <c r="F16" s="17" t="str">
        <f ca="1">IFERROR(__xludf.DUMMYFUNCTION("GOOGLETRANSLATE(E16,""ES"",""EN"")"),"What I have more or less clear is that with respect to Cosam, they do not pay, people do not pay. Let's say that patients do not pay for remedies or consultations and are within, say, of Cosam. That is what we are, let's say, in terms of financing. No, it"&amp;" is not a monetary charge for them, let's say, for the user to attend within the Cosam.")</f>
        <v>What I have more or less clear is that with respect to Cosam, they do not pay, people do not pay. Let's say that patients do not pay for remedies or consultations and are within, say, of Cosam. That is what we are, let's say, in terms of financing. No, it is not a monetary charge for them, let's say, for the user to attend within the Cosam.</v>
      </c>
      <c r="G16" s="18">
        <v>371</v>
      </c>
      <c r="H16" s="19">
        <v>1.716162457211583</v>
      </c>
      <c r="I16" s="17" t="s">
        <v>837</v>
      </c>
      <c r="J16" s="17" t="str">
        <f ca="1">IFERROR(__xludf.DUMMYFUNCTION("GOOGLETRANSLATE(I16,""ES"",""EN"")"),"Confusing, intervening or mediators of the payment mechanism")</f>
        <v>Confusing, intervening or mediators of the payment mechanism</v>
      </c>
      <c r="K16" s="1"/>
      <c r="L16" s="1"/>
      <c r="M16" s="1"/>
      <c r="N16" s="1"/>
      <c r="O16" s="1"/>
      <c r="P16" s="1"/>
      <c r="Q16" s="1"/>
      <c r="R16" s="1"/>
      <c r="S16" s="1"/>
      <c r="T16" s="1"/>
      <c r="U16" s="1"/>
      <c r="V16" s="1"/>
      <c r="W16" s="1"/>
      <c r="X16" s="1"/>
      <c r="Y16" s="1"/>
    </row>
    <row r="17" spans="1:25" ht="89.25" x14ac:dyDescent="0.25">
      <c r="A17" s="7" t="s">
        <v>5</v>
      </c>
      <c r="B17" s="17" t="s">
        <v>274</v>
      </c>
      <c r="C17" s="17" t="s">
        <v>854</v>
      </c>
      <c r="D17" s="17" t="str">
        <f ca="1">IFERROR(__xludf.DUMMYFUNCTION("GOOGLETRANSLATE(C17,""ES"",""EN"")"),"Users \ intervention \ affiliated with public insurance \ free mode choice mle de fonasa")</f>
        <v>Users \ intervention \ affiliated with public insurance \ free mode choice mle de fonasa</v>
      </c>
      <c r="E17" s="17" t="s">
        <v>855</v>
      </c>
      <c r="F17" s="17" t="str">
        <f ca="1">IFERROR(__xludf.DUMMYFUNCTION("GOOGLETRANSLATE(E17,""ES"",""EN"")"),"Yes, if you want to do it in a particular way. Even in these special centers that are paid less, it is much cheaper and that sometimes some of them choose to go to these places just because they do not have free access to contact their psychiatrist, their"&amp;" treating doctor, when a episode.")</f>
        <v>Yes, if you want to do it in a particular way. Even in these special centers that are paid less, it is much cheaper and that sometimes some of them choose to go to these places just because they do not have free access to contact their psychiatrist, their treating doctor, when a episode.</v>
      </c>
      <c r="G17" s="18">
        <v>322</v>
      </c>
      <c r="H17" s="19">
        <v>1.4894994911647701</v>
      </c>
      <c r="I17" s="17" t="s">
        <v>837</v>
      </c>
      <c r="J17" s="17" t="str">
        <f ca="1">IFERROR(__xludf.DUMMYFUNCTION("GOOGLETRANSLATE(I17,""ES"",""EN"")"),"Confusing, intervening or mediators of the payment mechanism")</f>
        <v>Confusing, intervening or mediators of the payment mechanism</v>
      </c>
      <c r="K17" s="1"/>
      <c r="L17" s="1"/>
      <c r="M17" s="1"/>
      <c r="N17" s="1"/>
      <c r="O17" s="1"/>
      <c r="P17" s="1"/>
      <c r="Q17" s="1"/>
      <c r="R17" s="1"/>
      <c r="S17" s="1"/>
      <c r="T17" s="1"/>
      <c r="U17" s="1"/>
      <c r="V17" s="1"/>
      <c r="W17" s="1"/>
      <c r="X17" s="1"/>
      <c r="Y17" s="1"/>
    </row>
    <row r="18" spans="1:25" ht="63.75" x14ac:dyDescent="0.25">
      <c r="A18" s="6" t="s">
        <v>5</v>
      </c>
      <c r="B18" s="17" t="s">
        <v>274</v>
      </c>
      <c r="C18" s="17" t="s">
        <v>830</v>
      </c>
      <c r="D18" s="17" t="str">
        <f ca="1">IFERROR(__xludf.DUMMYFUNCTION("GOOGLETRANSLATE(C18,""ES"",""EN"")"),"FINANCING \ INTERVENTION \ UNIVERSAL GENDER GUARANTEE PLAN")</f>
        <v>FINANCING \ INTERVENTION \ UNIVERSAL GENDER GUARANTEE PLAN</v>
      </c>
      <c r="E18" s="17" t="s">
        <v>856</v>
      </c>
      <c r="F18" s="17" t="str">
        <f ca="1">IFERROR(__xludf.DUMMYFUNCTION("GOOGLETRANSLATE(E18,""ES"",""EN"")"),"I think so, little, but I have been advancing with the theme of the GES. If patients can also access more economically to private psychiatrists, also to opt for much cheaper or more free medications.")</f>
        <v>I think so, little, but I have been advancing with the theme of the GES. If patients can also access more economically to private psychiatrists, also to opt for much cheaper or more free medications.</v>
      </c>
      <c r="G18" s="18">
        <v>223</v>
      </c>
      <c r="H18" s="19">
        <v>1.0315477842538625</v>
      </c>
      <c r="I18" s="17" t="s">
        <v>832</v>
      </c>
      <c r="J18" s="17" t="str">
        <f ca="1">IFERROR(__xludf.DUMMYFUNCTION("GOOGLETRANSLATE(I18,""ES"",""EN"")"),"Universal Health Guarantee Plan (GES)")</f>
        <v>Universal Health Guarantee Plan (GES)</v>
      </c>
      <c r="K18" s="1"/>
      <c r="L18" s="1"/>
      <c r="M18" s="1"/>
      <c r="N18" s="1"/>
      <c r="O18" s="1"/>
      <c r="P18" s="1"/>
      <c r="Q18" s="1"/>
      <c r="R18" s="1"/>
      <c r="S18" s="1"/>
      <c r="T18" s="1"/>
      <c r="U18" s="1"/>
      <c r="V18" s="1"/>
      <c r="W18" s="1"/>
      <c r="X18" s="1"/>
      <c r="Y18" s="1"/>
    </row>
    <row r="19" spans="1:25" ht="140.25" x14ac:dyDescent="0.25">
      <c r="A19" s="6" t="s">
        <v>5</v>
      </c>
      <c r="B19" s="17" t="s">
        <v>274</v>
      </c>
      <c r="C19" s="17" t="s">
        <v>830</v>
      </c>
      <c r="D19" s="17" t="str">
        <f ca="1">IFERROR(__xludf.DUMMYFUNCTION("GOOGLETRANSLATE(C19,""ES"",""EN"")"),"FINANCING \ INTERVENTION \ UNIVERSAL GENDER GUARANTEE PLAN")</f>
        <v>FINANCING \ INTERVENTION \ UNIVERSAL GENDER GUARANTEE PLAN</v>
      </c>
      <c r="E19" s="17" t="s">
        <v>857</v>
      </c>
      <c r="F19" s="17" t="str">
        <f ca="1">IFERROR(__xludf.DUMMYFUNCTION("GOOGLETRANSLATE(E19,""ES"",""EN"")"),"But there is still the same problem that I mentioned just being fonasa or being part of the Isapre GES. True, it's called Ges. Why? Because we finally return to the same. He has the impression that going to see a private doctor is like the doctor is going"&amp;" to dedicate more to you, it will be better, of better quality the attention, which does not happen either, something that the specialist is, say, say, specialized in condition. And on the other hand, medications also change them inside the basket.")</f>
        <v>But there is still the same problem that I mentioned just being fonasa or being part of the Isapre GES. True, it's called Ges. Why? Because we finally return to the same. He has the impression that going to see a private doctor is like the doctor is going to dedicate more to you, it will be better, of better quality the attention, which does not happen either, something that the specialist is, say, say, specialized in condition. And on the other hand, medications also change them inside the basket.</v>
      </c>
      <c r="G19" s="18">
        <v>521</v>
      </c>
      <c r="H19" s="19">
        <v>2.410028679803867</v>
      </c>
      <c r="I19" s="17" t="s">
        <v>832</v>
      </c>
      <c r="J19" s="17" t="str">
        <f ca="1">IFERROR(__xludf.DUMMYFUNCTION("GOOGLETRANSLATE(I19,""ES"",""EN"")"),"Universal Health Guarantee Plan (GES)")</f>
        <v>Universal Health Guarantee Plan (GES)</v>
      </c>
      <c r="K19" s="1"/>
      <c r="L19" s="1"/>
      <c r="M19" s="1"/>
      <c r="N19" s="1"/>
      <c r="O19" s="1"/>
      <c r="P19" s="1"/>
      <c r="Q19" s="1"/>
      <c r="R19" s="1"/>
      <c r="S19" s="1"/>
      <c r="T19" s="1"/>
      <c r="U19" s="1"/>
      <c r="V19" s="1"/>
      <c r="W19" s="1"/>
      <c r="X19" s="1"/>
      <c r="Y19" s="1"/>
    </row>
    <row r="20" spans="1:25" ht="51" x14ac:dyDescent="0.25">
      <c r="A20" s="6" t="s">
        <v>5</v>
      </c>
      <c r="B20" s="17" t="s">
        <v>274</v>
      </c>
      <c r="C20" s="17" t="s">
        <v>830</v>
      </c>
      <c r="D20" s="17" t="str">
        <f ca="1">IFERROR(__xludf.DUMMYFUNCTION("GOOGLETRANSLATE(C20,""ES"",""EN"")"),"FINANCING \ INTERVENTION \ UNIVERSAL GENDER GUARANTEE PLAN")</f>
        <v>FINANCING \ INTERVENTION \ UNIVERSAL GENDER GUARANTEE PLAN</v>
      </c>
      <c r="E20" s="17" t="s">
        <v>858</v>
      </c>
      <c r="F20" s="17" t="str">
        <f ca="1">IFERROR(__xludf.DUMMYFUNCTION("GOOGLETRANSLATE(E20,""ES"",""EN"")"),"In our case, although I have Isapre, we have never attended for the GES, for the same reason, because I know they will send us to a specialist where Isapre says")</f>
        <v>In our case, although I have Isapre, we have never attended for the GES, for the same reason, because I know they will send us to a specialist where Isapre says</v>
      </c>
      <c r="G20" s="18">
        <v>172</v>
      </c>
      <c r="H20" s="19">
        <v>0.79563326857248584</v>
      </c>
      <c r="I20" s="17" t="s">
        <v>832</v>
      </c>
      <c r="J20" s="17" t="str">
        <f ca="1">IFERROR(__xludf.DUMMYFUNCTION("GOOGLETRANSLATE(I20,""ES"",""EN"")"),"Universal Health Guarantee Plan (GES)")</f>
        <v>Universal Health Guarantee Plan (GES)</v>
      </c>
      <c r="K20" s="1"/>
      <c r="L20" s="1"/>
      <c r="M20" s="1"/>
      <c r="N20" s="1"/>
      <c r="O20" s="1"/>
      <c r="P20" s="1"/>
      <c r="Q20" s="1"/>
      <c r="R20" s="1"/>
      <c r="S20" s="1"/>
      <c r="T20" s="1"/>
      <c r="U20" s="1"/>
      <c r="V20" s="1"/>
      <c r="W20" s="1"/>
      <c r="X20" s="1"/>
      <c r="Y20" s="1"/>
    </row>
    <row r="21" spans="1:25" ht="102" x14ac:dyDescent="0.25">
      <c r="A21" s="6" t="s">
        <v>5</v>
      </c>
      <c r="B21" s="17" t="s">
        <v>274</v>
      </c>
      <c r="C21" s="17" t="s">
        <v>859</v>
      </c>
      <c r="D21" s="17" t="str">
        <f ca="1">IFERROR(__xludf.DUMMYFUNCTION("GOOGLETRANSLATE(C21,""ES"",""EN"")"),"Financing \ intervention \ pocket expense")</f>
        <v>Financing \ intervention \ pocket expense</v>
      </c>
      <c r="E21" s="17" t="s">
        <v>860</v>
      </c>
      <c r="F21" s="17" t="str">
        <f ca="1">IFERROR(__xludf.DUMMYFUNCTION("GOOGLETRANSLATE(E21,""ES"",""EN"")"),"And we decided to do everything in a particular way. We pay very clearly, we can do it, but we pay a doctor that the consultation is worth $ 95,000, but safer that it is an hour, where an hour is knowing the patient. He knows the whole journey, since when"&amp;" he triggered the bipolar disorder and was the one who finally diagnosed my son like that, and we could learn with him.")</f>
        <v>And we decided to do everything in a particular way. We pay very clearly, we can do it, but we pay a doctor that the consultation is worth $ 95,000, but safer that it is an hour, where an hour is knowing the patient. He knows the whole journey, since when he triggered the bipolar disorder and was the one who finally diagnosed my son like that, and we could learn with him.</v>
      </c>
      <c r="G21" s="18">
        <v>389</v>
      </c>
      <c r="H21" s="19">
        <v>1.7994264039226568</v>
      </c>
      <c r="I21" s="17" t="s">
        <v>861</v>
      </c>
      <c r="J21" s="17" t="str">
        <f ca="1">IFERROR(__xludf.DUMMYFUNCTION("GOOGLETRANSLATE(I21,""ES"",""EN"")"),"Pocket spending")</f>
        <v>Pocket spending</v>
      </c>
      <c r="K21" s="1"/>
      <c r="L21" s="1"/>
      <c r="M21" s="1"/>
      <c r="N21" s="1"/>
      <c r="O21" s="1"/>
      <c r="P21" s="1"/>
      <c r="Q21" s="1"/>
      <c r="R21" s="1"/>
      <c r="S21" s="1"/>
      <c r="T21" s="1"/>
      <c r="U21" s="1"/>
      <c r="V21" s="1"/>
      <c r="W21" s="1"/>
      <c r="X21" s="1"/>
      <c r="Y21" s="1"/>
    </row>
    <row r="22" spans="1:25" ht="15.75" customHeight="1" x14ac:dyDescent="0.25">
      <c r="A22" s="6" t="s">
        <v>5</v>
      </c>
      <c r="B22" s="17" t="s">
        <v>321</v>
      </c>
      <c r="C22" s="17" t="s">
        <v>862</v>
      </c>
      <c r="D22" s="17" t="str">
        <f ca="1">IFERROR(__xludf.DUMMYFUNCTION("GOOGLETRANSLATE(C22,""ES"",""EN"")"),"Financing \ intervention \ by baskets in some diagnoses")</f>
        <v>Financing \ intervention \ by baskets in some diagnoses</v>
      </c>
      <c r="E22" s="17" t="s">
        <v>863</v>
      </c>
      <c r="F22" s="17" t="str">
        <f ca="1">IFERROR(__xludf.DUMMYFUNCTION("GOOGLETRANSLATE(E22,""ES"",""EN"")"),"I do not know if its origin in time, but probably so it was until 2019. In this case much of the where the level of specialty included the centers the comments were financed under the PPV mechanism and that was the Gran Vía de financing that had associate"&amp;"d with the basket of a specific health problem created by a technical commission of experts validated by Fonasa and that delivered a tariff to the benefit with certain tracers probably defined the payment or not of a certain previous basket for each cente"&amp;"r for each center In Sigges of each user.")</f>
        <v>I do not know if its origin in time, but probably so it was until 2019. In this case much of the where the level of specialty included the centers the comments were financed under the PPV mechanism and that was the Gran Vía de financing that had associated with the basket of a specific health problem created by a technical commission of experts validated by Fonasa and that delivered a tariff to the benefit with certain tracers probably defined the payment or not of a certain previous basket for each center for each center In Sigges of each user.</v>
      </c>
      <c r="G22" s="18">
        <v>588</v>
      </c>
      <c r="H22" s="19">
        <v>1.6763599042080055</v>
      </c>
      <c r="I22" s="17" t="s">
        <v>847</v>
      </c>
      <c r="J22" s="17" t="str">
        <f ca="1">IFERROR(__xludf.DUMMYFUNCTION("GOOGLETRANSLATE(I22,""ES"",""EN"")"),"Payment associated with a benefit basket")</f>
        <v>Payment associated with a benefit basket</v>
      </c>
      <c r="K22" s="1"/>
      <c r="L22" s="1"/>
      <c r="M22" s="1"/>
      <c r="N22" s="1"/>
      <c r="O22" s="1"/>
      <c r="P22" s="1"/>
      <c r="Q22" s="1"/>
      <c r="R22" s="1"/>
      <c r="S22" s="1"/>
      <c r="T22" s="1"/>
      <c r="U22" s="1"/>
      <c r="V22" s="1"/>
      <c r="W22" s="1"/>
      <c r="X22" s="1"/>
      <c r="Y22" s="1"/>
    </row>
    <row r="23" spans="1:25" ht="15.75" customHeight="1" x14ac:dyDescent="0.25">
      <c r="A23" s="6" t="s">
        <v>5</v>
      </c>
      <c r="B23" s="17" t="s">
        <v>321</v>
      </c>
      <c r="C23" s="17" t="s">
        <v>862</v>
      </c>
      <c r="D23" s="17" t="str">
        <f ca="1">IFERROR(__xludf.DUMMYFUNCTION("GOOGLETRANSLATE(C23,""ES"",""EN"")"),"Financing \ intervention \ by baskets in some diagnoses")</f>
        <v>Financing \ intervention \ by baskets in some diagnoses</v>
      </c>
      <c r="E23" s="17" t="s">
        <v>864</v>
      </c>
      <c r="F23" s="17" t="str">
        <f ca="1">IFERROR(__xludf.DUMMYFUNCTION("GOOGLETRANSLATE(E23,""ES"",""EN"")"),"Same logic dealt for GES pathologies like the ones not finally.")</f>
        <v>Same logic dealt for GES pathologies like the ones not finally.</v>
      </c>
      <c r="G23" s="18">
        <v>81</v>
      </c>
      <c r="H23" s="19">
        <v>0.23092712966130685</v>
      </c>
      <c r="I23" s="17" t="s">
        <v>847</v>
      </c>
      <c r="J23" s="17" t="str">
        <f ca="1">IFERROR(__xludf.DUMMYFUNCTION("GOOGLETRANSLATE(I23,""ES"",""EN"")"),"Payment associated with a benefit basket")</f>
        <v>Payment associated with a benefit basket</v>
      </c>
      <c r="K23" s="1"/>
      <c r="L23" s="1"/>
      <c r="M23" s="1"/>
      <c r="N23" s="1"/>
      <c r="O23" s="1"/>
      <c r="P23" s="1"/>
      <c r="Q23" s="1"/>
      <c r="R23" s="1"/>
      <c r="S23" s="1"/>
      <c r="T23" s="1"/>
      <c r="U23" s="1"/>
      <c r="V23" s="1"/>
      <c r="W23" s="1"/>
      <c r="X23" s="1"/>
      <c r="Y23" s="1"/>
    </row>
    <row r="24" spans="1:25" ht="15.75" customHeight="1" x14ac:dyDescent="0.25">
      <c r="A24" s="6" t="s">
        <v>5</v>
      </c>
      <c r="B24" s="17" t="s">
        <v>321</v>
      </c>
      <c r="C24" s="17" t="s">
        <v>862</v>
      </c>
      <c r="D24" s="17" t="str">
        <f ca="1">IFERROR(__xludf.DUMMYFUNCTION("GOOGLETRANSLATE(C24,""ES"",""EN"")"),"Financing \ intervention \ by baskets in some diagnoses")</f>
        <v>Financing \ intervention \ by baskets in some diagnoses</v>
      </c>
      <c r="E24" s="17" t="s">
        <v>865</v>
      </c>
      <c r="F24" s="17" t="str">
        <f ca="1">IFERROR(__xludf.DUMMYFUNCTION("GOOGLETRANSLATE(E24,""ES"",""EN"")"),"And that it was probably a well -known mechanism and accepted by the network that had as all positive elements and negative elements. Among the positive elements, it probably allowed much more exhaustive follow -up of the silver that were delivered to men"&amp;"tal health and between marked quotes helped me probably define what the financing logic was. The financing budget assigned to mental health.")</f>
        <v>And that it was probably a well -known mechanism and accepted by the network that had as all positive elements and negative elements. Among the positive elements, it probably allowed much more exhaustive follow -up of the silver that were delivered to mental health and between marked quotes helped me probably define what the financing logic was. The financing budget assigned to mental health.</v>
      </c>
      <c r="G24" s="18">
        <v>437</v>
      </c>
      <c r="H24" s="19">
        <v>1.2458661192838407</v>
      </c>
      <c r="I24" s="17" t="s">
        <v>847</v>
      </c>
      <c r="J24" s="17" t="str">
        <f ca="1">IFERROR(__xludf.DUMMYFUNCTION("GOOGLETRANSLATE(I24,""ES"",""EN"")"),"Payment associated with a benefit basket")</f>
        <v>Payment associated with a benefit basket</v>
      </c>
      <c r="K24" s="1"/>
      <c r="L24" s="1"/>
      <c r="M24" s="1"/>
      <c r="N24" s="1"/>
      <c r="O24" s="1"/>
      <c r="P24" s="1"/>
      <c r="Q24" s="1"/>
      <c r="R24" s="1"/>
      <c r="S24" s="1"/>
      <c r="T24" s="1"/>
      <c r="U24" s="1"/>
      <c r="V24" s="1"/>
      <c r="W24" s="1"/>
      <c r="X24" s="1"/>
      <c r="Y24" s="1"/>
    </row>
    <row r="25" spans="1:25" ht="15.75" customHeight="1" x14ac:dyDescent="0.25">
      <c r="A25" s="6" t="s">
        <v>5</v>
      </c>
      <c r="B25" s="17" t="s">
        <v>321</v>
      </c>
      <c r="C25" s="17" t="s">
        <v>862</v>
      </c>
      <c r="D25" s="17" t="str">
        <f ca="1">IFERROR(__xludf.DUMMYFUNCTION("GOOGLETRANSLATE(C25,""ES"",""EN"")"),"Financing \ intervention \ by baskets in some diagnoses")</f>
        <v>Financing \ intervention \ by baskets in some diagnoses</v>
      </c>
      <c r="E25" s="17" t="s">
        <v>866</v>
      </c>
      <c r="F25" s="17" t="str">
        <f ca="1">IFERROR(__xludf.DUMMYFUNCTION("GOOGLETRANSLATE(E25,""ES"",""EN"")"),"And that I believe that the great advantage of this mechanism was that it allowed more or less to have a more or less clear record of what was produced and how much that production cost. One could claim that probably the financing of our baskets in genera"&amp;"l was quite low, since the benefits are valued very low or very low amount by Fonasa.")</f>
        <v>And that I believe that the great advantage of this mechanism was that it allowed more or less to have a more or less clear record of what was produced and how much that production cost. One could claim that probably the financing of our baskets in general was quite low, since the benefits are valued very low or very low amount by Fonasa.</v>
      </c>
      <c r="G25" s="18">
        <v>369</v>
      </c>
      <c r="H25" s="19">
        <v>1.0520013684570646</v>
      </c>
      <c r="I25" s="17" t="s">
        <v>847</v>
      </c>
      <c r="J25" s="17" t="str">
        <f ca="1">IFERROR(__xludf.DUMMYFUNCTION("GOOGLETRANSLATE(I25,""ES"",""EN"")"),"Payment associated with a benefit basket")</f>
        <v>Payment associated with a benefit basket</v>
      </c>
      <c r="K25" s="1"/>
      <c r="L25" s="1"/>
      <c r="M25" s="1"/>
      <c r="N25" s="1"/>
      <c r="O25" s="1"/>
      <c r="P25" s="1"/>
      <c r="Q25" s="1"/>
      <c r="R25" s="1"/>
      <c r="S25" s="1"/>
      <c r="T25" s="1"/>
      <c r="U25" s="1"/>
      <c r="V25" s="1"/>
      <c r="W25" s="1"/>
      <c r="X25" s="1"/>
      <c r="Y25" s="1"/>
    </row>
    <row r="26" spans="1:25" ht="15.75" customHeight="1" x14ac:dyDescent="0.25">
      <c r="A26" s="6" t="s">
        <v>5</v>
      </c>
      <c r="B26" s="17" t="s">
        <v>321</v>
      </c>
      <c r="C26" s="17" t="s">
        <v>862</v>
      </c>
      <c r="D26" s="17" t="str">
        <f ca="1">IFERROR(__xludf.DUMMYFUNCTION("GOOGLETRANSLATE(C26,""ES"",""EN"")"),"Financing \ intervention \ by baskets in some diagnoses")</f>
        <v>Financing \ intervention \ by baskets in some diagnoses</v>
      </c>
      <c r="E26" s="17" t="s">
        <v>867</v>
      </c>
      <c r="F26" s="17" t="str">
        <f ca="1">IFERROR(__xludf.DUMMYFUNCTION("GOOGLETRANSLATE(E26,""ES"",""EN"")"),"In general 2019 and this is probably a lap that began to work from Fonasa. I do not know if so directly under the Ministry of Finance through the Dipres, but clearly from Fonasa around the Entrecomillas Elimination of the PPI, forgiveness of the PPV, asso"&amp;"ciated with the creation of two major programs, in this case the gloss 4 and The Glosa 5 regarding what was PPI and the GRD of financing of high complexity hospitals. Then, much of the health system began to finance under these two ways mainly, and to som"&amp;"e degree there was also a very minor DFL percentage, and that there were also efforts to finally reduce the amount of DFL 36.")</f>
        <v>In general 2019 and this is probably a lap that began to work from Fonasa. I do not know if so directly under the Ministry of Finance through the Dipres, but clearly from Fonasa around the Entrecomillas Elimination of the PPI, forgiveness of the PPV, associated with the creation of two major programs, in this case the gloss 4 and The Glosa 5 regarding what was PPI and the GRD of financing of high complexity hospitals. Then, much of the health system began to finance under these two ways mainly, and to some degree there was also a very minor DFL percentage, and that there were also efforts to finally reduce the amount of DFL 36.</v>
      </c>
      <c r="G26" s="18">
        <v>716</v>
      </c>
      <c r="H26" s="19">
        <v>2.0412817881172312</v>
      </c>
      <c r="I26" s="17" t="s">
        <v>847</v>
      </c>
      <c r="J26" s="17" t="str">
        <f ca="1">IFERROR(__xludf.DUMMYFUNCTION("GOOGLETRANSLATE(I26,""ES"",""EN"")"),"Payment associated with a benefit basket")</f>
        <v>Payment associated with a benefit basket</v>
      </c>
      <c r="K26" s="1"/>
      <c r="L26" s="1"/>
      <c r="M26" s="1"/>
      <c r="N26" s="1"/>
      <c r="O26" s="1"/>
      <c r="P26" s="1"/>
      <c r="Q26" s="1"/>
      <c r="R26" s="1"/>
      <c r="S26" s="1"/>
      <c r="T26" s="1"/>
      <c r="U26" s="1"/>
      <c r="V26" s="1"/>
      <c r="W26" s="1"/>
      <c r="X26" s="1"/>
      <c r="Y26" s="1"/>
    </row>
    <row r="27" spans="1:25" ht="15.75" customHeight="1" x14ac:dyDescent="0.25">
      <c r="A27" s="6" t="s">
        <v>5</v>
      </c>
      <c r="B27" s="17" t="s">
        <v>321</v>
      </c>
      <c r="C27" s="17" t="s">
        <v>868</v>
      </c>
      <c r="D27" s="17" t="str">
        <f ca="1">IFERROR(__xludf.DUMMYFUNCTION("GOOGLETRANSLATE(C27,""ES"",""EN"")"),"Financing \ Intervention \ Prospective Annual Budget of the SS")</f>
        <v>Financing \ Intervention \ Prospective Annual Budget of the SS</v>
      </c>
      <c r="E27" s="17" t="s">
        <v>869</v>
      </c>
      <c r="F27" s="17" t="str">
        <f ca="1">IFERROR(__xludf.DUMMYFUNCTION("GOOGLETRANSLATE(E27,""ES"",""EN"")"),"Then, given that figure, much of the specialized care, including Cosam, for example, do not enter into high complexity hospital logic and therefore enters what is financing by the PPI of health services. And that probably made a great difficulty, since Fo"&amp;"nasa has also not wanted to mark the silver and in quotes, he gives a freedom to each health service to administer its PPI and GRD budget in the case of high complexity hospitals")</f>
        <v>Then, given that figure, much of the specialized care, including Cosam, for example, do not enter into high complexity hospital logic and therefore enters what is financing by the PPI of health services. And that probably made a great difficulty, since Fonasa has also not wanted to mark the silver and in quotes, he gives a freedom to each health service to administer its PPI and GRD budget in the case of high complexity hospitals</v>
      </c>
      <c r="G27" s="18">
        <v>504</v>
      </c>
      <c r="H27" s="19">
        <v>1.4368799178925762</v>
      </c>
      <c r="I27" s="17" t="s">
        <v>870</v>
      </c>
      <c r="J27" s="17" t="str">
        <f ca="1">IFERROR(__xludf.DUMMYFUNCTION("GOOGLETRANSLATE(I27,""ES"",""EN"")"),"Historical Prospective Budget")</f>
        <v>Historical Prospective Budget</v>
      </c>
      <c r="K27" s="1"/>
      <c r="L27" s="1"/>
      <c r="M27" s="1"/>
      <c r="N27" s="1"/>
      <c r="O27" s="1"/>
      <c r="P27" s="1"/>
      <c r="Q27" s="1"/>
      <c r="R27" s="1"/>
      <c r="S27" s="1"/>
      <c r="T27" s="1"/>
      <c r="U27" s="1"/>
      <c r="V27" s="1"/>
      <c r="W27" s="1"/>
      <c r="X27" s="1"/>
      <c r="Y27" s="1"/>
    </row>
    <row r="28" spans="1:25" ht="15.75" customHeight="1" x14ac:dyDescent="0.25">
      <c r="A28" s="6" t="s">
        <v>5</v>
      </c>
      <c r="B28" s="17" t="s">
        <v>321</v>
      </c>
      <c r="C28" s="17" t="s">
        <v>868</v>
      </c>
      <c r="D28" s="17" t="str">
        <f ca="1">IFERROR(__xludf.DUMMYFUNCTION("GOOGLETRANSLATE(C28,""ES"",""EN"")"),"Financing \ Intervention \ Prospective Annual Budget of the SS")</f>
        <v>Financing \ Intervention \ Prospective Annual Budget of the SS</v>
      </c>
      <c r="E28" s="17" t="s">
        <v>871</v>
      </c>
      <c r="F28" s="17" t="str">
        <f ca="1">IFERROR(__xludf.DUMMYFUNCTION("GOOGLETRANSLATE(E28,""ES"",""EN"")"),"but that finally does not allow in this case and to have clarity regarding the silver that had mentally and potentially in practice has forced to have a much more strong defense by health services or the mental health and even our managers and even our of"&amp;" those resources that among quotes were among preferential mental health quotes, associated with what the PPV was.")</f>
        <v>but that finally does not allow in this case and to have clarity regarding the silver that had mentally and potentially in practice has forced to have a much more strong defense by health services or the mental health and even our managers and even our of those resources that among quotes were among preferential mental health quotes, associated with what the PPV was.</v>
      </c>
      <c r="G28" s="18">
        <v>398</v>
      </c>
      <c r="H28" s="19">
        <v>1.1346789827802486</v>
      </c>
      <c r="I28" s="17" t="s">
        <v>870</v>
      </c>
      <c r="J28" s="17" t="str">
        <f ca="1">IFERROR(__xludf.DUMMYFUNCTION("GOOGLETRANSLATE(I28,""ES"",""EN"")"),"Historical Prospective Budget")</f>
        <v>Historical Prospective Budget</v>
      </c>
      <c r="K28" s="1"/>
      <c r="L28" s="1"/>
      <c r="M28" s="1"/>
      <c r="N28" s="1"/>
      <c r="O28" s="1"/>
      <c r="P28" s="1"/>
      <c r="Q28" s="1"/>
      <c r="R28" s="1"/>
      <c r="S28" s="1"/>
      <c r="T28" s="1"/>
      <c r="U28" s="1"/>
      <c r="V28" s="1"/>
      <c r="W28" s="1"/>
      <c r="X28" s="1"/>
      <c r="Y28" s="1"/>
    </row>
    <row r="29" spans="1:25" ht="15.75" customHeight="1" x14ac:dyDescent="0.25">
      <c r="A29" s="6" t="s">
        <v>5</v>
      </c>
      <c r="B29" s="17" t="s">
        <v>321</v>
      </c>
      <c r="C29" s="17" t="s">
        <v>868</v>
      </c>
      <c r="D29" s="17" t="str">
        <f ca="1">IFERROR(__xludf.DUMMYFUNCTION("GOOGLETRANSLATE(C29,""ES"",""EN"")"),"Financing \ Intervention \ Prospective Annual Budget of the SS")</f>
        <v>Financing \ Intervention \ Prospective Annual Budget of the SS</v>
      </c>
      <c r="E29" s="17" t="s">
        <v>872</v>
      </c>
      <c r="F29" s="17" t="str">
        <f ca="1">IFERROR(__xludf.DUMMYFUNCTION("GOOGLETRANSLATE(E29,""ES"",""EN"")"),"And that has been great, had great complexity in particular lines, such as households or protected residences that generic already presented their financing and with this it has been much more difficult to ensure a specific amount.")</f>
        <v>And that has been great, had great complexity in particular lines, such as households or protected residences that generic already presented their financing and with this it has been much more difficult to ensure a specific amount.</v>
      </c>
      <c r="G29" s="18">
        <v>240</v>
      </c>
      <c r="H29" s="19">
        <v>0.68422853232979808</v>
      </c>
      <c r="I29" s="17" t="s">
        <v>870</v>
      </c>
      <c r="J29" s="17" t="str">
        <f ca="1">IFERROR(__xludf.DUMMYFUNCTION("GOOGLETRANSLATE(I29,""ES"",""EN"")"),"Historical Prospective Budget")</f>
        <v>Historical Prospective Budget</v>
      </c>
      <c r="K29" s="1"/>
      <c r="L29" s="1"/>
      <c r="M29" s="1"/>
      <c r="N29" s="1"/>
      <c r="O29" s="1"/>
      <c r="P29" s="1"/>
      <c r="Q29" s="1"/>
      <c r="R29" s="1"/>
      <c r="S29" s="1"/>
      <c r="T29" s="1"/>
      <c r="U29" s="1"/>
      <c r="V29" s="1"/>
      <c r="W29" s="1"/>
      <c r="X29" s="1"/>
      <c r="Y29" s="1"/>
    </row>
    <row r="30" spans="1:25" ht="15.75" customHeight="1" x14ac:dyDescent="0.25">
      <c r="A30" s="6" t="s">
        <v>5</v>
      </c>
      <c r="B30" s="17" t="s">
        <v>321</v>
      </c>
      <c r="C30" s="17" t="s">
        <v>868</v>
      </c>
      <c r="D30" s="17" t="str">
        <f ca="1">IFERROR(__xludf.DUMMYFUNCTION("GOOGLETRANSLATE(C30,""ES"",""EN"")"),"Financing \ Intervention \ Prospective Annual Budget of the SS")</f>
        <v>Financing \ Intervention \ Prospective Annual Budget of the SS</v>
      </c>
      <c r="E30" s="17" t="s">
        <v>873</v>
      </c>
      <c r="F30" s="17" t="str">
        <f ca="1">IFERROR(__xludf.DUMMYFUNCTION("GOOGLETRANSLATE(E30,""ES"",""EN"")"),"And from that it has been much more complex, probably from the management point of view, ensure mental health PPV, probably, and as one knew before one did the programming of the PPV and more or less knew the population that the population that I had atte"&amp;"nded, but also of the budget execution by the centers. And there it has probably been applying as a logic of the budget that was in 2019, more inflators in this case and depending inside me with goodwill by the Subdirectorate of Finance of Health Services"&amp;" we will be able to maintain. For us as a monthly team, it has also been complex and the same teams told us to send me an ordinary one that says hear, you have so much money from the Cosam line,")</f>
        <v>And from that it has been much more complex, probably from the management point of view, ensure mental health PPV, probably, and as one knew before one did the programming of the PPV and more or less knew the population that the population that I had attended, but also of the budget execution by the centers. And there it has probably been applying as a logic of the budget that was in 2019, more inflators in this case and depending inside me with goodwill by the Subdirectorate of Finance of Health Services we will be able to maintain. For us as a monthly team, it has also been complex and the same teams told us to send me an ordinary one that says hear, you have so much money from the Cosam line,</v>
      </c>
      <c r="G30" s="18">
        <v>777</v>
      </c>
      <c r="H30" s="19">
        <v>2.2151898734177213</v>
      </c>
      <c r="I30" s="17" t="s">
        <v>870</v>
      </c>
      <c r="J30" s="17" t="str">
        <f ca="1">IFERROR(__xludf.DUMMYFUNCTION("GOOGLETRANSLATE(I30,""ES"",""EN"")"),"Historical Prospective Budget")</f>
        <v>Historical Prospective Budget</v>
      </c>
      <c r="K30" s="1"/>
      <c r="L30" s="1"/>
      <c r="M30" s="1"/>
      <c r="N30" s="1"/>
      <c r="O30" s="1"/>
      <c r="P30" s="1"/>
      <c r="Q30" s="1"/>
      <c r="R30" s="1"/>
      <c r="S30" s="1"/>
      <c r="T30" s="1"/>
      <c r="U30" s="1"/>
      <c r="V30" s="1"/>
      <c r="W30" s="1"/>
      <c r="X30" s="1"/>
      <c r="Y30" s="1"/>
    </row>
    <row r="31" spans="1:25" ht="15.75" customHeight="1" x14ac:dyDescent="0.25">
      <c r="A31" s="6" t="s">
        <v>5</v>
      </c>
      <c r="B31" s="17" t="s">
        <v>321</v>
      </c>
      <c r="C31" s="17" t="s">
        <v>868</v>
      </c>
      <c r="D31" s="17" t="str">
        <f ca="1">IFERROR(__xludf.DUMMYFUNCTION("GOOGLETRANSLATE(C31,""ES"",""EN"")"),"Financing \ Intervention \ Prospective Annual Budget of the SS")</f>
        <v>Financing \ Intervention \ Prospective Annual Budget of the SS</v>
      </c>
      <c r="E31" s="17" t="s">
        <v>874</v>
      </c>
      <c r="F31" s="17" t="str">
        <f ca="1">IFERROR(__xludf.DUMMYFUNCTION("GOOGLETRANSLATE(E31,""ES"",""EN"")"),"I as a network point of view, network management, has a bit more complicated all this process and does not allow to know how much the total budget we have of mental health currently, that is, the closest as the expansions we have had the last year. But of"&amp;" course, if you think about the total PPI? The PPI was always a bag that one knew how much it was. And it was PPV one said is an amount of Equis Plata and that was estimated, as well as theoretically, that the PPI at the time was double and it was equal t"&amp;"o that, plus the expansion. And one said clear example, one hundred twenty billion pesos is the mental health budget. I do not know if they will have been clear to reach that figure and that has been difficulty.")</f>
        <v>I as a network point of view, network management, has a bit more complicated all this process and does not allow to know how much the total budget we have of mental health currently, that is, the closest as the expansions we have had the last year. But of course, if you think about the total PPI? The PPI was always a bag that one knew how much it was. And it was PPV one said is an amount of Equis Plata and that was estimated, as well as theoretically, that the PPI at the time was double and it was equal to that, plus the expansion. And one said clear example, one hundred twenty billion pesos is the mental health budget. I do not know if they will have been clear to reach that figure and that has been difficulty.</v>
      </c>
      <c r="G31" s="18">
        <v>723</v>
      </c>
      <c r="H31" s="19">
        <v>2.0612384536435169</v>
      </c>
      <c r="I31" s="17" t="s">
        <v>870</v>
      </c>
      <c r="J31" s="17" t="str">
        <f ca="1">IFERROR(__xludf.DUMMYFUNCTION("GOOGLETRANSLATE(I31,""ES"",""EN"")"),"Historical Prospective Budget")</f>
        <v>Historical Prospective Budget</v>
      </c>
      <c r="K31" s="1"/>
      <c r="L31" s="1"/>
      <c r="M31" s="1"/>
      <c r="N31" s="1"/>
      <c r="O31" s="1"/>
      <c r="P31" s="1"/>
      <c r="Q31" s="1"/>
      <c r="R31" s="1"/>
      <c r="S31" s="1"/>
      <c r="T31" s="1"/>
      <c r="U31" s="1"/>
      <c r="V31" s="1"/>
      <c r="W31" s="1"/>
      <c r="X31" s="1"/>
      <c r="Y31" s="1"/>
    </row>
    <row r="32" spans="1:25" ht="15.75" customHeight="1" x14ac:dyDescent="0.25">
      <c r="A32" s="11" t="s">
        <v>5</v>
      </c>
      <c r="B32" s="17" t="s">
        <v>321</v>
      </c>
      <c r="C32" s="17" t="s">
        <v>845</v>
      </c>
      <c r="D32" s="17" t="str">
        <f ca="1">IFERROR(__xludf.DUMMYFUNCTION("GOOGLETRANSLATE(C32,""ES"",""EN"")"),"Benefits \ intervention \ benefits not valued by fonasa")</f>
        <v>Benefits \ intervention \ benefits not valued by fonasa</v>
      </c>
      <c r="E32" s="17" t="s">
        <v>875</v>
      </c>
      <c r="F32" s="17" t="str">
        <f ca="1">IFERROR(__xludf.DUMMYFUNCTION("GOOGLETRANSLATE(E32,""ES"",""EN"")"),"On the one hand, the financing of the model one could realize that there should be a greater valuation of certain intervention benefits as with the community or articulation between the levels of care, that they accounted for a quality that should probabl"&amp;"y be better funded and than that Not only goes in the clinical resolution of a user. And that should probably have a greater valuation that it currently does not have.")</f>
        <v>On the one hand, the financing of the model one could realize that there should be a greater valuation of certain intervention benefits as with the community or articulation between the levels of care, that they accounted for a quality that should probably be better funded and than that Not only goes in the clinical resolution of a user. And that should probably have a greater valuation that it currently does not have.</v>
      </c>
      <c r="G32" s="18">
        <v>441</v>
      </c>
      <c r="H32" s="19">
        <v>1.257269928156004</v>
      </c>
      <c r="I32" s="17" t="s">
        <v>847</v>
      </c>
      <c r="J32" s="17" t="str">
        <f ca="1">IFERROR(__xludf.DUMMYFUNCTION("GOOGLETRANSLATE(I32,""ES"",""EN"")"),"Payment associated with a benefit basket")</f>
        <v>Payment associated with a benefit basket</v>
      </c>
      <c r="K32" s="1"/>
      <c r="L32" s="1"/>
      <c r="M32" s="1"/>
      <c r="N32" s="1"/>
      <c r="O32" s="1"/>
      <c r="P32" s="1"/>
      <c r="Q32" s="1"/>
      <c r="R32" s="1"/>
      <c r="S32" s="1"/>
      <c r="T32" s="1"/>
      <c r="U32" s="1"/>
      <c r="V32" s="1"/>
      <c r="W32" s="1"/>
      <c r="X32" s="1"/>
      <c r="Y32" s="1"/>
    </row>
    <row r="33" spans="1:25" ht="15.75" customHeight="1" x14ac:dyDescent="0.25">
      <c r="A33" s="11" t="s">
        <v>5</v>
      </c>
      <c r="B33" s="17" t="s">
        <v>321</v>
      </c>
      <c r="C33" s="17" t="s">
        <v>845</v>
      </c>
      <c r="D33" s="17" t="str">
        <f ca="1">IFERROR(__xludf.DUMMYFUNCTION("GOOGLETRANSLATE(C33,""ES"",""EN"")"),"Benefits \ intervention \ benefits not valued by fonasa")</f>
        <v>Benefits \ intervention \ benefits not valued by fonasa</v>
      </c>
      <c r="E33" s="17" t="s">
        <v>876</v>
      </c>
      <c r="F33" s="17" t="str">
        <f ca="1">IFERROR(__xludf.DUMMYFUNCTION("GOOGLETRANSLATE(E33,""ES"",""EN"")"),"In general, if one sees the financing of some benefits that have rather community management or others that are an important part of the model, Fonasa in general does not care much. And that if it has a very low value with respect to the consultation of t"&amp;"he psychiatrist.")</f>
        <v>In general, if one sees the financing of some benefits that have rather community management or others that are an important part of the model, Fonasa in general does not care much. And that if it has a very low value with respect to the consultation of the psychiatrist.</v>
      </c>
      <c r="G33" s="18">
        <v>268</v>
      </c>
      <c r="H33" s="19">
        <v>0.7640551944349413</v>
      </c>
      <c r="I33" s="17" t="s">
        <v>847</v>
      </c>
      <c r="J33" s="17" t="str">
        <f ca="1">IFERROR(__xludf.DUMMYFUNCTION("GOOGLETRANSLATE(I33,""ES"",""EN"")"),"Payment associated with a benefit basket")</f>
        <v>Payment associated with a benefit basket</v>
      </c>
      <c r="K33" s="1"/>
      <c r="L33" s="1"/>
      <c r="M33" s="1"/>
      <c r="N33" s="1"/>
      <c r="O33" s="1"/>
      <c r="P33" s="1"/>
      <c r="Q33" s="1"/>
      <c r="R33" s="1"/>
      <c r="S33" s="1"/>
      <c r="T33" s="1"/>
      <c r="U33" s="1"/>
      <c r="V33" s="1"/>
      <c r="W33" s="1"/>
      <c r="X33" s="1"/>
      <c r="Y33" s="1"/>
    </row>
    <row r="34" spans="1:25" ht="15.75" customHeight="1" x14ac:dyDescent="0.25">
      <c r="A34" s="11" t="s">
        <v>5</v>
      </c>
      <c r="B34" s="17" t="s">
        <v>321</v>
      </c>
      <c r="C34" s="17" t="s">
        <v>845</v>
      </c>
      <c r="D34" s="17" t="str">
        <f ca="1">IFERROR(__xludf.DUMMYFUNCTION("GOOGLETRANSLATE(C34,""ES"",""EN"")"),"Benefits \ intervention \ benefits not valued by fonasa")</f>
        <v>Benefits \ intervention \ benefits not valued by fonasa</v>
      </c>
      <c r="E34" s="17" t="s">
        <v>877</v>
      </c>
      <c r="F34" s="17" t="str">
        <f ca="1">IFERROR(__xludf.DUMMYFUNCTION("GOOGLETRANSLATE(E34,""ES"",""EN"")"),"Fonasa so far has not privileged adequate financing of the model, since it does not incorporate benefits of that type or the integral resolution of its user with different characteristics based on its territory.")</f>
        <v>Fonasa so far has not privileged adequate financing of the model, since it does not incorporate benefits of that type or the integral resolution of its user with different characteristics based on its territory.</v>
      </c>
      <c r="G34" s="18">
        <v>217</v>
      </c>
      <c r="H34" s="19">
        <v>0.61865663131485915</v>
      </c>
      <c r="I34" s="17" t="s">
        <v>847</v>
      </c>
      <c r="J34" s="17" t="str">
        <f ca="1">IFERROR(__xludf.DUMMYFUNCTION("GOOGLETRANSLATE(I34,""ES"",""EN"")"),"Payment associated with a benefit basket")</f>
        <v>Payment associated with a benefit basket</v>
      </c>
      <c r="K34" s="1"/>
      <c r="L34" s="1"/>
      <c r="M34" s="1"/>
      <c r="N34" s="1"/>
      <c r="O34" s="1"/>
      <c r="P34" s="1"/>
      <c r="Q34" s="1"/>
      <c r="R34" s="1"/>
      <c r="S34" s="1"/>
      <c r="T34" s="1"/>
      <c r="U34" s="1"/>
      <c r="V34" s="1"/>
      <c r="W34" s="1"/>
      <c r="X34" s="1"/>
      <c r="Y34" s="1"/>
    </row>
    <row r="35" spans="1:25" ht="15.75" customHeight="1" x14ac:dyDescent="0.25">
      <c r="A35" s="8" t="s">
        <v>5</v>
      </c>
      <c r="B35" s="17" t="s">
        <v>321</v>
      </c>
      <c r="C35" s="17" t="s">
        <v>878</v>
      </c>
      <c r="D35" s="17" t="str">
        <f ca="1">IFERROR(__xludf.DUMMYFUNCTION("GOOGLETRANSLATE(C35,""ES"",""EN"")"),"Medications and Technologies \ Intervention \ Buy through Cenabast")</f>
        <v>Medications and Technologies \ Intervention \ Buy through Cenabast</v>
      </c>
      <c r="E35" s="17" t="s">
        <v>879</v>
      </c>
      <c r="F35" s="17" t="str">
        <f ca="1">IFERROR(__xludf.DUMMYFUNCTION("GOOGLETRANSLATE(E35,""ES"",""EN"")"),"It is easier for health service to be able to make a centralized purchase and have better market prices, to buy each municipality in its own tender.")</f>
        <v>It is easier for health service to be able to make a centralized purchase and have better market prices, to buy each municipality in its own tender.</v>
      </c>
      <c r="G35" s="18">
        <v>162</v>
      </c>
      <c r="H35" s="19">
        <v>0.4618542593226137</v>
      </c>
      <c r="I35" s="17" t="s">
        <v>837</v>
      </c>
      <c r="J35" s="17" t="str">
        <f ca="1">IFERROR(__xludf.DUMMYFUNCTION("GOOGLETRANSLATE(I35,""ES"",""EN"")"),"Confusing, intervening or mediators of the payment mechanism")</f>
        <v>Confusing, intervening or mediators of the payment mechanism</v>
      </c>
      <c r="K35" s="1"/>
      <c r="L35" s="1"/>
      <c r="M35" s="1"/>
      <c r="N35" s="1"/>
      <c r="O35" s="1"/>
      <c r="P35" s="1"/>
      <c r="Q35" s="1"/>
      <c r="R35" s="1"/>
      <c r="S35" s="1"/>
      <c r="T35" s="1"/>
      <c r="U35" s="1"/>
      <c r="V35" s="1"/>
      <c r="W35" s="1"/>
      <c r="X35" s="1"/>
      <c r="Y35" s="1"/>
    </row>
    <row r="36" spans="1:25" ht="15.75" customHeight="1" x14ac:dyDescent="0.25">
      <c r="A36" s="6" t="s">
        <v>5</v>
      </c>
      <c r="B36" s="17" t="s">
        <v>371</v>
      </c>
      <c r="C36" s="17" t="s">
        <v>830</v>
      </c>
      <c r="D36" s="17" t="str">
        <f ca="1">IFERROR(__xludf.DUMMYFUNCTION("GOOGLETRANSLATE(C36,""ES"",""EN"")"),"FINANCING \ INTERVENTION \ UNIVERSAL GENDER GUARANTEE PLAN")</f>
        <v>FINANCING \ INTERVENTION \ UNIVERSAL GENDER GUARANTEE PLAN</v>
      </c>
      <c r="E36" s="17" t="s">
        <v>880</v>
      </c>
      <c r="F36" s="17" t="str">
        <f ca="1">IFERROR(__xludf.DUMMYFUNCTION("GOOGLETRANSLATE(E36,""ES"",""EN"")"),"We do not attend to Ges. So, for a local theme, a certain local definition, huh? Since since the centers are not yet accredited, there is no guideline, here the attention of GES is maintained in the accredited enclosures, which are the hospital.")</f>
        <v>We do not attend to Ges. So, for a local theme, a certain local definition, huh? Since since the centers are not yet accredited, there is no guideline, here the attention of GES is maintained in the accredited enclosures, which are the hospital.</v>
      </c>
      <c r="G36" s="18">
        <v>252</v>
      </c>
      <c r="H36" s="19">
        <v>0.82709728239464353</v>
      </c>
      <c r="I36" s="17" t="s">
        <v>832</v>
      </c>
      <c r="J36" s="17" t="str">
        <f ca="1">IFERROR(__xludf.DUMMYFUNCTION("GOOGLETRANSLATE(I36,""ES"",""EN"")"),"Universal Health Guarantee Plan (GES)")</f>
        <v>Universal Health Guarantee Plan (GES)</v>
      </c>
      <c r="K36" s="1"/>
      <c r="L36" s="1"/>
      <c r="M36" s="1"/>
      <c r="N36" s="1"/>
      <c r="O36" s="1"/>
      <c r="P36" s="1"/>
      <c r="Q36" s="1"/>
      <c r="R36" s="1"/>
      <c r="S36" s="1"/>
      <c r="T36" s="1"/>
      <c r="U36" s="1"/>
      <c r="V36" s="1"/>
      <c r="W36" s="1"/>
      <c r="X36" s="1"/>
      <c r="Y36" s="1"/>
    </row>
    <row r="37" spans="1:25" ht="15.75" customHeight="1" x14ac:dyDescent="0.25">
      <c r="A37" s="2" t="s">
        <v>5</v>
      </c>
      <c r="B37" s="17" t="s">
        <v>371</v>
      </c>
      <c r="C37" s="17" t="s">
        <v>881</v>
      </c>
      <c r="D37" s="17" t="str">
        <f ca="1">IFERROR(__xludf.DUMMYFUNCTION("GOOGLETRANSLATE(C37,""ES"",""EN"")"),"Human Resources \ Intervention \ Authorized positions")</f>
        <v>Human Resources \ Intervention \ Authorized positions</v>
      </c>
      <c r="E37" s="17" t="s">
        <v>882</v>
      </c>
      <c r="F37" s="17" t="str">
        <f ca="1">IFERROR(__xludf.DUMMYFUNCTION("GOOGLETRANSLATE(E37,""ES"",""EN"")"),"The human resource as it already reaches the certain departure of the gloss of subtitle 21 is no longer considered as an extra expense, since they are already part of the endowment")</f>
        <v>The human resource as it already reaches the certain departure of the gloss of subtitle 21 is no longer considered as an extra expense, since they are already part of the endowment</v>
      </c>
      <c r="G37" s="18">
        <v>153</v>
      </c>
      <c r="H37" s="19">
        <v>0.50216620716817639</v>
      </c>
      <c r="I37" s="17" t="s">
        <v>837</v>
      </c>
      <c r="J37" s="17" t="str">
        <f ca="1">IFERROR(__xludf.DUMMYFUNCTION("GOOGLETRANSLATE(I37,""ES"",""EN"")"),"Confusing, intervening or mediators of the payment mechanism")</f>
        <v>Confusing, intervening or mediators of the payment mechanism</v>
      </c>
      <c r="K37" s="1"/>
      <c r="L37" s="1"/>
      <c r="M37" s="1"/>
      <c r="N37" s="1"/>
      <c r="O37" s="1"/>
      <c r="P37" s="1"/>
      <c r="Q37" s="1"/>
      <c r="R37" s="1"/>
      <c r="S37" s="1"/>
      <c r="T37" s="1"/>
      <c r="U37" s="1"/>
      <c r="V37" s="1"/>
      <c r="W37" s="1"/>
      <c r="X37" s="1"/>
      <c r="Y37" s="1"/>
    </row>
    <row r="38" spans="1:25" ht="15.75" customHeight="1" x14ac:dyDescent="0.25">
      <c r="A38" s="6" t="s">
        <v>5</v>
      </c>
      <c r="B38" s="17" t="s">
        <v>371</v>
      </c>
      <c r="C38" s="17" t="s">
        <v>827</v>
      </c>
      <c r="D38" s="17" t="str">
        <f ca="1">IFERROR(__xludf.DUMMYFUNCTION("GOOGLETRANSLATE(C38,""ES"",""EN"")"),"FINANCING \ INTERVENTION \ CONVENTIONS WITH INTERSECTOR \ NATIONAL DRUG SERVICE SENDA")</f>
        <v>FINANCING \ INTERVENTION \ CONVENTIONS WITH INTERSECTOR \ NATIONAL DRUG SERVICE SENDA</v>
      </c>
      <c r="E38" s="17" t="s">
        <v>883</v>
      </c>
      <c r="F38" s="17" t="str">
        <f ca="1">IFERROR(__xludf.DUMMYFUNCTION("GOOGLETRANSLATE(E38,""ES"",""EN"")"),"In fact we had a PAI in Talca, which is going to close true, because there were 8 quotas and it will be returned true so that it is administered by another institution that is the Hospital de Talca, which has a Pai that works like Pai, Since we with the a"&amp;"mount of hours did not work as an external program, it worked at a evening schedule with a very low amount of hours and we have no other financing route by the intersectoral line.")</f>
        <v>In fact we had a PAI in Talca, which is going to close true, because there were 8 quotas and it will be returned true so that it is administered by another institution that is the Hospital de Talca, which has a Pai that works like Pai, Since we with the amount of hours did not work as an external program, it worked at a evening schedule with a very low amount of hours and we have no other financing route by the intersectoral line.</v>
      </c>
      <c r="G38" s="18">
        <v>459</v>
      </c>
      <c r="H38" s="19">
        <v>1.5064986215045293</v>
      </c>
      <c r="I38" s="17" t="s">
        <v>829</v>
      </c>
      <c r="J38" s="17" t="str">
        <f ca="1">IFERROR(__xludf.DUMMYFUNCTION("GOOGLETRANSLATE(I38,""ES"",""EN"")"),"Agreements with government organizations of the intersector")</f>
        <v>Agreements with government organizations of the intersector</v>
      </c>
      <c r="K38" s="1"/>
      <c r="L38" s="1"/>
      <c r="M38" s="1"/>
      <c r="N38" s="1"/>
      <c r="O38" s="1"/>
      <c r="P38" s="1"/>
      <c r="Q38" s="1"/>
      <c r="R38" s="1"/>
      <c r="S38" s="1"/>
      <c r="T38" s="1"/>
      <c r="U38" s="1"/>
      <c r="V38" s="1"/>
      <c r="W38" s="1"/>
      <c r="X38" s="1"/>
      <c r="Y38" s="1"/>
    </row>
    <row r="39" spans="1:25" ht="15.75" customHeight="1" x14ac:dyDescent="0.25">
      <c r="A39" s="8" t="s">
        <v>5</v>
      </c>
      <c r="B39" s="17" t="s">
        <v>371</v>
      </c>
      <c r="C39" s="17" t="s">
        <v>878</v>
      </c>
      <c r="D39" s="17" t="str">
        <f ca="1">IFERROR(__xludf.DUMMYFUNCTION("GOOGLETRANSLATE(C39,""ES"",""EN"")"),"Medications and Technologies \ Intervention \ Buy through Cenabast")</f>
        <v>Medications and Technologies \ Intervention \ Buy through Cenabast</v>
      </c>
      <c r="E39" s="17" t="s">
        <v>884</v>
      </c>
      <c r="F39" s="17" t="str">
        <f ca="1">IFERROR(__xludf.DUMMYFUNCTION("GOOGLETRANSLATE(E39,""ES"",""EN"")"),"Here medications are bought, we program, we make the evaluation for each center, we work with us, we do not have chemicals in the centers, we have a unit in the service that is support units, which has a pharmacy area that we Advisor and there is someone "&amp;"who buys who is a chemist, huh? And they always ask me what your financing is? No, if this should reach it, true, but finally the service assumes just, buy what you have to buy in that sense for Cenabast, right? And the rest of what is not in Cenabast tha"&amp;"t is a bit more specific is tendered. Then, finally, if we go from the budget, the service still buys it.")</f>
        <v>Here medications are bought, we program, we make the evaluation for each center, we work with us, we do not have chemicals in the centers, we have a unit in the service that is support units, which has a pharmacy area that we Advisor and there is someone who buys who is a chemist, huh? And they always ask me what your financing is? No, if this should reach it, true, but finally the service assumes just, buy what you have to buy in that sense for Cenabast, right? And the rest of what is not in Cenabast that is a bit more specific is tendered. Then, finally, if we go from the budget, the service still buys it.</v>
      </c>
      <c r="G39" s="18">
        <v>683</v>
      </c>
      <c r="H39" s="19">
        <v>2.2416962058553236</v>
      </c>
      <c r="I39" s="17" t="s">
        <v>837</v>
      </c>
      <c r="J39" s="17" t="str">
        <f ca="1">IFERROR(__xludf.DUMMYFUNCTION("GOOGLETRANSLATE(I39,""ES"",""EN"")"),"Confusing, intervening or mediators of the payment mechanism")</f>
        <v>Confusing, intervening or mediators of the payment mechanism</v>
      </c>
      <c r="K39" s="1"/>
      <c r="L39" s="1"/>
      <c r="M39" s="1"/>
      <c r="N39" s="1"/>
      <c r="O39" s="1"/>
      <c r="P39" s="1"/>
      <c r="Q39" s="1"/>
      <c r="R39" s="1"/>
      <c r="S39" s="1"/>
      <c r="T39" s="1"/>
      <c r="U39" s="1"/>
      <c r="V39" s="1"/>
      <c r="W39" s="1"/>
      <c r="X39" s="1"/>
      <c r="Y39" s="1"/>
    </row>
    <row r="40" spans="1:25" ht="15.75" customHeight="1" x14ac:dyDescent="0.25">
      <c r="A40" s="8" t="s">
        <v>5</v>
      </c>
      <c r="B40" s="17" t="s">
        <v>371</v>
      </c>
      <c r="C40" s="17" t="s">
        <v>878</v>
      </c>
      <c r="D40" s="17" t="str">
        <f ca="1">IFERROR(__xludf.DUMMYFUNCTION("GOOGLETRANSLATE(C40,""ES"",""EN"")"),"Medications and Technologies \ Intervention \ Buy through Cenabast")</f>
        <v>Medications and Technologies \ Intervention \ Buy through Cenabast</v>
      </c>
      <c r="E40" s="17" t="s">
        <v>885</v>
      </c>
      <c r="F40" s="17" t="str">
        <f ca="1">IFERROR(__xludf.DUMMYFUNCTION("GOOGLETRANSLATE(E40,""ES"",""EN"")"),"But drugs are scheduled annually in Cenabast and the purchases of drugs that are not cenabast, for example fashion or amphetamine, are tendered, also for annual programming.")</f>
        <v>But drugs are scheduled annually in Cenabast and the purchases of drugs that are not cenabast, for example fashion or amphetamine, are tendered, also for annual programming.</v>
      </c>
      <c r="G40" s="18">
        <v>185</v>
      </c>
      <c r="H40" s="19">
        <v>0.60719443350400415</v>
      </c>
      <c r="I40" s="17" t="s">
        <v>837</v>
      </c>
      <c r="J40" s="17" t="str">
        <f ca="1">IFERROR(__xludf.DUMMYFUNCTION("GOOGLETRANSLATE(I40,""ES"",""EN"")"),"Confusing, intervening or mediators of the payment mechanism")</f>
        <v>Confusing, intervening or mediators of the payment mechanism</v>
      </c>
      <c r="K40" s="1"/>
      <c r="L40" s="1"/>
      <c r="M40" s="1"/>
      <c r="N40" s="1"/>
      <c r="O40" s="1"/>
      <c r="P40" s="1"/>
      <c r="Q40" s="1"/>
      <c r="R40" s="1"/>
      <c r="S40" s="1"/>
      <c r="T40" s="1"/>
      <c r="U40" s="1"/>
      <c r="V40" s="1"/>
      <c r="W40" s="1"/>
      <c r="X40" s="1"/>
      <c r="Y40" s="1"/>
    </row>
    <row r="41" spans="1:25" ht="15.75" customHeight="1" x14ac:dyDescent="0.25">
      <c r="A41" s="6" t="s">
        <v>5</v>
      </c>
      <c r="B41" s="17" t="s">
        <v>371</v>
      </c>
      <c r="C41" s="17" t="s">
        <v>886</v>
      </c>
      <c r="D41" s="17" t="str">
        <f ca="1">IFERROR(__xludf.DUMMYFUNCTION("GOOGLETRANSLATE(C41,""ES"",""EN"")"),"FINANCING \ INTERVENTION \ PAYMENT BY GRD TO THE HOSPITAL")</f>
        <v>FINANCING \ INTERVENTION \ PAYMENT BY GRD TO THE HOSPITAL</v>
      </c>
      <c r="E41" s="17" t="s">
        <v>887</v>
      </c>
      <c r="F41" s="17" t="str">
        <f ca="1">IFERROR(__xludf.DUMMYFUNCTION("GOOGLETRANSLATE(E41,""ES"",""EN"")"),"Look, I know that there is a system that is used for hospitals, I have not studied it much, but I mention it, but I do not know it mostly, which is something of the GRD. I do not work as an advisor for hospitals, but I have heard that topic that the GES r"&amp;"egularly finances there.")</f>
        <v>Look, I know that there is a system that is used for hospitals, I have not studied it much, but I mention it, but I do not know it mostly, which is something of the GRD. I do not work as an advisor for hospitals, but I have heard that topic that the GES regularly finances there.</v>
      </c>
      <c r="G41" s="18">
        <v>285</v>
      </c>
      <c r="H41" s="19">
        <v>0.93540764080346595</v>
      </c>
      <c r="I41" s="17" t="s">
        <v>888</v>
      </c>
      <c r="J41" s="17" t="str">
        <f ca="1">IFERROR(__xludf.DUMMYFUNCTION("GOOGLETRANSLATE(I41,""ES"",""EN"")"),"Budget indirectly from GRD payment to the hospital")</f>
        <v>Budget indirectly from GRD payment to the hospital</v>
      </c>
      <c r="K41" s="1"/>
      <c r="L41" s="1"/>
      <c r="M41" s="1"/>
      <c r="N41" s="1"/>
      <c r="O41" s="1"/>
      <c r="P41" s="1"/>
      <c r="Q41" s="1"/>
      <c r="R41" s="1"/>
      <c r="S41" s="1"/>
      <c r="T41" s="1"/>
      <c r="U41" s="1"/>
      <c r="V41" s="1"/>
      <c r="W41" s="1"/>
      <c r="X41" s="1"/>
      <c r="Y41" s="1"/>
    </row>
    <row r="42" spans="1:25" ht="15.75" customHeight="1" x14ac:dyDescent="0.25">
      <c r="A42" s="6" t="s">
        <v>5</v>
      </c>
      <c r="B42" s="17" t="s">
        <v>371</v>
      </c>
      <c r="C42" s="17" t="s">
        <v>868</v>
      </c>
      <c r="D42" s="17" t="str">
        <f ca="1">IFERROR(__xludf.DUMMYFUNCTION("GOOGLETRANSLATE(C42,""ES"",""EN"")"),"Financing \ Intervention \ Prospective Annual Budget of the SS")</f>
        <v>Financing \ Intervention \ Prospective Annual Budget of the SS</v>
      </c>
      <c r="E42" s="17" t="s">
        <v>889</v>
      </c>
      <c r="F42" s="17" t="str">
        <f ca="1">IFERROR(__xludf.DUMMYFUNCTION("GOOGLETRANSLATE(E42,""ES"",""EN"")"),"So, finally, maintaining a system, a historical institutional PPI does not allow us to make rapid improvements, right? To, for the, for the centers. I think that is like a gap that I observe our current situation. No, not having one more differentiated an"&amp;"d with greater income. I see that, as complicated")</f>
        <v>So, finally, maintaining a system, a historical institutional PPI does not allow us to make rapid improvements, right? To, for the, for the centers. I think that is like a gap that I observe our current situation. No, not having one more differentiated and with greater income. I see that, as complicated</v>
      </c>
      <c r="G42" s="18">
        <v>334</v>
      </c>
      <c r="H42" s="19">
        <v>1.0962321123802021</v>
      </c>
      <c r="I42" s="17" t="s">
        <v>870</v>
      </c>
      <c r="J42" s="17" t="str">
        <f ca="1">IFERROR(__xludf.DUMMYFUNCTION("GOOGLETRANSLATE(I42,""ES"",""EN"")"),"Historical Prospective Budget")</f>
        <v>Historical Prospective Budget</v>
      </c>
      <c r="K42" s="1"/>
      <c r="L42" s="1"/>
      <c r="M42" s="1"/>
      <c r="N42" s="1"/>
      <c r="O42" s="1"/>
      <c r="P42" s="1"/>
      <c r="Q42" s="1"/>
      <c r="R42" s="1"/>
      <c r="S42" s="1"/>
      <c r="T42" s="1"/>
      <c r="U42" s="1"/>
      <c r="V42" s="1"/>
      <c r="W42" s="1"/>
      <c r="X42" s="1"/>
      <c r="Y42" s="1"/>
    </row>
    <row r="43" spans="1:25" ht="15.75" customHeight="1" x14ac:dyDescent="0.25">
      <c r="A43" s="6" t="s">
        <v>5</v>
      </c>
      <c r="B43" s="17" t="s">
        <v>371</v>
      </c>
      <c r="C43" s="17" t="s">
        <v>890</v>
      </c>
      <c r="D43" s="17" t="str">
        <f ca="1">IFERROR(__xludf.DUMMYFUNCTION("GOOGLETRANSLATE(C43,""ES"",""EN"")"),"FINANCING \ INTERVENTION \ CONVENTIONS WITH INTERSECTOR \ REGIONAL GOVERN")</f>
        <v>FINANCING \ INTERVENTION \ CONVENTIONS WITH INTERSECTOR \ REGIONAL GOVERN</v>
      </c>
      <c r="E43" s="17" t="s">
        <v>891</v>
      </c>
      <c r="F43" s="17" t="str">
        <f ca="1">IFERROR(__xludf.DUMMYFUNCTION("GOOGLETRANSLATE(E43,""ES"",""EN"")"),"And the other is that indeed, with alliances with others, I don't know. The regional government is long -term, no, they do not specify quickly because we here have presented at least two projects to build and we are still waiting.")</f>
        <v>And the other is that indeed, with alliances with others, I don't know. The regional government is long -term, no, they do not specify quickly because we here have presented at least two projects to build and we are still waiting.</v>
      </c>
      <c r="G43" s="18">
        <v>242</v>
      </c>
      <c r="H43" s="19">
        <v>0.79427596166469738</v>
      </c>
      <c r="I43" s="17" t="s">
        <v>829</v>
      </c>
      <c r="J43" s="17" t="str">
        <f ca="1">IFERROR(__xludf.DUMMYFUNCTION("GOOGLETRANSLATE(I43,""ES"",""EN"")"),"Agreements with government organizations of the intersector")</f>
        <v>Agreements with government organizations of the intersector</v>
      </c>
      <c r="K43" s="1"/>
      <c r="L43" s="1"/>
      <c r="M43" s="1"/>
      <c r="N43" s="1"/>
      <c r="O43" s="1"/>
      <c r="P43" s="1"/>
      <c r="Q43" s="1"/>
      <c r="R43" s="1"/>
      <c r="S43" s="1"/>
      <c r="T43" s="1"/>
      <c r="U43" s="1"/>
      <c r="V43" s="1"/>
      <c r="W43" s="1"/>
      <c r="X43" s="1"/>
      <c r="Y43" s="1"/>
    </row>
    <row r="44" spans="1:25" ht="15.75" customHeight="1" x14ac:dyDescent="0.25">
      <c r="A44" s="6" t="s">
        <v>5</v>
      </c>
      <c r="B44" s="17" t="s">
        <v>371</v>
      </c>
      <c r="C44" s="17" t="s">
        <v>890</v>
      </c>
      <c r="D44" s="17" t="str">
        <f ca="1">IFERROR(__xludf.DUMMYFUNCTION("GOOGLETRANSLATE(C44,""ES"",""EN"")"),"FINANCING \ INTERVENTION \ CONVENTIONS WITH INTERSECTOR \ REGIONAL GOVERN")</f>
        <v>FINANCING \ INTERVENTION \ CONVENTIONS WITH INTERSECTOR \ REGIONAL GOVERN</v>
      </c>
      <c r="E44" s="17" t="s">
        <v>892</v>
      </c>
      <c r="F44" s="17" t="str">
        <f ca="1">IFERROR(__xludf.DUMMYFUNCTION("GOOGLETRANSLATE(E44,""ES"",""EN"")"),"So I also feel that when the model is validated by the budget division, it is true the Ministry of Social Development, that could give us important advances, in that sense to solve the leg infrastructure, which I believe that for my liking here it is the "&amp;"most , the most complicated.")</f>
        <v>So I also feel that when the model is validated by the budget division, it is true the Ministry of Social Development, that could give us important advances, in that sense to solve the leg infrastructure, which I believe that for my liking here it is the most , the most complicated.</v>
      </c>
      <c r="G44" s="18">
        <v>297</v>
      </c>
      <c r="H44" s="19">
        <v>0.97479322567940141</v>
      </c>
      <c r="I44" s="17" t="s">
        <v>829</v>
      </c>
      <c r="J44" s="17" t="str">
        <f ca="1">IFERROR(__xludf.DUMMYFUNCTION("GOOGLETRANSLATE(I44,""ES"",""EN"")"),"Agreements with government organizations of the intersector")</f>
        <v>Agreements with government organizations of the intersector</v>
      </c>
      <c r="K44" s="1"/>
      <c r="L44" s="1"/>
      <c r="M44" s="1"/>
      <c r="N44" s="1"/>
      <c r="O44" s="1"/>
      <c r="P44" s="1"/>
      <c r="Q44" s="1"/>
      <c r="R44" s="1"/>
      <c r="S44" s="1"/>
      <c r="T44" s="1"/>
      <c r="U44" s="1"/>
      <c r="V44" s="1"/>
      <c r="W44" s="1"/>
      <c r="X44" s="1"/>
      <c r="Y44" s="1"/>
    </row>
    <row r="45" spans="1:25" ht="15.75" customHeight="1" x14ac:dyDescent="0.25">
      <c r="A45" s="6" t="s">
        <v>5</v>
      </c>
      <c r="B45" s="17" t="s">
        <v>371</v>
      </c>
      <c r="C45" s="17" t="s">
        <v>890</v>
      </c>
      <c r="D45" s="17" t="str">
        <f ca="1">IFERROR(__xludf.DUMMYFUNCTION("GOOGLETRANSLATE(C45,""ES"",""EN"")"),"FINANCING \ INTERVENTION \ CONVENTIONS WITH INTERSECTOR \ REGIONAL GOVERN")</f>
        <v>FINANCING \ INTERVENTION \ CONVENTIONS WITH INTERSECTOR \ REGIONAL GOVERN</v>
      </c>
      <c r="E45" s="17" t="s">
        <v>893</v>
      </c>
      <c r="F45" s="17" t="str">
        <f ca="1">IFERROR(__xludf.DUMMYFUNCTION("GOOGLETRANSLATE(E45,""ES"",""EN"")"),"And I imagine that at the country level too, because that also generates heterogeneity. Since if you have a small space you can't have the number of professionals. The population that can cover is lower. That includes hours of attention. I do not know, th"&amp;"ere I think that would be super important, to get the model to be validated and to be assigned a separate budget to build, that it would be a super advance.")</f>
        <v>And I imagine that at the country level too, because that also generates heterogeneity. Since if you have a small space you can't have the number of professionals. The population that can cover is lower. That includes hours of attention. I do not know, there I think that would be super important, to get the model to be validated and to be assigned a separate budget to build, that it would be a super advance.</v>
      </c>
      <c r="G45" s="18">
        <v>428</v>
      </c>
      <c r="H45" s="19">
        <v>1.4047525272416963</v>
      </c>
      <c r="I45" s="17" t="s">
        <v>829</v>
      </c>
      <c r="J45" s="17" t="str">
        <f ca="1">IFERROR(__xludf.DUMMYFUNCTION("GOOGLETRANSLATE(I45,""ES"",""EN"")"),"Agreements with government organizations of the intersector")</f>
        <v>Agreements with government organizations of the intersector</v>
      </c>
      <c r="K45" s="1"/>
      <c r="L45" s="1"/>
      <c r="M45" s="1"/>
      <c r="N45" s="1"/>
      <c r="O45" s="1"/>
      <c r="P45" s="1"/>
      <c r="Q45" s="1"/>
      <c r="R45" s="1"/>
      <c r="S45" s="1"/>
      <c r="T45" s="1"/>
      <c r="U45" s="1"/>
      <c r="V45" s="1"/>
      <c r="W45" s="1"/>
      <c r="X45" s="1"/>
      <c r="Y45" s="1"/>
    </row>
    <row r="46" spans="1:25" ht="15.75" customHeight="1" x14ac:dyDescent="0.25">
      <c r="A46" s="6" t="s">
        <v>5</v>
      </c>
      <c r="B46" s="17" t="s">
        <v>371</v>
      </c>
      <c r="C46" s="17" t="s">
        <v>890</v>
      </c>
      <c r="D46" s="17" t="str">
        <f ca="1">IFERROR(__xludf.DUMMYFUNCTION("GOOGLETRANSLATE(C46,""ES"",""EN"")"),"FINANCING \ INTERVENTION \ CONVENTIONS WITH INTERSECTOR \ REGIONAL GOVERN")</f>
        <v>FINANCING \ INTERVENTION \ CONVENTIONS WITH INTERSECTOR \ REGIONAL GOVERN</v>
      </c>
      <c r="E46" s="17" t="s">
        <v>894</v>
      </c>
      <c r="F46" s="17" t="str">
        <f ca="1">IFERROR(__xludf.DUMMYFUNCTION("GOOGLETRANSLATE(E46,""ES"",""EN"")"),"And I think that is like the decrease at the country level for all, because if we continue to pay rent, if we continue to depend only on agreements with the municipalities, comodato, looking for, we cannot progress, because it does not generate a unique s"&amp;"tandard, huh? So that is what I visualize, because having the money only to build as a different path, that is, a subtitle that gives you all the millions as it is done in Hospital and Cesfam, aligns the work quite a lot.")</f>
        <v>And I think that is like the decrease at the country level for all, because if we continue to pay rent, if we continue to depend only on agreements with the municipalities, comodato, looking for, we cannot progress, because it does not generate a unique standard, huh? So that is what I visualize, because having the money only to build as a different path, that is, a subtitle that gives you all the millions as it is done in Hospital and Cesfam, aligns the work quite a lot.</v>
      </c>
      <c r="G46" s="18">
        <v>483</v>
      </c>
      <c r="H46" s="19">
        <v>1.5852697912564002</v>
      </c>
      <c r="I46" s="17" t="s">
        <v>829</v>
      </c>
      <c r="J46" s="17" t="str">
        <f ca="1">IFERROR(__xludf.DUMMYFUNCTION("GOOGLETRANSLATE(I46,""ES"",""EN"")"),"Agreements with government organizations of the intersector")</f>
        <v>Agreements with government organizations of the intersector</v>
      </c>
      <c r="K46" s="1"/>
      <c r="L46" s="1"/>
      <c r="M46" s="1"/>
      <c r="N46" s="1"/>
      <c r="O46" s="1"/>
      <c r="P46" s="1"/>
      <c r="Q46" s="1"/>
      <c r="R46" s="1"/>
      <c r="S46" s="1"/>
      <c r="T46" s="1"/>
      <c r="U46" s="1"/>
      <c r="V46" s="1"/>
      <c r="W46" s="1"/>
      <c r="X46" s="1"/>
      <c r="Y46" s="1"/>
    </row>
    <row r="47" spans="1:25" ht="15.75" customHeight="1" x14ac:dyDescent="0.25">
      <c r="A47" s="6" t="s">
        <v>5</v>
      </c>
      <c r="B47" s="17" t="s">
        <v>371</v>
      </c>
      <c r="C47" s="17" t="s">
        <v>868</v>
      </c>
      <c r="D47" s="17" t="str">
        <f ca="1">IFERROR(__xludf.DUMMYFUNCTION("GOOGLETRANSLATE(C47,""ES"",""EN"")"),"Financing \ Intervention \ Prospective Annual Budget of the SS")</f>
        <v>Financing \ Intervention \ Prospective Annual Budget of the SS</v>
      </c>
      <c r="E47" s="17" t="s">
        <v>895</v>
      </c>
      <c r="F47" s="17" t="str">
        <f ca="1">IFERROR(__xludf.DUMMYFUNCTION("GOOGLETRANSLATE(E47,""ES"",""EN"")"),"Because what we get to us is like a historical budget for qualification and that is executed. But it does not allow you to make substantial improvements, it does not allow us to build, it does not allow us to do practically anything, lease and lease on th"&amp;"ings that are not sanitary, that you have to do a lot of adaptation and you cannot invest in that adequacy either.")</f>
        <v>Because what we get to us is like a historical budget for qualification and that is executed. But it does not allow you to make substantial improvements, it does not allow us to build, it does not allow us to do practically anything, lease and lease on things that are not sanitary, that you have to do a lot of adaptation and you cannot invest in that adequacy either.</v>
      </c>
      <c r="G47" s="18">
        <v>378</v>
      </c>
      <c r="H47" s="19">
        <v>1.2406459235919653</v>
      </c>
      <c r="I47" s="17" t="s">
        <v>870</v>
      </c>
      <c r="J47" s="17" t="str">
        <f ca="1">IFERROR(__xludf.DUMMYFUNCTION("GOOGLETRANSLATE(I47,""ES"",""EN"")"),"Historical Prospective Budget")</f>
        <v>Historical Prospective Budget</v>
      </c>
      <c r="K47" s="1"/>
      <c r="L47" s="1"/>
      <c r="M47" s="1"/>
      <c r="N47" s="1"/>
      <c r="O47" s="1"/>
      <c r="P47" s="1"/>
      <c r="Q47" s="1"/>
      <c r="R47" s="1"/>
      <c r="S47" s="1"/>
      <c r="T47" s="1"/>
      <c r="U47" s="1"/>
      <c r="V47" s="1"/>
      <c r="W47" s="1"/>
      <c r="X47" s="1"/>
      <c r="Y47" s="1"/>
    </row>
    <row r="48" spans="1:25" ht="15.75" customHeight="1" x14ac:dyDescent="0.25">
      <c r="A48" s="6" t="s">
        <v>5</v>
      </c>
      <c r="B48" s="17" t="s">
        <v>410</v>
      </c>
      <c r="C48" s="17" t="s">
        <v>868</v>
      </c>
      <c r="D48" s="17" t="str">
        <f ca="1">IFERROR(__xludf.DUMMYFUNCTION("GOOGLETRANSLATE(C48,""ES"",""EN"")"),"Financing \ Intervention \ Prospective Annual Budget of the SS")</f>
        <v>Financing \ Intervention \ Prospective Annual Budget of the SS</v>
      </c>
      <c r="E48" s="17" t="s">
        <v>896</v>
      </c>
      <c r="F48" s="17" t="str">
        <f ca="1">IFERROR(__xludf.DUMMYFUNCTION("GOOGLETRANSLATE(E48,""ES"",""EN"")"),"In an origin, what I met was a budget allocation from the minimum health service. That is, it was almost nominal, let's say, through what was then called as the budget of, I do not remember, the development of mental health, I do not know, I had a generic"&amp;" name prior to what the whole era was of the benefits valued.")</f>
        <v>In an origin, what I met was a budget allocation from the minimum health service. That is, it was almost nominal, let's say, through what was then called as the budget of, I do not remember, the development of mental health, I do not know, I had a generic name prior to what the whole era was of the benefits valued.</v>
      </c>
      <c r="G48" s="18">
        <v>346</v>
      </c>
      <c r="H48" s="19">
        <v>1.5700154278972682</v>
      </c>
      <c r="I48" s="17" t="s">
        <v>870</v>
      </c>
      <c r="J48" s="17" t="str">
        <f ca="1">IFERROR(__xludf.DUMMYFUNCTION("GOOGLETRANSLATE(I48,""ES"",""EN"")"),"Historical Prospective Budget")</f>
        <v>Historical Prospective Budget</v>
      </c>
      <c r="K48" s="1"/>
      <c r="L48" s="1"/>
      <c r="M48" s="1"/>
      <c r="N48" s="1"/>
      <c r="O48" s="1"/>
      <c r="P48" s="1"/>
      <c r="Q48" s="1"/>
      <c r="R48" s="1"/>
      <c r="S48" s="1"/>
      <c r="T48" s="1"/>
      <c r="U48" s="1"/>
      <c r="V48" s="1"/>
      <c r="W48" s="1"/>
      <c r="X48" s="1"/>
      <c r="Y48" s="1"/>
    </row>
    <row r="49" spans="1:25" ht="15.75" customHeight="1" x14ac:dyDescent="0.25">
      <c r="A49" s="6" t="s">
        <v>5</v>
      </c>
      <c r="B49" s="17" t="s">
        <v>410</v>
      </c>
      <c r="C49" s="17" t="s">
        <v>897</v>
      </c>
      <c r="D49" s="17" t="str">
        <f ca="1">IFERROR(__xludf.DUMMYFUNCTION("GOOGLETRANSLATE(C49,""ES"",""EN"")"),"FINANCING \ INTERVENTION \ MUNICIPAL RESOURCES OF APS REASINED")</f>
        <v>FINANCING \ INTERVENTION \ MUNICIPAL RESOURCES OF APS REASINED</v>
      </c>
      <c r="E49" s="17" t="s">
        <v>898</v>
      </c>
      <c r="F49" s="17" t="str">
        <f ca="1">IFERROR(__xludf.DUMMYFUNCTION("GOOGLETRANSLATE(E49,""ES"",""EN"")"),"And the main financing mechanism in the case of what I know most in the Metropolitan Region had to do with municipal resources, mostly resources assigned to primary care. It was like getting primary care resources to finance Cosam.")</f>
        <v>And the main financing mechanism in the case of what I know most in the Metropolitan Region had to do with municipal resources, mostly resources assigned to primary care. It was like getting primary care resources to finance Cosam.</v>
      </c>
      <c r="G49" s="18">
        <v>275</v>
      </c>
      <c r="H49" s="19">
        <v>1.247844631999274</v>
      </c>
      <c r="I49" s="17" t="s">
        <v>899</v>
      </c>
      <c r="J49" s="17" t="str">
        <f ca="1">IFERROR(__xludf.DUMMYFUNCTION("GOOGLETRANSLATE(I49,""ES"",""EN"")"),"Reassigned municipal resources")</f>
        <v>Reassigned municipal resources</v>
      </c>
      <c r="K49" s="1"/>
      <c r="L49" s="1"/>
      <c r="M49" s="1"/>
      <c r="N49" s="1"/>
      <c r="O49" s="1"/>
      <c r="P49" s="1"/>
      <c r="Q49" s="1"/>
      <c r="R49" s="1"/>
      <c r="S49" s="1"/>
      <c r="T49" s="1"/>
      <c r="U49" s="1"/>
      <c r="V49" s="1"/>
      <c r="W49" s="1"/>
      <c r="X49" s="1"/>
      <c r="Y49" s="1"/>
    </row>
    <row r="50" spans="1:25" ht="15.75" customHeight="1" x14ac:dyDescent="0.25">
      <c r="A50" s="6" t="s">
        <v>5</v>
      </c>
      <c r="B50" s="17" t="s">
        <v>410</v>
      </c>
      <c r="C50" s="17" t="s">
        <v>862</v>
      </c>
      <c r="D50" s="17" t="str">
        <f ca="1">IFERROR(__xludf.DUMMYFUNCTION("GOOGLETRANSLATE(C50,""ES"",""EN"")"),"Financing \ intervention \ by baskets in some diagnoses")</f>
        <v>Financing \ intervention \ by baskets in some diagnoses</v>
      </c>
      <c r="E50" s="17" t="s">
        <v>900</v>
      </c>
      <c r="F50" s="17" t="str">
        <f ca="1">IFERROR(__xludf.DUMMYFUNCTION("GOOGLETRANSLATE(E50,""ES"",""EN"")"),"Now with the change of the specialty care financing mechanism towards valued benefits and this mechanism is incorporated towards COSAM.")</f>
        <v>Now with the change of the specialty care financing mechanism towards valued benefits and this mechanism is incorporated towards COSAM.</v>
      </c>
      <c r="G50" s="18">
        <v>155</v>
      </c>
      <c r="H50" s="19">
        <v>0.70333061076322712</v>
      </c>
      <c r="I50" s="17" t="s">
        <v>847</v>
      </c>
      <c r="J50" s="17" t="str">
        <f ca="1">IFERROR(__xludf.DUMMYFUNCTION("GOOGLETRANSLATE(I50,""ES"",""EN"")"),"Payment associated with a benefit basket")</f>
        <v>Payment associated with a benefit basket</v>
      </c>
      <c r="K50" s="1"/>
      <c r="L50" s="1"/>
      <c r="M50" s="1"/>
      <c r="N50" s="1"/>
      <c r="O50" s="1"/>
      <c r="P50" s="1"/>
      <c r="Q50" s="1"/>
      <c r="R50" s="1"/>
      <c r="S50" s="1"/>
      <c r="T50" s="1"/>
      <c r="U50" s="1"/>
      <c r="V50" s="1"/>
      <c r="W50" s="1"/>
      <c r="X50" s="1"/>
      <c r="Y50" s="1"/>
    </row>
    <row r="51" spans="1:25" ht="15.75" customHeight="1" x14ac:dyDescent="0.25">
      <c r="A51" s="6" t="s">
        <v>5</v>
      </c>
      <c r="B51" s="17" t="s">
        <v>410</v>
      </c>
      <c r="C51" s="17" t="s">
        <v>862</v>
      </c>
      <c r="D51" s="17" t="str">
        <f ca="1">IFERROR(__xludf.DUMMYFUNCTION("GOOGLETRANSLATE(C51,""ES"",""EN"")"),"Financing \ intervention \ by baskets in some diagnoses")</f>
        <v>Financing \ intervention \ by baskets in some diagnoses</v>
      </c>
      <c r="E51" s="17" t="s">
        <v>901</v>
      </c>
      <c r="F51" s="17" t="str">
        <f ca="1">IFERROR(__xludf.DUMMYFUNCTION("GOOGLETRANSLATE(E51,""ES"",""EN"")"),"I am speaking in this case of Municipal Cosam, in which it is also a reality today one can say particular, typical of the Metropolitan Region, which is not like the reality of what has been happening in other regions of the country. And this allows this n"&amp;"ew mechanism to be able to increase the budget rather associated with the attention of people with a certain diagnosis, which is like the logic that has been installed.")</f>
        <v>I am speaking in this case of Municipal Cosam, in which it is also a reality today one can say particular, typical of the Metropolitan Region, which is not like the reality of what has been happening in other regions of the country. And this allows this new mechanism to be able to increase the budget rather associated with the attention of people with a certain diagnosis, which is like the logic that has been installed.</v>
      </c>
      <c r="G51" s="18">
        <v>439</v>
      </c>
      <c r="H51" s="19">
        <v>1.9920137943552048</v>
      </c>
      <c r="I51" s="17" t="s">
        <v>847</v>
      </c>
      <c r="J51" s="17" t="str">
        <f ca="1">IFERROR(__xludf.DUMMYFUNCTION("GOOGLETRANSLATE(I51,""ES"",""EN"")"),"Payment associated with a benefit basket")</f>
        <v>Payment associated with a benefit basket</v>
      </c>
      <c r="K51" s="1"/>
      <c r="L51" s="1"/>
      <c r="M51" s="1"/>
      <c r="N51" s="1"/>
      <c r="O51" s="1"/>
      <c r="P51" s="1"/>
      <c r="Q51" s="1"/>
      <c r="R51" s="1"/>
      <c r="S51" s="1"/>
      <c r="T51" s="1"/>
      <c r="U51" s="1"/>
      <c r="V51" s="1"/>
      <c r="W51" s="1"/>
      <c r="X51" s="1"/>
      <c r="Y51" s="1"/>
    </row>
    <row r="52" spans="1:25" ht="15.75" customHeight="1" x14ac:dyDescent="0.25">
      <c r="A52" s="6" t="s">
        <v>5</v>
      </c>
      <c r="B52" s="17" t="s">
        <v>410</v>
      </c>
      <c r="C52" s="17" t="s">
        <v>862</v>
      </c>
      <c r="D52" s="17" t="str">
        <f ca="1">IFERROR(__xludf.DUMMYFUNCTION("GOOGLETRANSLATE(C52,""ES"",""EN"")"),"Financing \ intervention \ by baskets in some diagnoses")</f>
        <v>Financing \ intervention \ by baskets in some diagnoses</v>
      </c>
      <c r="E52" s="17" t="s">
        <v>902</v>
      </c>
      <c r="F52" s="17" t="str">
        <f ca="1">IFERROR(__xludf.DUMMYFUNCTION("GOOGLETRANSLATE(E52,""ES"",""EN"")"),"Now, in a context of the budget that is also limited, so that is not unlimited. Therefore, it does not necessarily imply that all the people served will have the financing in quotes through this mechanism. But well, as, let's say, this has allowed, say, i"&amp;"ncrease the budget.")</f>
        <v>Now, in a context of the budget that is also limited, so that is not unlimited. Therefore, it does not necessarily imply that all the people served will have the financing in quotes through this mechanism. But well, as, let's say, this has allowed, say, increase the budget.</v>
      </c>
      <c r="G52" s="18">
        <v>328</v>
      </c>
      <c r="H52" s="19">
        <v>1.4883383247118613</v>
      </c>
      <c r="I52" s="17" t="s">
        <v>847</v>
      </c>
      <c r="J52" s="17" t="str">
        <f ca="1">IFERROR(__xludf.DUMMYFUNCTION("GOOGLETRANSLATE(I52,""ES"",""EN"")"),"Payment associated with a benefit basket")</f>
        <v>Payment associated with a benefit basket</v>
      </c>
      <c r="K52" s="1"/>
      <c r="L52" s="1"/>
      <c r="M52" s="1"/>
      <c r="N52" s="1"/>
      <c r="O52" s="1"/>
      <c r="P52" s="1"/>
      <c r="Q52" s="1"/>
      <c r="R52" s="1"/>
      <c r="S52" s="1"/>
      <c r="T52" s="1"/>
      <c r="U52" s="1"/>
      <c r="V52" s="1"/>
      <c r="W52" s="1"/>
      <c r="X52" s="1"/>
      <c r="Y52" s="1"/>
    </row>
    <row r="53" spans="1:25" ht="15.75" customHeight="1" x14ac:dyDescent="0.25">
      <c r="A53" s="6" t="s">
        <v>5</v>
      </c>
      <c r="B53" s="17" t="s">
        <v>410</v>
      </c>
      <c r="C53" s="17" t="s">
        <v>827</v>
      </c>
      <c r="D53" s="17" t="str">
        <f ca="1">IFERROR(__xludf.DUMMYFUNCTION("GOOGLETRANSLATE(C53,""ES"",""EN"")"),"FINANCING \ INTERVENTION \ CONVENTIONS WITH INTERSECTOR \ NATIONAL DRUG SERVICE SENDA")</f>
        <v>FINANCING \ INTERVENTION \ CONVENTIONS WITH INTERSECTOR \ NATIONAL DRUG SERVICE SENDA</v>
      </c>
      <c r="E53" s="17" t="s">
        <v>903</v>
      </c>
      <c r="F53" s="17" t="str">
        <f ca="1">IFERROR(__xludf.DUMMYFUNCTION("GOOGLETRANSLATE(E53,""ES"",""EN"")"),"Another financing modality that I believe has been very, very relevant, has to do with all the resources provided from the path, which in the case of Cosam have constituted as a very significant part and which also has the logic of people Attended. The sa"&amp;"me logic of the PPV.")</f>
        <v>Another financing modality that I believe has been very, very relevant, has to do with all the resources provided from the path, which in the case of Cosam have constituted as a very significant part and which also has the logic of people Attended. The same logic of the PPV.</v>
      </c>
      <c r="G53" s="18">
        <v>299</v>
      </c>
      <c r="H53" s="19">
        <v>1.3567474362464833</v>
      </c>
      <c r="I53" s="17" t="s">
        <v>829</v>
      </c>
      <c r="J53" s="17" t="str">
        <f ca="1">IFERROR(__xludf.DUMMYFUNCTION("GOOGLETRANSLATE(I53,""ES"",""EN"")"),"Agreements with government organizations of the intersector")</f>
        <v>Agreements with government organizations of the intersector</v>
      </c>
      <c r="K53" s="1"/>
      <c r="L53" s="1"/>
      <c r="M53" s="1"/>
      <c r="N53" s="1"/>
      <c r="O53" s="1"/>
      <c r="P53" s="1"/>
      <c r="Q53" s="1"/>
      <c r="R53" s="1"/>
      <c r="S53" s="1"/>
      <c r="T53" s="1"/>
      <c r="U53" s="1"/>
      <c r="V53" s="1"/>
      <c r="W53" s="1"/>
      <c r="X53" s="1"/>
      <c r="Y53" s="1"/>
    </row>
    <row r="54" spans="1:25" ht="15.75" customHeight="1" x14ac:dyDescent="0.25">
      <c r="A54" s="6" t="s">
        <v>5</v>
      </c>
      <c r="B54" s="17" t="s">
        <v>410</v>
      </c>
      <c r="C54" s="17" t="s">
        <v>862</v>
      </c>
      <c r="D54" s="17" t="str">
        <f ca="1">IFERROR(__xludf.DUMMYFUNCTION("GOOGLETRANSLATE(C54,""ES"",""EN"")"),"Financing \ intervention \ by baskets in some diagnoses")</f>
        <v>Financing \ intervention \ by baskets in some diagnoses</v>
      </c>
      <c r="E54" s="17" t="s">
        <v>904</v>
      </c>
      <c r="F54" s="17" t="str">
        <f ca="1">IFERROR(__xludf.DUMMYFUNCTION("GOOGLETRANSLATE(E54,""ES"",""EN"")"),"And well, that is maintained a little in that way until a couple of years ago when this PPV financing mechanism is supposed to disappear. It disappears in quotes, because it is not so clear what the financing mechanism will be.")</f>
        <v>And well, that is maintained a little in that way until a couple of years ago when this PPV financing mechanism is supposed to disappear. It disappears in quotes, because it is not so clear what the financing mechanism will be.</v>
      </c>
      <c r="G54" s="18">
        <v>251</v>
      </c>
      <c r="H54" s="19">
        <v>1.1389418277520647</v>
      </c>
      <c r="I54" s="17" t="s">
        <v>847</v>
      </c>
      <c r="J54" s="17" t="str">
        <f ca="1">IFERROR(__xludf.DUMMYFUNCTION("GOOGLETRANSLATE(I54,""ES"",""EN"")"),"Payment associated with a benefit basket")</f>
        <v>Payment associated with a benefit basket</v>
      </c>
      <c r="K54" s="1"/>
      <c r="L54" s="1"/>
      <c r="M54" s="1"/>
      <c r="N54" s="1"/>
      <c r="O54" s="1"/>
      <c r="P54" s="1"/>
      <c r="Q54" s="1"/>
      <c r="R54" s="1"/>
      <c r="S54" s="1"/>
      <c r="T54" s="1"/>
      <c r="U54" s="1"/>
      <c r="V54" s="1"/>
      <c r="W54" s="1"/>
      <c r="X54" s="1"/>
      <c r="Y54" s="1"/>
    </row>
    <row r="55" spans="1:25" ht="15.75" customHeight="1" x14ac:dyDescent="0.25">
      <c r="A55" s="6" t="s">
        <v>5</v>
      </c>
      <c r="B55" s="17" t="s">
        <v>410</v>
      </c>
      <c r="C55" s="17" t="s">
        <v>862</v>
      </c>
      <c r="D55" s="17" t="str">
        <f ca="1">IFERROR(__xludf.DUMMYFUNCTION("GOOGLETRANSLATE(C55,""ES"",""EN"")"),"Financing \ intervention \ by baskets in some diagnoses")</f>
        <v>Financing \ intervention \ by baskets in some diagnoses</v>
      </c>
      <c r="E55" s="17" t="s">
        <v>905</v>
      </c>
      <c r="F55" s="17" t="str">
        <f ca="1">IFERROR(__xludf.DUMMYFUNCTION("GOOGLETRANSLATE(E55,""ES"",""EN"")"),"I understand that last year there was a trend rather to go back what they had said that it was going to disappear for the ambulatory. And well, today I think it is a much more nebulous issue, what is really the payment mechanism, except for what is in the"&amp;" GES topics that this logic of the associated basket remains.")</f>
        <v>I understand that last year there was a trend rather to go back what they had said that it was going to disappear for the ambulatory. And well, today I think it is a much more nebulous issue, what is really the payment mechanism, except for what is in the GES topics that this logic of the associated basket remains.</v>
      </c>
      <c r="G55" s="18">
        <v>325</v>
      </c>
      <c r="H55" s="19">
        <v>1.4747254741809601</v>
      </c>
      <c r="I55" s="17" t="s">
        <v>847</v>
      </c>
      <c r="J55" s="17" t="str">
        <f ca="1">IFERROR(__xludf.DUMMYFUNCTION("GOOGLETRANSLATE(I55,""ES"",""EN"")"),"Payment associated with a benefit basket")</f>
        <v>Payment associated with a benefit basket</v>
      </c>
      <c r="K55" s="1"/>
      <c r="L55" s="1"/>
      <c r="M55" s="1"/>
      <c r="N55" s="1"/>
      <c r="O55" s="1"/>
      <c r="P55" s="1"/>
      <c r="Q55" s="1"/>
      <c r="R55" s="1"/>
      <c r="S55" s="1"/>
      <c r="T55" s="1"/>
      <c r="U55" s="1"/>
      <c r="V55" s="1"/>
      <c r="W55" s="1"/>
      <c r="X55" s="1"/>
      <c r="Y55" s="1"/>
    </row>
    <row r="56" spans="1:25" ht="15.75" customHeight="1" x14ac:dyDescent="0.25">
      <c r="A56" s="6" t="s">
        <v>5</v>
      </c>
      <c r="B56" s="17" t="s">
        <v>410</v>
      </c>
      <c r="C56" s="17" t="s">
        <v>897</v>
      </c>
      <c r="D56" s="17" t="str">
        <f ca="1">IFERROR(__xludf.DUMMYFUNCTION("GOOGLETRANSLATE(C56,""ES"",""EN"")"),"FINANCING \ INTERVENTION \ MUNICIPAL RESOURCES OF APS REASINED")</f>
        <v>FINANCING \ INTERVENTION \ MUNICIPAL RESOURCES OF APS REASINED</v>
      </c>
      <c r="E56" s="17" t="s">
        <v>906</v>
      </c>
      <c r="F56" s="17" t="str">
        <f ca="1">IFERROR(__xludf.DUMMYFUNCTION("GOOGLETRANSLATE(E56,""ES"",""EN"")"),"Now, I would say that practically all the municipal establishments of our service continue to require this municipal contribution.")</f>
        <v>Now, I would say that practically all the municipal establishments of our service continue to require this municipal contribution.</v>
      </c>
      <c r="G56" s="18">
        <v>137</v>
      </c>
      <c r="H56" s="19">
        <v>0.62165350757782012</v>
      </c>
      <c r="I56" s="17" t="s">
        <v>899</v>
      </c>
      <c r="J56" s="17" t="str">
        <f ca="1">IFERROR(__xludf.DUMMYFUNCTION("GOOGLETRANSLATE(I56,""ES"",""EN"")"),"Reassigned municipal resources")</f>
        <v>Reassigned municipal resources</v>
      </c>
      <c r="K56" s="1"/>
      <c r="L56" s="1"/>
      <c r="M56" s="1"/>
      <c r="N56" s="1"/>
      <c r="O56" s="1"/>
      <c r="P56" s="1"/>
      <c r="Q56" s="1"/>
      <c r="R56" s="1"/>
      <c r="S56" s="1"/>
      <c r="T56" s="1"/>
      <c r="U56" s="1"/>
      <c r="V56" s="1"/>
      <c r="W56" s="1"/>
      <c r="X56" s="1"/>
      <c r="Y56" s="1"/>
    </row>
    <row r="57" spans="1:25" ht="15.75" customHeight="1" x14ac:dyDescent="0.25">
      <c r="A57" s="6" t="s">
        <v>5</v>
      </c>
      <c r="B57" s="17" t="s">
        <v>410</v>
      </c>
      <c r="C57" s="17" t="s">
        <v>897</v>
      </c>
      <c r="D57" s="17" t="str">
        <f ca="1">IFERROR(__xludf.DUMMYFUNCTION("GOOGLETRANSLATE(C57,""ES"",""EN"")"),"FINANCING \ INTERVENTION \ MUNICIPAL RESOURCES OF APS REASINED")</f>
        <v>FINANCING \ INTERVENTION \ MUNICIPAL RESOURCES OF APS REASINED</v>
      </c>
      <c r="E57" s="17" t="s">
        <v>907</v>
      </c>
      <c r="F57" s="17" t="str">
        <f ca="1">IFERROR(__xludf.DUMMYFUNCTION("GOOGLETRANSLATE(E57,""ES"",""EN"")"),"In much less measure than at the beginning, let's say, but they still require resources that are finally resources that from the logic of the system should be oriented to the financing of primary care. That is, it is how to get a part.")</f>
        <v>In much less measure than at the beginning, let's say, but they still require resources that are finally resources that from the logic of the system should be oriented to the financing of primary care. That is, it is how to get a part.</v>
      </c>
      <c r="G57" s="18">
        <v>254</v>
      </c>
      <c r="H57" s="19">
        <v>1.1525546782829659</v>
      </c>
      <c r="I57" s="17" t="s">
        <v>899</v>
      </c>
      <c r="J57" s="17" t="str">
        <f ca="1">IFERROR(__xludf.DUMMYFUNCTION("GOOGLETRANSLATE(I57,""ES"",""EN"")"),"Reassigned municipal resources")</f>
        <v>Reassigned municipal resources</v>
      </c>
      <c r="K57" s="1"/>
      <c r="L57" s="1"/>
      <c r="M57" s="1"/>
      <c r="N57" s="1"/>
      <c r="O57" s="1"/>
      <c r="P57" s="1"/>
      <c r="Q57" s="1"/>
      <c r="R57" s="1"/>
      <c r="S57" s="1"/>
      <c r="T57" s="1"/>
      <c r="U57" s="1"/>
      <c r="V57" s="1"/>
      <c r="W57" s="1"/>
      <c r="X57" s="1"/>
      <c r="Y57" s="1"/>
    </row>
    <row r="58" spans="1:25" ht="15.75" customHeight="1" x14ac:dyDescent="0.25">
      <c r="A58" s="6" t="s">
        <v>5</v>
      </c>
      <c r="B58" s="17" t="s">
        <v>410</v>
      </c>
      <c r="C58" s="17" t="s">
        <v>868</v>
      </c>
      <c r="D58" s="17" t="str">
        <f ca="1">IFERROR(__xludf.DUMMYFUNCTION("GOOGLETRANSLATE(C58,""ES"",""EN"")"),"Financing \ Intervention \ Prospective Annual Budget of the SS")</f>
        <v>Financing \ Intervention \ Prospective Annual Budget of the SS</v>
      </c>
      <c r="E58" s="17" t="s">
        <v>416</v>
      </c>
      <c r="F58" s="17" t="str">
        <f ca="1">IFERROR(__xludf.DUMMYFUNCTION("GOOGLETRANSLATE(E58,""ES"",""EN"")"),"It is the health and budget service is how it is defined, how much resource it is possible to associate with these agreements. Now, I would say that during the last three or four years the budget has remained without any increase.")</f>
        <v>It is the health and budget service is how it is defined, how much resource it is possible to associate with these agreements. Now, I would say that during the last three or four years the budget has remained without any increase.</v>
      </c>
      <c r="G58" s="18">
        <v>254</v>
      </c>
      <c r="H58" s="19">
        <v>1.1525546782829659</v>
      </c>
      <c r="I58" s="17" t="s">
        <v>870</v>
      </c>
      <c r="J58" s="17" t="str">
        <f ca="1">IFERROR(__xludf.DUMMYFUNCTION("GOOGLETRANSLATE(I58,""ES"",""EN"")"),"Historical Prospective Budget")</f>
        <v>Historical Prospective Budget</v>
      </c>
      <c r="K58" s="1"/>
      <c r="L58" s="1"/>
      <c r="M58" s="1"/>
      <c r="N58" s="1"/>
      <c r="O58" s="1"/>
      <c r="P58" s="1"/>
      <c r="Q58" s="1"/>
      <c r="R58" s="1"/>
      <c r="S58" s="1"/>
      <c r="T58" s="1"/>
      <c r="U58" s="1"/>
      <c r="V58" s="1"/>
      <c r="W58" s="1"/>
      <c r="X58" s="1"/>
      <c r="Y58" s="1"/>
    </row>
    <row r="59" spans="1:25" ht="15.75" customHeight="1" x14ac:dyDescent="0.25">
      <c r="A59" s="6" t="s">
        <v>5</v>
      </c>
      <c r="B59" s="17" t="s">
        <v>410</v>
      </c>
      <c r="C59" s="17" t="s">
        <v>830</v>
      </c>
      <c r="D59" s="17" t="str">
        <f ca="1">IFERROR(__xludf.DUMMYFUNCTION("GOOGLETRANSLATE(C59,""ES"",""EN"")"),"FINANCING \ INTERVENTION \ UNIVERSAL GENDER GUARANTEE PLAN")</f>
        <v>FINANCING \ INTERVENTION \ UNIVERSAL GENDER GUARANTEE PLAN</v>
      </c>
      <c r="E59" s="17" t="s">
        <v>908</v>
      </c>
      <c r="F59" s="17" t="str">
        <f ca="1">IFERROR(__xludf.DUMMYFUNCTION("GOOGLETRANSLATE(E59,""ES"",""EN"")"),"The other limiting is also given, well, but that is more than for the payment mechanism, it is for other types of definitions, let's say on this subject. I do not know, of schizophrenia you have to attend at the level of specialty regardless of complexity"&amp;". Because that is where it is, but that has to do rather as the flows or those in how it has been established from the GES, rather than with the payment mechanism.")</f>
        <v>The other limiting is also given, well, but that is more than for the payment mechanism, it is for other types of definitions, let's say on this subject. I do not know, of schizophrenia you have to attend at the level of specialty regardless of complexity. Because that is where it is, but that has to do rather as the flows or those in how it has been established from the GES, rather than with the payment mechanism.</v>
      </c>
      <c r="G59" s="18">
        <v>409</v>
      </c>
      <c r="H59" s="19">
        <v>1.855885289046193</v>
      </c>
      <c r="I59" s="17" t="s">
        <v>832</v>
      </c>
      <c r="J59" s="17" t="str">
        <f ca="1">IFERROR(__xludf.DUMMYFUNCTION("GOOGLETRANSLATE(I59,""ES"",""EN"")"),"Universal Health Guarantee Plan (GES)")</f>
        <v>Universal Health Guarantee Plan (GES)</v>
      </c>
      <c r="K59" s="1"/>
      <c r="L59" s="1"/>
      <c r="M59" s="1"/>
      <c r="N59" s="1"/>
      <c r="O59" s="1"/>
      <c r="P59" s="1"/>
      <c r="Q59" s="1"/>
      <c r="R59" s="1"/>
      <c r="S59" s="1"/>
      <c r="T59" s="1"/>
      <c r="U59" s="1"/>
      <c r="V59" s="1"/>
      <c r="W59" s="1"/>
      <c r="X59" s="1"/>
      <c r="Y59" s="1"/>
    </row>
    <row r="60" spans="1:25" ht="15.75" customHeight="1" x14ac:dyDescent="0.25">
      <c r="A60" s="6" t="s">
        <v>5</v>
      </c>
      <c r="B60" s="17" t="s">
        <v>410</v>
      </c>
      <c r="C60" s="17" t="s">
        <v>868</v>
      </c>
      <c r="D60" s="17" t="str">
        <f ca="1">IFERROR(__xludf.DUMMYFUNCTION("GOOGLETRANSLATE(C60,""ES"",""EN"")"),"Financing \ Intervention \ Prospective Annual Budget of the SS")</f>
        <v>Financing \ Intervention \ Prospective Annual Budget of the SS</v>
      </c>
      <c r="E60" s="17" t="s">
        <v>909</v>
      </c>
      <c r="F60" s="17" t="str">
        <f ca="1">IFERROR(__xludf.DUMMYFUNCTION("GOOGLETRANSLATE(E60,""ES"",""EN"")"),"I was thinking that also today, that this no longer exists as our agreements are, they no longer have goals as associates, to put it as before, of attention of people with an established diagnosis.")</f>
        <v>I was thinking that also today, that this no longer exists as our agreements are, they no longer have goals as associates, to put it as before, of attention of people with an established diagnosis.</v>
      </c>
      <c r="G60" s="18">
        <v>212</v>
      </c>
      <c r="H60" s="19">
        <v>0.96197477085034933</v>
      </c>
      <c r="I60" s="17" t="s">
        <v>870</v>
      </c>
      <c r="J60" s="17" t="str">
        <f ca="1">IFERROR(__xludf.DUMMYFUNCTION("GOOGLETRANSLATE(I60,""ES"",""EN"")"),"Historical Prospective Budget")</f>
        <v>Historical Prospective Budget</v>
      </c>
      <c r="K60" s="1"/>
      <c r="L60" s="1"/>
      <c r="M60" s="1"/>
      <c r="N60" s="1"/>
      <c r="O60" s="1"/>
      <c r="P60" s="1"/>
      <c r="Q60" s="1"/>
      <c r="R60" s="1"/>
      <c r="S60" s="1"/>
      <c r="T60" s="1"/>
      <c r="U60" s="1"/>
      <c r="V60" s="1"/>
      <c r="W60" s="1"/>
      <c r="X60" s="1"/>
      <c r="Y60" s="1"/>
    </row>
    <row r="61" spans="1:25" ht="15.75" customHeight="1" x14ac:dyDescent="0.25">
      <c r="A61" s="6" t="s">
        <v>5</v>
      </c>
      <c r="B61" s="17" t="s">
        <v>410</v>
      </c>
      <c r="C61" s="17" t="s">
        <v>910</v>
      </c>
      <c r="D61" s="17" t="str">
        <f ca="1">IFERROR(__xludf.DUMMYFUNCTION("GOOGLETRANSLATE(C61,""ES"",""EN"")"),"FINANCING \ INTERVENTION \ CONVENTIONS WITH INTERSECTOR \ INTERSECTORIAL SYSTEM FOR CRIMINAL POPULATION")</f>
        <v>FINANCING \ INTERVENTION \ CONVENTIONS WITH INTERSECTOR \ INTERSECTORIAL SYSTEM FOR CRIMINAL POPULATION</v>
      </c>
      <c r="E61" s="17" t="s">
        <v>911</v>
      </c>
      <c r="F61" s="17" t="str">
        <f ca="1">IFERROR(__xludf.DUMMYFUNCTION("GOOGLETRANSLATE(E61,""ES"",""EN"")"),"They have progressively delivering a lot of financing, the services and between that many positions to the services. And we, well, decided to strengthen the entire specialty care network, those positions that reached the eighteenth -century law health ser"&amp;"vice. That could not be transferred for municipal centers. We had to hire people from here and install it to work in Cosam as a service commission.")</f>
        <v>They have progressively delivering a lot of financing, the services and between that many positions to the services. And we, well, decided to strengthen the entire specialty care network, those positions that reached the eighteenth -century law health service. That could not be transferred for municipal centers. We had to hire people from here and install it to work in Cosam as a service commission.</v>
      </c>
      <c r="G61" s="18">
        <v>449</v>
      </c>
      <c r="H61" s="19">
        <v>2.0373899627915417</v>
      </c>
      <c r="I61" s="17" t="s">
        <v>829</v>
      </c>
      <c r="J61" s="17" t="str">
        <f ca="1">IFERROR(__xludf.DUMMYFUNCTION("GOOGLETRANSLATE(I61,""ES"",""EN"")"),"Agreements with government organizations of the intersector")</f>
        <v>Agreements with government organizations of the intersector</v>
      </c>
      <c r="K61" s="1"/>
      <c r="L61" s="1"/>
      <c r="M61" s="1"/>
      <c r="N61" s="1"/>
      <c r="O61" s="1"/>
      <c r="P61" s="1"/>
      <c r="Q61" s="1"/>
      <c r="R61" s="1"/>
      <c r="S61" s="1"/>
      <c r="T61" s="1"/>
      <c r="U61" s="1"/>
      <c r="V61" s="1"/>
      <c r="W61" s="1"/>
      <c r="X61" s="1"/>
      <c r="Y61" s="1"/>
    </row>
    <row r="62" spans="1:25" ht="15.75" customHeight="1" x14ac:dyDescent="0.25">
      <c r="A62" s="6" t="s">
        <v>5</v>
      </c>
      <c r="B62" s="17" t="s">
        <v>912</v>
      </c>
      <c r="C62" s="17" t="s">
        <v>830</v>
      </c>
      <c r="D62" s="17" t="str">
        <f ca="1">IFERROR(__xludf.DUMMYFUNCTION("GOOGLETRANSLATE(C62,""ES"",""EN"")"),"FINANCING \ INTERVENTION \ UNIVERSAL GENDER GUARANTEE PLAN")</f>
        <v>FINANCING \ INTERVENTION \ UNIVERSAL GENDER GUARANTEE PLAN</v>
      </c>
      <c r="E62" s="17" t="s">
        <v>913</v>
      </c>
      <c r="F62" s="17" t="str">
        <f ca="1">IFERROR(__xludf.DUMMYFUNCTION("GOOGLETRANSLATE(E62,""ES"",""EN"")"),"To my liking the main achievement is what has been incorporated into the field of mental health in the GES")</f>
        <v>To my liking the main achievement is what has been incorporated into the field of mental health in the GES</v>
      </c>
      <c r="G62" s="18">
        <v>105</v>
      </c>
      <c r="H62" s="19">
        <v>0.55955235811350923</v>
      </c>
      <c r="I62" s="17" t="s">
        <v>832</v>
      </c>
      <c r="J62" s="17" t="str">
        <f ca="1">IFERROR(__xludf.DUMMYFUNCTION("GOOGLETRANSLATE(I62,""ES"",""EN"")"),"Universal Health Guarantee Plan (GES)")</f>
        <v>Universal Health Guarantee Plan (GES)</v>
      </c>
      <c r="K62" s="1"/>
      <c r="L62" s="1"/>
      <c r="M62" s="1"/>
      <c r="N62" s="1"/>
      <c r="O62" s="1"/>
      <c r="P62" s="1"/>
      <c r="Q62" s="1"/>
      <c r="R62" s="1"/>
      <c r="S62" s="1"/>
      <c r="T62" s="1"/>
      <c r="U62" s="1"/>
      <c r="V62" s="1"/>
      <c r="W62" s="1"/>
      <c r="X62" s="1"/>
      <c r="Y62" s="1"/>
    </row>
    <row r="63" spans="1:25" ht="15.75" customHeight="1" x14ac:dyDescent="0.25">
      <c r="A63" s="6" t="s">
        <v>5</v>
      </c>
      <c r="B63" s="17" t="s">
        <v>456</v>
      </c>
      <c r="C63" s="17" t="s">
        <v>830</v>
      </c>
      <c r="D63" s="17" t="str">
        <f ca="1">IFERROR(__xludf.DUMMYFUNCTION("GOOGLETRANSLATE(C63,""ES"",""EN"")"),"FINANCING \ INTERVENTION \ UNIVERSAL GENDER GUARANTEE PLAN")</f>
        <v>FINANCING \ INTERVENTION \ UNIVERSAL GENDER GUARANTEE PLAN</v>
      </c>
      <c r="E63" s="17" t="s">
        <v>914</v>
      </c>
      <c r="F63" s="17" t="str">
        <f ca="1">IFERROR(__xludf.DUMMYFUNCTION("GOOGLETRANSLATE(E63,""ES"",""EN"")"),"We have, for example, everything in regards to mental health, for example, in the health problem thirty -four, depression in a 15 -year -old person, we have all the treatment that is done in an outpatient way (GES) And we have it valued for refractory, fo"&amp;"r example, of maintenance phase, severe depression and high suicidal irrigation.")</f>
        <v>We have, for example, everything in regards to mental health, for example, in the health problem thirty -four, depression in a 15 -year -old person, we have all the treatment that is done in an outpatient way (GES) And we have it valued for refractory, for example, of maintenance phase, severe depression and high suicidal irrigation.</v>
      </c>
      <c r="G63" s="18">
        <v>364</v>
      </c>
      <c r="H63" s="19">
        <v>1.9397815081268317</v>
      </c>
      <c r="I63" s="17" t="s">
        <v>832</v>
      </c>
      <c r="J63" s="17" t="str">
        <f ca="1">IFERROR(__xludf.DUMMYFUNCTION("GOOGLETRANSLATE(I63,""ES"",""EN"")"),"Universal Health Guarantee Plan (GES)")</f>
        <v>Universal Health Guarantee Plan (GES)</v>
      </c>
      <c r="K63" s="1"/>
      <c r="L63" s="1"/>
      <c r="M63" s="1"/>
      <c r="N63" s="1"/>
      <c r="O63" s="1"/>
      <c r="P63" s="1"/>
      <c r="Q63" s="1"/>
      <c r="R63" s="1"/>
      <c r="S63" s="1"/>
      <c r="T63" s="1"/>
      <c r="U63" s="1"/>
      <c r="V63" s="1"/>
      <c r="W63" s="1"/>
      <c r="X63" s="1"/>
      <c r="Y63" s="1"/>
    </row>
    <row r="64" spans="1:25" ht="15.75" customHeight="1" x14ac:dyDescent="0.25">
      <c r="A64" s="6" t="s">
        <v>5</v>
      </c>
      <c r="B64" s="17" t="s">
        <v>456</v>
      </c>
      <c r="C64" s="17" t="s">
        <v>830</v>
      </c>
      <c r="D64" s="17" t="str">
        <f ca="1">IFERROR(__xludf.DUMMYFUNCTION("GOOGLETRANSLATE(C64,""ES"",""EN"")"),"FINANCING \ INTERVENTION \ UNIVERSAL GENDER GUARANTEE PLAN")</f>
        <v>FINANCING \ INTERVENTION \ UNIVERSAL GENDER GUARANTEE PLAN</v>
      </c>
      <c r="E64" s="17" t="s">
        <v>915</v>
      </c>
      <c r="F64" s="17" t="str">
        <f ca="1">IFERROR(__xludf.DUMMYFUNCTION("GOOGLETRANSLATE(E64,""ES"",""EN"")"),"Then it is not so much, but that they are some health problems that are of mental health, but that this health intervention is done at an outpatient level and that if we have it in that tariff that Veronica told you. And that as I said, they are not benef"&amp;"its alone, they are basket, that is, it is paquetized or they can take the consultation, it can take drug, the control of a psychologist or another professional, of course, but it is called outpatient. And that health intervention of GES, for example, is "&amp;"a mental health problem, will go through that outpatient tariff.")</f>
        <v>Then it is not so much, but that they are some health problems that are of mental health, but that this health intervention is done at an outpatient level and that if we have it in that tariff that Veronica told you. And that as I said, they are not benefits alone, they are basket, that is, it is paquetized or they can take the consultation, it can take drug, the control of a psychologist or another professional, of course, but it is called outpatient. And that health intervention of GES, for example, is a mental health problem, will go through that outpatient tariff.</v>
      </c>
      <c r="G64" s="18">
        <v>554</v>
      </c>
      <c r="H64" s="19">
        <v>2.9523048228084199</v>
      </c>
      <c r="I64" s="17" t="s">
        <v>832</v>
      </c>
      <c r="J64" s="17" t="str">
        <f ca="1">IFERROR(__xludf.DUMMYFUNCTION("GOOGLETRANSLATE(I64,""ES"",""EN"")"),"Universal Health Guarantee Plan (GES)")</f>
        <v>Universal Health Guarantee Plan (GES)</v>
      </c>
      <c r="K64" s="1"/>
      <c r="L64" s="1"/>
      <c r="M64" s="1"/>
      <c r="N64" s="1"/>
      <c r="O64" s="1"/>
      <c r="P64" s="1"/>
      <c r="Q64" s="1"/>
      <c r="R64" s="1"/>
      <c r="S64" s="1"/>
      <c r="T64" s="1"/>
      <c r="U64" s="1"/>
      <c r="V64" s="1"/>
      <c r="W64" s="1"/>
      <c r="X64" s="1"/>
      <c r="Y64" s="1"/>
    </row>
    <row r="65" spans="1:25" ht="15.75" customHeight="1" x14ac:dyDescent="0.25">
      <c r="A65" s="6" t="s">
        <v>5</v>
      </c>
      <c r="B65" s="17" t="s">
        <v>456</v>
      </c>
      <c r="C65" s="17" t="s">
        <v>830</v>
      </c>
      <c r="D65" s="17" t="str">
        <f ca="1">IFERROR(__xludf.DUMMYFUNCTION("GOOGLETRANSLATE(C65,""ES"",""EN"")"),"FINANCING \ INTERVENTION \ UNIVERSAL GENDER GUARANTEE PLAN")</f>
        <v>FINANCING \ INTERVENTION \ UNIVERSAL GENDER GUARANTEE PLAN</v>
      </c>
      <c r="E65" s="17" t="s">
        <v>916</v>
      </c>
      <c r="F65" s="17" t="str">
        <f ca="1">IFERROR(__xludf.DUMMYFUNCTION("GOOGLETRANSLATE(E65,""ES"",""EN"")"),"It has to be a part of the GES, in this case of depression, also epilepsy and another is, but they are not going to pay for GRD. Because it is not hospitalization, do you notice?")</f>
        <v>It has to be a part of the GES, in this case of depression, also epilepsy and another is, but they are not going to pay for GRD. Because it is not hospitalization, do you notice?</v>
      </c>
      <c r="G65" s="18">
        <v>177</v>
      </c>
      <c r="H65" s="19">
        <v>0.94324540367705834</v>
      </c>
      <c r="I65" s="17" t="s">
        <v>832</v>
      </c>
      <c r="J65" s="17" t="str">
        <f ca="1">IFERROR(__xludf.DUMMYFUNCTION("GOOGLETRANSLATE(I65,""ES"",""EN"")"),"Universal Health Guarantee Plan (GES)")</f>
        <v>Universal Health Guarantee Plan (GES)</v>
      </c>
      <c r="K65" s="1"/>
      <c r="L65" s="1"/>
      <c r="M65" s="1"/>
      <c r="N65" s="1"/>
      <c r="O65" s="1"/>
      <c r="P65" s="1"/>
      <c r="Q65" s="1"/>
      <c r="R65" s="1"/>
      <c r="S65" s="1"/>
      <c r="T65" s="1"/>
      <c r="U65" s="1"/>
      <c r="V65" s="1"/>
      <c r="W65" s="1"/>
      <c r="X65" s="1"/>
      <c r="Y65" s="1"/>
    </row>
    <row r="66" spans="1:25" ht="15.75" customHeight="1" x14ac:dyDescent="0.25">
      <c r="A66" s="6" t="s">
        <v>5</v>
      </c>
      <c r="B66" s="17" t="s">
        <v>912</v>
      </c>
      <c r="C66" s="17" t="s">
        <v>886</v>
      </c>
      <c r="D66" s="17" t="str">
        <f ca="1">IFERROR(__xludf.DUMMYFUNCTION("GOOGLETRANSLATE(C66,""ES"",""EN"")"),"FINANCING \ INTERVENTION \ PAYMENT BY GRD TO THE HOSPITAL")</f>
        <v>FINANCING \ INTERVENTION \ PAYMENT BY GRD TO THE HOSPITAL</v>
      </c>
      <c r="E66" s="17" t="s">
        <v>917</v>
      </c>
      <c r="F66" s="17" t="str">
        <f ca="1">IFERROR(__xludf.DUMMYFUNCTION("GOOGLETRANSLATE(E66,""ES"",""EN"")"),"Everything that is related to an event or hospitalized episode, that must continue to be paid through the GRD, now.")</f>
        <v>Everything that is related to an event or hospitalized episode, that must continue to be paid through the GRD, now.</v>
      </c>
      <c r="G66" s="18">
        <v>122</v>
      </c>
      <c r="H66" s="19">
        <v>0.65014654942712491</v>
      </c>
      <c r="I66" s="17" t="s">
        <v>888</v>
      </c>
      <c r="J66" s="17" t="str">
        <f ca="1">IFERROR(__xludf.DUMMYFUNCTION("GOOGLETRANSLATE(I66,""ES"",""EN"")"),"Budget indirectly from GRD payment to the hospital")</f>
        <v>Budget indirectly from GRD payment to the hospital</v>
      </c>
      <c r="K66" s="1"/>
      <c r="L66" s="1"/>
      <c r="M66" s="1"/>
      <c r="N66" s="1"/>
      <c r="O66" s="1"/>
      <c r="P66" s="1"/>
      <c r="Q66" s="1"/>
      <c r="R66" s="1"/>
      <c r="S66" s="1"/>
      <c r="T66" s="1"/>
      <c r="U66" s="1"/>
      <c r="V66" s="1"/>
      <c r="W66" s="1"/>
      <c r="X66" s="1"/>
      <c r="Y66" s="1"/>
    </row>
    <row r="67" spans="1:25" ht="15.75" customHeight="1" x14ac:dyDescent="0.25">
      <c r="A67" s="6" t="s">
        <v>5</v>
      </c>
      <c r="B67" s="17" t="s">
        <v>466</v>
      </c>
      <c r="C67" s="17" t="s">
        <v>862</v>
      </c>
      <c r="D67" s="17" t="str">
        <f ca="1">IFERROR(__xludf.DUMMYFUNCTION("GOOGLETRANSLATE(C67,""ES"",""EN"")"),"Financing \ intervention \ by baskets in some diagnoses")</f>
        <v>Financing \ intervention \ by baskets in some diagnoses</v>
      </c>
      <c r="E67" s="17" t="s">
        <v>918</v>
      </c>
      <c r="F67" s="17" t="str">
        <f ca="1">IFERROR(__xludf.DUMMYFUNCTION("GOOGLETRANSLATE(E67,""ES"",""EN"")"),"In general, the payment mechanism, say more, more classic or that we always had was the PPV, that is, payment for valued benefit, which perhaps allowed us to have as a good budget management was somehow a payment for production. However, the PPV has ended"&amp;" for some time.")</f>
        <v>In general, the payment mechanism, say more, more classic or that we always had was the PPV, that is, payment for valued benefit, which perhaps allowed us to have as a good budget management was somehow a payment for production. However, the PPV has ended for some time.</v>
      </c>
      <c r="G67" s="18">
        <v>305</v>
      </c>
      <c r="H67" s="19">
        <v>0.84621146963349336</v>
      </c>
      <c r="I67" s="17" t="s">
        <v>847</v>
      </c>
      <c r="J67" s="17" t="str">
        <f ca="1">IFERROR(__xludf.DUMMYFUNCTION("GOOGLETRANSLATE(I67,""ES"",""EN"")"),"Payment associated with a benefit basket")</f>
        <v>Payment associated with a benefit basket</v>
      </c>
      <c r="K67" s="1"/>
      <c r="L67" s="1"/>
      <c r="M67" s="1"/>
      <c r="N67" s="1"/>
      <c r="O67" s="1"/>
      <c r="P67" s="1"/>
      <c r="Q67" s="1"/>
      <c r="R67" s="1"/>
      <c r="S67" s="1"/>
      <c r="T67" s="1"/>
      <c r="U67" s="1"/>
      <c r="V67" s="1"/>
      <c r="W67" s="1"/>
      <c r="X67" s="1"/>
      <c r="Y67" s="1"/>
    </row>
    <row r="68" spans="1:25" ht="15.75" customHeight="1" x14ac:dyDescent="0.25">
      <c r="A68" s="6" t="s">
        <v>5</v>
      </c>
      <c r="B68" s="17" t="s">
        <v>466</v>
      </c>
      <c r="C68" s="17" t="s">
        <v>862</v>
      </c>
      <c r="D68" s="17" t="str">
        <f ca="1">IFERROR(__xludf.DUMMYFUNCTION("GOOGLETRANSLATE(C68,""ES"",""EN"")"),"Financing \ intervention \ by baskets in some diagnoses")</f>
        <v>Financing \ intervention \ by baskets in some diagnoses</v>
      </c>
      <c r="E68" s="17" t="s">
        <v>919</v>
      </c>
      <c r="F68" s="17" t="str">
        <f ca="1">IFERROR(__xludf.DUMMYFUNCTION("GOOGLETRANSLATE(E68,""ES"",""EN"")"),"And in the case of the PPV, we who mainly have PPV production in the psychiatric hospital, what we had to do in the back Cutting from that PPV of production based on a, in the background an estimate of population, of the population that was going to assum"&amp;"e the center. Based on that we made a PPV cut or a PPV mobilization from the psychiatric hospital to this new center, but it was very marginal because it only had the new, but what we could cut or redistribute sounds better than cut.")</f>
        <v>And in the case of the PPV, we who mainly have PPV production in the psychiatric hospital, what we had to do in the back Cutting from that PPV of production based on a, in the background an estimate of population, of the population that was going to assume the center. Based on that we made a PPV cut or a PPV mobilization from the psychiatric hospital to this new center, but it was very marginal because it only had the new, but what we could cut or redistribute sounds better than cut.</v>
      </c>
      <c r="G68" s="18">
        <v>631</v>
      </c>
      <c r="H68" s="19">
        <v>1.7506866797991287</v>
      </c>
      <c r="I68" s="17" t="s">
        <v>847</v>
      </c>
      <c r="J68" s="17" t="str">
        <f ca="1">IFERROR(__xludf.DUMMYFUNCTION("GOOGLETRANSLATE(I68,""ES"",""EN"")"),"Payment associated with a benefit basket")</f>
        <v>Payment associated with a benefit basket</v>
      </c>
      <c r="K68" s="1"/>
      <c r="L68" s="1"/>
      <c r="M68" s="1"/>
      <c r="N68" s="1"/>
      <c r="O68" s="1"/>
      <c r="P68" s="1"/>
      <c r="Q68" s="1"/>
      <c r="R68" s="1"/>
      <c r="S68" s="1"/>
      <c r="T68" s="1"/>
      <c r="U68" s="1"/>
      <c r="V68" s="1"/>
      <c r="W68" s="1"/>
      <c r="X68" s="1"/>
      <c r="Y68" s="1"/>
    </row>
    <row r="69" spans="1:25" ht="15.75" customHeight="1" x14ac:dyDescent="0.25">
      <c r="A69" s="6" t="s">
        <v>5</v>
      </c>
      <c r="B69" s="17" t="s">
        <v>466</v>
      </c>
      <c r="C69" s="17" t="s">
        <v>827</v>
      </c>
      <c r="D69" s="17" t="str">
        <f ca="1">IFERROR(__xludf.DUMMYFUNCTION("GOOGLETRANSLATE(C69,""ES"",""EN"")"),"FINANCING \ INTERVENTION \ CONVENTIONS WITH INTERSECTOR \ NATIONAL DRUG SERVICE SENDA")</f>
        <v>FINANCING \ INTERVENTION \ CONVENTIONS WITH INTERSECTOR \ NATIONAL DRUG SERVICE SENDA</v>
      </c>
      <c r="E69" s="17" t="s">
        <v>920</v>
      </c>
      <c r="F69" s="17" t="str">
        <f ca="1">IFERROR(__xludf.DUMMYFUNCTION("GOOGLETRANSLATE(E69,""ES"",""EN"")"),"We are fed up, fed up, fed up or extra budgetary development line, agreements for example with the Ministry of Interior through the SENDA-MINSAL Agreement, which is also a payment of a payment billed for benefits, but different, it is not like the PPV, bu"&amp;"t it is by the treatment plan executed and that generates a payment and that has allowed us to basically obtain the thematic line of problematic consumption treatment of alcohol and drugs in our network, almost entirely, because the truth is that what wha"&amp;"t what We generate as health or plans Fonasa in the background are well, well marginal with respect to what is financed by Senda.")</f>
        <v>We are fed up, fed up, fed up or extra budgetary development line, agreements for example with the Ministry of Interior through the SENDA-MINSAL Agreement, which is also a payment of a payment billed for benefits, but different, it is not like the PPV, but it is by the treatment plan executed and that generates a payment and that has allowed us to basically obtain the thematic line of problematic consumption treatment of alcohol and drugs in our network, almost entirely, because the truth is that what what what We generate as health or plans Fonasa in the background are well, well marginal with respect to what is financed by Senda.</v>
      </c>
      <c r="G69" s="18">
        <v>665</v>
      </c>
      <c r="H69" s="19">
        <v>1.8450184501845017</v>
      </c>
      <c r="I69" s="17" t="s">
        <v>829</v>
      </c>
      <c r="J69" s="17" t="str">
        <f ca="1">IFERROR(__xludf.DUMMYFUNCTION("GOOGLETRANSLATE(I69,""ES"",""EN"")"),"Agreements with government organizations of the intersector")</f>
        <v>Agreements with government organizations of the intersector</v>
      </c>
      <c r="K69" s="1"/>
      <c r="L69" s="1"/>
      <c r="M69" s="1"/>
      <c r="N69" s="1"/>
      <c r="O69" s="1"/>
      <c r="P69" s="1"/>
      <c r="Q69" s="1"/>
      <c r="R69" s="1"/>
      <c r="S69" s="1"/>
      <c r="T69" s="1"/>
      <c r="U69" s="1"/>
      <c r="V69" s="1"/>
      <c r="W69" s="1"/>
      <c r="X69" s="1"/>
      <c r="Y69" s="1"/>
    </row>
    <row r="70" spans="1:25" ht="15.75" customHeight="1" x14ac:dyDescent="0.25">
      <c r="A70" s="6" t="s">
        <v>5</v>
      </c>
      <c r="B70" s="17" t="s">
        <v>466</v>
      </c>
      <c r="C70" s="17" t="s">
        <v>921</v>
      </c>
      <c r="D70" s="17" t="str">
        <f ca="1">IFERROR(__xludf.DUMMYFUNCTION("GOOGLETRANSLATE(C70,""ES"",""EN"")"),"FINANCING \ INTERVENTION \ CONVENTIONS WITH INTERSECTOR \ MINISTRY OF SOCIAL DEVELOPMENT AND FAMILY \ CALLE PEOPLE")</f>
        <v>FINANCING \ INTERVENTION \ CONVENTIONS WITH INTERSECTOR \ MINISTRY OF SOCIAL DEVELOPMENT AND FAMILY \ CALLE PEOPLE</v>
      </c>
      <c r="E70" s="17" t="s">
        <v>922</v>
      </c>
      <c r="F70" s="17" t="str">
        <f ca="1">IFERROR(__xludf.DUMMYFUNCTION("GOOGLETRANSLATE(E70,""ES"",""EN"")"),"We have two, one to deal with people in street, people in street situations, specifically people who do not access the regular system, say, and that we leave, we go out to look to the street or try to bring their attention to them His to his context of li"&amp;"fe, his ruck, to his route, to his day route, what do I know.")</f>
        <v>We have two, one to deal with people in street, people in street situations, specifically people who do not access the regular system, say, and that we leave, we go out to look to the street or try to bring their attention to them His to his context of life, his ruck, to his route, to his day route, what do I know.</v>
      </c>
      <c r="G70" s="18">
        <v>335</v>
      </c>
      <c r="H70" s="19">
        <v>0.92944538467941062</v>
      </c>
      <c r="I70" s="17" t="s">
        <v>829</v>
      </c>
      <c r="J70" s="17" t="str">
        <f ca="1">IFERROR(__xludf.DUMMYFUNCTION("GOOGLETRANSLATE(I70,""ES"",""EN"")"),"Agreements with government organizations of the intersector")</f>
        <v>Agreements with government organizations of the intersector</v>
      </c>
      <c r="K70" s="1"/>
      <c r="L70" s="1"/>
      <c r="M70" s="1"/>
      <c r="N70" s="1"/>
      <c r="O70" s="1"/>
      <c r="P70" s="1"/>
      <c r="Q70" s="1"/>
      <c r="R70" s="1"/>
      <c r="S70" s="1"/>
      <c r="T70" s="1"/>
      <c r="U70" s="1"/>
      <c r="V70" s="1"/>
      <c r="W70" s="1"/>
      <c r="X70" s="1"/>
      <c r="Y70" s="1"/>
    </row>
    <row r="71" spans="1:25" ht="15.75" customHeight="1" x14ac:dyDescent="0.25">
      <c r="A71" s="6" t="s">
        <v>5</v>
      </c>
      <c r="B71" s="17" t="s">
        <v>466</v>
      </c>
      <c r="C71" s="17" t="s">
        <v>923</v>
      </c>
      <c r="D71" s="17" t="str">
        <f ca="1">IFERROR(__xludf.DUMMYFUNCTION("GOOGLETRANSLATE(C71,""ES"",""EN"")"),"FINANCING \ INTERVENTION \ CONVENTIONS WITH INTERSECTOR \ Ministry of Social Development and Family \ Children and Adolescents with adults deprived of liberty")</f>
        <v>FINANCING \ INTERVENTION \ CONVENTIONS WITH INTERSECTOR \ Ministry of Social Development and Family \ Children and Adolescents with adults deprived of liberty</v>
      </c>
      <c r="E71" s="17" t="s">
        <v>924</v>
      </c>
      <c r="F71" s="17" t="str">
        <f ca="1">IFERROR(__xludf.DUMMYFUNCTION("GOOGLETRANSLATE(E71,""ES"",""EN"")"),"And a different one that is for children and adolescents who have their main adult deprived of liberty.")</f>
        <v>And a different one that is for children and adolescents who have their main adult deprived of liberty.</v>
      </c>
      <c r="G71" s="18">
        <v>101</v>
      </c>
      <c r="H71" s="19">
        <v>0.28022084732125518</v>
      </c>
      <c r="I71" s="17" t="s">
        <v>829</v>
      </c>
      <c r="J71" s="17" t="str">
        <f ca="1">IFERROR(__xludf.DUMMYFUNCTION("GOOGLETRANSLATE(I71,""ES"",""EN"")"),"Agreements with government organizations of the intersector")</f>
        <v>Agreements with government organizations of the intersector</v>
      </c>
      <c r="K71" s="1"/>
      <c r="L71" s="1"/>
      <c r="M71" s="1"/>
      <c r="N71" s="1"/>
      <c r="O71" s="1"/>
      <c r="P71" s="1"/>
      <c r="Q71" s="1"/>
      <c r="R71" s="1"/>
      <c r="S71" s="1"/>
      <c r="T71" s="1"/>
      <c r="U71" s="1"/>
      <c r="V71" s="1"/>
      <c r="W71" s="1"/>
      <c r="X71" s="1"/>
      <c r="Y71" s="1"/>
    </row>
    <row r="72" spans="1:25" ht="15.75" customHeight="1" x14ac:dyDescent="0.25">
      <c r="A72" s="6" t="s">
        <v>5</v>
      </c>
      <c r="B72" s="17" t="s">
        <v>466</v>
      </c>
      <c r="C72" s="17" t="s">
        <v>923</v>
      </c>
      <c r="D72" s="17" t="str">
        <f ca="1">IFERROR(__xludf.DUMMYFUNCTION("GOOGLETRANSLATE(C72,""ES"",""EN"")"),"FINANCING \ INTERVENTION \ CONVENTIONS WITH INTERSECTOR \ Ministry of Social Development and Family \ Children and Adolescents with adults deprived of liberty")</f>
        <v>FINANCING \ INTERVENTION \ CONVENTIONS WITH INTERSECTOR \ Ministry of Social Development and Family \ Children and Adolescents with adults deprived of liberty</v>
      </c>
      <c r="E72" s="17" t="s">
        <v>925</v>
      </c>
      <c r="F72" s="17" t="str">
        <f ca="1">IFERROR(__xludf.DUMMYFUNCTION("GOOGLETRANSLATE(E72,""ES"",""EN"")"),"It was perfect and in that case the mechanism is per treated person.")</f>
        <v>It was perfect and in that case the mechanism is per treated person.</v>
      </c>
      <c r="G72" s="18">
        <v>63</v>
      </c>
      <c r="H72" s="19">
        <v>0.17479122159642649</v>
      </c>
      <c r="I72" s="17" t="s">
        <v>829</v>
      </c>
      <c r="J72" s="17" t="str">
        <f ca="1">IFERROR(__xludf.DUMMYFUNCTION("GOOGLETRANSLATE(I72,""ES"",""EN"")"),"Agreements with government organizations of the intersector")</f>
        <v>Agreements with government organizations of the intersector</v>
      </c>
      <c r="K72" s="1"/>
      <c r="L72" s="1"/>
      <c r="M72" s="1"/>
      <c r="N72" s="1"/>
      <c r="O72" s="1"/>
      <c r="P72" s="1"/>
      <c r="Q72" s="1"/>
      <c r="R72" s="1"/>
      <c r="S72" s="1"/>
      <c r="T72" s="1"/>
      <c r="U72" s="1"/>
      <c r="V72" s="1"/>
      <c r="W72" s="1"/>
      <c r="X72" s="1"/>
      <c r="Y72" s="1"/>
    </row>
    <row r="73" spans="1:25" ht="15.75" customHeight="1" x14ac:dyDescent="0.25">
      <c r="A73" s="6" t="s">
        <v>5</v>
      </c>
      <c r="B73" s="17" t="s">
        <v>466</v>
      </c>
      <c r="C73" s="17" t="s">
        <v>921</v>
      </c>
      <c r="D73" s="17" t="str">
        <f ca="1">IFERROR(__xludf.DUMMYFUNCTION("GOOGLETRANSLATE(C73,""ES"",""EN"")"),"FINANCING \ INTERVENTION \ CONVENTIONS WITH INTERSECTOR \ MINISTRY OF SOCIAL DEVELOPMENT AND FAMILY \ CALLE PEOPLE")</f>
        <v>FINANCING \ INTERVENTION \ CONVENTIONS WITH INTERSECTOR \ MINISTRY OF SOCIAL DEVELOPMENT AND FAMILY \ CALLE PEOPLE</v>
      </c>
      <c r="E73" s="17" t="s">
        <v>926</v>
      </c>
      <c r="F73" s="17" t="str">
        <f ca="1">IFERROR(__xludf.DUMMYFUNCTION("GOOGLETRANSLATE(E73,""ES"",""EN"")"),"It is actually a bit different because it is an agreement and and the payment is not actually generated by, it is generated rather based on technical reports than to the number of users, which number of users served. That is, we are assured an independent"&amp;" amount, which there is a number of users to treat ideal, but not always, it is not always achieved and the equal payment is done entirely.")</f>
        <v>It is actually a bit different because it is an agreement and and the payment is not actually generated by, it is generated rather based on technical reports than to the number of users, which number of users served. That is, we are assured an independent amount, which there is a number of users to treat ideal, but not always, it is not always achieved and the equal payment is done entirely.</v>
      </c>
      <c r="G73" s="18">
        <v>395</v>
      </c>
      <c r="H73" s="19">
        <v>1.0959132147712456</v>
      </c>
      <c r="I73" s="17" t="s">
        <v>829</v>
      </c>
      <c r="J73" s="17" t="str">
        <f ca="1">IFERROR(__xludf.DUMMYFUNCTION("GOOGLETRANSLATE(I73,""ES"",""EN"")"),"Agreements with government organizations of the intersector")</f>
        <v>Agreements with government organizations of the intersector</v>
      </c>
      <c r="K73" s="1"/>
      <c r="L73" s="1"/>
      <c r="M73" s="1"/>
      <c r="N73" s="1"/>
      <c r="O73" s="1"/>
      <c r="P73" s="1"/>
      <c r="Q73" s="1"/>
      <c r="R73" s="1"/>
      <c r="S73" s="1"/>
      <c r="T73" s="1"/>
      <c r="U73" s="1"/>
      <c r="V73" s="1"/>
      <c r="W73" s="1"/>
      <c r="X73" s="1"/>
      <c r="Y73" s="1"/>
    </row>
    <row r="74" spans="1:25" ht="15.75" customHeight="1" x14ac:dyDescent="0.25">
      <c r="A74" s="6" t="s">
        <v>5</v>
      </c>
      <c r="B74" s="17" t="s">
        <v>466</v>
      </c>
      <c r="C74" s="17" t="s">
        <v>827</v>
      </c>
      <c r="D74" s="17" t="str">
        <f ca="1">IFERROR(__xludf.DUMMYFUNCTION("GOOGLETRANSLATE(C74,""ES"",""EN"")"),"FINANCING \ INTERVENTION \ CONVENTIONS WITH INTERSECTOR \ NATIONAL DRUG SERVICE SENDA")</f>
        <v>FINANCING \ INTERVENTION \ CONVENTIONS WITH INTERSECTOR \ NATIONAL DRUG SERVICE SENDA</v>
      </c>
      <c r="E74" s="17" t="s">
        <v>927</v>
      </c>
      <c r="F74" s="17" t="str">
        <f ca="1">IFERROR(__xludf.DUMMYFUNCTION("GOOGLETRANSLATE(E74,""ES"",""EN"")"),"Although the difference between paths and Fonasa plans is quite marginal, it is not a very, very large difference. However, I think that is what you say is easier, payment is easier, a payment against billing is made, that payment is tremendously regular."&amp;" One also has the possibility of some envelope or sub -execution margins, accommodating in other months.")</f>
        <v>Although the difference between paths and Fonasa plans is quite marginal, it is not a very, very large difference. However, I think that is what you say is easier, payment is easier, a payment against billing is made, that payment is tremendously regular. One also has the possibility of some envelope or sub -execution margins, accommodating in other months.</v>
      </c>
      <c r="G74" s="18">
        <v>390</v>
      </c>
      <c r="H74" s="19">
        <v>1.0820408955969258</v>
      </c>
      <c r="I74" s="17" t="s">
        <v>829</v>
      </c>
      <c r="J74" s="17" t="str">
        <f ca="1">IFERROR(__xludf.DUMMYFUNCTION("GOOGLETRANSLATE(I74,""ES"",""EN"")"),"Agreements with government organizations of the intersector")</f>
        <v>Agreements with government organizations of the intersector</v>
      </c>
      <c r="K74" s="1"/>
      <c r="L74" s="1"/>
      <c r="M74" s="1"/>
      <c r="N74" s="1"/>
      <c r="O74" s="1"/>
      <c r="P74" s="1"/>
      <c r="Q74" s="1"/>
      <c r="R74" s="1"/>
      <c r="S74" s="1"/>
      <c r="T74" s="1"/>
      <c r="U74" s="1"/>
      <c r="V74" s="1"/>
      <c r="W74" s="1"/>
      <c r="X74" s="1"/>
      <c r="Y74" s="1"/>
    </row>
    <row r="75" spans="1:25" ht="15.75" customHeight="1" x14ac:dyDescent="0.25">
      <c r="A75" s="6" t="s">
        <v>5</v>
      </c>
      <c r="B75" s="17" t="s">
        <v>466</v>
      </c>
      <c r="C75" s="17" t="s">
        <v>827</v>
      </c>
      <c r="D75" s="17" t="str">
        <f ca="1">IFERROR(__xludf.DUMMYFUNCTION("GOOGLETRANSLATE(C75,""ES"",""EN"")"),"FINANCING \ INTERVENTION \ CONVENTIONS WITH INTERSECTOR \ NATIONAL DRUG SERVICE SENDA")</f>
        <v>FINANCING \ INTERVENTION \ CONVENTIONS WITH INTERSECTOR \ NATIONAL DRUG SERVICE SENDA</v>
      </c>
      <c r="E75" s="17" t="s">
        <v>928</v>
      </c>
      <c r="F75" s="17" t="str">
        <f ca="1">IFERROR(__xludf.DUMMYFUNCTION("GOOGLETRANSLATE(E75,""ES"",""EN"")"),"The truth is that well, it has difficulties, it has difficulties, for example, in relation to the signing of biannual contracts. Then, when an agreement via annually, there is always a gap or gap time between the signing of an agreement and another and th"&amp;"ere the financing becomes super complex, super complex. They are two months because the Comptroller Objects that pays for one year benefits, that is, forgiveness, clear benefits of a new year to an expired agreement. So there are some things. But beyond t"&amp;"hat, payment is tremendously regular.")</f>
        <v>The truth is that well, it has difficulties, it has difficulties, for example, in relation to the signing of biannual contracts. Then, when an agreement via annually, there is always a gap or gap time between the signing of an agreement and another and there the financing becomes super complex, super complex. They are two months because the Comptroller Objects that pays for one year benefits, that is, forgiveness, clear benefits of a new year to an expired agreement. So there are some things. But beyond that, payment is tremendously regular.</v>
      </c>
      <c r="G75" s="18">
        <v>574</v>
      </c>
      <c r="H75" s="19">
        <v>1.5925422412118857</v>
      </c>
      <c r="I75" s="17" t="s">
        <v>829</v>
      </c>
      <c r="J75" s="17" t="str">
        <f ca="1">IFERROR(__xludf.DUMMYFUNCTION("GOOGLETRANSLATE(I75,""ES"",""EN"")"),"Agreements with government organizations of the intersector")</f>
        <v>Agreements with government organizations of the intersector</v>
      </c>
      <c r="K75" s="1"/>
      <c r="L75" s="1"/>
      <c r="M75" s="1"/>
      <c r="N75" s="1"/>
      <c r="O75" s="1"/>
      <c r="P75" s="1"/>
      <c r="Q75" s="1"/>
      <c r="R75" s="1"/>
      <c r="S75" s="1"/>
      <c r="T75" s="1"/>
      <c r="U75" s="1"/>
      <c r="V75" s="1"/>
      <c r="W75" s="1"/>
      <c r="X75" s="1"/>
      <c r="Y75" s="1"/>
    </row>
    <row r="76" spans="1:25" ht="15.75" customHeight="1" x14ac:dyDescent="0.25">
      <c r="A76" s="6" t="s">
        <v>5</v>
      </c>
      <c r="B76" s="17" t="s">
        <v>466</v>
      </c>
      <c r="C76" s="17" t="s">
        <v>868</v>
      </c>
      <c r="D76" s="17" t="str">
        <f ca="1">IFERROR(__xludf.DUMMYFUNCTION("GOOGLETRANSLATE(C76,""ES"",""EN"")"),"Financing \ Intervention \ Prospective Annual Budget of the SS")</f>
        <v>Financing \ Intervention \ Prospective Annual Budget of the SS</v>
      </c>
      <c r="E76" s="17" t="s">
        <v>929</v>
      </c>
      <c r="F76" s="17" t="str">
        <f ca="1">IFERROR(__xludf.DUMMYFUNCTION("GOOGLETRANSLATE(E76,""ES"",""EN"")"),"Well, this probably one of the things that surely the other people that you have to interview you will agree with me in the greatest challenge we have in the mesogestion today, because they are budgets that we have today, we have to go out to leave To fig"&amp;"ht a little.")</f>
        <v>Well, this probably one of the things that surely the other people that you have to interview you will agree with me in the greatest challenge we have in the mesogestion today, because they are budgets that we have today, we have to go out to leave To fight a little.</v>
      </c>
      <c r="G76" s="18">
        <v>291</v>
      </c>
      <c r="H76" s="19">
        <v>0.80736897594539858</v>
      </c>
      <c r="I76" s="17" t="s">
        <v>870</v>
      </c>
      <c r="J76" s="17" t="str">
        <f ca="1">IFERROR(__xludf.DUMMYFUNCTION("GOOGLETRANSLATE(I76,""ES"",""EN"")"),"Historical Prospective Budget")</f>
        <v>Historical Prospective Budget</v>
      </c>
      <c r="K76" s="1"/>
      <c r="L76" s="1"/>
      <c r="M76" s="1"/>
      <c r="N76" s="1"/>
      <c r="O76" s="1"/>
      <c r="P76" s="1"/>
      <c r="Q76" s="1"/>
      <c r="R76" s="1"/>
      <c r="S76" s="1"/>
      <c r="T76" s="1"/>
      <c r="U76" s="1"/>
      <c r="V76" s="1"/>
      <c r="W76" s="1"/>
      <c r="X76" s="1"/>
      <c r="Y76" s="1"/>
    </row>
    <row r="77" spans="1:25" ht="15.75" customHeight="1" x14ac:dyDescent="0.25">
      <c r="A77" s="6" t="s">
        <v>5</v>
      </c>
      <c r="B77" s="17" t="s">
        <v>466</v>
      </c>
      <c r="C77" s="17" t="s">
        <v>868</v>
      </c>
      <c r="D77" s="17" t="str">
        <f ca="1">IFERROR(__xludf.DUMMYFUNCTION("GOOGLETRANSLATE(C77,""ES"",""EN"")"),"Financing \ Intervention \ Prospective Annual Budget of the SS")</f>
        <v>Financing \ Intervention \ Prospective Annual Budget of the SS</v>
      </c>
      <c r="E77" s="17" t="s">
        <v>930</v>
      </c>
      <c r="F77" s="17" t="str">
        <f ca="1">IFERROR(__xludf.DUMMYFUNCTION("GOOGLETRANSLATE(E77,""ES"",""EN"")"),"It is within the service budget, it is not, it is not a budget that is marked, but is based on the execution of 2018, which was the last year that had a certain normality, because the year 2019 is not normal at all. Then, based on the 2018 budget executio"&amp;"n based on PPV, plus what the centers had of PPI, the budget that the centers should have from 2020 2021 are established. But I insist, there is a budget that must be left, you have to go to fight and that does not have any type of identification in the b"&amp;"udget.")</f>
        <v>It is within the service budget, it is not, it is not a budget that is marked, but is based on the execution of 2018, which was the last year that had a certain normality, because the year 2019 is not normal at all. Then, based on the 2018 budget execution based on PPV, plus what the centers had of PPI, the budget that the centers should have from 2020 2021 are established. But I insist, there is a budget that must be left, you have to go to fight and that does not have any type of identification in the budget.</v>
      </c>
      <c r="G77" s="18">
        <v>564</v>
      </c>
      <c r="H77" s="19">
        <v>1.5647976028632464</v>
      </c>
      <c r="I77" s="17" t="s">
        <v>870</v>
      </c>
      <c r="J77" s="17" t="str">
        <f ca="1">IFERROR(__xludf.DUMMYFUNCTION("GOOGLETRANSLATE(I77,""ES"",""EN"")"),"Historical Prospective Budget")</f>
        <v>Historical Prospective Budget</v>
      </c>
      <c r="K77" s="1"/>
      <c r="L77" s="1"/>
      <c r="M77" s="1"/>
      <c r="N77" s="1"/>
      <c r="O77" s="1"/>
      <c r="P77" s="1"/>
      <c r="Q77" s="1"/>
      <c r="R77" s="1"/>
      <c r="S77" s="1"/>
      <c r="T77" s="1"/>
      <c r="U77" s="1"/>
      <c r="V77" s="1"/>
      <c r="W77" s="1"/>
      <c r="X77" s="1"/>
      <c r="Y77" s="1"/>
    </row>
    <row r="78" spans="1:25" ht="15.75" customHeight="1" x14ac:dyDescent="0.25">
      <c r="A78" s="6" t="s">
        <v>5</v>
      </c>
      <c r="B78" s="17" t="s">
        <v>466</v>
      </c>
      <c r="C78" s="17" t="s">
        <v>868</v>
      </c>
      <c r="D78" s="17" t="str">
        <f ca="1">IFERROR(__xludf.DUMMYFUNCTION("GOOGLETRANSLATE(C78,""ES"",""EN"")"),"Financing \ Intervention \ Prospective Annual Budget of the SS")</f>
        <v>Financing \ Intervention \ Prospective Annual Budget of the SS</v>
      </c>
      <c r="E78" s="17" t="s">
        <v>931</v>
      </c>
      <c r="F78" s="17" t="str">
        <f ca="1">IFERROR(__xludf.DUMMYFUNCTION("GOOGLETRANSLATE(E78,""ES"",""EN"")"),"I believe that it is complex, because in the execution of resources or the execution of silver in the background associated with mental health it is tremendously restrictive.")</f>
        <v>I believe that it is complex, because in the execution of resources or the execution of silver in the background associated with mental health it is tremendously restrictive.</v>
      </c>
      <c r="G78" s="18">
        <v>155</v>
      </c>
      <c r="H78" s="19">
        <v>0.43004189440390644</v>
      </c>
      <c r="I78" s="17" t="s">
        <v>870</v>
      </c>
      <c r="J78" s="17" t="str">
        <f ca="1">IFERROR(__xludf.DUMMYFUNCTION("GOOGLETRANSLATE(I78,""ES"",""EN"")"),"Historical Prospective Budget")</f>
        <v>Historical Prospective Budget</v>
      </c>
      <c r="K78" s="1"/>
      <c r="L78" s="1"/>
      <c r="M78" s="1"/>
      <c r="N78" s="1"/>
      <c r="O78" s="1"/>
      <c r="P78" s="1"/>
      <c r="Q78" s="1"/>
      <c r="R78" s="1"/>
      <c r="S78" s="1"/>
      <c r="T78" s="1"/>
      <c r="U78" s="1"/>
      <c r="V78" s="1"/>
      <c r="W78" s="1"/>
      <c r="X78" s="1"/>
      <c r="Y78" s="1"/>
    </row>
    <row r="79" spans="1:25" ht="15.75" customHeight="1" x14ac:dyDescent="0.25">
      <c r="A79" s="6" t="s">
        <v>5</v>
      </c>
      <c r="B79" s="17" t="s">
        <v>466</v>
      </c>
      <c r="C79" s="17" t="s">
        <v>868</v>
      </c>
      <c r="D79" s="17" t="str">
        <f ca="1">IFERROR(__xludf.DUMMYFUNCTION("GOOGLETRANSLATE(C79,""ES"",""EN"")"),"Financing \ Intervention \ Prospective Annual Budget of the SS")</f>
        <v>Financing \ Intervention \ Prospective Annual Budget of the SS</v>
      </c>
      <c r="E79" s="17" t="s">
        <v>932</v>
      </c>
      <c r="F79" s="17" t="str">
        <f ca="1">IFERROR(__xludf.DUMMYFUNCTION("GOOGLETRANSLATE(E79,""ES"",""EN"")"),"For example, in general it does not usually talk much with what farm farm or diprs generates. For example, depending on austerity policies. Then. Where deep down we, for example, want to have vehicles to go to the community, vehicles that are not financed"&amp;" on purpose. At least our center came without a vehicle, without subtitle 29, despite being a community mental health center. In which they have to approach their population. So, for example, they establish the circular of austerity that in order to lease"&amp;" a vehicle or lease mobilization services, we must request authorization from diprs, that a bureaucratic procedure that has at least six. So, in this type of situation it is tremendously hindering I would say.")</f>
        <v>For example, in general it does not usually talk much with what farm farm or diprs generates. For example, depending on austerity policies. Then. Where deep down we, for example, want to have vehicles to go to the community, vehicles that are not financed on purpose. At least our center came without a vehicle, without subtitle 29, despite being a community mental health center. In which they have to approach their population. So, for example, they establish the circular of austerity that in order to lease a vehicle or lease mobilization services, we must request authorization from diprs, that a bureaucratic procedure that has at least six. So, in this type of situation it is tremendously hindering I would say.</v>
      </c>
      <c r="G79" s="18">
        <v>781</v>
      </c>
      <c r="H79" s="19">
        <v>2.166856255028716</v>
      </c>
      <c r="I79" s="17" t="s">
        <v>870</v>
      </c>
      <c r="J79" s="17" t="str">
        <f ca="1">IFERROR(__xludf.DUMMYFUNCTION("GOOGLETRANSLATE(I79,""ES"",""EN"")"),"Historical Prospective Budget")</f>
        <v>Historical Prospective Budget</v>
      </c>
      <c r="K79" s="1"/>
      <c r="L79" s="1"/>
      <c r="M79" s="1"/>
      <c r="N79" s="1"/>
      <c r="O79" s="1"/>
      <c r="P79" s="1"/>
      <c r="Q79" s="1"/>
      <c r="R79" s="1"/>
      <c r="S79" s="1"/>
      <c r="T79" s="1"/>
      <c r="U79" s="1"/>
      <c r="V79" s="1"/>
      <c r="W79" s="1"/>
      <c r="X79" s="1"/>
      <c r="Y79" s="1"/>
    </row>
    <row r="80" spans="1:25" ht="15.75" customHeight="1" x14ac:dyDescent="0.25">
      <c r="A80" s="6" t="s">
        <v>5</v>
      </c>
      <c r="B80" s="17" t="s">
        <v>466</v>
      </c>
      <c r="C80" s="17" t="s">
        <v>862</v>
      </c>
      <c r="D80" s="17" t="str">
        <f ca="1">IFERROR(__xludf.DUMMYFUNCTION("GOOGLETRANSLATE(C80,""ES"",""EN"")"),"Financing \ intervention \ by baskets in some diagnoses")</f>
        <v>Financing \ intervention \ by baskets in some diagnoses</v>
      </c>
      <c r="E80" s="17" t="s">
        <v>933</v>
      </c>
      <c r="F80" s="17" t="str">
        <f ca="1">IFERROR(__xludf.DUMMYFUNCTION("GOOGLETRANSLATE(E80,""ES"",""EN"")"),"And perhaps there is a part that was enriching, at least as soon as the payment was made via PPV, it was that one was able to organize its expense. Then, deep down I knew how much, how many days, for example, of protected home we had, how many days of reh"&amp;"abilitation centers, how many day, how many rehabilitation plans, drug use.")</f>
        <v>And perhaps there is a part that was enriching, at least as soon as the payment was made via PPV, it was that one was able to organize its expense. Then, deep down I knew how much, how many days, for example, of protected home we had, how many days of rehabilitation centers, how many day, how many rehabilitation plans, drug use.</v>
      </c>
      <c r="G80" s="18">
        <v>350</v>
      </c>
      <c r="H80" s="19">
        <v>0.97106234220236931</v>
      </c>
      <c r="I80" s="17" t="s">
        <v>847</v>
      </c>
      <c r="J80" s="17" t="str">
        <f ca="1">IFERROR(__xludf.DUMMYFUNCTION("GOOGLETRANSLATE(I80,""ES"",""EN"")"),"Payment associated with a benefit basket")</f>
        <v>Payment associated with a benefit basket</v>
      </c>
      <c r="K80" s="1"/>
      <c r="L80" s="1"/>
      <c r="M80" s="1"/>
      <c r="N80" s="1"/>
      <c r="O80" s="1"/>
      <c r="P80" s="1"/>
      <c r="Q80" s="1"/>
      <c r="R80" s="1"/>
      <c r="S80" s="1"/>
      <c r="T80" s="1"/>
      <c r="U80" s="1"/>
      <c r="V80" s="1"/>
      <c r="W80" s="1"/>
      <c r="X80" s="1"/>
      <c r="Y80" s="1"/>
    </row>
    <row r="81" spans="1:25" ht="15.75" customHeight="1" x14ac:dyDescent="0.25">
      <c r="A81" s="6" t="s">
        <v>5</v>
      </c>
      <c r="B81" s="17" t="s">
        <v>466</v>
      </c>
      <c r="C81" s="17" t="s">
        <v>868</v>
      </c>
      <c r="D81" s="17" t="str">
        <f ca="1">IFERROR(__xludf.DUMMYFUNCTION("GOOGLETRANSLATE(C81,""ES"",""EN"")"),"Financing \ Intervention \ Prospective Annual Budget of the SS")</f>
        <v>Financing \ Intervention \ Prospective Annual Budget of the SS</v>
      </c>
      <c r="E81" s="17" t="s">
        <v>934</v>
      </c>
      <c r="F81" s="17" t="str">
        <f ca="1">IFERROR(__xludf.DUMMYFUNCTION("GOOGLETRANSLATE(E81,""ES"",""EN"")"),"So today that enters like a, enters as a whole in the background. Which is a dangerous whole because it depends at the end of the availability of how the mental health or the thematic area is installed with the network manager. See how these resources are"&amp;" effectively executed. I think we are super to drift.")</f>
        <v>So today that enters like a, enters as a whole in the background. Which is a dangerous whole because it depends at the end of the availability of how the mental health or the thematic area is installed with the network manager. See how these resources are effectively executed. I think we are super to drift.</v>
      </c>
      <c r="G81" s="18">
        <v>325</v>
      </c>
      <c r="H81" s="19">
        <v>0.90170074633077157</v>
      </c>
      <c r="I81" s="17" t="s">
        <v>870</v>
      </c>
      <c r="J81" s="17" t="str">
        <f ca="1">IFERROR(__xludf.DUMMYFUNCTION("GOOGLETRANSLATE(I81,""ES"",""EN"")"),"Historical Prospective Budget")</f>
        <v>Historical Prospective Budget</v>
      </c>
      <c r="K81" s="1"/>
      <c r="L81" s="1"/>
      <c r="M81" s="1"/>
      <c r="N81" s="1"/>
      <c r="O81" s="1"/>
      <c r="P81" s="1"/>
      <c r="Q81" s="1"/>
      <c r="R81" s="1"/>
      <c r="S81" s="1"/>
      <c r="T81" s="1"/>
      <c r="U81" s="1"/>
      <c r="V81" s="1"/>
      <c r="W81" s="1"/>
      <c r="X81" s="1"/>
      <c r="Y81" s="1"/>
    </row>
    <row r="82" spans="1:25" ht="15.75" customHeight="1" x14ac:dyDescent="0.25">
      <c r="A82" s="6" t="s">
        <v>5</v>
      </c>
      <c r="B82" s="17" t="s">
        <v>466</v>
      </c>
      <c r="C82" s="17" t="s">
        <v>862</v>
      </c>
      <c r="D82" s="17" t="str">
        <f ca="1">IFERROR(__xludf.DUMMYFUNCTION("GOOGLETRANSLATE(C82,""ES"",""EN"")"),"Financing \ intervention \ by baskets in some diagnoses")</f>
        <v>Financing \ intervention \ by baskets in some diagnoses</v>
      </c>
      <c r="E82" s="17" t="s">
        <v>935</v>
      </c>
      <c r="F82" s="17" t="str">
        <f ca="1">IFERROR(__xludf.DUMMYFUNCTION("GOOGLETRANSLATE(E82,""ES"",""EN"")"),"Of course, what happens is that I believe that, for example, in the PPV payment where we, or perhaps the most benefited user of that payment is the user with situations of greater complexity or greater affectation of the psychosocial type.")</f>
        <v>Of course, what happens is that I believe that, for example, in the PPV payment where we, or perhaps the most benefited user of that payment is the user with situations of greater complexity or greater affectation of the psychosocial type.</v>
      </c>
      <c r="G82" s="18">
        <v>233</v>
      </c>
      <c r="H82" s="19">
        <v>0.64645007352329165</v>
      </c>
      <c r="I82" s="17" t="s">
        <v>847</v>
      </c>
      <c r="J82" s="17" t="str">
        <f ca="1">IFERROR(__xludf.DUMMYFUNCTION("GOOGLETRANSLATE(I82,""ES"",""EN"")"),"Payment associated with a benefit basket")</f>
        <v>Payment associated with a benefit basket</v>
      </c>
      <c r="K82" s="1"/>
      <c r="L82" s="1"/>
      <c r="M82" s="1"/>
      <c r="N82" s="1"/>
      <c r="O82" s="1"/>
      <c r="P82" s="1"/>
      <c r="Q82" s="1"/>
      <c r="R82" s="1"/>
      <c r="S82" s="1"/>
      <c r="T82" s="1"/>
      <c r="U82" s="1"/>
      <c r="V82" s="1"/>
      <c r="W82" s="1"/>
      <c r="X82" s="1"/>
      <c r="Y82" s="1"/>
    </row>
    <row r="83" spans="1:25" ht="15.75" customHeight="1" x14ac:dyDescent="0.25">
      <c r="A83" s="6" t="s">
        <v>5</v>
      </c>
      <c r="B83" s="17" t="s">
        <v>466</v>
      </c>
      <c r="C83" s="17" t="s">
        <v>862</v>
      </c>
      <c r="D83" s="17" t="str">
        <f ca="1">IFERROR(__xludf.DUMMYFUNCTION("GOOGLETRANSLATE(C83,""ES"",""EN"")"),"Financing \ intervention \ by baskets in some diagnoses")</f>
        <v>Financing \ intervention \ by baskets in some diagnoses</v>
      </c>
      <c r="E83" s="17" t="s">
        <v>936</v>
      </c>
      <c r="F83" s="17" t="str">
        <f ca="1">IFERROR(__xludf.DUMMYFUNCTION("GOOGLETRANSLATE(E83,""ES"",""EN"")"),"That is, from that payment we managed to outsource the psychosocial rehabilitation services of protected households and residence.")</f>
        <v>That is, from that payment we managed to outsource the psychosocial rehabilitation services of protected households and residence.</v>
      </c>
      <c r="G83" s="18">
        <v>135</v>
      </c>
      <c r="H83" s="19">
        <v>0.37455261770662823</v>
      </c>
      <c r="I83" s="17" t="s">
        <v>847</v>
      </c>
      <c r="J83" s="17" t="str">
        <f ca="1">IFERROR(__xludf.DUMMYFUNCTION("GOOGLETRANSLATE(I83,""ES"",""EN"")"),"Payment associated with a benefit basket")</f>
        <v>Payment associated with a benefit basket</v>
      </c>
      <c r="K83" s="1"/>
      <c r="L83" s="1"/>
      <c r="M83" s="1"/>
      <c r="N83" s="1"/>
      <c r="O83" s="1"/>
      <c r="P83" s="1"/>
      <c r="Q83" s="1"/>
      <c r="R83" s="1"/>
      <c r="S83" s="1"/>
      <c r="T83" s="1"/>
      <c r="U83" s="1"/>
      <c r="V83" s="1"/>
      <c r="W83" s="1"/>
      <c r="X83" s="1"/>
      <c r="Y83" s="1"/>
    </row>
    <row r="84" spans="1:25" ht="15.75" customHeight="1" x14ac:dyDescent="0.25">
      <c r="A84" s="6" t="s">
        <v>5</v>
      </c>
      <c r="B84" s="17" t="s">
        <v>466</v>
      </c>
      <c r="C84" s="17" t="s">
        <v>868</v>
      </c>
      <c r="D84" s="17" t="str">
        <f ca="1">IFERROR(__xludf.DUMMYFUNCTION("GOOGLETRANSLATE(C84,""ES"",""EN"")"),"Financing \ Intervention \ Prospective Annual Budget of the SS")</f>
        <v>Financing \ Intervention \ Prospective Annual Budget of the SS</v>
      </c>
      <c r="E84" s="17" t="s">
        <v>937</v>
      </c>
      <c r="F84" s="17" t="str">
        <f ca="1">IFERROR(__xludf.DUMMYFUNCTION("GOOGLETRANSLATE(E84,""ES"",""EN"")"),"So it is that user profile that probably the user profile of a major, I do not want to say gravity, but I mean complexity, the one that is mostly affected. That is, if I close a home, in my case of my network, that implies two possible exits or three, the"&amp;" most unlikely are the family. The one that comes next is the psychiatric hospital and the one that comes next is the street. So the impact is very large. It is very big.")</f>
        <v>So it is that user profile that probably the user profile of a major, I do not want to say gravity, but I mean complexity, the one that is mostly affected. That is, if I close a home, in my case of my network, that implies two possible exits or three, the most unlikely are the family. The one that comes next is the psychiatric hospital and the one that comes next is the street. So the impact is very large. It is very big.</v>
      </c>
      <c r="G84" s="18">
        <v>446</v>
      </c>
      <c r="H84" s="19">
        <v>1.237410870349305</v>
      </c>
      <c r="I84" s="17" t="s">
        <v>870</v>
      </c>
      <c r="J84" s="17" t="str">
        <f ca="1">IFERROR(__xludf.DUMMYFUNCTION("GOOGLETRANSLATE(I84,""ES"",""EN"")"),"Historical Prospective Budget")</f>
        <v>Historical Prospective Budget</v>
      </c>
      <c r="K84" s="1"/>
      <c r="L84" s="1"/>
      <c r="M84" s="1"/>
      <c r="N84" s="1"/>
      <c r="O84" s="1"/>
      <c r="P84" s="1"/>
      <c r="Q84" s="1"/>
      <c r="R84" s="1"/>
      <c r="S84" s="1"/>
      <c r="T84" s="1"/>
      <c r="U84" s="1"/>
      <c r="V84" s="1"/>
      <c r="W84" s="1"/>
      <c r="X84" s="1"/>
      <c r="Y84" s="1"/>
    </row>
    <row r="85" spans="1:25" ht="15.75" customHeight="1" x14ac:dyDescent="0.25">
      <c r="A85" s="6" t="s">
        <v>5</v>
      </c>
      <c r="B85" s="17" t="s">
        <v>466</v>
      </c>
      <c r="C85" s="17" t="s">
        <v>868</v>
      </c>
      <c r="D85" s="17" t="str">
        <f ca="1">IFERROR(__xludf.DUMMYFUNCTION("GOOGLETRANSLATE(C85,""ES"",""EN"")"),"Financing \ Intervention \ Prospective Annual Budget of the SS")</f>
        <v>Financing \ Intervention \ Prospective Annual Budget of the SS</v>
      </c>
      <c r="E85" s="17" t="s">
        <v>938</v>
      </c>
      <c r="F85" s="17" t="str">
        <f ca="1">IFERROR(__xludf.DUMMYFUNCTION("GOOGLETRANSLATE(E85,""ES"",""EN"")"),"Let us think that a 30 -day psychiatric hospitalization must be close to 12 million pesos more or less. So that for me is the operation of three or four months of a home. So that is how in the end we try to make collegiate decisions, but the last word alw"&amp;"ays has the network manager.")</f>
        <v>Let us think that a 30 -day psychiatric hospitalization must be close to 12 million pesos more or less. So that for me is the operation of three or four months of a home. So that is how in the end we try to make collegiate decisions, but the last word always has the network manager.</v>
      </c>
      <c r="G85" s="18">
        <v>322</v>
      </c>
      <c r="H85" s="19">
        <v>0.89337735482617975</v>
      </c>
      <c r="I85" s="17" t="s">
        <v>870</v>
      </c>
      <c r="J85" s="17" t="str">
        <f ca="1">IFERROR(__xludf.DUMMYFUNCTION("GOOGLETRANSLATE(I85,""ES"",""EN"")"),"Historical Prospective Budget")</f>
        <v>Historical Prospective Budget</v>
      </c>
      <c r="K85" s="1"/>
      <c r="L85" s="1"/>
      <c r="M85" s="1"/>
      <c r="N85" s="1"/>
      <c r="O85" s="1"/>
      <c r="P85" s="1"/>
      <c r="Q85" s="1"/>
      <c r="R85" s="1"/>
      <c r="S85" s="1"/>
      <c r="T85" s="1"/>
      <c r="U85" s="1"/>
      <c r="V85" s="1"/>
      <c r="W85" s="1"/>
      <c r="X85" s="1"/>
      <c r="Y85" s="1"/>
    </row>
    <row r="86" spans="1:25" ht="15.75" customHeight="1" x14ac:dyDescent="0.25">
      <c r="A86" s="8" t="s">
        <v>5</v>
      </c>
      <c r="B86" s="17" t="s">
        <v>466</v>
      </c>
      <c r="C86" s="17" t="s">
        <v>939</v>
      </c>
      <c r="D86" s="17" t="str">
        <f ca="1">IFERROR(__xludf.DUMMYFUNCTION("GOOGLETRANSLATE(C86,""ES"",""EN"")"),"Medications and Technologies \ Intervention \ Direct Purchase")</f>
        <v>Medications and Technologies \ Intervention \ Direct Purchase</v>
      </c>
      <c r="E86" s="17" t="s">
        <v>940</v>
      </c>
      <c r="F86" s="17" t="str">
        <f ca="1">IFERROR(__xludf.DUMMYFUNCTION("GOOGLETRANSLATE(E86,""ES"",""EN"")"),"Fortunately we have never had problems with drug financing, such as that in the background, it has always been a standard that has tried to maintain untouchable.")</f>
        <v>Fortunately we have never had problems with drug financing, such as that in the background, it has always been a standard that has tried to maintain untouchable.</v>
      </c>
      <c r="G86" s="18">
        <v>197</v>
      </c>
      <c r="H86" s="19">
        <v>0.54656937546819084</v>
      </c>
      <c r="I86" s="17" t="s">
        <v>837</v>
      </c>
      <c r="J86" s="17" t="str">
        <f ca="1">IFERROR(__xludf.DUMMYFUNCTION("GOOGLETRANSLATE(I86,""ES"",""EN"")"),"Confusing, intervening or mediators of the payment mechanism")</f>
        <v>Confusing, intervening or mediators of the payment mechanism</v>
      </c>
      <c r="K86" s="1"/>
      <c r="L86" s="1"/>
      <c r="M86" s="1"/>
      <c r="N86" s="1"/>
      <c r="O86" s="1"/>
      <c r="P86" s="1"/>
      <c r="Q86" s="1"/>
      <c r="R86" s="1"/>
      <c r="S86" s="1"/>
      <c r="T86" s="1"/>
      <c r="U86" s="1"/>
      <c r="V86" s="1"/>
      <c r="W86" s="1"/>
      <c r="X86" s="1"/>
      <c r="Y86" s="1"/>
    </row>
    <row r="87" spans="1:25" ht="15.75" customHeight="1" x14ac:dyDescent="0.25">
      <c r="A87" s="8" t="s">
        <v>5</v>
      </c>
      <c r="B87" s="17" t="s">
        <v>466</v>
      </c>
      <c r="C87" s="17" t="s">
        <v>939</v>
      </c>
      <c r="D87" s="17" t="str">
        <f ca="1">IFERROR(__xludf.DUMMYFUNCTION("GOOGLETRANSLATE(C87,""ES"",""EN"")"),"Medications and Technologies \ Intervention \ Direct Purchase")</f>
        <v>Medications and Technologies \ Intervention \ Direct Purchase</v>
      </c>
      <c r="E87" s="17" t="s">
        <v>941</v>
      </c>
      <c r="F87" s="17" t="str">
        <f ca="1">IFERROR(__xludf.DUMMYFUNCTION("GOOGLETRANSLATE(E87,""ES"",""EN"")"),"As that has always been defended and has been heard, and in that never, the truth, we have never had difficulties with the purchase and provision of drugs. The truth is that no, it would be little honest if I said yes. We have never had problems buying me"&amp;"dications.")</f>
        <v>As that has always been defended and has been heard, and in that never, the truth, we have never had difficulties with the purchase and provision of drugs. The truth is that no, it would be little honest if I said yes. We have never had problems buying medications.</v>
      </c>
      <c r="G87" s="18">
        <v>290</v>
      </c>
      <c r="H87" s="19">
        <v>0.80459451211053468</v>
      </c>
      <c r="I87" s="17" t="s">
        <v>837</v>
      </c>
      <c r="J87" s="17" t="str">
        <f ca="1">IFERROR(__xludf.DUMMYFUNCTION("GOOGLETRANSLATE(I87,""ES"",""EN"")"),"Confusing, intervening or mediators of the payment mechanism")</f>
        <v>Confusing, intervening or mediators of the payment mechanism</v>
      </c>
      <c r="K87" s="1"/>
      <c r="L87" s="1"/>
      <c r="M87" s="1"/>
      <c r="N87" s="1"/>
      <c r="O87" s="1"/>
      <c r="P87" s="1"/>
      <c r="Q87" s="1"/>
      <c r="R87" s="1"/>
      <c r="S87" s="1"/>
      <c r="T87" s="1"/>
      <c r="U87" s="1"/>
      <c r="V87" s="1"/>
      <c r="W87" s="1"/>
      <c r="X87" s="1"/>
      <c r="Y87" s="1"/>
    </row>
    <row r="88" spans="1:25" ht="15.75" customHeight="1" x14ac:dyDescent="0.25">
      <c r="A88" s="11" t="s">
        <v>5</v>
      </c>
      <c r="B88" s="17" t="s">
        <v>466</v>
      </c>
      <c r="C88" s="17" t="s">
        <v>942</v>
      </c>
      <c r="D88" s="17" t="str">
        <f ca="1">IFERROR(__xludf.DUMMYFUNCTION("GOOGLETRANSLATE(C88,""ES"",""EN"")"),"Benefits \ intervention \ without resources for telematic or distance benefits")</f>
        <v>Benefits \ intervention \ without resources for telematic or distance benefits</v>
      </c>
      <c r="E88" s="17" t="s">
        <v>943</v>
      </c>
      <c r="F88" s="17" t="str">
        <f ca="1">IFERROR(__xludf.DUMMYFUNCTION("GOOGLETRANSLATE(E88,""ES"",""EN"")"),"In addition, we must consider that in these times as a pandemic context, we would have liked to have the resources for both our users and for our own officials to connect technologically with others.")</f>
        <v>In addition, we must consider that in these times as a pandemic context, we would have liked to have the resources for both our users and for our own officials to connect technologically with others.</v>
      </c>
      <c r="G88" s="18">
        <v>250</v>
      </c>
      <c r="H88" s="19">
        <v>0.69361595871597814</v>
      </c>
      <c r="I88" s="17" t="s">
        <v>847</v>
      </c>
      <c r="J88" s="17" t="str">
        <f ca="1">IFERROR(__xludf.DUMMYFUNCTION("GOOGLETRANSLATE(I88,""ES"",""EN"")"),"Payment associated with a benefit basket")</f>
        <v>Payment associated with a benefit basket</v>
      </c>
      <c r="K88" s="1"/>
      <c r="L88" s="1"/>
      <c r="M88" s="1"/>
      <c r="N88" s="1"/>
      <c r="O88" s="1"/>
      <c r="P88" s="1"/>
      <c r="Q88" s="1"/>
      <c r="R88" s="1"/>
      <c r="S88" s="1"/>
      <c r="T88" s="1"/>
      <c r="U88" s="1"/>
      <c r="V88" s="1"/>
      <c r="W88" s="1"/>
      <c r="X88" s="1"/>
      <c r="Y88" s="1"/>
    </row>
    <row r="89" spans="1:25" ht="15.75" customHeight="1" x14ac:dyDescent="0.25">
      <c r="A89" s="11" t="s">
        <v>5</v>
      </c>
      <c r="B89" s="17" t="s">
        <v>466</v>
      </c>
      <c r="C89" s="17" t="s">
        <v>942</v>
      </c>
      <c r="D89" s="17" t="str">
        <f ca="1">IFERROR(__xludf.DUMMYFUNCTION("GOOGLETRANSLATE(C89,""ES"",""EN"")"),"Benefits \ intervention \ without resources for telematic or distance benefits")</f>
        <v>Benefits \ intervention \ without resources for telematic or distance benefits</v>
      </c>
      <c r="E89" s="17" t="s">
        <v>944</v>
      </c>
      <c r="F89" s="17" t="str">
        <f ca="1">IFERROR(__xludf.DUMMYFUNCTION("GOOGLETRANSLATE(E89,""ES"",""EN"")"),"However, there is no budget or there is no payment to be able to make, for example, acquisition of mobile phones, telephone plans, notebook, for example, so they can, so they may not know.")</f>
        <v>However, there is no budget or there is no payment to be able to make, for example, acquisition of mobile phones, telephone plans, notebook, for example, so they can, so they may not know.</v>
      </c>
      <c r="G89" s="18">
        <v>200</v>
      </c>
      <c r="H89" s="19">
        <v>0.55489276697278245</v>
      </c>
      <c r="I89" s="17" t="s">
        <v>847</v>
      </c>
      <c r="J89" s="17" t="str">
        <f ca="1">IFERROR(__xludf.DUMMYFUNCTION("GOOGLETRANSLATE(I89,""ES"",""EN"")"),"Payment associated with a benefit basket")</f>
        <v>Payment associated with a benefit basket</v>
      </c>
      <c r="K89" s="1"/>
      <c r="L89" s="1"/>
      <c r="M89" s="1"/>
      <c r="N89" s="1"/>
      <c r="O89" s="1"/>
      <c r="P89" s="1"/>
      <c r="Q89" s="1"/>
      <c r="R89" s="1"/>
      <c r="S89" s="1"/>
      <c r="T89" s="1"/>
      <c r="U89" s="1"/>
      <c r="V89" s="1"/>
      <c r="W89" s="1"/>
      <c r="X89" s="1"/>
      <c r="Y89" s="1"/>
    </row>
    <row r="90" spans="1:25" ht="15.75" customHeight="1" x14ac:dyDescent="0.25">
      <c r="A90" s="11" t="s">
        <v>5</v>
      </c>
      <c r="B90" s="17" t="s">
        <v>466</v>
      </c>
      <c r="C90" s="17" t="s">
        <v>942</v>
      </c>
      <c r="D90" s="17" t="str">
        <f ca="1">IFERROR(__xludf.DUMMYFUNCTION("GOOGLETRANSLATE(C90,""ES"",""EN"")"),"Benefits \ intervention \ without resources for telematic or distance benefits")</f>
        <v>Benefits \ intervention \ without resources for telematic or distance benefits</v>
      </c>
      <c r="E90" s="17" t="s">
        <v>945</v>
      </c>
      <c r="F90" s="17" t="str">
        <f ca="1">IFERROR(__xludf.DUMMYFUNCTION("GOOGLETRANSLATE(E90,""ES"",""EN"")"),"With hardly we managed to buy a zoom account, for example, from Zoom Premiun, so that some clinical attention could be done in that context. But the truth is that it is super difficult, especially because there is a gap, there is a material gap that is tr"&amp;"emendous and there is another gap that is technological. And in that technological gap that we would also like to solve, for example, training our users in a technological literacy, too. It is super complex to obtain resources to finance an action aimed a"&amp;"t users, it is a recommendation.")</f>
        <v>With hardly we managed to buy a zoom account, for example, from Zoom Premiun, so that some clinical attention could be done in that context. But the truth is that it is super difficult, especially because there is a gap, there is a material gap that is tremendous and there is another gap that is technological. And in that technological gap that we would also like to solve, for example, training our users in a technological literacy, too. It is super complex to obtain resources to finance an action aimed at users, it is a recommendation.</v>
      </c>
      <c r="G90" s="18">
        <v>575</v>
      </c>
      <c r="H90" s="19">
        <v>1.5953167050467496</v>
      </c>
      <c r="I90" s="17" t="s">
        <v>847</v>
      </c>
      <c r="J90" s="17" t="str">
        <f ca="1">IFERROR(__xludf.DUMMYFUNCTION("GOOGLETRANSLATE(I90,""ES"",""EN"")"),"Payment associated with a benefit basket")</f>
        <v>Payment associated with a benefit basket</v>
      </c>
      <c r="K90" s="1"/>
      <c r="L90" s="1"/>
      <c r="M90" s="1"/>
      <c r="N90" s="1"/>
      <c r="O90" s="1"/>
      <c r="P90" s="1"/>
      <c r="Q90" s="1"/>
      <c r="R90" s="1"/>
      <c r="S90" s="1"/>
      <c r="T90" s="1"/>
      <c r="U90" s="1"/>
      <c r="V90" s="1"/>
      <c r="W90" s="1"/>
      <c r="X90" s="1"/>
      <c r="Y90" s="1"/>
    </row>
    <row r="91" spans="1:25" ht="15.75" customHeight="1" x14ac:dyDescent="0.25">
      <c r="A91" s="6" t="s">
        <v>5</v>
      </c>
      <c r="B91" s="17" t="s">
        <v>466</v>
      </c>
      <c r="C91" s="17" t="s">
        <v>862</v>
      </c>
      <c r="D91" s="17" t="str">
        <f ca="1">IFERROR(__xludf.DUMMYFUNCTION("GOOGLETRANSLATE(C91,""ES"",""EN"")"),"Financing \ intervention \ by baskets in some diagnoses")</f>
        <v>Financing \ intervention \ by baskets in some diagnoses</v>
      </c>
      <c r="E91" s="17" t="s">
        <v>946</v>
      </c>
      <c r="F91" s="17" t="str">
        <f ca="1">IFERROR(__xludf.DUMMYFUNCTION("GOOGLETRANSLATE(E91,""ES"",""EN"")"),"We see the production from here and we what we are dealing with later is to ask, ask Fonasa not to. Several times, especially when with the PPV it was clearer and more active, what we did was to have as some risks and say we already made production here a"&amp;"nd then inform Fonasa to start paying. But the truth is that it always did well, but for example, we once reported 70 and they paid us 20 already, but they paid them")</f>
        <v>We see the production from here and we what we are dealing with later is to ask, ask Fonasa not to. Several times, especially when with the PPV it was clearer and more active, what we did was to have as some risks and say we already made production here and then inform Fonasa to start paying. But the truth is that it always did well, but for example, we once reported 70 and they paid us 20 already, but they paid them</v>
      </c>
      <c r="G91" s="18">
        <v>445</v>
      </c>
      <c r="H91" s="19">
        <v>1.2346364065144411</v>
      </c>
      <c r="I91" s="17" t="s">
        <v>847</v>
      </c>
      <c r="J91" s="17" t="str">
        <f ca="1">IFERROR(__xludf.DUMMYFUNCTION("GOOGLETRANSLATE(I91,""ES"",""EN"")"),"Payment associated with a benefit basket")</f>
        <v>Payment associated with a benefit basket</v>
      </c>
      <c r="K91" s="1"/>
      <c r="L91" s="1"/>
      <c r="M91" s="1"/>
      <c r="N91" s="1"/>
      <c r="O91" s="1"/>
      <c r="P91" s="1"/>
      <c r="Q91" s="1"/>
      <c r="R91" s="1"/>
      <c r="S91" s="1"/>
      <c r="T91" s="1"/>
      <c r="U91" s="1"/>
      <c r="V91" s="1"/>
      <c r="W91" s="1"/>
      <c r="X91" s="1"/>
      <c r="Y91" s="1"/>
    </row>
    <row r="92" spans="1:25" ht="15.75" customHeight="1" x14ac:dyDescent="0.25">
      <c r="A92" s="6" t="s">
        <v>5</v>
      </c>
      <c r="B92" s="17" t="s">
        <v>466</v>
      </c>
      <c r="C92" s="17" t="s">
        <v>862</v>
      </c>
      <c r="D92" s="17" t="str">
        <f ca="1">IFERROR(__xludf.DUMMYFUNCTION("GOOGLETRANSLATE(C92,""ES"",""EN"")"),"Financing \ intervention \ by baskets in some diagnoses")</f>
        <v>Financing \ intervention \ by baskets in some diagnoses</v>
      </c>
      <c r="E92" s="17" t="s">
        <v>947</v>
      </c>
      <c r="F92" s="17" t="str">
        <f ca="1">IFERROR(__xludf.DUMMYFUNCTION("GOOGLETRANSLATE(E92,""ES"",""EN"")"),"We could not always manage all the PPV production that had an effect that is the payment associated with those PPVs were all invested in health or they all stayed in the mental health network, the truth that was not so. I am going to say that it was not s"&amp;"o or but probably we would have a much more, richer network.")</f>
        <v>We could not always manage all the PPV production that had an effect that is the payment associated with those PPVs were all invested in health or they all stayed in the mental health network, the truth that was not so. I am going to say that it was not so or but probably we would have a much more, richer network.</v>
      </c>
      <c r="G92" s="18">
        <v>306</v>
      </c>
      <c r="H92" s="19">
        <v>0.84898593346835727</v>
      </c>
      <c r="I92" s="17" t="s">
        <v>847</v>
      </c>
      <c r="J92" s="17" t="str">
        <f ca="1">IFERROR(__xludf.DUMMYFUNCTION("GOOGLETRANSLATE(I92,""ES"",""EN"")"),"Payment associated with a benefit basket")</f>
        <v>Payment associated with a benefit basket</v>
      </c>
      <c r="K92" s="1"/>
      <c r="L92" s="1"/>
      <c r="M92" s="1"/>
      <c r="N92" s="1"/>
      <c r="O92" s="1"/>
      <c r="P92" s="1"/>
      <c r="Q92" s="1"/>
      <c r="R92" s="1"/>
      <c r="S92" s="1"/>
      <c r="T92" s="1"/>
      <c r="U92" s="1"/>
      <c r="V92" s="1"/>
      <c r="W92" s="1"/>
      <c r="X92" s="1"/>
      <c r="Y92" s="1"/>
    </row>
    <row r="93" spans="1:25" ht="15.75" customHeight="1" x14ac:dyDescent="0.25">
      <c r="A93" s="12" t="s">
        <v>5</v>
      </c>
      <c r="B93" s="17" t="s">
        <v>518</v>
      </c>
      <c r="C93" s="17" t="s">
        <v>843</v>
      </c>
      <c r="D93" s="17" t="str">
        <f ca="1">IFERROR(__xludf.DUMMYFUNCTION("GOOGLETRANSLATE(C93,""ES"",""EN"")"),"Governance \ intervention \ public policies in favor of community activity")</f>
        <v>Governance \ intervention \ public policies in favor of community activity</v>
      </c>
      <c r="E93" s="17" t="s">
        <v>948</v>
      </c>
      <c r="F93" s="17" t="str">
        <f ca="1">IFERROR(__xludf.DUMMYFUNCTION("GOOGLETRANSLATE(E93,""ES"",""EN"")"),"Or I think that achievement has to do with macro level, or I think, with seeing or understanding processes of how families work, as people work, that we need to have them close to people from a bond in the micro with the, how The patient medical therapeut"&amp;"ic alliance is established as it is closer, also generating instances such as the home visit,")</f>
        <v>Or I think that achievement has to do with macro level, or I think, with seeing or understanding processes of how families work, as people work, that we need to have them close to people from a bond in the micro with the, how The patient medical therapeutic alliance is established as it is closer, also generating instances such as the home visit,</v>
      </c>
      <c r="G93" s="18">
        <v>366</v>
      </c>
      <c r="H93" s="19">
        <v>1.5455428402516787</v>
      </c>
      <c r="I93" s="17" t="s">
        <v>837</v>
      </c>
      <c r="J93" s="17" t="str">
        <f ca="1">IFERROR(__xludf.DUMMYFUNCTION("GOOGLETRANSLATE(I93,""ES"",""EN"")"),"Confusing, intervening or mediators of the payment mechanism")</f>
        <v>Confusing, intervening or mediators of the payment mechanism</v>
      </c>
      <c r="K93" s="1"/>
      <c r="L93" s="1"/>
      <c r="M93" s="1"/>
      <c r="N93" s="1"/>
      <c r="O93" s="1"/>
      <c r="P93" s="1"/>
      <c r="Q93" s="1"/>
      <c r="R93" s="1"/>
      <c r="S93" s="1"/>
      <c r="T93" s="1"/>
      <c r="U93" s="1"/>
      <c r="V93" s="1"/>
      <c r="W93" s="1"/>
      <c r="X93" s="1"/>
      <c r="Y93" s="1"/>
    </row>
    <row r="94" spans="1:25" ht="15.75" customHeight="1" x14ac:dyDescent="0.25">
      <c r="A94" s="12" t="s">
        <v>5</v>
      </c>
      <c r="B94" s="17" t="s">
        <v>518</v>
      </c>
      <c r="C94" s="17" t="s">
        <v>843</v>
      </c>
      <c r="D94" s="17" t="str">
        <f ca="1">IFERROR(__xludf.DUMMYFUNCTION("GOOGLETRANSLATE(C94,""ES"",""EN"")"),"Governance \ intervention \ public policies in favor of community activity")</f>
        <v>Governance \ intervention \ public policies in favor of community activity</v>
      </c>
      <c r="E94" s="17" t="s">
        <v>949</v>
      </c>
      <c r="F94" s="17" t="str">
        <f ca="1">IFERROR(__xludf.DUMMYFUNCTION("GOOGLETRANSLATE(E94,""ES"",""EN"")"),"But it also has to do probably with public policies to decentralize certain attention and get it out of a certain node and get it out of the model as a hard, hospitable Intermediate that is not hospitable, but is not primary care, but is in between and th"&amp;"at in a way closer to people.")</f>
        <v>But it also has to do probably with public policies to decentralize certain attention and get it out of a certain node and get it out of the model as a hard, hospitable Intermediate that is not hospitable, but is not primary care, but is in between and that in a way closer to people.</v>
      </c>
      <c r="G94" s="18">
        <v>434</v>
      </c>
      <c r="H94" s="19">
        <v>1.8326928761454329</v>
      </c>
      <c r="I94" s="17" t="s">
        <v>837</v>
      </c>
      <c r="J94" s="17" t="str">
        <f ca="1">IFERROR(__xludf.DUMMYFUNCTION("GOOGLETRANSLATE(I94,""ES"",""EN"")"),"Confusing, intervening or mediators of the payment mechanism")</f>
        <v>Confusing, intervening or mediators of the payment mechanism</v>
      </c>
      <c r="K94" s="1"/>
      <c r="L94" s="1"/>
      <c r="M94" s="1"/>
      <c r="N94" s="1"/>
      <c r="O94" s="1"/>
      <c r="P94" s="1"/>
      <c r="Q94" s="1"/>
      <c r="R94" s="1"/>
      <c r="S94" s="1"/>
      <c r="T94" s="1"/>
      <c r="U94" s="1"/>
      <c r="V94" s="1"/>
      <c r="W94" s="1"/>
      <c r="X94" s="1"/>
      <c r="Y94" s="1"/>
    </row>
    <row r="95" spans="1:25" ht="15.75" customHeight="1" x14ac:dyDescent="0.25">
      <c r="A95" s="6" t="s">
        <v>5</v>
      </c>
      <c r="B95" s="17" t="s">
        <v>518</v>
      </c>
      <c r="C95" s="17" t="s">
        <v>827</v>
      </c>
      <c r="D95" s="17" t="str">
        <f ca="1">IFERROR(__xludf.DUMMYFUNCTION("GOOGLETRANSLATE(C95,""ES"",""EN"")"),"FINANCING \ INTERVENTION \ CONVENTIONS WITH INTERSECTOR \ NATIONAL DRUG SERVICE SENDA")</f>
        <v>FINANCING \ INTERVENTION \ CONVENTIONS WITH INTERSECTOR \ NATIONAL DRUG SERVICE SENDA</v>
      </c>
      <c r="E95" s="17" t="s">
        <v>950</v>
      </c>
      <c r="F95" s="17" t="str">
        <f ca="1">IFERROR(__xludf.DUMMYFUNCTION("GOOGLETRANSLATE(E95,""ES"",""EN"")"),"The hospital also manages it. He arrives directly at the Subdirectorate of the Administrative Hospital and there is effectively a fund that, a little the same, does not handle the exact number, but indeed for purchases, for things management. Subtitle 21 "&amp;"and Subtitle 22 of the Senda is associated with money. Therefore, many times to buy an printer, enable things, repair things here in the same center, we access those funds. I communicate directly with the administrative deputy director and the quickly app"&amp;"roves because there is that item that is the money.")</f>
        <v>The hospital also manages it. He arrives directly at the Subdirectorate of the Administrative Hospital and there is effectively a fund that, a little the same, does not handle the exact number, but indeed for purchases, for things management. Subtitle 21 and Subtitle 22 of the Senda is associated with money. Therefore, many times to buy an printer, enable things, repair things here in the same center, we access those funds. I communicate directly with the administrative deputy director and the quickly approves because there is that item that is the money.</v>
      </c>
      <c r="G95" s="18">
        <v>592</v>
      </c>
      <c r="H95" s="19">
        <v>2.4998944301338626</v>
      </c>
      <c r="I95" s="17" t="s">
        <v>829</v>
      </c>
      <c r="J95" s="17" t="str">
        <f ca="1">IFERROR(__xludf.DUMMYFUNCTION("GOOGLETRANSLATE(I95,""ES"",""EN"")"),"Agreements with government organizations of the intersector")</f>
        <v>Agreements with government organizations of the intersector</v>
      </c>
      <c r="K95" s="1"/>
      <c r="L95" s="1"/>
      <c r="M95" s="1"/>
      <c r="N95" s="1"/>
      <c r="O95" s="1"/>
      <c r="P95" s="1"/>
      <c r="Q95" s="1"/>
      <c r="R95" s="1"/>
      <c r="S95" s="1"/>
      <c r="T95" s="1"/>
      <c r="U95" s="1"/>
      <c r="V95" s="1"/>
      <c r="W95" s="1"/>
      <c r="X95" s="1"/>
      <c r="Y95" s="1"/>
    </row>
    <row r="96" spans="1:25" ht="15.75" customHeight="1" x14ac:dyDescent="0.25">
      <c r="A96" s="7" t="s">
        <v>5</v>
      </c>
      <c r="B96" s="17" t="s">
        <v>518</v>
      </c>
      <c r="C96" s="17" t="s">
        <v>841</v>
      </c>
      <c r="D96" s="17" t="str">
        <f ca="1">IFERROR(__xludf.DUMMYFUNCTION("GOOGLETRANSLATE(C96,""ES"",""EN"")"),"Users \ intervention \ specific population")</f>
        <v>Users \ intervention \ specific population</v>
      </c>
      <c r="E96" s="17" t="s">
        <v>951</v>
      </c>
      <c r="F96" s="17" t="str">
        <f ca="1">IFERROR(__xludf.DUMMYFUNCTION("GOOGLETRANSLATE(E96,""ES"",""EN"")"),"The only difference is that, for example, in the Senda program they have free access, that is, they can reach a window patient to request treatment for the addiction program and they will have evaluation time to see if they are candidates or not for the c"&amp;"enter.")</f>
        <v>The only difference is that, for example, in the Senda program they have free access, that is, they can reach a window patient to request treatment for the addiction program and they will have evaluation time to see if they are candidates or not for the center.</v>
      </c>
      <c r="G96" s="18">
        <v>288</v>
      </c>
      <c r="H96" s="19">
        <v>1.2161648579029603</v>
      </c>
      <c r="I96" s="17" t="s">
        <v>837</v>
      </c>
      <c r="J96" s="17" t="str">
        <f ca="1">IFERROR(__xludf.DUMMYFUNCTION("GOOGLETRANSLATE(I96,""ES"",""EN"")"),"Confusing, intervening or mediators of the payment mechanism")</f>
        <v>Confusing, intervening or mediators of the payment mechanism</v>
      </c>
      <c r="K96" s="1"/>
      <c r="L96" s="1"/>
      <c r="M96" s="1"/>
      <c r="N96" s="1"/>
      <c r="O96" s="1"/>
      <c r="P96" s="1"/>
      <c r="Q96" s="1"/>
      <c r="R96" s="1"/>
      <c r="S96" s="1"/>
      <c r="T96" s="1"/>
      <c r="U96" s="1"/>
      <c r="V96" s="1"/>
      <c r="W96" s="1"/>
      <c r="X96" s="1"/>
      <c r="Y96" s="1"/>
    </row>
    <row r="97" spans="1:25" ht="15.75" customHeight="1" x14ac:dyDescent="0.25">
      <c r="A97" s="11" t="s">
        <v>5</v>
      </c>
      <c r="B97" s="17" t="s">
        <v>518</v>
      </c>
      <c r="C97" s="17" t="s">
        <v>952</v>
      </c>
      <c r="D97" s="17" t="str">
        <f ca="1">IFERROR(__xludf.DUMMYFUNCTION("GOOGLETRANSLATE(C97,""ES"",""EN"")"),"Benefits \ intervention \ benefits that fonasa pays")</f>
        <v>Benefits \ intervention \ benefits that fonasa pays</v>
      </c>
      <c r="E97" s="17" t="s">
        <v>953</v>
      </c>
      <c r="F97" s="17" t="str">
        <f ca="1">IFERROR(__xludf.DUMMYFUNCTION("GOOGLETRANSLATE(E97,""ES"",""EN"")"),"I believe that it does influence a little because in fact in the hospital at this time I was making an order a bit in in evaluating all the benefits, because we here we work, we have for example a population of around 900 active users, close to the one hu"&amp;"ndred in Infanto and 800 in adult. And there were many benefits that the Cost Center sees it the same, the hospital, not ourselves and were making a review not only in our centers, but at the level of the entire hospital")</f>
        <v>I believe that it does influence a little because in fact in the hospital at this time I was making an order a bit in in evaluating all the benefits, because we here we work, we have for example a population of around 900 active users, close to the one hundred in Infanto and 800 in adult. And there were many benefits that the Cost Center sees it the same, the hospital, not ourselves and were making a review not only in our centers, but at the level of the entire hospital</v>
      </c>
      <c r="G97" s="18">
        <v>497</v>
      </c>
      <c r="H97" s="19">
        <v>2.0987289388117056</v>
      </c>
      <c r="I97" s="17" t="s">
        <v>847</v>
      </c>
      <c r="J97" s="17" t="str">
        <f ca="1">IFERROR(__xludf.DUMMYFUNCTION("GOOGLETRANSLATE(I97,""ES"",""EN"")"),"Payment associated with a benefit basket")</f>
        <v>Payment associated with a benefit basket</v>
      </c>
      <c r="K97" s="1"/>
      <c r="L97" s="1"/>
      <c r="M97" s="1"/>
      <c r="N97" s="1"/>
      <c r="O97" s="1"/>
      <c r="P97" s="1"/>
      <c r="Q97" s="1"/>
      <c r="R97" s="1"/>
      <c r="S97" s="1"/>
      <c r="T97" s="1"/>
      <c r="U97" s="1"/>
      <c r="V97" s="1"/>
      <c r="W97" s="1"/>
      <c r="X97" s="1"/>
      <c r="Y97" s="1"/>
    </row>
    <row r="98" spans="1:25" ht="15.75" customHeight="1" x14ac:dyDescent="0.25">
      <c r="A98" s="11" t="s">
        <v>5</v>
      </c>
      <c r="B98" s="17" t="s">
        <v>521</v>
      </c>
      <c r="C98" s="17" t="s">
        <v>845</v>
      </c>
      <c r="D98" s="17" t="str">
        <f ca="1">IFERROR(__xludf.DUMMYFUNCTION("GOOGLETRANSLATE(C98,""ES"",""EN"")"),"Benefits \ intervention \ benefits not valued by fonasa")</f>
        <v>Benefits \ intervention \ benefits not valued by fonasa</v>
      </c>
      <c r="E98" s="17" t="s">
        <v>954</v>
      </c>
      <c r="F98" s="17" t="str">
        <f ca="1">IFERROR(__xludf.DUMMYFUNCTION("GOOGLETRANSLATE(E98,""ES"",""EN"")"),"Then the management or monitoring of a case, it, is not counted.")</f>
        <v>Then the management or monitoring of a case, it, is not counted.</v>
      </c>
      <c r="G98" s="18">
        <v>69</v>
      </c>
      <c r="H98" s="19">
        <v>0.24464614948234292</v>
      </c>
      <c r="I98" s="17" t="s">
        <v>847</v>
      </c>
      <c r="J98" s="17" t="str">
        <f ca="1">IFERROR(__xludf.DUMMYFUNCTION("GOOGLETRANSLATE(I98,""ES"",""EN"")"),"Payment associated with a benefit basket")</f>
        <v>Payment associated with a benefit basket</v>
      </c>
      <c r="K98" s="1"/>
      <c r="L98" s="1"/>
      <c r="M98" s="1"/>
      <c r="N98" s="1"/>
      <c r="O98" s="1"/>
      <c r="P98" s="1"/>
      <c r="Q98" s="1"/>
      <c r="R98" s="1"/>
      <c r="S98" s="1"/>
      <c r="T98" s="1"/>
      <c r="U98" s="1"/>
      <c r="V98" s="1"/>
      <c r="W98" s="1"/>
      <c r="X98" s="1"/>
      <c r="Y98" s="1"/>
    </row>
    <row r="99" spans="1:25" ht="15.75" customHeight="1" x14ac:dyDescent="0.25">
      <c r="A99" s="6" t="s">
        <v>5</v>
      </c>
      <c r="B99" s="17" t="s">
        <v>521</v>
      </c>
      <c r="C99" s="17" t="s">
        <v>955</v>
      </c>
      <c r="D99" s="17" t="str">
        <f ca="1">IFERROR(__xludf.DUMMYFUNCTION("GOOGLETRANSLATE(C99,""ES"",""EN"")"),"FINANCING \ INTERVENTION \ FONASA PAYMENT FOR BENEFITS")</f>
        <v>FINANCING \ INTERVENTION \ FONASA PAYMENT FOR BENEFITS</v>
      </c>
      <c r="E99" s="17" t="s">
        <v>956</v>
      </c>
      <c r="F99" s="17" t="str">
        <f ca="1">IFERROR(__xludf.DUMMYFUNCTION("GOOGLETRANSLATE(E99,""ES"",""EN"")"),"To start Fonasa pays a misery for benefits, I find that it is shameful. I don't know as a thousand five hundred pesos, I don't know, such a matter of horror. A value should really be market value. And if not so. I don't know, a real value to start.")</f>
        <v>To start Fonasa pays a misery for benefits, I find that it is shameful. I don't know as a thousand five hundred pesos, I don't know, such a matter of horror. A value should really be market value. And if not so. I don't know, a real value to start.</v>
      </c>
      <c r="G99" s="18">
        <v>267</v>
      </c>
      <c r="H99" s="19">
        <v>0.94667423060558786</v>
      </c>
      <c r="I99" s="17" t="s">
        <v>847</v>
      </c>
      <c r="J99" s="17" t="str">
        <f ca="1">IFERROR(__xludf.DUMMYFUNCTION("GOOGLETRANSLATE(I99,""ES"",""EN"")"),"Payment associated with a benefit basket")</f>
        <v>Payment associated with a benefit basket</v>
      </c>
      <c r="K99" s="1"/>
      <c r="L99" s="1"/>
      <c r="M99" s="1"/>
      <c r="N99" s="1"/>
      <c r="O99" s="1"/>
      <c r="P99" s="1"/>
      <c r="Q99" s="1"/>
      <c r="R99" s="1"/>
      <c r="S99" s="1"/>
      <c r="T99" s="1"/>
      <c r="U99" s="1"/>
      <c r="V99" s="1"/>
      <c r="W99" s="1"/>
      <c r="X99" s="1"/>
      <c r="Y99" s="1"/>
    </row>
    <row r="100" spans="1:25" ht="15.75" customHeight="1" x14ac:dyDescent="0.25">
      <c r="A100" s="11" t="s">
        <v>5</v>
      </c>
      <c r="B100" s="17" t="s">
        <v>521</v>
      </c>
      <c r="C100" s="17" t="s">
        <v>952</v>
      </c>
      <c r="D100" s="17" t="str">
        <f ca="1">IFERROR(__xludf.DUMMYFUNCTION("GOOGLETRANSLATE(C100,""ES"",""EN"")"),"Benefits \ intervention \ benefits that fonasa pays")</f>
        <v>Benefits \ intervention \ benefits that fonasa pays</v>
      </c>
      <c r="E100" s="17" t="s">
        <v>957</v>
      </c>
      <c r="F100" s="17" t="str">
        <f ca="1">IFERROR(__xludf.DUMMYFUNCTION("GOOGLETRANSLATE(E100,""ES"",""EN"")"),"I don't know if the best way to have a phonasa that is seeing that it is paid or not paid. I have no idea of ​​finance, but what is very little, it is funny to see the values, funny.")</f>
        <v>I don't know if the best way to have a phonasa that is seeing that it is paid or not paid. I have no idea of ​​finance, but what is very little, it is funny to see the values, funny.</v>
      </c>
      <c r="G100" s="18">
        <v>191</v>
      </c>
      <c r="H100" s="19">
        <v>0.67720890653807975</v>
      </c>
      <c r="I100" s="17" t="s">
        <v>847</v>
      </c>
      <c r="J100" s="17" t="str">
        <f ca="1">IFERROR(__xludf.DUMMYFUNCTION("GOOGLETRANSLATE(I100,""ES"",""EN"")"),"Payment associated with a benefit basket")</f>
        <v>Payment associated with a benefit basket</v>
      </c>
      <c r="K100" s="1"/>
      <c r="L100" s="1"/>
      <c r="M100" s="1"/>
      <c r="N100" s="1"/>
      <c r="O100" s="1"/>
      <c r="P100" s="1"/>
      <c r="Q100" s="1"/>
      <c r="R100" s="1"/>
      <c r="S100" s="1"/>
      <c r="T100" s="1"/>
      <c r="U100" s="1"/>
      <c r="V100" s="1"/>
      <c r="W100" s="1"/>
      <c r="X100" s="1"/>
      <c r="Y100" s="1"/>
    </row>
    <row r="101" spans="1:25" ht="15.75" customHeight="1" x14ac:dyDescent="0.25">
      <c r="A101" s="11" t="s">
        <v>5</v>
      </c>
      <c r="B101" s="17" t="s">
        <v>521</v>
      </c>
      <c r="C101" s="17" t="s">
        <v>845</v>
      </c>
      <c r="D101" s="17" t="str">
        <f ca="1">IFERROR(__xludf.DUMMYFUNCTION("GOOGLETRANSLATE(C101,""ES"",""EN"")"),"Benefits \ intervention \ benefits not valued by fonasa")</f>
        <v>Benefits \ intervention \ benefits not valued by fonasa</v>
      </c>
      <c r="E101" s="17" t="s">
        <v>958</v>
      </c>
      <c r="F101" s="17" t="str">
        <f ca="1">IFERROR(__xludf.DUMMYFUNCTION("GOOGLETRANSLATE(E101,""ES"",""EN"")"),"There is as a vision, as restricted on what is payable and not, that is, what is the, I do not know, I do not know what percentage to say, but it is a more part of what community attention is. I should not, open, study, know that other things are done as "&amp;"they are as valuable as direct attention.")</f>
        <v>There is as a vision, as restricted on what is payable and not, that is, what is the, I do not know, I do not know what percentage to say, but it is a more part of what community attention is. I should not, open, study, know that other things are done as they are as valuable as direct attention.</v>
      </c>
      <c r="G101" s="18">
        <v>299</v>
      </c>
      <c r="H101" s="19">
        <v>1.0601333144234861</v>
      </c>
      <c r="I101" s="17" t="s">
        <v>847</v>
      </c>
      <c r="J101" s="17" t="str">
        <f ca="1">IFERROR(__xludf.DUMMYFUNCTION("GOOGLETRANSLATE(I101,""ES"",""EN"")"),"Payment associated with a benefit basket")</f>
        <v>Payment associated with a benefit basket</v>
      </c>
      <c r="K101" s="1"/>
      <c r="L101" s="1"/>
      <c r="M101" s="1"/>
      <c r="N101" s="1"/>
      <c r="O101" s="1"/>
      <c r="P101" s="1"/>
      <c r="Q101" s="1"/>
      <c r="R101" s="1"/>
      <c r="S101" s="1"/>
      <c r="T101" s="1"/>
      <c r="U101" s="1"/>
      <c r="V101" s="1"/>
      <c r="W101" s="1"/>
      <c r="X101" s="1"/>
      <c r="Y101" s="1"/>
    </row>
    <row r="102" spans="1:25" ht="15.75" customHeight="1" x14ac:dyDescent="0.25">
      <c r="A102" s="6" t="s">
        <v>5</v>
      </c>
      <c r="B102" s="17" t="s">
        <v>564</v>
      </c>
      <c r="C102" s="17" t="s">
        <v>868</v>
      </c>
      <c r="D102" s="17" t="str">
        <f ca="1">IFERROR(__xludf.DUMMYFUNCTION("GOOGLETRANSLATE(C102,""ES"",""EN"")"),"Financing \ Intervention \ Prospective Annual Budget of the SS")</f>
        <v>Financing \ Intervention \ Prospective Annual Budget of the SS</v>
      </c>
      <c r="E102" s="17" t="s">
        <v>959</v>
      </c>
      <c r="F102" s="17" t="str">
        <f ca="1">IFERROR(__xludf.DUMMYFUNCTION("GOOGLETRANSLATE(E102,""ES"",""EN"")"),"The service gives me 500 million pesos, 500 and something and the Cosam spends one billion pesos annually and in the Macul commune, because in others they pass and you are going to see it to the extent of the interviews, there is external financing.")</f>
        <v>The service gives me 500 million pesos, 500 and something and the Cosam spends one billion pesos annually and in the Macul commune, because in others they pass and you are going to see it to the extent of the interviews, there is external financing.</v>
      </c>
      <c r="G102" s="18">
        <v>229</v>
      </c>
      <c r="H102" s="19">
        <v>0.67908190498784171</v>
      </c>
      <c r="I102" s="17" t="s">
        <v>870</v>
      </c>
      <c r="J102" s="17" t="str">
        <f ca="1">IFERROR(__xludf.DUMMYFUNCTION("GOOGLETRANSLATE(I102,""ES"",""EN"")"),"Historical Prospective Budget")</f>
        <v>Historical Prospective Budget</v>
      </c>
      <c r="K102" s="1"/>
      <c r="L102" s="1"/>
      <c r="M102" s="1"/>
      <c r="N102" s="1"/>
      <c r="O102" s="1"/>
      <c r="P102" s="1"/>
      <c r="Q102" s="1"/>
      <c r="R102" s="1"/>
      <c r="S102" s="1"/>
      <c r="T102" s="1"/>
      <c r="U102" s="1"/>
      <c r="V102" s="1"/>
      <c r="W102" s="1"/>
      <c r="X102" s="1"/>
      <c r="Y102" s="1"/>
    </row>
    <row r="103" spans="1:25" ht="15.75" customHeight="1" x14ac:dyDescent="0.25">
      <c r="A103" s="6" t="s">
        <v>5</v>
      </c>
      <c r="B103" s="17" t="s">
        <v>564</v>
      </c>
      <c r="C103" s="17" t="s">
        <v>862</v>
      </c>
      <c r="D103" s="17" t="str">
        <f ca="1">IFERROR(__xludf.DUMMYFUNCTION("GOOGLETRANSLATE(C103,""ES"",""EN"")"),"Financing \ intervention \ by baskets in some diagnoses")</f>
        <v>Financing \ intervention \ by baskets in some diagnoses</v>
      </c>
      <c r="E103" s="17" t="s">
        <v>960</v>
      </c>
      <c r="F103" s="17" t="str">
        <f ca="1">IFERROR(__xludf.DUMMYFUNCTION("GOOGLETRANSLATE(E103,""ES"",""EN"")"),"For some baskets.")</f>
        <v>For some baskets.</v>
      </c>
      <c r="G103" s="18">
        <v>21</v>
      </c>
      <c r="H103" s="19">
        <v>6.2273886483601215E-2</v>
      </c>
      <c r="I103" s="17" t="s">
        <v>847</v>
      </c>
      <c r="J103" s="17" t="str">
        <f ca="1">IFERROR(__xludf.DUMMYFUNCTION("GOOGLETRANSLATE(I103,""ES"",""EN"")"),"Payment associated with a benefit basket")</f>
        <v>Payment associated with a benefit basket</v>
      </c>
      <c r="K103" s="1"/>
      <c r="L103" s="1"/>
      <c r="M103" s="1"/>
      <c r="N103" s="1"/>
      <c r="O103" s="1"/>
      <c r="P103" s="1"/>
      <c r="Q103" s="1"/>
      <c r="R103" s="1"/>
      <c r="S103" s="1"/>
      <c r="T103" s="1"/>
      <c r="U103" s="1"/>
      <c r="V103" s="1"/>
      <c r="W103" s="1"/>
      <c r="X103" s="1"/>
      <c r="Y103" s="1"/>
    </row>
    <row r="104" spans="1:25" ht="15.75" customHeight="1" x14ac:dyDescent="0.25">
      <c r="A104" s="8" t="s">
        <v>5</v>
      </c>
      <c r="B104" s="17" t="s">
        <v>564</v>
      </c>
      <c r="C104" s="17" t="s">
        <v>939</v>
      </c>
      <c r="D104" s="17" t="str">
        <f ca="1">IFERROR(__xludf.DUMMYFUNCTION("GOOGLETRANSLATE(C104,""ES"",""EN"")"),"Medications and Technologies \ Intervention \ Direct Purchase")</f>
        <v>Medications and Technologies \ Intervention \ Direct Purchase</v>
      </c>
      <c r="E104" s="17" t="s">
        <v>961</v>
      </c>
      <c r="F104" s="17" t="str">
        <f ca="1">IFERROR(__xludf.DUMMYFUNCTION("GOOGLETRANSLATE(E104,""ES"",""EN"")"),"Medications are much more expensive than says there or what I can finally buy.")</f>
        <v>Medications are much more expensive than says there or what I can finally buy.</v>
      </c>
      <c r="G104" s="18">
        <v>92</v>
      </c>
      <c r="H104" s="19">
        <v>0.27281893126149104</v>
      </c>
      <c r="I104" s="17" t="s">
        <v>837</v>
      </c>
      <c r="J104" s="17" t="str">
        <f ca="1">IFERROR(__xludf.DUMMYFUNCTION("GOOGLETRANSLATE(I104,""ES"",""EN"")"),"Confusing, intervening or mediators of the payment mechanism")</f>
        <v>Confusing, intervening or mediators of the payment mechanism</v>
      </c>
      <c r="K104" s="1"/>
      <c r="L104" s="1"/>
      <c r="M104" s="1"/>
      <c r="N104" s="1"/>
      <c r="O104" s="1"/>
      <c r="P104" s="1"/>
      <c r="Q104" s="1"/>
      <c r="R104" s="1"/>
      <c r="S104" s="1"/>
      <c r="T104" s="1"/>
      <c r="U104" s="1"/>
      <c r="V104" s="1"/>
      <c r="W104" s="1"/>
      <c r="X104" s="1"/>
      <c r="Y104" s="1"/>
    </row>
    <row r="105" spans="1:25" ht="15.75" customHeight="1" x14ac:dyDescent="0.25">
      <c r="A105" s="8" t="s">
        <v>5</v>
      </c>
      <c r="B105" s="17" t="s">
        <v>564</v>
      </c>
      <c r="C105" s="17" t="s">
        <v>939</v>
      </c>
      <c r="D105" s="17" t="str">
        <f ca="1">IFERROR(__xludf.DUMMYFUNCTION("GOOGLETRANSLATE(C105,""ES"",""EN"")"),"Medications and Technologies \ Intervention \ Direct Purchase")</f>
        <v>Medications and Technologies \ Intervention \ Direct Purchase</v>
      </c>
      <c r="E105" s="17" t="s">
        <v>962</v>
      </c>
      <c r="F105" s="17" t="str">
        <f ca="1">IFERROR(__xludf.DUMMYFUNCTION("GOOGLETRANSLATE(E105,""ES"",""EN"")"),"The purchase is not always on Cenabast.")</f>
        <v>The purchase is not always on Cenabast.</v>
      </c>
      <c r="G105" s="18">
        <v>42</v>
      </c>
      <c r="H105" s="19">
        <v>0.12454777296720243</v>
      </c>
      <c r="I105" s="17" t="s">
        <v>837</v>
      </c>
      <c r="J105" s="17" t="str">
        <f ca="1">IFERROR(__xludf.DUMMYFUNCTION("GOOGLETRANSLATE(I105,""ES"",""EN"")"),"Confusing, intervening or mediators of the payment mechanism")</f>
        <v>Confusing, intervening or mediators of the payment mechanism</v>
      </c>
      <c r="K105" s="1"/>
      <c r="L105" s="1"/>
      <c r="M105" s="1"/>
      <c r="N105" s="1"/>
      <c r="O105" s="1"/>
      <c r="P105" s="1"/>
      <c r="Q105" s="1"/>
      <c r="R105" s="1"/>
      <c r="S105" s="1"/>
      <c r="T105" s="1"/>
      <c r="U105" s="1"/>
      <c r="V105" s="1"/>
      <c r="W105" s="1"/>
      <c r="X105" s="1"/>
      <c r="Y105" s="1"/>
    </row>
    <row r="106" spans="1:25" ht="15.75" customHeight="1" x14ac:dyDescent="0.25">
      <c r="A106" s="8" t="s">
        <v>5</v>
      </c>
      <c r="B106" s="17" t="s">
        <v>564</v>
      </c>
      <c r="C106" s="17" t="s">
        <v>878</v>
      </c>
      <c r="D106" s="17" t="str">
        <f ca="1">IFERROR(__xludf.DUMMYFUNCTION("GOOGLETRANSLATE(C106,""ES"",""EN"")"),"Medications and Technologies \ Intervention \ Buy through Cenabast")</f>
        <v>Medications and Technologies \ Intervention \ Buy through Cenabast</v>
      </c>
      <c r="E106" s="17" t="s">
        <v>963</v>
      </c>
      <c r="F106" s="17" t="str">
        <f ca="1">IFERROR(__xludf.DUMMYFUNCTION("GOOGLETRANSLATE(E106,""ES"",""EN"")"),"One calculates that the Cenabast can buy 70 percent of the drugs of a basket annually")</f>
        <v>One calculates that the Cenabast can buy 70 percent of the drugs of a basket annually</v>
      </c>
      <c r="G106" s="18">
        <v>106</v>
      </c>
      <c r="H106" s="19">
        <v>0.31433485558389179</v>
      </c>
      <c r="I106" s="17" t="s">
        <v>837</v>
      </c>
      <c r="J106" s="17" t="str">
        <f ca="1">IFERROR(__xludf.DUMMYFUNCTION("GOOGLETRANSLATE(I106,""ES"",""EN"")"),"Confusing, intervening or mediators of the payment mechanism")</f>
        <v>Confusing, intervening or mediators of the payment mechanism</v>
      </c>
      <c r="K106" s="1"/>
      <c r="L106" s="1"/>
      <c r="M106" s="1"/>
      <c r="N106" s="1"/>
      <c r="O106" s="1"/>
      <c r="P106" s="1"/>
      <c r="Q106" s="1"/>
      <c r="R106" s="1"/>
      <c r="S106" s="1"/>
      <c r="T106" s="1"/>
      <c r="U106" s="1"/>
      <c r="V106" s="1"/>
      <c r="W106" s="1"/>
      <c r="X106" s="1"/>
      <c r="Y106" s="1"/>
    </row>
    <row r="107" spans="1:25" ht="15.75" customHeight="1" x14ac:dyDescent="0.25">
      <c r="A107" s="8" t="s">
        <v>5</v>
      </c>
      <c r="B107" s="17" t="s">
        <v>564</v>
      </c>
      <c r="C107" s="17" t="s">
        <v>939</v>
      </c>
      <c r="D107" s="17" t="str">
        <f ca="1">IFERROR(__xludf.DUMMYFUNCTION("GOOGLETRANSLATE(C107,""ES"",""EN"")"),"Medications and Technologies \ Intervention \ Direct Purchase")</f>
        <v>Medications and Technologies \ Intervention \ Direct Purchase</v>
      </c>
      <c r="E107" s="17" t="s">
        <v>964</v>
      </c>
      <c r="F107" s="17" t="str">
        <f ca="1">IFERROR(__xludf.DUMMYFUNCTION("GOOGLETRANSLATE(E107,""ES"",""EN"")"),"And I also had a delta that purchases them much higher, which are 30 percent.")</f>
        <v>And I also had a delta that purchases them much higher, which are 30 percent.</v>
      </c>
      <c r="G107" s="18">
        <v>83</v>
      </c>
      <c r="H107" s="19">
        <v>0.24613012276851906</v>
      </c>
      <c r="I107" s="17" t="s">
        <v>837</v>
      </c>
      <c r="J107" s="17" t="str">
        <f ca="1">IFERROR(__xludf.DUMMYFUNCTION("GOOGLETRANSLATE(I107,""ES"",""EN"")"),"Confusing, intervening or mediators of the payment mechanism")</f>
        <v>Confusing, intervening or mediators of the payment mechanism</v>
      </c>
      <c r="K107" s="1"/>
      <c r="L107" s="1"/>
      <c r="M107" s="1"/>
      <c r="N107" s="1"/>
      <c r="O107" s="1"/>
      <c r="P107" s="1"/>
      <c r="Q107" s="1"/>
      <c r="R107" s="1"/>
      <c r="S107" s="1"/>
      <c r="T107" s="1"/>
      <c r="U107" s="1"/>
      <c r="V107" s="1"/>
      <c r="W107" s="1"/>
      <c r="X107" s="1"/>
      <c r="Y107" s="1"/>
    </row>
    <row r="108" spans="1:25" ht="15.75" customHeight="1" x14ac:dyDescent="0.25">
      <c r="A108" s="6" t="s">
        <v>5</v>
      </c>
      <c r="B108" s="17" t="s">
        <v>564</v>
      </c>
      <c r="C108" s="17" t="s">
        <v>862</v>
      </c>
      <c r="D108" s="17" t="str">
        <f ca="1">IFERROR(__xludf.DUMMYFUNCTION("GOOGLETRANSLATE(C108,""ES"",""EN"")"),"Financing \ intervention \ by baskets in some diagnoses")</f>
        <v>Financing \ intervention \ by baskets in some diagnoses</v>
      </c>
      <c r="E108" s="17" t="s">
        <v>965</v>
      </c>
      <c r="F108" s="17" t="str">
        <f ca="1">IFERROR(__xludf.DUMMYFUNCTION("GOOGLETRANSLATE(E108,""ES"",""EN"")"),"For example, there are baskets that have to do with depression, with schizophrenia, with mental and behavioral disorders, but for example, there is no basket of eating disorders, personality disorders or other disorders that finally have other diagnoses .")</f>
        <v>For example, there are baskets that have to do with depression, with schizophrenia, with mental and behavioral disorders, but for example, there is no basket of eating disorders, personality disorders or other disorders that finally have other diagnoses .</v>
      </c>
      <c r="G108" s="18">
        <v>294</v>
      </c>
      <c r="H108" s="19">
        <v>0.87183441077041701</v>
      </c>
      <c r="I108" s="17" t="s">
        <v>847</v>
      </c>
      <c r="J108" s="17" t="str">
        <f ca="1">IFERROR(__xludf.DUMMYFUNCTION("GOOGLETRANSLATE(I108,""ES"",""EN"")"),"Payment associated with a benefit basket")</f>
        <v>Payment associated with a benefit basket</v>
      </c>
      <c r="K108" s="1"/>
      <c r="L108" s="1"/>
      <c r="M108" s="1"/>
      <c r="N108" s="1"/>
      <c r="O108" s="1"/>
      <c r="P108" s="1"/>
      <c r="Q108" s="1"/>
      <c r="R108" s="1"/>
      <c r="S108" s="1"/>
      <c r="T108" s="1"/>
      <c r="U108" s="1"/>
      <c r="V108" s="1"/>
      <c r="W108" s="1"/>
      <c r="X108" s="1"/>
      <c r="Y108" s="1"/>
    </row>
    <row r="109" spans="1:25" ht="15.75" customHeight="1" x14ac:dyDescent="0.25">
      <c r="A109" s="6" t="s">
        <v>5</v>
      </c>
      <c r="B109" s="17" t="s">
        <v>615</v>
      </c>
      <c r="C109" s="17" t="s">
        <v>827</v>
      </c>
      <c r="D109" s="17" t="str">
        <f ca="1">IFERROR(__xludf.DUMMYFUNCTION("GOOGLETRANSLATE(C109,""ES"",""EN"")"),"FINANCING \ INTERVENTION \ CONVENTIONS WITH INTERSECTOR \ NATIONAL DRUG SERVICE SENDA")</f>
        <v>FINANCING \ INTERVENTION \ CONVENTIONS WITH INTERSECTOR \ NATIONAL DRUG SERVICE SENDA</v>
      </c>
      <c r="E109" s="17" t="s">
        <v>966</v>
      </c>
      <c r="F109" s="17" t="str">
        <f ca="1">IFERROR(__xludf.DUMMYFUNCTION("GOOGLETRANSLATE(E109,""ES"",""EN"")"),"And what I understand, let's say that, how, how this is paid is through what we have of the SENDA agreement already, with which we say, we have the possibility of hiring the hours of officials for officials to that program")</f>
        <v>And what I understand, let's say that, how, how this is paid is through what we have of the SENDA agreement already, with which we say, we have the possibility of hiring the hours of officials for officials to that program</v>
      </c>
      <c r="G109" s="18">
        <v>259</v>
      </c>
      <c r="H109" s="19">
        <v>0.96728413504631006</v>
      </c>
      <c r="I109" s="17" t="s">
        <v>829</v>
      </c>
      <c r="J109" s="17" t="str">
        <f ca="1">IFERROR(__xludf.DUMMYFUNCTION("GOOGLETRANSLATE(I109,""ES"",""EN"")"),"Agreements with government organizations of the intersector")</f>
        <v>Agreements with government organizations of the intersector</v>
      </c>
      <c r="K109" s="1"/>
      <c r="L109" s="1"/>
      <c r="M109" s="1"/>
      <c r="N109" s="1"/>
      <c r="O109" s="1"/>
      <c r="P109" s="1"/>
      <c r="Q109" s="1"/>
      <c r="R109" s="1"/>
      <c r="S109" s="1"/>
      <c r="T109" s="1"/>
      <c r="U109" s="1"/>
      <c r="V109" s="1"/>
      <c r="W109" s="1"/>
      <c r="X109" s="1"/>
      <c r="Y109" s="1"/>
    </row>
    <row r="110" spans="1:25" ht="15.75" customHeight="1" x14ac:dyDescent="0.25">
      <c r="A110" s="6" t="s">
        <v>5</v>
      </c>
      <c r="B110" s="17" t="s">
        <v>615</v>
      </c>
      <c r="C110" s="17" t="s">
        <v>955</v>
      </c>
      <c r="D110" s="17" t="str">
        <f ca="1">IFERROR(__xludf.DUMMYFUNCTION("GOOGLETRANSLATE(C110,""ES"",""EN"")"),"FINANCING \ INTERVENTION \ FONASA PAYMENT FOR BENEFITS")</f>
        <v>FINANCING \ INTERVENTION \ FONASA PAYMENT FOR BENEFITS</v>
      </c>
      <c r="E110" s="17" t="s">
        <v>967</v>
      </c>
      <c r="F110" s="17" t="str">
        <f ca="1">IFERROR(__xludf.DUMMYFUNCTION("GOOGLETRANSLATE(E110,""ES"",""EN"")"),"And also in the rest that is general mental health, already adult and child, we have it through the payment that Fonasa makes for the benefits.")</f>
        <v>And also in the rest that is general mental health, already adult and child, we have it through the payment that Fonasa makes for the benefits.</v>
      </c>
      <c r="G110" s="18">
        <v>138</v>
      </c>
      <c r="H110" s="19">
        <v>0.51538691365401856</v>
      </c>
      <c r="I110" s="17" t="s">
        <v>847</v>
      </c>
      <c r="J110" s="17" t="str">
        <f ca="1">IFERROR(__xludf.DUMMYFUNCTION("GOOGLETRANSLATE(I110,""ES"",""EN"")"),"Payment associated with a benefit basket")</f>
        <v>Payment associated with a benefit basket</v>
      </c>
      <c r="K110" s="1"/>
      <c r="L110" s="1"/>
      <c r="M110" s="1"/>
      <c r="N110" s="1"/>
      <c r="O110" s="1"/>
      <c r="P110" s="1"/>
      <c r="Q110" s="1"/>
      <c r="R110" s="1"/>
      <c r="S110" s="1"/>
      <c r="T110" s="1"/>
      <c r="U110" s="1"/>
      <c r="V110" s="1"/>
      <c r="W110" s="1"/>
      <c r="X110" s="1"/>
      <c r="Y110" s="1"/>
    </row>
    <row r="111" spans="1:25" ht="15.75" customHeight="1" x14ac:dyDescent="0.25">
      <c r="A111" s="6" t="s">
        <v>5</v>
      </c>
      <c r="B111" s="17" t="s">
        <v>615</v>
      </c>
      <c r="C111" s="17" t="s">
        <v>955</v>
      </c>
      <c r="D111" s="17" t="str">
        <f ca="1">IFERROR(__xludf.DUMMYFUNCTION("GOOGLETRANSLATE(C111,""ES"",""EN"")"),"FINANCING \ INTERVENTION \ FONASA PAYMENT FOR BENEFITS")</f>
        <v>FINANCING \ INTERVENTION \ FONASA PAYMENT FOR BENEFITS</v>
      </c>
      <c r="E111" s="17" t="s">
        <v>968</v>
      </c>
      <c r="F111" s="17" t="str">
        <f ca="1">IFERROR(__xludf.DUMMYFUNCTION("GOOGLETRANSLATE(E111,""ES"",""EN"")"),"Some time ago I would say before the pandemic. One of the programs we had was through that, facilitate payment through PPV, of the value benefits")</f>
        <v>Some time ago I would say before the pandemic. One of the programs we had was through that, facilitate payment through PPV, of the value benefits</v>
      </c>
      <c r="G111" s="18">
        <v>173</v>
      </c>
      <c r="H111" s="19">
        <v>0.64610098595757393</v>
      </c>
      <c r="I111" s="17" t="s">
        <v>847</v>
      </c>
      <c r="J111" s="17" t="str">
        <f ca="1">IFERROR(__xludf.DUMMYFUNCTION("GOOGLETRANSLATE(I111,""ES"",""EN"")"),"Payment associated with a benefit basket")</f>
        <v>Payment associated with a benefit basket</v>
      </c>
      <c r="K111" s="1"/>
      <c r="L111" s="1"/>
      <c r="M111" s="1"/>
      <c r="N111" s="1"/>
      <c r="O111" s="1"/>
      <c r="P111" s="1"/>
      <c r="Q111" s="1"/>
      <c r="R111" s="1"/>
      <c r="S111" s="1"/>
      <c r="T111" s="1"/>
      <c r="U111" s="1"/>
      <c r="V111" s="1"/>
      <c r="W111" s="1"/>
      <c r="X111" s="1"/>
      <c r="Y111" s="1"/>
    </row>
    <row r="112" spans="1:25" ht="15.75" customHeight="1" x14ac:dyDescent="0.25">
      <c r="A112" s="6" t="s">
        <v>5</v>
      </c>
      <c r="B112" s="17" t="s">
        <v>615</v>
      </c>
      <c r="C112" s="17" t="s">
        <v>886</v>
      </c>
      <c r="D112" s="17" t="str">
        <f ca="1">IFERROR(__xludf.DUMMYFUNCTION("GOOGLETRANSLATE(C112,""ES"",""EN"")"),"FINANCING \ INTERVENTION \ PAYMENT BY GRD TO THE HOSPITAL")</f>
        <v>FINANCING \ INTERVENTION \ PAYMENT BY GRD TO THE HOSPITAL</v>
      </c>
      <c r="E112" s="17" t="s">
        <v>969</v>
      </c>
      <c r="F112" s="17" t="str">
        <f ca="1">IFERROR(__xludf.DUMMYFUNCTION("GOOGLETRANSLATE(E112,""ES"",""EN"")"),"But since I would say 2020 onwards, there is already a change of management in terms of what is now done with GRD. And that takes a separate unit that the GRD management unit where it is organized in such a way with the diagnoses, the certain diagnosis is"&amp;" formalized and payments are reviewed from the diagnosis. That is what I understand.")</f>
        <v>But since I would say 2020 onwards, there is already a change of management in terms of what is now done with GRD. And that takes a separate unit that the GRD management unit where it is organized in such a way with the diagnoses, the certain diagnosis is formalized and payments are reviewed from the diagnosis. That is what I understand.</v>
      </c>
      <c r="G112" s="18">
        <v>333</v>
      </c>
      <c r="H112" s="19">
        <v>1.2436510307738273</v>
      </c>
      <c r="I112" s="17" t="s">
        <v>888</v>
      </c>
      <c r="J112" s="17" t="str">
        <f ca="1">IFERROR(__xludf.DUMMYFUNCTION("GOOGLETRANSLATE(I112,""ES"",""EN"")"),"Budget indirectly from GRD payment to the hospital")</f>
        <v>Budget indirectly from GRD payment to the hospital</v>
      </c>
      <c r="K112" s="1"/>
      <c r="L112" s="1"/>
      <c r="M112" s="1"/>
      <c r="N112" s="1"/>
      <c r="O112" s="1"/>
      <c r="P112" s="1"/>
      <c r="Q112" s="1"/>
      <c r="R112" s="1"/>
      <c r="S112" s="1"/>
      <c r="T112" s="1"/>
      <c r="U112" s="1"/>
      <c r="V112" s="1"/>
      <c r="W112" s="1"/>
      <c r="X112" s="1"/>
      <c r="Y112" s="1"/>
    </row>
    <row r="113" spans="1:25" ht="15.75" customHeight="1" x14ac:dyDescent="0.25">
      <c r="A113" s="6" t="s">
        <v>5</v>
      </c>
      <c r="B113" s="17" t="s">
        <v>615</v>
      </c>
      <c r="C113" s="17" t="s">
        <v>886</v>
      </c>
      <c r="D113" s="17" t="str">
        <f ca="1">IFERROR(__xludf.DUMMYFUNCTION("GOOGLETRANSLATE(C113,""ES"",""EN"")"),"FINANCING \ INTERVENTION \ PAYMENT BY GRD TO THE HOSPITAL")</f>
        <v>FINANCING \ INTERVENTION \ PAYMENT BY GRD TO THE HOSPITAL</v>
      </c>
      <c r="E113" s="17" t="s">
        <v>970</v>
      </c>
      <c r="F113" s="17" t="str">
        <f ca="1">IFERROR(__xludf.DUMMYFUNCTION("GOOGLETRANSLATE(E113,""ES"",""EN"")"),"I was told as headquarters, I already called him boss, say direct, that since 2020, March 2020 onwards everything was going to be GRD.")</f>
        <v>I was told as headquarters, I already called him boss, say direct, that since 2020, March 2020 onwards everything was going to be GRD.</v>
      </c>
      <c r="G113" s="18">
        <v>131</v>
      </c>
      <c r="H113" s="19">
        <v>0.48924409919330741</v>
      </c>
      <c r="I113" s="17" t="s">
        <v>888</v>
      </c>
      <c r="J113" s="17" t="str">
        <f ca="1">IFERROR(__xludf.DUMMYFUNCTION("GOOGLETRANSLATE(I113,""ES"",""EN"")"),"Budget indirectly from GRD payment to the hospital")</f>
        <v>Budget indirectly from GRD payment to the hospital</v>
      </c>
      <c r="K113" s="1"/>
      <c r="L113" s="1"/>
      <c r="M113" s="1"/>
      <c r="N113" s="1"/>
      <c r="O113" s="1"/>
      <c r="P113" s="1"/>
      <c r="Q113" s="1"/>
      <c r="R113" s="1"/>
      <c r="S113" s="1"/>
      <c r="T113" s="1"/>
      <c r="U113" s="1"/>
      <c r="V113" s="1"/>
      <c r="W113" s="1"/>
      <c r="X113" s="1"/>
      <c r="Y113" s="1"/>
    </row>
    <row r="114" spans="1:25" ht="15.75" customHeight="1" x14ac:dyDescent="0.25">
      <c r="A114" s="6" t="s">
        <v>5</v>
      </c>
      <c r="B114" s="17" t="s">
        <v>615</v>
      </c>
      <c r="C114" s="17" t="s">
        <v>827</v>
      </c>
      <c r="D114" s="17" t="str">
        <f ca="1">IFERROR(__xludf.DUMMYFUNCTION("GOOGLETRANSLATE(C114,""ES"",""EN"")"),"FINANCING \ INTERVENTION \ CONVENTIONS WITH INTERSECTOR \ NATIONAL DRUG SERVICE SENDA")</f>
        <v>FINANCING \ INTERVENTION \ CONVENTIONS WITH INTERSECTOR \ NATIONAL DRUG SERVICE SENDA</v>
      </c>
      <c r="E114" s="17" t="s">
        <v>971</v>
      </c>
      <c r="F114" s="17" t="str">
        <f ca="1">IFERROR(__xludf.DUMMYFUNCTION("GOOGLETRANSLATE(E114,""ES"",""EN"")"),"The only difference we have now is that the Senda agreement does not go through GRD.")</f>
        <v>The only difference we have now is that the Senda agreement does not go through GRD.</v>
      </c>
      <c r="G114" s="18">
        <v>79</v>
      </c>
      <c r="H114" s="19">
        <v>0.29504033462802509</v>
      </c>
      <c r="I114" s="17" t="s">
        <v>829</v>
      </c>
      <c r="J114" s="17" t="str">
        <f ca="1">IFERROR(__xludf.DUMMYFUNCTION("GOOGLETRANSLATE(I114,""ES"",""EN"")"),"Agreements with government organizations of the intersector")</f>
        <v>Agreements with government organizations of the intersector</v>
      </c>
      <c r="K114" s="1"/>
      <c r="L114" s="1"/>
      <c r="M114" s="1"/>
      <c r="N114" s="1"/>
      <c r="O114" s="1"/>
      <c r="P114" s="1"/>
      <c r="Q114" s="1"/>
      <c r="R114" s="1"/>
      <c r="S114" s="1"/>
      <c r="T114" s="1"/>
      <c r="U114" s="1"/>
      <c r="V114" s="1"/>
      <c r="W114" s="1"/>
      <c r="X114" s="1"/>
      <c r="Y114" s="1"/>
    </row>
    <row r="115" spans="1:25" ht="15.75" customHeight="1" x14ac:dyDescent="0.25">
      <c r="A115" s="6" t="s">
        <v>5</v>
      </c>
      <c r="B115" s="17" t="s">
        <v>615</v>
      </c>
      <c r="C115" s="17" t="s">
        <v>827</v>
      </c>
      <c r="D115" s="17" t="str">
        <f ca="1">IFERROR(__xludf.DUMMYFUNCTION("GOOGLETRANSLATE(C115,""ES"",""EN"")"),"FINANCING \ INTERVENTION \ CONVENTIONS WITH INTERSECTOR \ NATIONAL DRUG SERVICE SENDA")</f>
        <v>FINANCING \ INTERVENTION \ CONVENTIONS WITH INTERSECTOR \ NATIONAL DRUG SERVICE SENDA</v>
      </c>
      <c r="E115" s="17" t="s">
        <v>972</v>
      </c>
      <c r="F115" s="17" t="str">
        <f ca="1">IFERROR(__xludf.DUMMYFUNCTION("GOOGLETRANSLATE(E115,""ES"",""EN"")"),"Agreement are directly payments made by the Health Service and towards us Regional Hospital.")</f>
        <v>Agreement are directly payments made by the Health Service and towards us Regional Hospital.</v>
      </c>
      <c r="G115" s="18">
        <v>103</v>
      </c>
      <c r="H115" s="19">
        <v>0.38467284135046309</v>
      </c>
      <c r="I115" s="17" t="s">
        <v>829</v>
      </c>
      <c r="J115" s="17" t="str">
        <f ca="1">IFERROR(__xludf.DUMMYFUNCTION("GOOGLETRANSLATE(I115,""ES"",""EN"")"),"Agreements with government organizations of the intersector")</f>
        <v>Agreements with government organizations of the intersector</v>
      </c>
      <c r="K115" s="1"/>
      <c r="L115" s="1"/>
      <c r="M115" s="1"/>
      <c r="N115" s="1"/>
      <c r="O115" s="1"/>
      <c r="P115" s="1"/>
      <c r="Q115" s="1"/>
      <c r="R115" s="1"/>
      <c r="S115" s="1"/>
      <c r="T115" s="1"/>
      <c r="U115" s="1"/>
      <c r="V115" s="1"/>
      <c r="W115" s="1"/>
      <c r="X115" s="1"/>
      <c r="Y115" s="1"/>
    </row>
    <row r="116" spans="1:25" ht="15.75" customHeight="1" x14ac:dyDescent="0.25">
      <c r="A116" s="6" t="s">
        <v>5</v>
      </c>
      <c r="B116" s="17" t="s">
        <v>615</v>
      </c>
      <c r="C116" s="17" t="s">
        <v>886</v>
      </c>
      <c r="D116" s="17" t="str">
        <f ca="1">IFERROR(__xludf.DUMMYFUNCTION("GOOGLETRANSLATE(C116,""ES"",""EN"")"),"FINANCING \ INTERVENTION \ PAYMENT BY GRD TO THE HOSPITAL")</f>
        <v>FINANCING \ INTERVENTION \ PAYMENT BY GRD TO THE HOSPITAL</v>
      </c>
      <c r="E116" s="17" t="s">
        <v>973</v>
      </c>
      <c r="F116" s="17" t="str">
        <f ca="1">IFERROR(__xludf.DUMMYFUNCTION("GOOGLETRANSLATE(E116,""ES"",""EN"")"),"I have already been supporting the human resource to me with this issue, let's say that we have been working for mental health issues, say officials or patients. Then I have gotten hours, but I don't know if that has been a GRD impact. I could not tell yo"&amp;"u why I do not, say, as the objective data to be able to comment.")</f>
        <v>I have already been supporting the human resource to me with this issue, let's say that we have been working for mental health issues, say officials or patients. Then I have gotten hours, but I don't know if that has been a GRD impact. I could not tell you why I do not, say, as the objective data to be able to comment.</v>
      </c>
      <c r="G116" s="18">
        <v>342</v>
      </c>
      <c r="H116" s="19">
        <v>1.2772632207947416</v>
      </c>
      <c r="I116" s="17" t="s">
        <v>888</v>
      </c>
      <c r="J116" s="17" t="str">
        <f ca="1">IFERROR(__xludf.DUMMYFUNCTION("GOOGLETRANSLATE(I116,""ES"",""EN"")"),"Budget indirectly from GRD payment to the hospital")</f>
        <v>Budget indirectly from GRD payment to the hospital</v>
      </c>
      <c r="K116" s="1"/>
      <c r="L116" s="1"/>
      <c r="M116" s="1"/>
      <c r="N116" s="1"/>
      <c r="O116" s="1"/>
      <c r="P116" s="1"/>
      <c r="Q116" s="1"/>
      <c r="R116" s="1"/>
      <c r="S116" s="1"/>
      <c r="T116" s="1"/>
      <c r="U116" s="1"/>
      <c r="V116" s="1"/>
      <c r="W116" s="1"/>
      <c r="X116" s="1"/>
      <c r="Y116" s="1"/>
    </row>
    <row r="117" spans="1:25" ht="15.75" customHeight="1" x14ac:dyDescent="0.25">
      <c r="A117" s="11" t="s">
        <v>5</v>
      </c>
      <c r="B117" s="17" t="s">
        <v>615</v>
      </c>
      <c r="C117" s="17" t="s">
        <v>974</v>
      </c>
      <c r="D117" s="17" t="str">
        <f ca="1">IFERROR(__xludf.DUMMYFUNCTION("GOOGLETRANSLATE(C117,""ES"",""EN"")"),"Benefits \ Intervention \ Higher Tariff benefits for the hospital")</f>
        <v>Benefits \ Intervention \ Higher Tariff benefits for the hospital</v>
      </c>
      <c r="E117" s="17" t="s">
        <v>975</v>
      </c>
      <c r="F117" s="17" t="str">
        <f ca="1">IFERROR(__xludf.DUMMYFUNCTION("GOOGLETRANSLATE(E117,""ES"",""EN"")"),"But look, he knows that we have had to continue with the program, in terms of the community, insist on work, home visits, network work, work with the community, because visually that is not such a great economic contribution to the hospital .")</f>
        <v>But look, he knows that we have had to continue with the program, in terms of the community, insist on work, home visits, network work, work with the community, because visually that is not such a great economic contribution to the hospital .</v>
      </c>
      <c r="G117" s="18">
        <v>270</v>
      </c>
      <c r="H117" s="19">
        <v>1.0083657006274276</v>
      </c>
      <c r="I117" s="17" t="s">
        <v>847</v>
      </c>
      <c r="J117" s="17" t="str">
        <f ca="1">IFERROR(__xludf.DUMMYFUNCTION("GOOGLETRANSLATE(I117,""ES"",""EN"")"),"Payment associated with a benefit basket")</f>
        <v>Payment associated with a benefit basket</v>
      </c>
      <c r="K117" s="1"/>
      <c r="L117" s="1"/>
      <c r="M117" s="1"/>
      <c r="N117" s="1"/>
      <c r="O117" s="1"/>
      <c r="P117" s="1"/>
      <c r="Q117" s="1"/>
      <c r="R117" s="1"/>
      <c r="S117" s="1"/>
      <c r="T117" s="1"/>
      <c r="U117" s="1"/>
      <c r="V117" s="1"/>
      <c r="W117" s="1"/>
      <c r="X117" s="1"/>
      <c r="Y117" s="1"/>
    </row>
    <row r="118" spans="1:25" ht="15.75" customHeight="1" x14ac:dyDescent="0.25">
      <c r="A118" s="11" t="s">
        <v>5</v>
      </c>
      <c r="B118" s="17" t="s">
        <v>615</v>
      </c>
      <c r="C118" s="17" t="s">
        <v>974</v>
      </c>
      <c r="D118" s="17" t="str">
        <f ca="1">IFERROR(__xludf.DUMMYFUNCTION("GOOGLETRANSLATE(C118,""ES"",""EN"")"),"Benefits \ Intervention \ Higher Tariff benefits for the hospital")</f>
        <v>Benefits \ Intervention \ Higher Tariff benefits for the hospital</v>
      </c>
      <c r="E118" s="17" t="s">
        <v>976</v>
      </c>
      <c r="F118" s="17" t="str">
        <f ca="1">IFERROR(__xludf.DUMMYFUNCTION("GOOGLETRANSLATE(E118,""ES"",""EN"")"),"That is, the hospital interests him in quotes. From the economic one is paid more, for example, an in -hospital clinical intervention of a psychiatrist at the expense of a visit that the same psychiatrist can do or develop.")</f>
        <v>That is, the hospital interests him in quotes. From the economic one is paid more, for example, an in -hospital clinical intervention of a psychiatrist at the expense of a visit that the same psychiatrist can do or develop.</v>
      </c>
      <c r="G118" s="18">
        <v>240</v>
      </c>
      <c r="H118" s="19">
        <v>0.89632506722437999</v>
      </c>
      <c r="I118" s="17" t="s">
        <v>847</v>
      </c>
      <c r="J118" s="17" t="str">
        <f ca="1">IFERROR(__xludf.DUMMYFUNCTION("GOOGLETRANSLATE(I118,""ES"",""EN"")"),"Payment associated with a benefit basket")</f>
        <v>Payment associated with a benefit basket</v>
      </c>
      <c r="K118" s="1"/>
      <c r="L118" s="1"/>
      <c r="M118" s="1"/>
      <c r="N118" s="1"/>
      <c r="O118" s="1"/>
      <c r="P118" s="1"/>
      <c r="Q118" s="1"/>
      <c r="R118" s="1"/>
      <c r="S118" s="1"/>
      <c r="T118" s="1"/>
      <c r="U118" s="1"/>
      <c r="V118" s="1"/>
      <c r="W118" s="1"/>
      <c r="X118" s="1"/>
      <c r="Y118" s="1"/>
    </row>
    <row r="119" spans="1:25" ht="15.75" customHeight="1" x14ac:dyDescent="0.25">
      <c r="A119" s="11" t="s">
        <v>5</v>
      </c>
      <c r="B119" s="17" t="s">
        <v>615</v>
      </c>
      <c r="C119" s="17" t="s">
        <v>974</v>
      </c>
      <c r="D119" s="17" t="str">
        <f ca="1">IFERROR(__xludf.DUMMYFUNCTION("GOOGLETRANSLATE(C119,""ES"",""EN"")"),"Benefits \ Intervention \ Higher Tariff benefits for the hospital")</f>
        <v>Benefits \ Intervention \ Higher Tariff benefits for the hospital</v>
      </c>
      <c r="E119" s="17" t="s">
        <v>977</v>
      </c>
      <c r="F119" s="17" t="str">
        <f ca="1">IFERROR(__xludf.DUMMYFUNCTION("GOOGLETRANSLATE(E119,""ES"",""EN"")"),"But it is like one thing, a very big difference between paying a visit of 10 thousand pesos and paying the intervention of 80, for example. Already that will always go at an excess, because unfortunately you know him. You know that in terms of mental heal"&amp;"th interventions they are not so remunerated, so to speak, or it does not reach us so much, so many funds or even since ignorance we do not know how many could really come.")</f>
        <v>But it is like one thing, a very big difference between paying a visit of 10 thousand pesos and paying the intervention of 80, for example. Already that will always go at an excess, because unfortunately you know him. You know that in terms of mental health interventions they are not so remunerated, so to speak, or it does not reach us so much, so many funds or even since ignorance we do not know how many could really come.</v>
      </c>
      <c r="G119" s="18">
        <v>437</v>
      </c>
      <c r="H119" s="19">
        <v>1.632058559904392</v>
      </c>
      <c r="I119" s="17" t="s">
        <v>847</v>
      </c>
      <c r="J119" s="17" t="str">
        <f ca="1">IFERROR(__xludf.DUMMYFUNCTION("GOOGLETRANSLATE(I119,""ES"",""EN"")"),"Payment associated with a benefit basket")</f>
        <v>Payment associated with a benefit basket</v>
      </c>
      <c r="K119" s="1"/>
      <c r="L119" s="1"/>
      <c r="M119" s="1"/>
      <c r="N119" s="1"/>
      <c r="O119" s="1"/>
      <c r="P119" s="1"/>
      <c r="Q119" s="1"/>
      <c r="R119" s="1"/>
      <c r="S119" s="1"/>
      <c r="T119" s="1"/>
      <c r="U119" s="1"/>
      <c r="V119" s="1"/>
      <c r="W119" s="1"/>
      <c r="X119" s="1"/>
      <c r="Y119" s="1"/>
    </row>
    <row r="120" spans="1:25" ht="15.75" customHeight="1" x14ac:dyDescent="0.25">
      <c r="A120" s="6" t="s">
        <v>5</v>
      </c>
      <c r="B120" s="17" t="s">
        <v>615</v>
      </c>
      <c r="C120" s="17" t="s">
        <v>978</v>
      </c>
      <c r="D120" s="17" t="str">
        <f ca="1">IFERROR(__xludf.DUMMYFUNCTION("GOOGLETRANSLATE(C120,""ES"",""EN"")"),"Financing \ Intervention \ Payment Mechanism is unknown")</f>
        <v>Financing \ Intervention \ Payment Mechanism is unknown</v>
      </c>
      <c r="E120" s="17" t="s">
        <v>979</v>
      </c>
      <c r="F120" s="17" t="str">
        <f ca="1">IFERROR(__xludf.DUMMYFUNCTION("GOOGLETRANSLATE(E120,""ES"",""EN"")"),"For example, I could not tell you today look, I have 400 patients to say something and for these patients I take an amount, let's say my cash flow is not the fourth million, 260 million annually. I can't point it out because I don't really know how you ar"&amp;"e paying today.")</f>
        <v>For example, I could not tell you today look, I have 400 patients to say something and for these patients I take an amount, let's say my cash flow is not the fourth million, 260 million annually. I can't point it out because I don't really know how you are paying today.</v>
      </c>
      <c r="G120" s="18">
        <v>287</v>
      </c>
      <c r="H120" s="19">
        <v>1.0718553928891543</v>
      </c>
      <c r="I120" s="17" t="s">
        <v>980</v>
      </c>
      <c r="J120" s="17" t="str">
        <f ca="1">IFERROR(__xludf.DUMMYFUNCTION("GOOGLETRANSLATE(I120,""ES"",""EN"")"),"The payment mechanism is unknown.")</f>
        <v>The payment mechanism is unknown.</v>
      </c>
      <c r="K120" s="1"/>
      <c r="L120" s="1"/>
      <c r="M120" s="1"/>
      <c r="N120" s="1"/>
      <c r="O120" s="1"/>
      <c r="P120" s="1"/>
      <c r="Q120" s="1"/>
      <c r="R120" s="1"/>
      <c r="S120" s="1"/>
      <c r="T120" s="1"/>
      <c r="U120" s="1"/>
      <c r="V120" s="1"/>
      <c r="W120" s="1"/>
      <c r="X120" s="1"/>
      <c r="Y120" s="1"/>
    </row>
    <row r="121" spans="1:25" ht="15.75" customHeight="1" x14ac:dyDescent="0.25">
      <c r="A121" s="6" t="s">
        <v>5</v>
      </c>
      <c r="B121" s="17" t="s">
        <v>615</v>
      </c>
      <c r="C121" s="17" t="s">
        <v>827</v>
      </c>
      <c r="D121" s="17" t="str">
        <f ca="1">IFERROR(__xludf.DUMMYFUNCTION("GOOGLETRANSLATE(C121,""ES"",""EN"")"),"FINANCING \ INTERVENTION \ CONVENTIONS WITH INTERSECTOR \ NATIONAL DRUG SERVICE SENDA")</f>
        <v>FINANCING \ INTERVENTION \ CONVENTIONS WITH INTERSECTOR \ NATIONAL DRUG SERVICE SENDA</v>
      </c>
      <c r="E121" s="17" t="s">
        <v>981</v>
      </c>
      <c r="F121" s="17" t="str">
        <f ca="1">IFERROR(__xludf.DUMMYFUNCTION("GOOGLETRANSLATE(E121,""ES"",""EN"")"),"The only thing that I have clearer within the resources that enter, of what we do is through the SENDA agreement, which in the most basic. I know how much I pay me through the agreements I have.")</f>
        <v>The only thing that I have clearer within the resources that enter, of what we do is through the SENDA agreement, which in the most basic. I know how much I pay me through the agreements I have.</v>
      </c>
      <c r="G121" s="18">
        <v>210</v>
      </c>
      <c r="H121" s="19">
        <v>0.78428443382133251</v>
      </c>
      <c r="I121" s="17" t="s">
        <v>829</v>
      </c>
      <c r="J121" s="17" t="str">
        <f ca="1">IFERROR(__xludf.DUMMYFUNCTION("GOOGLETRANSLATE(I121,""ES"",""EN"")"),"Agreements with government organizations of the intersector")</f>
        <v>Agreements with government organizations of the intersector</v>
      </c>
      <c r="K121" s="1"/>
      <c r="L121" s="1"/>
      <c r="M121" s="1"/>
      <c r="N121" s="1"/>
      <c r="O121" s="1"/>
      <c r="P121" s="1"/>
      <c r="Q121" s="1"/>
      <c r="R121" s="1"/>
      <c r="S121" s="1"/>
      <c r="T121" s="1"/>
      <c r="U121" s="1"/>
      <c r="V121" s="1"/>
      <c r="W121" s="1"/>
      <c r="X121" s="1"/>
      <c r="Y121" s="1"/>
    </row>
    <row r="122" spans="1:25" ht="15.75" customHeight="1" x14ac:dyDescent="0.25">
      <c r="A122" s="6" t="s">
        <v>5</v>
      </c>
      <c r="B122" s="17" t="s">
        <v>615</v>
      </c>
      <c r="C122" s="17" t="s">
        <v>978</v>
      </c>
      <c r="D122" s="17" t="str">
        <f ca="1">IFERROR(__xludf.DUMMYFUNCTION("GOOGLETRANSLATE(C122,""ES"",""EN"")"),"Financing \ Intervention \ Payment Mechanism is unknown")</f>
        <v>Financing \ Intervention \ Payment Mechanism is unknown</v>
      </c>
      <c r="E122" s="17" t="s">
        <v>982</v>
      </c>
      <c r="F122" s="17" t="str">
        <f ca="1">IFERROR(__xludf.DUMMYFUNCTION("GOOGLETRANSLATE(E122,""ES"",""EN"")"),"The rest, let's say, fall into a large bag that is mental health and it is distributed.")</f>
        <v>The rest, let's say, fall into a large bag that is mental health and it is distributed.</v>
      </c>
      <c r="G122" s="18">
        <v>84</v>
      </c>
      <c r="H122" s="19">
        <v>0.31371377352853297</v>
      </c>
      <c r="I122" s="17" t="s">
        <v>980</v>
      </c>
      <c r="J122" s="17" t="str">
        <f ca="1">IFERROR(__xludf.DUMMYFUNCTION("GOOGLETRANSLATE(I122,""ES"",""EN"")"),"The payment mechanism is unknown.")</f>
        <v>The payment mechanism is unknown.</v>
      </c>
      <c r="K122" s="1"/>
      <c r="L122" s="1"/>
      <c r="M122" s="1"/>
      <c r="N122" s="1"/>
      <c r="O122" s="1"/>
      <c r="P122" s="1"/>
      <c r="Q122" s="1"/>
      <c r="R122" s="1"/>
      <c r="S122" s="1"/>
      <c r="T122" s="1"/>
      <c r="U122" s="1"/>
      <c r="V122" s="1"/>
      <c r="W122" s="1"/>
      <c r="X122" s="1"/>
      <c r="Y122" s="1"/>
    </row>
    <row r="123" spans="1:25" ht="15.75" customHeight="1" x14ac:dyDescent="0.25">
      <c r="A123" s="6" t="s">
        <v>5</v>
      </c>
      <c r="B123" s="17" t="s">
        <v>615</v>
      </c>
      <c r="C123" s="17" t="s">
        <v>827</v>
      </c>
      <c r="D123" s="17" t="str">
        <f ca="1">IFERROR(__xludf.DUMMYFUNCTION("GOOGLETRANSLATE(C123,""ES"",""EN"")"),"FINANCING \ INTERVENTION \ CONVENTIONS WITH INTERSECTOR \ NATIONAL DRUG SERVICE SENDA")</f>
        <v>FINANCING \ INTERVENTION \ CONVENTIONS WITH INTERSECTOR \ NATIONAL DRUG SERVICE SENDA</v>
      </c>
      <c r="E123" s="17" t="s">
        <v>983</v>
      </c>
      <c r="F123" s="17" t="str">
        <f ca="1">IFERROR(__xludf.DUMMYFUNCTION("GOOGLETRANSLATE(E123,""ES"",""EN"")"),"They [path] maintain that logic very, very similar to PPV. We already have a basic and intensive intervention agreement that is done with patients with drug consumption and dependence. Then a basic plan has activities associated with this that minimum fou"&amp;"r monthly interventions, a minimum intensive plan 10. I am talking to you all the economic, no, not the quality of care. Minimum ten monthly interventions and that's why they pay you an amount, let's say, money.")</f>
        <v>They [path] maintain that logic very, very similar to PPV. We already have a basic and intensive intervention agreement that is done with patients with drug consumption and dependence. Then a basic plan has activities associated with this that minimum four monthly interventions, a minimum intensive plan 10. I am talking to you all the economic, no, not the quality of care. Minimum ten monthly interventions and that's why they pay you an amount, let's say, money.</v>
      </c>
      <c r="G123" s="18">
        <v>485</v>
      </c>
      <c r="H123" s="19">
        <v>1.8113235733492681</v>
      </c>
      <c r="I123" s="17" t="s">
        <v>829</v>
      </c>
      <c r="J123" s="17" t="str">
        <f ca="1">IFERROR(__xludf.DUMMYFUNCTION("GOOGLETRANSLATE(I123,""ES"",""EN"")"),"Agreements with government organizations of the intersector")</f>
        <v>Agreements with government organizations of the intersector</v>
      </c>
      <c r="K123" s="1"/>
      <c r="L123" s="1"/>
      <c r="M123" s="1"/>
      <c r="N123" s="1"/>
      <c r="O123" s="1"/>
      <c r="P123" s="1"/>
      <c r="Q123" s="1"/>
      <c r="R123" s="1"/>
      <c r="S123" s="1"/>
      <c r="T123" s="1"/>
      <c r="U123" s="1"/>
      <c r="V123" s="1"/>
      <c r="W123" s="1"/>
      <c r="X123" s="1"/>
      <c r="Y123" s="1"/>
    </row>
    <row r="124" spans="1:25" ht="15.75" customHeight="1" x14ac:dyDescent="0.25">
      <c r="A124" s="12" t="s">
        <v>5</v>
      </c>
      <c r="B124" s="17" t="s">
        <v>615</v>
      </c>
      <c r="C124" s="20" t="s">
        <v>984</v>
      </c>
      <c r="D124" s="17" t="str">
        <f ca="1">IFERROR(__xludf.DUMMYFUNCTION("GOOGLETRANSLATE(C124,""ES"",""EN"")"),"Governance \ intervention \ lack of politics on benefits to finance")</f>
        <v>Governance \ intervention \ lack of politics on benefits to finance</v>
      </c>
      <c r="E124" s="17" t="s">
        <v>985</v>
      </c>
      <c r="F124" s="17" t="str">
        <f ca="1">IFERROR(__xludf.DUMMYFUNCTION("GOOGLETRANSLATE(E124,""ES"",""EN"")"),"Then, in that minute, of course, the idea of ​​having a management model that incorporated an entire economic issue was very beautiful. Let's say that will support what one has to do in mental health. But seven years have passed and we haven't seen yet, a"&amp;"t least I speak to you. Maybe maybe at the national level there have been other advances, but we have been almost almost in them. Both one has the same funds, with the same administration")</f>
        <v>Then, in that minute, of course, the idea of ​​having a management model that incorporated an entire economic issue was very beautiful. Let's say that will support what one has to do in mental health. But seven years have passed and we haven't seen yet, at least I speak to you. Maybe maybe at the national level there have been other advances, but we have been almost almost in them. Both one has the same funds, with the same administration</v>
      </c>
      <c r="G124" s="18">
        <v>473</v>
      </c>
      <c r="H124" s="19">
        <v>1.766507319988049</v>
      </c>
      <c r="I124" s="17" t="s">
        <v>837</v>
      </c>
      <c r="J124" s="17" t="str">
        <f ca="1">IFERROR(__xludf.DUMMYFUNCTION("GOOGLETRANSLATE(I124,""ES"",""EN"")"),"Confusing, intervening or mediators of the payment mechanism")</f>
        <v>Confusing, intervening or mediators of the payment mechanism</v>
      </c>
      <c r="K124" s="1"/>
      <c r="L124" s="1"/>
      <c r="M124" s="1"/>
      <c r="N124" s="1"/>
      <c r="O124" s="1"/>
      <c r="P124" s="1"/>
      <c r="Q124" s="1"/>
      <c r="R124" s="1"/>
      <c r="S124" s="1"/>
      <c r="T124" s="1"/>
      <c r="U124" s="1"/>
      <c r="V124" s="1"/>
      <c r="W124" s="1"/>
      <c r="X124" s="1"/>
      <c r="Y124" s="1"/>
    </row>
    <row r="125" spans="1:25" ht="15.75" customHeight="1" x14ac:dyDescent="0.25">
      <c r="A125" s="11" t="s">
        <v>5</v>
      </c>
      <c r="B125" s="17" t="s">
        <v>615</v>
      </c>
      <c r="C125" s="17" t="s">
        <v>845</v>
      </c>
      <c r="D125" s="17" t="str">
        <f ca="1">IFERROR(__xludf.DUMMYFUNCTION("GOOGLETRANSLATE(C125,""ES"",""EN"")"),"Benefits \ intervention \ benefits not valued by fonasa")</f>
        <v>Benefits \ intervention \ benefits not valued by fonasa</v>
      </c>
      <c r="E125" s="17" t="s">
        <v>986</v>
      </c>
      <c r="F125" s="17" t="str">
        <f ca="1">IFERROR(__xludf.DUMMYFUNCTION("GOOGLETRANSLATE(E125,""ES"",""EN"")"),"With what is paid for mental health is very low. Because if I think like that, I today, with the amount of activities that I have community solved with the payment they make to me, I could not exist. So I exist because it gives me a floor, a ship that is "&amp;"a regional hospital. But what Fonasa pays me would not perhaps.")</f>
        <v>With what is paid for mental health is very low. Because if I think like that, I today, with the amount of activities that I have community solved with the payment they make to me, I could not exist. So I exist because it gives me a floor, a ship that is a regional hospital. But what Fonasa pays me would not perhaps.</v>
      </c>
      <c r="G125" s="18">
        <v>340</v>
      </c>
      <c r="H125" s="19">
        <v>1.2697938452345383</v>
      </c>
      <c r="I125" s="17" t="s">
        <v>847</v>
      </c>
      <c r="J125" s="17" t="str">
        <f ca="1">IFERROR(__xludf.DUMMYFUNCTION("GOOGLETRANSLATE(I125,""ES"",""EN"")"),"Payment associated with a benefit basket")</f>
        <v>Payment associated with a benefit basket</v>
      </c>
      <c r="K125" s="1"/>
      <c r="L125" s="1"/>
      <c r="M125" s="1"/>
      <c r="N125" s="1"/>
      <c r="O125" s="1"/>
      <c r="P125" s="1"/>
      <c r="Q125" s="1"/>
      <c r="R125" s="1"/>
      <c r="S125" s="1"/>
      <c r="T125" s="1"/>
      <c r="U125" s="1"/>
      <c r="V125" s="1"/>
      <c r="W125" s="1"/>
      <c r="X125" s="1"/>
      <c r="Y125" s="1"/>
    </row>
    <row r="126" spans="1:25" ht="15.75" customHeight="1" x14ac:dyDescent="0.25">
      <c r="A126" s="11" t="s">
        <v>5</v>
      </c>
      <c r="B126" s="17" t="s">
        <v>615</v>
      </c>
      <c r="C126" s="17" t="s">
        <v>974</v>
      </c>
      <c r="D126" s="17" t="str">
        <f ca="1">IFERROR(__xludf.DUMMYFUNCTION("GOOGLETRANSLATE(C126,""ES"",""EN"")"),"Benefits \ Intervention \ Higher Tariff benefits for the hospital")</f>
        <v>Benefits \ Intervention \ Higher Tariff benefits for the hospital</v>
      </c>
      <c r="E126" s="17" t="s">
        <v>987</v>
      </c>
      <c r="F126" s="17" t="str">
        <f ca="1">IFERROR(__xludf.DUMMYFUNCTION("GOOGLETRANSLATE(E126,""ES"",""EN"")"),"But that has to do with the conceptualization of what in some way, at the central level Ministry of Health allocates to what is health. That is, we are talking that an operation of course will cost much more. Fonasa is going to pay for hospital interventi"&amp;"on much more, because it has to do with a series of other things, but what is mental health intervention is very undervalued.")</f>
        <v>But that has to do with the conceptualization of what in some way, at the central level Ministry of Health allocates to what is health. That is, we are talking that an operation of course will cost much more. Fonasa is going to pay for hospital intervention much more, because it has to do with a series of other things, but what is mental health intervention is very undervalued.</v>
      </c>
      <c r="G126" s="18">
        <v>413</v>
      </c>
      <c r="H126" s="19">
        <v>1.542426053181954</v>
      </c>
      <c r="I126" s="17" t="s">
        <v>847</v>
      </c>
      <c r="J126" s="17" t="str">
        <f ca="1">IFERROR(__xludf.DUMMYFUNCTION("GOOGLETRANSLATE(I126,""ES"",""EN"")"),"Payment associated with a benefit basket")</f>
        <v>Payment associated with a benefit basket</v>
      </c>
      <c r="K126" s="1"/>
      <c r="L126" s="1"/>
      <c r="M126" s="1"/>
      <c r="N126" s="1"/>
      <c r="O126" s="1"/>
      <c r="P126" s="1"/>
      <c r="Q126" s="1"/>
      <c r="R126" s="1"/>
      <c r="S126" s="1"/>
      <c r="T126" s="1"/>
      <c r="U126" s="1"/>
      <c r="V126" s="1"/>
      <c r="W126" s="1"/>
      <c r="X126" s="1"/>
      <c r="Y126" s="1"/>
    </row>
    <row r="127" spans="1:25" ht="15.75" customHeight="1" x14ac:dyDescent="0.25">
      <c r="A127" s="7" t="s">
        <v>5</v>
      </c>
      <c r="B127" s="17" t="s">
        <v>615</v>
      </c>
      <c r="C127" s="20" t="s">
        <v>835</v>
      </c>
      <c r="D127" s="17" t="str">
        <f ca="1">IFERROR(__xludf.DUMMYFUNCTION("GOOGLETRANSLATE(C127,""ES"",""EN"")"),"Users \ intervention \ affiliated with public insurance")</f>
        <v>Users \ intervention \ affiliated with public insurance</v>
      </c>
      <c r="E127" s="17" t="s">
        <v>988</v>
      </c>
      <c r="F127" s="17" t="str">
        <f ca="1">IFERROR(__xludf.DUMMYFUNCTION("GOOGLETRANSLATE(E127,""ES"",""EN"")"),"The Senda agreement, which is only for the possibility of being fonasa, has the gratuity of attention")</f>
        <v>The Senda agreement, which is only for the possibility of being fonasa, has the gratuity of attention</v>
      </c>
      <c r="G127" s="18">
        <v>103</v>
      </c>
      <c r="H127" s="19">
        <v>0.38467284135046309</v>
      </c>
      <c r="I127" s="17" t="s">
        <v>837</v>
      </c>
      <c r="J127" s="17" t="str">
        <f ca="1">IFERROR(__xludf.DUMMYFUNCTION("GOOGLETRANSLATE(I127,""ES"",""EN"")"),"Confusing, intervening or mediators of the payment mechanism")</f>
        <v>Confusing, intervening or mediators of the payment mechanism</v>
      </c>
      <c r="K127" s="1"/>
      <c r="L127" s="1"/>
      <c r="M127" s="1"/>
      <c r="N127" s="1"/>
      <c r="O127" s="1"/>
      <c r="P127" s="1"/>
      <c r="Q127" s="1"/>
      <c r="R127" s="1"/>
      <c r="S127" s="1"/>
      <c r="T127" s="1"/>
      <c r="U127" s="1"/>
      <c r="V127" s="1"/>
      <c r="W127" s="1"/>
      <c r="X127" s="1"/>
      <c r="Y127" s="1"/>
    </row>
    <row r="128" spans="1:25" ht="15.75" customHeight="1" x14ac:dyDescent="0.25">
      <c r="A128" s="7" t="s">
        <v>5</v>
      </c>
      <c r="B128" s="17" t="s">
        <v>615</v>
      </c>
      <c r="C128" s="20" t="s">
        <v>835</v>
      </c>
      <c r="D128" s="17" t="str">
        <f ca="1">IFERROR(__xludf.DUMMYFUNCTION("GOOGLETRANSLATE(C128,""ES"",""EN"")"),"Users \ intervention \ affiliated with public insurance")</f>
        <v>Users \ intervention \ affiliated with public insurance</v>
      </c>
      <c r="E128" s="17" t="s">
        <v>989</v>
      </c>
      <c r="F128" s="17" t="str">
        <f ca="1">IFERROR(__xludf.DUMMYFUNCTION("GOOGLETRANSLATE(E128,""ES"",""EN"")"),"Objectively I tell you our patients, they do not pay anything, they do not have this issue because they are generally section A and B.")</f>
        <v>Objectively I tell you our patients, they do not pay anything, they do not have this issue because they are generally section A and B.</v>
      </c>
      <c r="G128" s="18">
        <v>115</v>
      </c>
      <c r="H128" s="19">
        <v>0.42948909471168206</v>
      </c>
      <c r="I128" s="17" t="s">
        <v>837</v>
      </c>
      <c r="J128" s="17" t="str">
        <f ca="1">IFERROR(__xludf.DUMMYFUNCTION("GOOGLETRANSLATE(I128,""ES"",""EN"")"),"Confusing, intervening or mediators of the payment mechanism")</f>
        <v>Confusing, intervening or mediators of the payment mechanism</v>
      </c>
      <c r="K128" s="1"/>
      <c r="L128" s="1"/>
      <c r="M128" s="1"/>
      <c r="N128" s="1"/>
      <c r="O128" s="1"/>
      <c r="P128" s="1"/>
      <c r="Q128" s="1"/>
      <c r="R128" s="1"/>
      <c r="S128" s="1"/>
      <c r="T128" s="1"/>
      <c r="U128" s="1"/>
      <c r="V128" s="1"/>
      <c r="W128" s="1"/>
      <c r="X128" s="1"/>
      <c r="Y128" s="1"/>
    </row>
    <row r="129" spans="1:25" ht="15.75" customHeight="1" x14ac:dyDescent="0.25">
      <c r="A129" s="12" t="s">
        <v>5</v>
      </c>
      <c r="B129" s="17" t="s">
        <v>615</v>
      </c>
      <c r="C129" s="20" t="s">
        <v>984</v>
      </c>
      <c r="D129" s="17" t="str">
        <f ca="1">IFERROR(__xludf.DUMMYFUNCTION("GOOGLETRANSLATE(C129,""ES"",""EN"")"),"Governance \ intervention \ lack of politics on benefits to finance")</f>
        <v>Governance \ intervention \ lack of politics on benefits to finance</v>
      </c>
      <c r="E129" s="17" t="s">
        <v>990</v>
      </c>
      <c r="F129" s="17" t="str">
        <f ca="1">IFERROR(__xludf.DUMMYFUNCTION("GOOGLETRANSLATE(E129,""ES"",""EN"")"),"It may be that I think that is missing the model [defining the payment mechanism]. Define well and define in terms as I told you, give it the importance of mental health in economic terms")</f>
        <v>It may be that I think that is missing the model [defining the payment mechanism]. Define well and define in terms as I told you, give it the importance of mental health in economic terms</v>
      </c>
      <c r="G129" s="18">
        <v>205</v>
      </c>
      <c r="H129" s="19">
        <v>0.76561099492082463</v>
      </c>
      <c r="I129" s="17" t="s">
        <v>837</v>
      </c>
      <c r="J129" s="17" t="str">
        <f ca="1">IFERROR(__xludf.DUMMYFUNCTION("GOOGLETRANSLATE(I129,""ES"",""EN"")"),"Confusing, intervening or mediators of the payment mechanism")</f>
        <v>Confusing, intervening or mediators of the payment mechanism</v>
      </c>
      <c r="K129" s="1"/>
      <c r="L129" s="1"/>
      <c r="M129" s="1"/>
      <c r="N129" s="1"/>
      <c r="O129" s="1"/>
      <c r="P129" s="1"/>
      <c r="Q129" s="1"/>
      <c r="R129" s="1"/>
      <c r="S129" s="1"/>
      <c r="T129" s="1"/>
      <c r="U129" s="1"/>
      <c r="V129" s="1"/>
      <c r="W129" s="1"/>
      <c r="X129" s="1"/>
      <c r="Y129" s="1"/>
    </row>
    <row r="130" spans="1:25" ht="15.75" customHeight="1" x14ac:dyDescent="0.25">
      <c r="A130" s="6" t="s">
        <v>5</v>
      </c>
      <c r="B130" s="17" t="s">
        <v>655</v>
      </c>
      <c r="C130" s="17" t="s">
        <v>862</v>
      </c>
      <c r="D130" s="17" t="str">
        <f ca="1">IFERROR(__xludf.DUMMYFUNCTION("GOOGLETRANSLATE(C130,""ES"",""EN"")"),"Financing \ intervention \ by baskets in some diagnoses")</f>
        <v>Financing \ intervention \ by baskets in some diagnoses</v>
      </c>
      <c r="E130" s="17" t="s">
        <v>991</v>
      </c>
      <c r="F130" s="17" t="str">
        <f ca="1">IFERROR(__xludf.DUMMYFUNCTION("GOOGLETRANSLATE(E130,""ES"",""EN"")"),"The incentives have been placed on the symptomatology expressed in giving a series of coverage of a pseudo basket that is understood from the point of view of how financial clinical preparation, which must not be able to not patent in any way to generate "&amp;"certain indices of Quality coverage. Of specificity. But that they have been very reductionist exercises regarding what has been understood as the need for the target population")</f>
        <v>The incentives have been placed on the symptomatology expressed in giving a series of coverage of a pseudo basket that is understood from the point of view of how financial clinical preparation, which must not be able to not patent in any way to generate certain indices of Quality coverage. Of specificity. But that they have been very reductionist exercises regarding what has been understood as the need for the target population</v>
      </c>
      <c r="G130" s="18">
        <v>467</v>
      </c>
      <c r="H130" s="19">
        <v>0.57618753855644667</v>
      </c>
      <c r="I130" s="17" t="s">
        <v>847</v>
      </c>
      <c r="J130" s="17" t="str">
        <f ca="1">IFERROR(__xludf.DUMMYFUNCTION("GOOGLETRANSLATE(I130,""ES"",""EN"")"),"Payment associated with a benefit basket")</f>
        <v>Payment associated with a benefit basket</v>
      </c>
      <c r="K130" s="1"/>
      <c r="L130" s="1"/>
      <c r="M130" s="1"/>
      <c r="N130" s="1"/>
      <c r="O130" s="1"/>
      <c r="P130" s="1"/>
      <c r="Q130" s="1"/>
      <c r="R130" s="1"/>
      <c r="S130" s="1"/>
      <c r="T130" s="1"/>
      <c r="U130" s="1"/>
      <c r="V130" s="1"/>
      <c r="W130" s="1"/>
      <c r="X130" s="1"/>
      <c r="Y130" s="1"/>
    </row>
    <row r="131" spans="1:25" ht="15.75" customHeight="1" x14ac:dyDescent="0.25">
      <c r="A131" s="10" t="s">
        <v>5</v>
      </c>
      <c r="B131" s="17" t="s">
        <v>655</v>
      </c>
      <c r="C131" s="17" t="s">
        <v>992</v>
      </c>
      <c r="D131" s="17" t="str">
        <f ca="1">IFERROR(__xludf.DUMMYFUNCTION("GOOGLETRANSLATE(C131,""ES"",""EN"")"),"INFORMATION \ INTERVENTION \ REGISTRATIONS OF THE ACTIONS INTROBOX")</f>
        <v>INFORMATION \ INTERVENTION \ REGISTRATIONS OF THE ACTIONS INTROBOX</v>
      </c>
      <c r="E131" s="17" t="s">
        <v>993</v>
      </c>
      <c r="F131" s="17" t="str">
        <f ca="1">IFERROR(__xludf.DUMMYFUNCTION("GOOGLETRANSLATE(E131,""ES"",""EN"")"),"We have how to register it, we have how to validate it, we have who is interested in this, because for the production of medical consultation, psychologists, etc. Inbox where all the mechanisms arranged are. But if one wants to do in fact, for example, a "&amp;"self -help group is even difficult, how to register it, as it records to sustain a community activity. But well, do you have to have certain requirements, will it be inside or outside? Where? Where? I think there are still challenges.")</f>
        <v>We have how to register it, we have how to validate it, we have who is interested in this, because for the production of medical consultation, psychologists, etc. Inbox where all the mechanisms arranged are. But if one wants to do in fact, for example, a self -help group is even difficult, how to register it, as it records to sustain a community activity. But well, do you have to have certain requirements, will it be inside or outside? Where? Where? I think there are still challenges.</v>
      </c>
      <c r="G131" s="18">
        <v>478</v>
      </c>
      <c r="H131" s="19">
        <v>0.58975940777297964</v>
      </c>
      <c r="I131" s="17" t="s">
        <v>837</v>
      </c>
      <c r="J131" s="17" t="str">
        <f ca="1">IFERROR(__xludf.DUMMYFUNCTION("GOOGLETRANSLATE(I131,""ES"",""EN"")"),"Confusing, intervening or mediators of the payment mechanism")</f>
        <v>Confusing, intervening or mediators of the payment mechanism</v>
      </c>
      <c r="K131" s="1"/>
      <c r="L131" s="1"/>
      <c r="M131" s="1"/>
      <c r="N131" s="1"/>
      <c r="O131" s="1"/>
      <c r="P131" s="1"/>
      <c r="Q131" s="1"/>
      <c r="R131" s="1"/>
      <c r="S131" s="1"/>
      <c r="T131" s="1"/>
      <c r="U131" s="1"/>
      <c r="V131" s="1"/>
      <c r="W131" s="1"/>
      <c r="X131" s="1"/>
      <c r="Y131" s="1"/>
    </row>
    <row r="132" spans="1:25" ht="15.75" customHeight="1" x14ac:dyDescent="0.25">
      <c r="A132" s="11" t="s">
        <v>5</v>
      </c>
      <c r="B132" s="17" t="s">
        <v>655</v>
      </c>
      <c r="C132" s="17" t="s">
        <v>952</v>
      </c>
      <c r="D132" s="17" t="str">
        <f ca="1">IFERROR(__xludf.DUMMYFUNCTION("GOOGLETRANSLATE(C132,""ES"",""EN"")"),"Benefits \ intervention \ benefits that fonasa pays")</f>
        <v>Benefits \ intervention \ benefits that fonasa pays</v>
      </c>
      <c r="E132" s="17" t="s">
        <v>994</v>
      </c>
      <c r="F132" s="17" t="str">
        <f ca="1">IFERROR(__xludf.DUMMYFUNCTION("GOOGLETRANSLATE(E132,""ES"",""EN"")"),"Today a mechanism that has been progressing, where we are paid for a series of tracer activities that are not all that we do")</f>
        <v>Today a mechanism that has been progressing, where we are paid for a series of tracer activities that are not all that we do</v>
      </c>
      <c r="G132" s="18">
        <v>131</v>
      </c>
      <c r="H132" s="19">
        <v>0.16162862430598396</v>
      </c>
      <c r="I132" s="17" t="s">
        <v>847</v>
      </c>
      <c r="J132" s="17" t="str">
        <f ca="1">IFERROR(__xludf.DUMMYFUNCTION("GOOGLETRANSLATE(I132,""ES"",""EN"")"),"Payment associated with a benefit basket")</f>
        <v>Payment associated with a benefit basket</v>
      </c>
      <c r="K132" s="1"/>
      <c r="L132" s="1"/>
      <c r="M132" s="1"/>
      <c r="N132" s="1"/>
      <c r="O132" s="1"/>
      <c r="P132" s="1"/>
      <c r="Q132" s="1"/>
      <c r="R132" s="1"/>
      <c r="S132" s="1"/>
      <c r="T132" s="1"/>
      <c r="U132" s="1"/>
      <c r="V132" s="1"/>
      <c r="W132" s="1"/>
      <c r="X132" s="1"/>
      <c r="Y132" s="1"/>
    </row>
    <row r="133" spans="1:25" ht="15.75" customHeight="1" x14ac:dyDescent="0.25">
      <c r="A133" s="11" t="s">
        <v>5</v>
      </c>
      <c r="B133" s="17" t="s">
        <v>655</v>
      </c>
      <c r="C133" s="17" t="s">
        <v>952</v>
      </c>
      <c r="D133" s="17" t="str">
        <f ca="1">IFERROR(__xludf.DUMMYFUNCTION("GOOGLETRANSLATE(C133,""ES"",""EN"")"),"Benefits \ intervention \ benefits that fonasa pays")</f>
        <v>Benefits \ intervention \ benefits that fonasa pays</v>
      </c>
      <c r="E133" s="17" t="s">
        <v>995</v>
      </c>
      <c r="F133" s="17" t="str">
        <f ca="1">IFERROR(__xludf.DUMMYFUNCTION("GOOGLETRANSLATE(E133,""ES"",""EN"")"),"So we have something like a minimum coverage floor, which is an achievement. Good that they pay us for certain things, but we have been in it for 15 years. So what happened? That we were stagnant, such as that a problem had not been solved that was actual"&amp;"ly beginning to understand.")</f>
        <v>So we have something like a minimum coverage floor, which is an achievement. Good that they pay us for certain things, but we have been in it for 15 years. So what happened? That we were stagnant, such as that a problem had not been solved that was actually beginning to understand.</v>
      </c>
      <c r="G133" s="18">
        <v>304</v>
      </c>
      <c r="H133" s="19">
        <v>0.37507711289327578</v>
      </c>
      <c r="I133" s="17" t="s">
        <v>847</v>
      </c>
      <c r="J133" s="17" t="str">
        <f ca="1">IFERROR(__xludf.DUMMYFUNCTION("GOOGLETRANSLATE(I133,""ES"",""EN"")"),"Payment associated with a benefit basket")</f>
        <v>Payment associated with a benefit basket</v>
      </c>
      <c r="K133" s="1"/>
      <c r="L133" s="1"/>
      <c r="M133" s="1"/>
      <c r="N133" s="1"/>
      <c r="O133" s="1"/>
      <c r="P133" s="1"/>
      <c r="Q133" s="1"/>
      <c r="R133" s="1"/>
      <c r="S133" s="1"/>
      <c r="T133" s="1"/>
      <c r="U133" s="1"/>
      <c r="V133" s="1"/>
      <c r="W133" s="1"/>
      <c r="X133" s="1"/>
      <c r="Y133" s="1"/>
    </row>
    <row r="134" spans="1:25" ht="15.75" customHeight="1" x14ac:dyDescent="0.25">
      <c r="A134" s="10" t="s">
        <v>5</v>
      </c>
      <c r="B134" s="17" t="s">
        <v>655</v>
      </c>
      <c r="C134" s="17" t="s">
        <v>992</v>
      </c>
      <c r="D134" s="17" t="str">
        <f ca="1">IFERROR(__xludf.DUMMYFUNCTION("GOOGLETRANSLATE(C134,""ES"",""EN"")"),"INFORMATION \ INTERVENTION \ REGISTRATIONS OF THE ACTIONS INTROBOX")</f>
        <v>INFORMATION \ INTERVENTION \ REGISTRATIONS OF THE ACTIONS INTROBOX</v>
      </c>
      <c r="E134" s="17" t="s">
        <v>996</v>
      </c>
      <c r="F134" s="17" t="str">
        <f ca="1">IFERROR(__xludf.DUMMYFUNCTION("GOOGLETRANSLATE(E134,""ES"",""EN"")"),"They do not pay me for community activities, that is, in fact, the most community that exists at the record level is something like consulting, community consulting have little. It's like network work. So also as conceptually if the financier believes tha"&amp;"t he also consulting by psychiatrist, because otherwise the psychiatrist is doing the consulting either do it either.")</f>
        <v>They do not pay me for community activities, that is, in fact, the most community that exists at the record level is something like consulting, community consulting have little. It's like network work. So also as conceptually if the financier believes that he also consulting by psychiatrist, because otherwise the psychiatrist is doing the consulting either do it either.</v>
      </c>
      <c r="G134" s="18">
        <v>401</v>
      </c>
      <c r="H134" s="19">
        <v>0.49475632325724861</v>
      </c>
      <c r="I134" s="17" t="s">
        <v>837</v>
      </c>
      <c r="J134" s="17" t="str">
        <f ca="1">IFERROR(__xludf.DUMMYFUNCTION("GOOGLETRANSLATE(I134,""ES"",""EN"")"),"Confusing, intervening or mediators of the payment mechanism")</f>
        <v>Confusing, intervening or mediators of the payment mechanism</v>
      </c>
      <c r="K134" s="1"/>
      <c r="L134" s="1"/>
      <c r="M134" s="1"/>
      <c r="N134" s="1"/>
      <c r="O134" s="1"/>
      <c r="P134" s="1"/>
      <c r="Q134" s="1"/>
      <c r="R134" s="1"/>
      <c r="S134" s="1"/>
      <c r="T134" s="1"/>
      <c r="U134" s="1"/>
      <c r="V134" s="1"/>
      <c r="W134" s="1"/>
      <c r="X134" s="1"/>
      <c r="Y134" s="1"/>
    </row>
    <row r="135" spans="1:25" ht="15.75" customHeight="1" x14ac:dyDescent="0.25">
      <c r="A135" s="11" t="s">
        <v>5</v>
      </c>
      <c r="B135" s="17" t="s">
        <v>655</v>
      </c>
      <c r="C135" s="17" t="s">
        <v>845</v>
      </c>
      <c r="D135" s="17" t="str">
        <f ca="1">IFERROR(__xludf.DUMMYFUNCTION("GOOGLETRANSLATE(C135,""ES"",""EN"")"),"Benefits \ intervention \ benefits not valued by fonasa")</f>
        <v>Benefits \ intervention \ benefits not valued by fonasa</v>
      </c>
      <c r="E135" s="17" t="s">
        <v>997</v>
      </c>
      <c r="F135" s="17" t="str">
        <f ca="1">IFERROR(__xludf.DUMMYFUNCTION("GOOGLETRANSLATE(E135,""ES"",""EN"")"),"So what resource do we also have to do as a socio -community or work partner?")</f>
        <v>So what resource do we also have to do as a socio -community or work partner?</v>
      </c>
      <c r="G135" s="18">
        <v>100</v>
      </c>
      <c r="H135" s="19">
        <v>0.12338062924120913</v>
      </c>
      <c r="I135" s="17" t="s">
        <v>847</v>
      </c>
      <c r="J135" s="17" t="str">
        <f ca="1">IFERROR(__xludf.DUMMYFUNCTION("GOOGLETRANSLATE(I135,""ES"",""EN"")"),"Payment associated with a benefit basket")</f>
        <v>Payment associated with a benefit basket</v>
      </c>
      <c r="K135" s="1"/>
      <c r="L135" s="1"/>
      <c r="M135" s="1"/>
      <c r="N135" s="1"/>
      <c r="O135" s="1"/>
      <c r="P135" s="1"/>
      <c r="Q135" s="1"/>
      <c r="R135" s="1"/>
      <c r="S135" s="1"/>
      <c r="T135" s="1"/>
      <c r="U135" s="1"/>
      <c r="V135" s="1"/>
      <c r="W135" s="1"/>
      <c r="X135" s="1"/>
      <c r="Y135" s="1"/>
    </row>
    <row r="136" spans="1:25" ht="15.75" customHeight="1" x14ac:dyDescent="0.25">
      <c r="A136" s="11" t="s">
        <v>5</v>
      </c>
      <c r="B136" s="17" t="s">
        <v>655</v>
      </c>
      <c r="C136" s="17" t="s">
        <v>845</v>
      </c>
      <c r="D136" s="17" t="str">
        <f ca="1">IFERROR(__xludf.DUMMYFUNCTION("GOOGLETRANSLATE(C136,""ES"",""EN"")"),"Benefits \ intervention \ benefits not valued by fonasa")</f>
        <v>Benefits \ intervention \ benefits not valued by fonasa</v>
      </c>
      <c r="E136" s="17" t="s">
        <v>998</v>
      </c>
      <c r="F136" s="17" t="str">
        <f ca="1">IFERROR(__xludf.DUMMYFUNCTION("GOOGLETRANSLATE(E136,""ES"",""EN"")"),"We are not financed by clinical meetings. That seems like crazy, that there are no clinical, debate, dissent spaces spaces.")</f>
        <v>We are not financed by clinical meetings. That seems like crazy, that there are no clinical, debate, dissent spaces spaces.</v>
      </c>
      <c r="G136" s="18">
        <v>127</v>
      </c>
      <c r="H136" s="19">
        <v>0.15669339913633559</v>
      </c>
      <c r="I136" s="17" t="s">
        <v>847</v>
      </c>
      <c r="J136" s="17" t="str">
        <f ca="1">IFERROR(__xludf.DUMMYFUNCTION("GOOGLETRANSLATE(I136,""ES"",""EN"")"),"Payment associated with a benefit basket")</f>
        <v>Payment associated with a benefit basket</v>
      </c>
      <c r="K136" s="1"/>
      <c r="L136" s="1"/>
      <c r="M136" s="1"/>
      <c r="N136" s="1"/>
      <c r="O136" s="1"/>
      <c r="P136" s="1"/>
      <c r="Q136" s="1"/>
      <c r="R136" s="1"/>
      <c r="S136" s="1"/>
      <c r="T136" s="1"/>
      <c r="U136" s="1"/>
      <c r="V136" s="1"/>
      <c r="W136" s="1"/>
      <c r="X136" s="1"/>
      <c r="Y136" s="1"/>
    </row>
    <row r="137" spans="1:25" ht="15.75" customHeight="1" x14ac:dyDescent="0.25">
      <c r="A137" s="11" t="s">
        <v>5</v>
      </c>
      <c r="B137" s="17" t="s">
        <v>655</v>
      </c>
      <c r="C137" s="17" t="s">
        <v>845</v>
      </c>
      <c r="D137" s="17" t="str">
        <f ca="1">IFERROR(__xludf.DUMMYFUNCTION("GOOGLETRANSLATE(C137,""ES"",""EN"")"),"Benefits \ intervention \ benefits not valued by fonasa")</f>
        <v>Benefits \ intervention \ benefits not valued by fonasa</v>
      </c>
      <c r="E137" s="17" t="s">
        <v>999</v>
      </c>
      <c r="F137" s="17" t="str">
        <f ca="1">IFERROR(__xludf.DUMMYFUNCTION("GOOGLETRANSLATE(E137,""ES"",""EN"")"),"The incentive will join someone other than your sector, your network, your derivation map. There are none and in fact there is pure obstacle. They do not pay them, I do not know how to register it, it does not have any clinical value as demonstrable to ot"&amp;"hers and for one actually where. More can advance and build.")</f>
        <v>The incentive will join someone other than your sector, your network, your derivation map. There are none and in fact there is pure obstacle. They do not pay them, I do not know how to register it, it does not have any clinical value as demonstrable to others and for one actually where. More can advance and build.</v>
      </c>
      <c r="G137" s="18">
        <v>303</v>
      </c>
      <c r="H137" s="19">
        <v>0.37384330660086368</v>
      </c>
      <c r="I137" s="17" t="s">
        <v>847</v>
      </c>
      <c r="J137" s="17" t="str">
        <f ca="1">IFERROR(__xludf.DUMMYFUNCTION("GOOGLETRANSLATE(I137,""ES"",""EN"")"),"Payment associated with a benefit basket")</f>
        <v>Payment associated with a benefit basket</v>
      </c>
      <c r="K137" s="1"/>
      <c r="L137" s="1"/>
      <c r="M137" s="1"/>
      <c r="N137" s="1"/>
      <c r="O137" s="1"/>
      <c r="P137" s="1"/>
      <c r="Q137" s="1"/>
      <c r="R137" s="1"/>
      <c r="S137" s="1"/>
      <c r="T137" s="1"/>
      <c r="U137" s="1"/>
      <c r="V137" s="1"/>
      <c r="W137" s="1"/>
      <c r="X137" s="1"/>
      <c r="Y137" s="1"/>
    </row>
    <row r="138" spans="1:25" ht="15.75" customHeight="1" x14ac:dyDescent="0.25">
      <c r="A138" s="11" t="s">
        <v>5</v>
      </c>
      <c r="B138" s="17" t="s">
        <v>655</v>
      </c>
      <c r="C138" s="17" t="s">
        <v>845</v>
      </c>
      <c r="D138" s="17" t="str">
        <f ca="1">IFERROR(__xludf.DUMMYFUNCTION("GOOGLETRANSLATE(C138,""ES"",""EN"")"),"Benefits \ intervention \ benefits not valued by fonasa")</f>
        <v>Benefits \ intervention \ benefits not valued by fonasa</v>
      </c>
      <c r="E138" s="17" t="s">
        <v>1000</v>
      </c>
      <c r="F138" s="17" t="str">
        <f ca="1">IFERROR(__xludf.DUMMYFUNCTION("GOOGLETRANSLATE(E138,""ES"",""EN"")"),"The Mauricio Jackets is doing a workshop at the Board of Neighbors 16:16 there, wonderful. There, eight ladies and talk about the human and the divine. That is Acosta, that's Latin. There is no how to finance them and the value it has for us and for and f"&amp;"or the assistant, because we have asked it, some impact questions and surveys is enormous. No, it's not so alone. That is, I am not alone with this or I will be able to. Or think that other ways of linking, or associating, or training others are possible,"&amp;" because what we do in these workshops is like among the conversation and as showing certain techniques. It is nothing very sophisticated, rather as certain conversation guidelines that can help relieve a situation. Where they can replicate, not them, bec"&amp;"ause in general women are more organized, at least in this territory, surely life in general does not happen as of organizing and organizing among several, such as groups in this commune, the leader are All leaders.")</f>
        <v>The Mauricio Jackets is doing a workshop at the Board of Neighbors 16:16 there, wonderful. There, eight ladies and talk about the human and the divine. That is Acosta, that's Latin. There is no how to finance them and the value it has for us and for and for the assistant, because we have asked it, some impact questions and surveys is enormous. No, it's not so alone. That is, I am not alone with this or I will be able to. Or think that other ways of linking, or associating, or training others are possible, because what we do in these workshops is like among the conversation and as showing certain techniques. It is nothing very sophisticated, rather as certain conversation guidelines that can help relieve a situation. Where they can replicate, not them, because in general women are more organized, at least in this territory, surely life in general does not happen as of organizing and organizing among several, such as groups in this commune, the leader are All leaders.</v>
      </c>
      <c r="G138" s="18">
        <v>1008</v>
      </c>
      <c r="H138" s="19">
        <v>1.243676742751388</v>
      </c>
      <c r="I138" s="17" t="s">
        <v>847</v>
      </c>
      <c r="J138" s="17" t="str">
        <f ca="1">IFERROR(__xludf.DUMMYFUNCTION("GOOGLETRANSLATE(I138,""ES"",""EN"")"),"Payment associated with a benefit basket")</f>
        <v>Payment associated with a benefit basket</v>
      </c>
      <c r="K138" s="1"/>
      <c r="L138" s="1"/>
      <c r="M138" s="1"/>
      <c r="N138" s="1"/>
      <c r="O138" s="1"/>
      <c r="P138" s="1"/>
      <c r="Q138" s="1"/>
      <c r="R138" s="1"/>
      <c r="S138" s="1"/>
      <c r="T138" s="1"/>
      <c r="U138" s="1"/>
      <c r="V138" s="1"/>
      <c r="W138" s="1"/>
      <c r="X138" s="1"/>
      <c r="Y138" s="1"/>
    </row>
    <row r="139" spans="1:25" ht="15.75" customHeight="1" x14ac:dyDescent="0.25">
      <c r="A139" s="11" t="s">
        <v>5</v>
      </c>
      <c r="B139" s="17" t="s">
        <v>655</v>
      </c>
      <c r="C139" s="17" t="s">
        <v>845</v>
      </c>
      <c r="D139" s="17" t="str">
        <f ca="1">IFERROR(__xludf.DUMMYFUNCTION("GOOGLETRANSLATE(C139,""ES"",""EN"")"),"Benefits \ intervention \ benefits not valued by fonasa")</f>
        <v>Benefits \ intervention \ benefits not valued by fonasa</v>
      </c>
      <c r="E139" s="17" t="s">
        <v>1001</v>
      </c>
      <c r="F139" s="17" t="str">
        <f ca="1">IFERROR(__xludf.DUMMYFUNCTION("GOOGLETRANSLATE(E139,""ES"",""EN"")"),"Talk and see how we can help and how we can help others. An institution like this. Beyond that there is some promotional preventive, it is very little. It is very little and is absolutely outside the basket and financing. And it is where it is the route w"&amp;"here you advance. That is, if I am not able to have time and occasion to speak with non -health actors, I will not be able to advance in community mental health, mental and community health.")</f>
        <v>Talk and see how we can help and how we can help others. An institution like this. Beyond that there is some promotional preventive, it is very little. It is very little and is absolutely outside the basket and financing. And it is where it is the route where you advance. That is, if I am not able to have time and occasion to speak with non -health actors, I will not be able to advance in community mental health, mental and community health.</v>
      </c>
      <c r="G139" s="18">
        <v>468</v>
      </c>
      <c r="H139" s="19">
        <v>0.57742134484885876</v>
      </c>
      <c r="I139" s="17" t="s">
        <v>847</v>
      </c>
      <c r="J139" s="17" t="str">
        <f ca="1">IFERROR(__xludf.DUMMYFUNCTION("GOOGLETRANSLATE(I139,""ES"",""EN"")"),"Payment associated with a benefit basket")</f>
        <v>Payment associated with a benefit basket</v>
      </c>
      <c r="K139" s="1"/>
      <c r="L139" s="1"/>
      <c r="M139" s="1"/>
      <c r="N139" s="1"/>
      <c r="O139" s="1"/>
      <c r="P139" s="1"/>
      <c r="Q139" s="1"/>
      <c r="R139" s="1"/>
      <c r="S139" s="1"/>
      <c r="T139" s="1"/>
      <c r="U139" s="1"/>
      <c r="V139" s="1"/>
      <c r="W139" s="1"/>
      <c r="X139" s="1"/>
      <c r="Y139" s="1"/>
    </row>
    <row r="140" spans="1:25" ht="15.75" customHeight="1" x14ac:dyDescent="0.25">
      <c r="A140" s="6" t="s">
        <v>5</v>
      </c>
      <c r="B140" s="17" t="s">
        <v>719</v>
      </c>
      <c r="C140" s="17" t="s">
        <v>1002</v>
      </c>
      <c r="D140" s="17" t="str">
        <f ca="1">IFERROR(__xludf.DUMMYFUNCTION("GOOGLETRANSLATE(C140,""ES"",""EN"")"),"FINANCING \ INTERVENTION \ agreements with intersector \ National Service of the Minor Sename")</f>
        <v>FINANCING \ INTERVENTION \ agreements with intersector \ National Service of the Minor Sename</v>
      </c>
      <c r="E140" s="17" t="s">
        <v>1003</v>
      </c>
      <c r="F140" s="17" t="str">
        <f ca="1">IFERROR(__xludf.DUMMYFUNCTION("GOOGLETRANSLATE(E140,""ES"",""EN"")"),"Sename also to be able to attend that they have private attention to children who are from the Sename network at the time, but in the face of all other expenses, there is no differentiation that is as exclusive to mental health.")</f>
        <v>Sename also to be able to attend that they have private attention to children who are from the Sename network at the time, but in the face of all other expenses, there is no differentiation that is as exclusive to mental health.</v>
      </c>
      <c r="G140" s="18">
        <v>233</v>
      </c>
      <c r="H140" s="19">
        <v>0.59894092848696723</v>
      </c>
      <c r="I140" s="17" t="s">
        <v>829</v>
      </c>
      <c r="J140" s="17" t="str">
        <f ca="1">IFERROR(__xludf.DUMMYFUNCTION("GOOGLETRANSLATE(I140,""ES"",""EN"")"),"Agreements with government organizations of the intersector")</f>
        <v>Agreements with government organizations of the intersector</v>
      </c>
      <c r="K140" s="1"/>
      <c r="L140" s="1"/>
      <c r="M140" s="1"/>
      <c r="N140" s="1"/>
      <c r="O140" s="1"/>
      <c r="P140" s="1"/>
      <c r="Q140" s="1"/>
      <c r="R140" s="1"/>
      <c r="S140" s="1"/>
      <c r="T140" s="1"/>
      <c r="U140" s="1"/>
      <c r="V140" s="1"/>
      <c r="W140" s="1"/>
      <c r="X140" s="1"/>
      <c r="Y140" s="1"/>
    </row>
    <row r="141" spans="1:25" ht="15.75" customHeight="1" x14ac:dyDescent="0.25">
      <c r="A141" s="7" t="s">
        <v>5</v>
      </c>
      <c r="B141" s="17" t="s">
        <v>719</v>
      </c>
      <c r="C141" s="17" t="s">
        <v>835</v>
      </c>
      <c r="D141" s="17" t="str">
        <f ca="1">IFERROR(__xludf.DUMMYFUNCTION("GOOGLETRANSLATE(C141,""ES"",""EN"")"),"Users \ intervention \ affiliated with public insurance")</f>
        <v>Users \ intervention \ affiliated with public insurance</v>
      </c>
      <c r="E141" s="17" t="s">
        <v>1004</v>
      </c>
      <c r="F141" s="17" t="str">
        <f ca="1">IFERROR(__xludf.DUMMYFUNCTION("GOOGLETRANSLATE(E141,""ES"",""EN"")"),"But as a center we serve only the users who are from Fonasa, and from there and the types of payment and")</f>
        <v>But as a center we serve only the users who are from Fonasa, and from there and the types of payment and</v>
      </c>
      <c r="G141" s="18">
        <v>120</v>
      </c>
      <c r="H141" s="19">
        <v>0.30846743098041235</v>
      </c>
      <c r="I141" s="17" t="s">
        <v>837</v>
      </c>
      <c r="J141" s="17" t="str">
        <f ca="1">IFERROR(__xludf.DUMMYFUNCTION("GOOGLETRANSLATE(I141,""ES"",""EN"")"),"Confusing, intervening or mediators of the payment mechanism")</f>
        <v>Confusing, intervening or mediators of the payment mechanism</v>
      </c>
      <c r="K141" s="1"/>
      <c r="L141" s="1"/>
      <c r="M141" s="1"/>
      <c r="N141" s="1"/>
      <c r="O141" s="1"/>
      <c r="P141" s="1"/>
      <c r="Q141" s="1"/>
      <c r="R141" s="1"/>
      <c r="S141" s="1"/>
      <c r="T141" s="1"/>
      <c r="U141" s="1"/>
      <c r="V141" s="1"/>
      <c r="W141" s="1"/>
      <c r="X141" s="1"/>
      <c r="Y141" s="1"/>
    </row>
    <row r="142" spans="1:25" ht="15.75" customHeight="1" x14ac:dyDescent="0.25">
      <c r="A142" s="7" t="s">
        <v>5</v>
      </c>
      <c r="B142" s="17" t="s">
        <v>719</v>
      </c>
      <c r="C142" s="17" t="s">
        <v>839</v>
      </c>
      <c r="D142" s="17" t="str">
        <f ca="1">IFERROR(__xludf.DUMMYFUNCTION("GOOGLETRANSLATE(C142,""ES"",""EN"")"),"Users \ intervention \ affiliated with public insurance \ sections c and d copan")</f>
        <v>Users \ intervention \ affiliated with public insurance \ sections c and d copan</v>
      </c>
      <c r="E142" s="17" t="s">
        <v>1005</v>
      </c>
      <c r="F142" s="17" t="str">
        <f ca="1">IFERROR(__xludf.DUMMYFUNCTION("GOOGLETRANSLATE(E142,""ES"",""EN"")"),"Actually, the people who have a section have to go through the hospital collection system and those who have AIDE section are necessarily attended to the collection system.")</f>
        <v>Actually, the people who have a section have to go through the hospital collection system and those who have AIDE section are necessarily attended to the collection system.</v>
      </c>
      <c r="G142" s="18">
        <v>195</v>
      </c>
      <c r="H142" s="19">
        <v>0.50125957534317001</v>
      </c>
      <c r="I142" s="17" t="s">
        <v>837</v>
      </c>
      <c r="J142" s="17" t="str">
        <f ca="1">IFERROR(__xludf.DUMMYFUNCTION("GOOGLETRANSLATE(I142,""ES"",""EN"")"),"Confusing, intervening or mediators of the payment mechanism")</f>
        <v>Confusing, intervening or mediators of the payment mechanism</v>
      </c>
      <c r="K142" s="1"/>
      <c r="L142" s="1"/>
      <c r="M142" s="1"/>
      <c r="N142" s="1"/>
      <c r="O142" s="1"/>
      <c r="P142" s="1"/>
      <c r="Q142" s="1"/>
      <c r="R142" s="1"/>
      <c r="S142" s="1"/>
      <c r="T142" s="1"/>
      <c r="U142" s="1"/>
      <c r="V142" s="1"/>
      <c r="W142" s="1"/>
      <c r="X142" s="1"/>
      <c r="Y142" s="1"/>
    </row>
    <row r="143" spans="1:25" ht="15.75" customHeight="1" x14ac:dyDescent="0.25">
      <c r="A143" s="2" t="s">
        <v>5</v>
      </c>
      <c r="B143" s="17" t="s">
        <v>719</v>
      </c>
      <c r="C143" s="17" t="s">
        <v>881</v>
      </c>
      <c r="D143" s="17" t="str">
        <f ca="1">IFERROR(__xludf.DUMMYFUNCTION("GOOGLETRANSLATE(C143,""ES"",""EN"")"),"Human Resources \ Intervention \ Authorized positions")</f>
        <v>Human Resources \ Intervention \ Authorized positions</v>
      </c>
      <c r="E143" s="17" t="s">
        <v>1006</v>
      </c>
      <c r="F143" s="17" t="str">
        <f ca="1">IFERROR(__xludf.DUMMYFUNCTION("GOOGLETRANSLATE(E143,""ES"",""EN"")"),"And the charges given from the Ministry were coming when Shantanu formed. Then no, there was no where.")</f>
        <v>And the charges given from the Ministry were coming when Shantanu formed. Then no, there was no where.</v>
      </c>
      <c r="G143" s="18">
        <v>106</v>
      </c>
      <c r="H143" s="19">
        <v>0.27247956403269752</v>
      </c>
      <c r="I143" s="17" t="s">
        <v>837</v>
      </c>
      <c r="J143" s="17" t="str">
        <f ca="1">IFERROR(__xludf.DUMMYFUNCTION("GOOGLETRANSLATE(I143,""ES"",""EN"")"),"Confusing, intervening or mediators of the payment mechanism")</f>
        <v>Confusing, intervening or mediators of the payment mechanism</v>
      </c>
      <c r="K143" s="1"/>
      <c r="L143" s="1"/>
      <c r="M143" s="1"/>
      <c r="N143" s="1"/>
      <c r="O143" s="1"/>
      <c r="P143" s="1"/>
      <c r="Q143" s="1"/>
      <c r="R143" s="1"/>
      <c r="S143" s="1"/>
      <c r="T143" s="1"/>
      <c r="U143" s="1"/>
      <c r="V143" s="1"/>
      <c r="W143" s="1"/>
      <c r="X143" s="1"/>
      <c r="Y143" s="1"/>
    </row>
    <row r="144" spans="1:25" ht="15.75" customHeight="1" x14ac:dyDescent="0.25">
      <c r="A144" s="12" t="s">
        <v>5</v>
      </c>
      <c r="B144" s="17" t="s">
        <v>719</v>
      </c>
      <c r="C144" s="17" t="s">
        <v>848</v>
      </c>
      <c r="D144" s="17" t="str">
        <f ca="1">IFERROR(__xludf.DUMMYFUNCTION("GOOGLETRANSLATE(C144,""ES"",""EN"")"),"Governance \ intervention \ projects for social organizations")</f>
        <v>Governance \ intervention \ projects for social organizations</v>
      </c>
      <c r="E144" s="17" t="s">
        <v>1007</v>
      </c>
      <c r="F144" s="17" t="str">
        <f ca="1">IFERROR(__xludf.DUMMYFUNCTION("GOOGLETRANSLATE(E144,""ES"",""EN"")"),"We have a group that armed the year 2016 with this group, having legal personality we have achieved resources, but for projects, for very taken projects and we have acquired things for both the center and for the same group, to be able to work and access "&amp;"community. For example, computers, telephones, it is not true, awnings to go out to do activities with the community, folding table and everything.")</f>
        <v>We have a group that armed the year 2016 with this group, having legal personality we have achieved resources, but for projects, for very taken projects and we have acquired things for both the center and for the same group, to be able to work and access community. For example, computers, telephones, it is not true, awnings to go out to do activities with the community, folding table and everything.</v>
      </c>
      <c r="G144" s="18">
        <v>434</v>
      </c>
      <c r="H144" s="19">
        <v>1.1156238753791579</v>
      </c>
      <c r="I144" s="17" t="s">
        <v>829</v>
      </c>
      <c r="J144" s="17" t="str">
        <f ca="1">IFERROR(__xludf.DUMMYFUNCTION("GOOGLETRANSLATE(I144,""ES"",""EN"")"),"Agreements with government organizations of the intersector")</f>
        <v>Agreements with government organizations of the intersector</v>
      </c>
      <c r="K144" s="1"/>
      <c r="L144" s="1"/>
      <c r="M144" s="1"/>
      <c r="N144" s="1"/>
      <c r="O144" s="1"/>
      <c r="P144" s="1"/>
      <c r="Q144" s="1"/>
      <c r="R144" s="1"/>
      <c r="S144" s="1"/>
      <c r="T144" s="1"/>
      <c r="U144" s="1"/>
      <c r="V144" s="1"/>
      <c r="W144" s="1"/>
      <c r="X144" s="1"/>
      <c r="Y144" s="1"/>
    </row>
    <row r="145" spans="1:25" ht="15.75" customHeight="1" x14ac:dyDescent="0.25">
      <c r="A145" s="11" t="s">
        <v>5</v>
      </c>
      <c r="B145" s="17" t="s">
        <v>719</v>
      </c>
      <c r="C145" s="17" t="s">
        <v>845</v>
      </c>
      <c r="D145" s="17" t="str">
        <f ca="1">IFERROR(__xludf.DUMMYFUNCTION("GOOGLETRANSLATE(C145,""ES"",""EN"")"),"Benefits \ intervention \ benefits not valued by fonasa")</f>
        <v>Benefits \ intervention \ benefits not valued by fonasa</v>
      </c>
      <c r="E145" s="17" t="s">
        <v>1008</v>
      </c>
      <c r="F145" s="17" t="str">
        <f ca="1">IFERROR(__xludf.DUMMYFUNCTION("GOOGLETRANSLATE(E145,""ES"",""EN"")"),"The home visit is not")</f>
        <v>The home visit is not</v>
      </c>
      <c r="G145" s="18">
        <v>30</v>
      </c>
      <c r="H145" s="19">
        <v>7.7116857745103087E-2</v>
      </c>
      <c r="I145" s="17" t="s">
        <v>847</v>
      </c>
      <c r="J145" s="17" t="str">
        <f ca="1">IFERROR(__xludf.DUMMYFUNCTION("GOOGLETRANSLATE(I145,""ES"",""EN"")"),"Payment associated with a benefit basket")</f>
        <v>Payment associated with a benefit basket</v>
      </c>
      <c r="K145" s="1"/>
      <c r="L145" s="1"/>
      <c r="M145" s="1"/>
      <c r="N145" s="1"/>
      <c r="O145" s="1"/>
      <c r="P145" s="1"/>
      <c r="Q145" s="1"/>
      <c r="R145" s="1"/>
      <c r="S145" s="1"/>
      <c r="T145" s="1"/>
      <c r="U145" s="1"/>
      <c r="V145" s="1"/>
      <c r="W145" s="1"/>
      <c r="X145" s="1"/>
      <c r="Y145" s="1"/>
    </row>
    <row r="146" spans="1:25" ht="15.75" customHeight="1" x14ac:dyDescent="0.25">
      <c r="A146" s="11" t="s">
        <v>5</v>
      </c>
      <c r="B146" s="17" t="s">
        <v>719</v>
      </c>
      <c r="C146" s="17" t="s">
        <v>845</v>
      </c>
      <c r="D146" s="17" t="str">
        <f ca="1">IFERROR(__xludf.DUMMYFUNCTION("GOOGLETRANSLATE(C146,""ES"",""EN"")"),"Benefits \ intervention \ benefits not valued by fonasa")</f>
        <v>Benefits \ intervention \ benefits not valued by fonasa</v>
      </c>
      <c r="E146" s="17" t="s">
        <v>1009</v>
      </c>
      <c r="F146" s="17" t="str">
        <f ca="1">IFERROR(__xludf.DUMMYFUNCTION("GOOGLETRANSLATE(E146,""ES"",""EN"")"),"o The visit to the educational establishment is valued")</f>
        <v>o The visit to the educational establishment is valued</v>
      </c>
      <c r="G146" s="18">
        <v>56</v>
      </c>
      <c r="H146" s="19">
        <v>0.14395146779085907</v>
      </c>
      <c r="I146" s="17" t="s">
        <v>847</v>
      </c>
      <c r="J146" s="17" t="str">
        <f ca="1">IFERROR(__xludf.DUMMYFUNCTION("GOOGLETRANSLATE(I146,""ES"",""EN"")"),"Payment associated with a benefit basket")</f>
        <v>Payment associated with a benefit basket</v>
      </c>
      <c r="K146" s="1"/>
      <c r="L146" s="1"/>
      <c r="M146" s="1"/>
      <c r="N146" s="1"/>
      <c r="O146" s="1"/>
      <c r="P146" s="1"/>
      <c r="Q146" s="1"/>
      <c r="R146" s="1"/>
      <c r="S146" s="1"/>
      <c r="T146" s="1"/>
      <c r="U146" s="1"/>
      <c r="V146" s="1"/>
      <c r="W146" s="1"/>
      <c r="X146" s="1"/>
      <c r="Y146" s="1"/>
    </row>
    <row r="147" spans="1:25" ht="15.75" customHeight="1" x14ac:dyDescent="0.25">
      <c r="A147" s="11" t="s">
        <v>5</v>
      </c>
      <c r="B147" s="17" t="s">
        <v>719</v>
      </c>
      <c r="C147" s="17" t="s">
        <v>845</v>
      </c>
      <c r="D147" s="17" t="str">
        <f ca="1">IFERROR(__xludf.DUMMYFUNCTION("GOOGLETRANSLATE(C147,""ES"",""EN"")"),"Benefits \ intervention \ benefits not valued by fonasa")</f>
        <v>Benefits \ intervention \ benefits not valued by fonasa</v>
      </c>
      <c r="E147" s="17" t="s">
        <v>1010</v>
      </c>
      <c r="F147" s="17" t="str">
        <f ca="1">IFERROR(__xludf.DUMMYFUNCTION("GOOGLETRANSLATE(E147,""ES"",""EN"")"),"The visit to the workplace")</f>
        <v>The visit to the workplace</v>
      </c>
      <c r="G147" s="18">
        <v>29</v>
      </c>
      <c r="H147" s="19">
        <v>7.4546295820266312E-2</v>
      </c>
      <c r="I147" s="17" t="s">
        <v>847</v>
      </c>
      <c r="J147" s="17" t="str">
        <f ca="1">IFERROR(__xludf.DUMMYFUNCTION("GOOGLETRANSLATE(I147,""ES"",""EN"")"),"Payment associated with a benefit basket")</f>
        <v>Payment associated with a benefit basket</v>
      </c>
      <c r="K147" s="1"/>
      <c r="L147" s="1"/>
      <c r="M147" s="1"/>
      <c r="N147" s="1"/>
      <c r="O147" s="1"/>
      <c r="P147" s="1"/>
      <c r="Q147" s="1"/>
      <c r="R147" s="1"/>
      <c r="S147" s="1"/>
      <c r="T147" s="1"/>
      <c r="U147" s="1"/>
      <c r="V147" s="1"/>
      <c r="W147" s="1"/>
      <c r="X147" s="1"/>
      <c r="Y147" s="1"/>
    </row>
    <row r="148" spans="1:25" ht="15.75" customHeight="1" x14ac:dyDescent="0.25">
      <c r="A148" s="11" t="s">
        <v>5</v>
      </c>
      <c r="B148" s="17" t="s">
        <v>719</v>
      </c>
      <c r="C148" s="17" t="s">
        <v>845</v>
      </c>
      <c r="D148" s="17" t="str">
        <f ca="1">IFERROR(__xludf.DUMMYFUNCTION("GOOGLETRANSLATE(C148,""ES"",""EN"")"),"Benefits \ intervention \ benefits not valued by fonasa")</f>
        <v>Benefits \ intervention \ benefits not valued by fonasa</v>
      </c>
      <c r="E148" s="17" t="s">
        <v>1011</v>
      </c>
      <c r="F148" s="17" t="str">
        <f ca="1">IFERROR(__xludf.DUMMYFUNCTION("GOOGLETRANSLATE(E148,""ES"",""EN"")"),"Integral isita of mental health. I believe that one of the benefits that should be valued has performance, but it is not considered and is one of the work on super important field to work with the user.")</f>
        <v>Integral isita of mental health. I believe that one of the benefits that should be valued has performance, but it is not considered and is one of the work on super important field to work with the user.</v>
      </c>
      <c r="G148" s="18">
        <v>235</v>
      </c>
      <c r="H148" s="19">
        <v>0.60408205233664081</v>
      </c>
      <c r="I148" s="17" t="s">
        <v>847</v>
      </c>
      <c r="J148" s="17" t="str">
        <f ca="1">IFERROR(__xludf.DUMMYFUNCTION("GOOGLETRANSLATE(I148,""ES"",""EN"")"),"Payment associated with a benefit basket")</f>
        <v>Payment associated with a benefit basket</v>
      </c>
      <c r="K148" s="1"/>
      <c r="L148" s="1"/>
      <c r="M148" s="1"/>
      <c r="N148" s="1"/>
      <c r="O148" s="1"/>
      <c r="P148" s="1"/>
      <c r="Q148" s="1"/>
      <c r="R148" s="1"/>
      <c r="S148" s="1"/>
      <c r="T148" s="1"/>
      <c r="U148" s="1"/>
      <c r="V148" s="1"/>
      <c r="W148" s="1"/>
      <c r="X148" s="1"/>
      <c r="Y148" s="1"/>
    </row>
    <row r="149" spans="1:25" ht="15.75" customHeight="1" x14ac:dyDescent="0.25">
      <c r="A149" s="11" t="s">
        <v>5</v>
      </c>
      <c r="B149" s="17" t="s">
        <v>719</v>
      </c>
      <c r="C149" s="17" t="s">
        <v>845</v>
      </c>
      <c r="D149" s="17" t="str">
        <f ca="1">IFERROR(__xludf.DUMMYFUNCTION("GOOGLETRANSLATE(C149,""ES"",""EN"")"),"Benefits \ intervention \ benefits not valued by fonasa")</f>
        <v>Benefits \ intervention \ benefits not valued by fonasa</v>
      </c>
      <c r="E149" s="17" t="s">
        <v>1012</v>
      </c>
      <c r="F149" s="17" t="str">
        <f ca="1">IFERROR(__xludf.DUMMYFUNCTION("GOOGLETRANSLATE(E149,""ES"",""EN"")"),"And the other also, which I think are important, that I hope at some point is done. For example, in therapeutic management the PCIs that are also super important that involve the time of the user, it is not true, of so much with the team, with the user, w"&amp;"hich I also believe that they should consider them at the time, because they are also actions They go for the user's benefit and also invest a working time, make an analysis and organize how the therapeutic objectives are going to be. It is also a time th"&amp;"at it should be, I consider a payment valued and associated")</f>
        <v>And the other also, which I think are important, that I hope at some point is done. For example, in therapeutic management the PCIs that are also super important that involve the time of the user, it is not true, of so much with the team, with the user, which I also believe that they should consider them at the time, because they are also actions They go for the user's benefit and also invest a working time, make an analysis and organize how the therapeutic objectives are going to be. It is also a time that it should be, I consider a payment valued and associated</v>
      </c>
      <c r="G149" s="18">
        <v>589</v>
      </c>
      <c r="H149" s="19">
        <v>1.5140609737288571</v>
      </c>
      <c r="I149" s="17" t="s">
        <v>847</v>
      </c>
      <c r="J149" s="17" t="str">
        <f ca="1">IFERROR(__xludf.DUMMYFUNCTION("GOOGLETRANSLATE(I149,""ES"",""EN"")"),"Payment associated with a benefit basket")</f>
        <v>Payment associated with a benefit basket</v>
      </c>
      <c r="K149" s="1"/>
      <c r="L149" s="1"/>
      <c r="M149" s="1"/>
      <c r="N149" s="1"/>
      <c r="O149" s="1"/>
      <c r="P149" s="1"/>
      <c r="Q149" s="1"/>
      <c r="R149" s="1"/>
      <c r="S149" s="1"/>
      <c r="T149" s="1"/>
      <c r="U149" s="1"/>
      <c r="V149" s="1"/>
      <c r="W149" s="1"/>
      <c r="X149" s="1"/>
      <c r="Y149" s="1"/>
    </row>
    <row r="150" spans="1:25" ht="15.75" customHeight="1" x14ac:dyDescent="0.25">
      <c r="A150" s="11" t="s">
        <v>5</v>
      </c>
      <c r="B150" s="17" t="s">
        <v>719</v>
      </c>
      <c r="C150" s="17" t="s">
        <v>952</v>
      </c>
      <c r="D150" s="17" t="str">
        <f ca="1">IFERROR(__xludf.DUMMYFUNCTION("GOOGLETRANSLATE(C150,""ES"",""EN"")"),"Benefits \ intervention \ benefits that fonasa pays")</f>
        <v>Benefits \ intervention \ benefits that fonasa pays</v>
      </c>
      <c r="E150" s="17" t="s">
        <v>1013</v>
      </c>
      <c r="F150" s="17" t="str">
        <f ca="1">IFERROR(__xludf.DUMMYFUNCTION("GOOGLETRANSLATE(E150,""ES"",""EN"")"),"As Fonasa said, he only pays the consultation, but there are a lot of actions that could also be done and among them is the land work, which is easier to measure.")</f>
        <v>As Fonasa said, he only pays the consultation, but there are a lot of actions that could also be done and among them is the land work, which is easier to measure.</v>
      </c>
      <c r="G150" s="18">
        <v>209</v>
      </c>
      <c r="H150" s="19">
        <v>0.53724744229088484</v>
      </c>
      <c r="I150" s="17" t="s">
        <v>847</v>
      </c>
      <c r="J150" s="17" t="str">
        <f ca="1">IFERROR(__xludf.DUMMYFUNCTION("GOOGLETRANSLATE(I150,""ES"",""EN"")"),"Payment associated with a benefit basket")</f>
        <v>Payment associated with a benefit basket</v>
      </c>
      <c r="K150" s="1"/>
      <c r="L150" s="1"/>
      <c r="M150" s="1"/>
      <c r="N150" s="1"/>
      <c r="O150" s="1"/>
      <c r="P150" s="1"/>
      <c r="Q150" s="1"/>
      <c r="R150" s="1"/>
      <c r="S150" s="1"/>
      <c r="T150" s="1"/>
      <c r="U150" s="1"/>
      <c r="V150" s="1"/>
      <c r="W150" s="1"/>
      <c r="X150" s="1"/>
      <c r="Y150" s="1"/>
    </row>
    <row r="151" spans="1:25" ht="15.75" customHeight="1" x14ac:dyDescent="0.25">
      <c r="A151" s="11" t="s">
        <v>5</v>
      </c>
      <c r="B151" s="17" t="s">
        <v>719</v>
      </c>
      <c r="C151" s="17" t="s">
        <v>845</v>
      </c>
      <c r="D151" s="17" t="str">
        <f ca="1">IFERROR(__xludf.DUMMYFUNCTION("GOOGLETRANSLATE(C151,""ES"",""EN"")"),"Benefits \ intervention \ benefits not valued by fonasa")</f>
        <v>Benefits \ intervention \ benefits not valued by fonasa</v>
      </c>
      <c r="E151" s="17" t="s">
        <v>1014</v>
      </c>
      <c r="F151" s="17" t="str">
        <f ca="1">IFERROR(__xludf.DUMMYFUNCTION("GOOGLETRANSLATE(E151,""ES"",""EN"")"),"For example, a home visit other than a community activity, which is a little more difficult to be able to measure in a home visit if they can measure it. You have yields to schedule home visits. Therapeutic management could also be measured because it als"&amp;"o has performance and is super clear what a person does when he is a therapeutic manager and for example, the elaboration of a nightmare.")</f>
        <v>For example, a home visit other than a community activity, which is a little more difficult to be able to measure in a home visit if they can measure it. You have yields to schedule home visits. Therapeutic management could also be measured because it also has performance and is super clear what a person does when he is a therapeutic manager and for example, the elaboration of a nightmare.</v>
      </c>
      <c r="G151" s="18">
        <v>421</v>
      </c>
      <c r="H151" s="19">
        <v>1.08220657035628</v>
      </c>
      <c r="I151" s="17" t="s">
        <v>847</v>
      </c>
      <c r="J151" s="17" t="str">
        <f ca="1">IFERROR(__xludf.DUMMYFUNCTION("GOOGLETRANSLATE(I151,""ES"",""EN"")"),"Payment associated with a benefit basket")</f>
        <v>Payment associated with a benefit basket</v>
      </c>
      <c r="K151" s="1"/>
      <c r="L151" s="1"/>
      <c r="M151" s="1"/>
      <c r="N151" s="1"/>
      <c r="O151" s="1"/>
      <c r="P151" s="1"/>
      <c r="Q151" s="1"/>
      <c r="R151" s="1"/>
      <c r="S151" s="1"/>
      <c r="T151" s="1"/>
      <c r="U151" s="1"/>
      <c r="V151" s="1"/>
      <c r="W151" s="1"/>
      <c r="X151" s="1"/>
      <c r="Y151" s="1"/>
    </row>
    <row r="152" spans="1:25" ht="15.75" customHeight="1" x14ac:dyDescent="0.25">
      <c r="A152" s="11" t="s">
        <v>5</v>
      </c>
      <c r="B152" s="17" t="s">
        <v>719</v>
      </c>
      <c r="C152" s="17" t="s">
        <v>845</v>
      </c>
      <c r="D152" s="17" t="str">
        <f ca="1">IFERROR(__xludf.DUMMYFUNCTION("GOOGLETRANSLATE(C152,""ES"",""EN"")"),"Benefits \ intervention \ benefits not valued by fonasa")</f>
        <v>Benefits \ intervention \ benefits not valued by fonasa</v>
      </c>
      <c r="E152" s="17" t="s">
        <v>1015</v>
      </c>
      <c r="F152" s="17" t="str">
        <f ca="1">IFERROR(__xludf.DUMMYFUNCTION("GOOGLETRANSLATE(E152,""ES"",""EN"")"),"A payment is not associated, then we correspond to it because it is associated with a super important, but it has no payment, maybe if you have payment.")</f>
        <v>A payment is not associated, then we correspond to it because it is associated with a super important, but it has no payment, maybe if you have payment.</v>
      </c>
      <c r="G152" s="18">
        <v>158</v>
      </c>
      <c r="H152" s="19">
        <v>0.40614878412420957</v>
      </c>
      <c r="I152" s="17" t="s">
        <v>847</v>
      </c>
      <c r="J152" s="17" t="str">
        <f ca="1">IFERROR(__xludf.DUMMYFUNCTION("GOOGLETRANSLATE(I152,""ES"",""EN"")"),"Payment associated with a benefit basket")</f>
        <v>Payment associated with a benefit basket</v>
      </c>
      <c r="K152" s="1"/>
      <c r="L152" s="1"/>
      <c r="M152" s="1"/>
      <c r="N152" s="1"/>
      <c r="O152" s="1"/>
      <c r="P152" s="1"/>
      <c r="Q152" s="1"/>
      <c r="R152" s="1"/>
      <c r="S152" s="1"/>
      <c r="T152" s="1"/>
      <c r="U152" s="1"/>
      <c r="V152" s="1"/>
      <c r="W152" s="1"/>
      <c r="X152" s="1"/>
      <c r="Y152" s="1"/>
    </row>
    <row r="153" spans="1:25" ht="15.75" customHeight="1" x14ac:dyDescent="0.25">
      <c r="A153" s="11" t="s">
        <v>5</v>
      </c>
      <c r="B153" s="17" t="s">
        <v>719</v>
      </c>
      <c r="C153" s="17" t="s">
        <v>845</v>
      </c>
      <c r="D153" s="17" t="str">
        <f ca="1">IFERROR(__xludf.DUMMYFUNCTION("GOOGLETRANSLATE(C153,""ES"",""EN"")"),"Benefits \ intervention \ benefits not valued by fonasa")</f>
        <v>Benefits \ intervention \ benefits not valued by fonasa</v>
      </c>
      <c r="E153" s="17" t="s">
        <v>1016</v>
      </c>
      <c r="F153" s="17" t="str">
        <f ca="1">IFERROR(__xludf.DUMMYFUNCTION("GOOGLETRANSLATE(E153,""ES"",""EN"")"),"Well, I believe that the mechanism is insufficient because it does not consider all the actions that can be done in mental health.")</f>
        <v>Well, I believe that the mechanism is insufficient because it does not consider all the actions that can be done in mental health.</v>
      </c>
      <c r="G153" s="18">
        <v>123</v>
      </c>
      <c r="H153" s="19">
        <v>0.31617911675492266</v>
      </c>
      <c r="I153" s="17" t="s">
        <v>847</v>
      </c>
      <c r="J153" s="17" t="str">
        <f ca="1">IFERROR(__xludf.DUMMYFUNCTION("GOOGLETRANSLATE(I153,""ES"",""EN"")"),"Payment associated with a benefit basket")</f>
        <v>Payment associated with a benefit basket</v>
      </c>
      <c r="K153" s="1"/>
      <c r="L153" s="1"/>
      <c r="M153" s="1"/>
      <c r="N153" s="1"/>
      <c r="O153" s="1"/>
      <c r="P153" s="1"/>
      <c r="Q153" s="1"/>
      <c r="R153" s="1"/>
      <c r="S153" s="1"/>
      <c r="T153" s="1"/>
      <c r="U153" s="1"/>
      <c r="V153" s="1"/>
      <c r="W153" s="1"/>
      <c r="X153" s="1"/>
      <c r="Y153" s="1"/>
    </row>
    <row r="154" spans="1:25" ht="15.75" customHeight="1" x14ac:dyDescent="0.25">
      <c r="A154" s="11" t="s">
        <v>5</v>
      </c>
      <c r="B154" s="17" t="s">
        <v>719</v>
      </c>
      <c r="C154" s="17" t="s">
        <v>845</v>
      </c>
      <c r="D154" s="17" t="str">
        <f ca="1">IFERROR(__xludf.DUMMYFUNCTION("GOOGLETRANSLATE(C154,""ES"",""EN"")"),"Benefits \ intervention \ benefits not valued by fonasa")</f>
        <v>Benefits \ intervention \ benefits not valued by fonasa</v>
      </c>
      <c r="E154" s="17" t="s">
        <v>1017</v>
      </c>
      <c r="F154" s="17" t="str">
        <f ca="1">IFERROR(__xludf.DUMMYFUNCTION("GOOGLETRANSLATE(E154,""ES"",""EN"")"),"Perhaps if the gloss of the benefits we make and that are valued with a code is more wide.")</f>
        <v>Perhaps if the gloss of the benefits we make and that are valued with a code is more wide.</v>
      </c>
      <c r="G154" s="18">
        <v>114</v>
      </c>
      <c r="H154" s="19">
        <v>0.29304405943139167</v>
      </c>
      <c r="I154" s="17" t="s">
        <v>847</v>
      </c>
      <c r="J154" s="17" t="str">
        <f ca="1">IFERROR(__xludf.DUMMYFUNCTION("GOOGLETRANSLATE(I154,""ES"",""EN"")"),"Payment associated with a benefit basket")</f>
        <v>Payment associated with a benefit basket</v>
      </c>
      <c r="K154" s="1"/>
      <c r="L154" s="1"/>
      <c r="M154" s="1"/>
      <c r="N154" s="1"/>
      <c r="O154" s="1"/>
      <c r="P154" s="1"/>
      <c r="Q154" s="1"/>
      <c r="R154" s="1"/>
      <c r="S154" s="1"/>
      <c r="T154" s="1"/>
      <c r="U154" s="1"/>
      <c r="V154" s="1"/>
      <c r="W154" s="1"/>
      <c r="X154" s="1"/>
      <c r="Y154" s="1"/>
    </row>
    <row r="155" spans="1:25" ht="15.75" customHeight="1" x14ac:dyDescent="0.25">
      <c r="A155" s="11" t="s">
        <v>5</v>
      </c>
      <c r="B155" s="17" t="s">
        <v>719</v>
      </c>
      <c r="C155" s="17" t="s">
        <v>845</v>
      </c>
      <c r="D155" s="17" t="str">
        <f ca="1">IFERROR(__xludf.DUMMYFUNCTION("GOOGLETRANSLATE(C155,""ES"",""EN"")"),"Benefits \ intervention \ benefits not valued by fonasa")</f>
        <v>Benefits \ intervention \ benefits not valued by fonasa</v>
      </c>
      <c r="E155" s="17" t="s">
        <v>1018</v>
      </c>
      <c r="F155" s="17" t="str">
        <f ca="1">IFERROR(__xludf.DUMMYFUNCTION("GOOGLETRANSLATE(E155,""ES"",""EN"")"),"I think you must make the gloss of mental health more broad, because in mental health I believe that one of the areas of health where you can do the most benefits, unlike other specialties, where it is more concrete is the attention of the doctor.")</f>
        <v>I think you must make the gloss of mental health more broad, because in mental health I believe that one of the areas of health where you can do the most benefits, unlike other specialties, where it is more concrete is the attention of the doctor.</v>
      </c>
      <c r="G155" s="18">
        <v>253</v>
      </c>
      <c r="H155" s="19">
        <v>0.65035216698370257</v>
      </c>
      <c r="I155" s="17" t="s">
        <v>847</v>
      </c>
      <c r="J155" s="17" t="str">
        <f ca="1">IFERROR(__xludf.DUMMYFUNCTION("GOOGLETRANSLATE(I155,""ES"",""EN"")"),"Payment associated with a benefit basket")</f>
        <v>Payment associated with a benefit basket</v>
      </c>
      <c r="K155" s="1"/>
      <c r="L155" s="1"/>
      <c r="M155" s="1"/>
      <c r="N155" s="1"/>
      <c r="O155" s="1"/>
      <c r="P155" s="1"/>
      <c r="Q155" s="1"/>
      <c r="R155" s="1"/>
      <c r="S155" s="1"/>
      <c r="T155" s="1"/>
      <c r="U155" s="1"/>
      <c r="V155" s="1"/>
      <c r="W155" s="1"/>
      <c r="X155" s="1"/>
      <c r="Y155" s="1"/>
    </row>
    <row r="156" spans="1:25" ht="15.75" customHeight="1" x14ac:dyDescent="0.25">
      <c r="A156" s="11" t="s">
        <v>5</v>
      </c>
      <c r="B156" s="17" t="s">
        <v>719</v>
      </c>
      <c r="C156" s="17" t="s">
        <v>845</v>
      </c>
      <c r="D156" s="17" t="str">
        <f ca="1">IFERROR(__xludf.DUMMYFUNCTION("GOOGLETRANSLATE(C156,""ES"",""EN"")"),"Benefits \ intervention \ benefits not valued by fonasa")</f>
        <v>Benefits \ intervention \ benefits not valued by fonasa</v>
      </c>
      <c r="E156" s="17" t="s">
        <v>1019</v>
      </c>
      <c r="F156" s="17" t="str">
        <f ca="1">IFERROR(__xludf.DUMMYFUNCTION("GOOGLETRANSLATE(E156,""ES"",""EN"")"),"Sometimes exams and some mental health procedure is super broad, where you can deliver a range of benefits. It is not true that they are related to recovering the mental health of its users, but that is not considered as such.")</f>
        <v>Sometimes exams and some mental health procedure is super broad, where you can deliver a range of benefits. It is not true that they are related to recovering the mental health of its users, but that is not considered as such.</v>
      </c>
      <c r="G156" s="18">
        <v>262</v>
      </c>
      <c r="H156" s="19">
        <v>0.67348722430723362</v>
      </c>
      <c r="I156" s="17" t="s">
        <v>847</v>
      </c>
      <c r="J156" s="17" t="str">
        <f ca="1">IFERROR(__xludf.DUMMYFUNCTION("GOOGLETRANSLATE(I156,""ES"",""EN"")"),"Payment associated with a benefit basket")</f>
        <v>Payment associated with a benefit basket</v>
      </c>
      <c r="K156" s="1"/>
      <c r="L156" s="1"/>
      <c r="M156" s="1"/>
      <c r="N156" s="1"/>
      <c r="O156" s="1"/>
      <c r="P156" s="1"/>
      <c r="Q156" s="1"/>
      <c r="R156" s="1"/>
      <c r="S156" s="1"/>
      <c r="T156" s="1"/>
      <c r="U156" s="1"/>
      <c r="V156" s="1"/>
      <c r="W156" s="1"/>
      <c r="X156" s="1"/>
      <c r="Y156" s="1"/>
    </row>
    <row r="157" spans="1:25" ht="15.75" customHeight="1" x14ac:dyDescent="0.25">
      <c r="A157" s="12" t="s">
        <v>5</v>
      </c>
      <c r="B157" s="17" t="s">
        <v>719</v>
      </c>
      <c r="C157" s="20" t="s">
        <v>984</v>
      </c>
      <c r="D157" s="17" t="str">
        <f ca="1">IFERROR(__xludf.DUMMYFUNCTION("GOOGLETRANSLATE(C157,""ES"",""EN"")"),"Governance \ intervention \ lack of politics on benefits to finance")</f>
        <v>Governance \ intervention \ lack of politics on benefits to finance</v>
      </c>
      <c r="E157" s="17" t="s">
        <v>1020</v>
      </c>
      <c r="F157" s="17" t="str">
        <f ca="1">IFERROR(__xludf.DUMMYFUNCTION("GOOGLETRANSLATE(E157,""ES"",""EN"")"),"I think it is not aware. There is no public policy either as such that mental health is not just box care that I think is still very despite having a model, I think we still continue to depend on hospitals, we are still in this, in Box and mental health c"&amp;"are.")</f>
        <v>I think it is not aware. There is no public policy either as such that mental health is not just box care that I think is still very despite having a model, I think we still continue to depend on hospitals, we are still in this, in Box and mental health care.</v>
      </c>
      <c r="G157" s="18">
        <v>331</v>
      </c>
      <c r="H157" s="19">
        <v>0.85085599712097071</v>
      </c>
      <c r="I157" s="17" t="s">
        <v>837</v>
      </c>
      <c r="J157" s="17" t="str">
        <f ca="1">IFERROR(__xludf.DUMMYFUNCTION("GOOGLETRANSLATE(I157,""ES"",""EN"")"),"Confusing, intervening or mediators of the payment mechanism")</f>
        <v>Confusing, intervening or mediators of the payment mechanism</v>
      </c>
      <c r="K157" s="1"/>
      <c r="L157" s="1"/>
      <c r="M157" s="1"/>
      <c r="N157" s="1"/>
      <c r="O157" s="1"/>
      <c r="P157" s="1"/>
      <c r="Q157" s="1"/>
      <c r="R157" s="1"/>
      <c r="S157" s="1"/>
      <c r="T157" s="1"/>
      <c r="U157" s="1"/>
      <c r="V157" s="1"/>
      <c r="W157" s="1"/>
      <c r="X157" s="1"/>
      <c r="Y157" s="1"/>
    </row>
    <row r="158" spans="1:25" ht="15.75" customHeight="1" x14ac:dyDescent="0.25">
      <c r="A158" s="11" t="s">
        <v>5</v>
      </c>
      <c r="B158" s="17" t="s">
        <v>719</v>
      </c>
      <c r="C158" s="17" t="s">
        <v>845</v>
      </c>
      <c r="D158" s="17" t="str">
        <f ca="1">IFERROR(__xludf.DUMMYFUNCTION("GOOGLETRANSLATE(C158,""ES"",""EN"")"),"Benefits \ intervention \ benefits not valued by fonasa")</f>
        <v>Benefits \ intervention \ benefits not valued by fonasa</v>
      </c>
      <c r="E158" s="17" t="s">
        <v>1021</v>
      </c>
      <c r="F158" s="17" t="str">
        <f ca="1">IFERROR(__xludf.DUMMYFUNCTION("GOOGLETRANSLATE(E158,""ES"",""EN"")"),"Mental health has to do with lifestyles, with community outputs, it is true. And all these actions should be in a gloss so that they can be considered as such and to be valued.")</f>
        <v>Mental health has to do with lifestyles, with community outputs, it is true. And all these actions should be in a gloss so that they can be considered as such and to be valued.</v>
      </c>
      <c r="G158" s="18">
        <v>207</v>
      </c>
      <c r="H158" s="19">
        <v>0.53210631844121126</v>
      </c>
      <c r="I158" s="17" t="s">
        <v>847</v>
      </c>
      <c r="J158" s="17" t="str">
        <f ca="1">IFERROR(__xludf.DUMMYFUNCTION("GOOGLETRANSLATE(I158,""ES"",""EN"")"),"Payment associated with a benefit basket")</f>
        <v>Payment associated with a benefit basket</v>
      </c>
      <c r="K158" s="1"/>
      <c r="L158" s="1"/>
      <c r="M158" s="1"/>
      <c r="N158" s="1"/>
      <c r="O158" s="1"/>
      <c r="P158" s="1"/>
      <c r="Q158" s="1"/>
      <c r="R158" s="1"/>
      <c r="S158" s="1"/>
      <c r="T158" s="1"/>
      <c r="U158" s="1"/>
      <c r="V158" s="1"/>
      <c r="W158" s="1"/>
      <c r="X158" s="1"/>
      <c r="Y158" s="1"/>
    </row>
    <row r="159" spans="1:25" ht="15.75" customHeight="1" x14ac:dyDescent="0.25">
      <c r="A159" s="11" t="s">
        <v>5</v>
      </c>
      <c r="B159" s="17" t="s">
        <v>719</v>
      </c>
      <c r="C159" s="17" t="s">
        <v>845</v>
      </c>
      <c r="D159" s="17" t="str">
        <f ca="1">IFERROR(__xludf.DUMMYFUNCTION("GOOGLETRANSLATE(C159,""ES"",""EN"")"),"Benefits \ intervention \ benefits not valued by fonasa")</f>
        <v>Benefits \ intervention \ benefits not valued by fonasa</v>
      </c>
      <c r="E159" s="17" t="s">
        <v>1022</v>
      </c>
      <c r="F159" s="17" t="str">
        <f ca="1">IFERROR(__xludf.DUMMYFUNCTION("GOOGLETRANSLATE(E159,""ES"",""EN"")"),"And I think that being valued they can also measure us, not just by making the consultation, they can measure us for making home visits, they can measure us for management.")</f>
        <v>And I think that being valued they can also measure us, not just by making the consultation, they can measure us for making home visits, they can measure us for management.</v>
      </c>
      <c r="G159" s="18">
        <v>176</v>
      </c>
      <c r="H159" s="19">
        <v>0.45241889877127139</v>
      </c>
      <c r="I159" s="17" t="s">
        <v>847</v>
      </c>
      <c r="J159" s="17" t="str">
        <f ca="1">IFERROR(__xludf.DUMMYFUNCTION("GOOGLETRANSLATE(I159,""ES"",""EN"")"),"Payment associated with a benefit basket")</f>
        <v>Payment associated with a benefit basket</v>
      </c>
      <c r="K159" s="1"/>
      <c r="L159" s="1"/>
      <c r="M159" s="1"/>
      <c r="N159" s="1"/>
      <c r="O159" s="1"/>
      <c r="P159" s="1"/>
      <c r="Q159" s="1"/>
      <c r="R159" s="1"/>
      <c r="S159" s="1"/>
      <c r="T159" s="1"/>
      <c r="U159" s="1"/>
      <c r="V159" s="1"/>
      <c r="W159" s="1"/>
      <c r="X159" s="1"/>
      <c r="Y159" s="1"/>
    </row>
    <row r="160" spans="1:25" ht="15.75" customHeight="1" x14ac:dyDescent="0.25">
      <c r="A160" s="11" t="s">
        <v>5</v>
      </c>
      <c r="B160" s="17" t="s">
        <v>719</v>
      </c>
      <c r="C160" s="17" t="s">
        <v>845</v>
      </c>
      <c r="D160" s="17" t="str">
        <f ca="1">IFERROR(__xludf.DUMMYFUNCTION("GOOGLETRANSLATE(C160,""ES"",""EN"")"),"Benefits \ intervention \ benefits not valued by fonasa")</f>
        <v>Benefits \ intervention \ benefits not valued by fonasa</v>
      </c>
      <c r="E160" s="17" t="s">
        <v>1023</v>
      </c>
      <c r="F160" s="17" t="str">
        <f ca="1">IFERROR(__xludf.DUMMYFUNCTION("GOOGLETRANSLATE(E160,""ES"",""EN"")"),"And there you can see that if there is production in a center, for example, it does not happen to you. It produces super little, of course, because you are not measuring only the consultation, but you are not measuring the other range of benefits that we "&amp;"do and that come within our model and that are focused not to generate, isn't it? This recovery space, generate the recovery that we are working in the center. But no, no, I don't dialogue. No, there is no dialogue, there is.")</f>
        <v>And there you can see that if there is production in a center, for example, it does not happen to you. It produces super little, of course, because you are not measuring only the consultation, but you are not measuring the other range of benefits that we do and that come within our model and that are focused not to generate, isn't it? This recovery space, generate the recovery that we are working in the center. But no, no, I don't dialogue. No, there is no dialogue, there is.</v>
      </c>
      <c r="G160" s="18">
        <v>487</v>
      </c>
      <c r="H160" s="19">
        <v>1.2518636573955066</v>
      </c>
      <c r="I160" s="17" t="s">
        <v>847</v>
      </c>
      <c r="J160" s="17" t="str">
        <f ca="1">IFERROR(__xludf.DUMMYFUNCTION("GOOGLETRANSLATE(I160,""ES"",""EN"")"),"Payment associated with a benefit basket")</f>
        <v>Payment associated with a benefit basket</v>
      </c>
      <c r="K160" s="1"/>
      <c r="L160" s="1"/>
      <c r="M160" s="1"/>
      <c r="N160" s="1"/>
      <c r="O160" s="1"/>
      <c r="P160" s="1"/>
      <c r="Q160" s="1"/>
      <c r="R160" s="1"/>
      <c r="S160" s="1"/>
      <c r="T160" s="1"/>
      <c r="U160" s="1"/>
      <c r="V160" s="1"/>
      <c r="W160" s="1"/>
      <c r="X160" s="1"/>
      <c r="Y160" s="1"/>
    </row>
    <row r="161" spans="1:25" ht="15.75" customHeight="1" x14ac:dyDescent="0.25">
      <c r="A161" s="11" t="s">
        <v>5</v>
      </c>
      <c r="B161" s="17" t="s">
        <v>719</v>
      </c>
      <c r="C161" s="17" t="s">
        <v>845</v>
      </c>
      <c r="D161" s="17" t="str">
        <f ca="1">IFERROR(__xludf.DUMMYFUNCTION("GOOGLETRANSLATE(C161,""ES"",""EN"")"),"Benefits \ intervention \ benefits not valued by fonasa")</f>
        <v>Benefits \ intervention \ benefits not valued by fonasa</v>
      </c>
      <c r="E161" s="17" t="s">
        <v>1024</v>
      </c>
      <c r="F161" s="17" t="str">
        <f ca="1">IFERROR(__xludf.DUMMYFUNCTION("GOOGLETRANSLATE(E161,""ES"",""EN"")"),"Why do you have to return to its center of origin trying to make good frames at the beginning of income? And that also requires time. It also requires education time to the population. It is not only based on consulting the clinical motive of the person, "&amp;"but also to educate people of how to go through health levels.")</f>
        <v>Why do you have to return to its center of origin trying to make good frames at the beginning of income? And that also requires time. It also requires education time to the population. It is not only based on consulting the clinical motive of the person, but also to educate people of how to go through health levels.</v>
      </c>
      <c r="G161" s="18">
        <v>335</v>
      </c>
      <c r="H161" s="19">
        <v>0.86113824482031764</v>
      </c>
      <c r="I161" s="17" t="s">
        <v>847</v>
      </c>
      <c r="J161" s="17" t="str">
        <f ca="1">IFERROR(__xludf.DUMMYFUNCTION("GOOGLETRANSLATE(I161,""ES"",""EN"")"),"Payment associated with a benefit basket")</f>
        <v>Payment associated with a benefit basket</v>
      </c>
      <c r="K161" s="1"/>
      <c r="L161" s="1"/>
      <c r="M161" s="1"/>
      <c r="N161" s="1"/>
      <c r="O161" s="1"/>
      <c r="P161" s="1"/>
      <c r="Q161" s="1"/>
      <c r="R161" s="1"/>
      <c r="S161" s="1"/>
      <c r="T161" s="1"/>
      <c r="U161" s="1"/>
      <c r="V161" s="1"/>
      <c r="W161" s="1"/>
      <c r="X161" s="1"/>
      <c r="Y161" s="1"/>
    </row>
    <row r="162" spans="1:25" ht="15.75" customHeight="1" x14ac:dyDescent="0.25">
      <c r="A162" s="6" t="s">
        <v>5</v>
      </c>
      <c r="B162" s="17" t="s">
        <v>790</v>
      </c>
      <c r="C162" s="17" t="s">
        <v>1025</v>
      </c>
      <c r="D162" s="17" t="str">
        <f ca="1">IFERROR(__xludf.DUMMYFUNCTION("GOOGLETRANSLATE(C162,""ES"",""EN"")"),"FINANCING \ INTERVENTION \ CONVENTIONS WITH INTERSECTOR \ Ministry of Social Development and Family \ National Disability Service")</f>
        <v>FINANCING \ INTERVENTION \ CONVENTIONS WITH INTERSECTOR \ Ministry of Social Development and Family \ National Disability Service</v>
      </c>
      <c r="E162" s="17" t="s">
        <v>1026</v>
      </c>
      <c r="F162" s="17" t="str">
        <f ca="1">IFERROR(__xludf.DUMMYFUNCTION("GOOGLETRANSLATE(E162,""ES"",""EN"")"),"In recent years we have had both Senadis projects")</f>
        <v>In recent years we have had both Senadis projects</v>
      </c>
      <c r="G162" s="18">
        <v>59</v>
      </c>
      <c r="H162" s="19">
        <v>0.2327140772295192</v>
      </c>
      <c r="I162" s="17" t="s">
        <v>829</v>
      </c>
      <c r="J162" s="17" t="str">
        <f ca="1">IFERROR(__xludf.DUMMYFUNCTION("GOOGLETRANSLATE(I162,""ES"",""EN"")"),"Agreements with government organizations of the intersector")</f>
        <v>Agreements with government organizations of the intersector</v>
      </c>
      <c r="K162" s="1"/>
      <c r="L162" s="1"/>
      <c r="M162" s="1"/>
      <c r="N162" s="1"/>
      <c r="O162" s="1"/>
      <c r="P162" s="1"/>
      <c r="Q162" s="1"/>
      <c r="R162" s="1"/>
      <c r="S162" s="1"/>
      <c r="T162" s="1"/>
      <c r="U162" s="1"/>
      <c r="V162" s="1"/>
      <c r="W162" s="1"/>
      <c r="X162" s="1"/>
      <c r="Y162" s="1"/>
    </row>
    <row r="163" spans="1:25" ht="15.75" customHeight="1" x14ac:dyDescent="0.25">
      <c r="A163" s="6" t="s">
        <v>5</v>
      </c>
      <c r="B163" s="17" t="s">
        <v>790</v>
      </c>
      <c r="C163" s="17" t="s">
        <v>921</v>
      </c>
      <c r="D163" s="17" t="str">
        <f ca="1">IFERROR(__xludf.DUMMYFUNCTION("GOOGLETRANSLATE(C163,""ES"",""EN"")"),"FINANCING \ INTERVENTION \ CONVENTIONS WITH INTERSECTOR \ MINISTRY OF SOCIAL DEVELOPMENT AND FAMILY \ CALLE PEOPLE")</f>
        <v>FINANCING \ INTERVENTION \ CONVENTIONS WITH INTERSECTOR \ MINISTRY OF SOCIAL DEVELOPMENT AND FAMILY \ CALLE PEOPLE</v>
      </c>
      <c r="E163" s="17" t="s">
        <v>1027</v>
      </c>
      <c r="F163" s="17" t="str">
        <f ca="1">IFERROR(__xludf.DUMMYFUNCTION("GOOGLETRANSLATE(E163,""ES"",""EN"")"),"And now we are with a project from the Ministry of Social Development, with a program that is Pasam in the center")</f>
        <v>And now we are with a project from the Ministry of Social Development, with a program that is Pasam in the center</v>
      </c>
      <c r="G163" s="18">
        <v>110</v>
      </c>
      <c r="H163" s="19">
        <v>0.43387370330927305</v>
      </c>
      <c r="I163" s="17" t="s">
        <v>829</v>
      </c>
      <c r="J163" s="17" t="str">
        <f ca="1">IFERROR(__xludf.DUMMYFUNCTION("GOOGLETRANSLATE(I163,""ES"",""EN"")"),"Agreements with government organizations of the intersector")</f>
        <v>Agreements with government organizations of the intersector</v>
      </c>
      <c r="K163" s="1"/>
      <c r="L163" s="1"/>
      <c r="M163" s="1"/>
      <c r="N163" s="1"/>
      <c r="O163" s="1"/>
      <c r="P163" s="1"/>
      <c r="Q163" s="1"/>
      <c r="R163" s="1"/>
      <c r="S163" s="1"/>
      <c r="T163" s="1"/>
      <c r="U163" s="1"/>
      <c r="V163" s="1"/>
      <c r="W163" s="1"/>
      <c r="X163" s="1"/>
      <c r="Y163" s="1"/>
    </row>
    <row r="164" spans="1:25" ht="15.75" customHeight="1" x14ac:dyDescent="0.25">
      <c r="A164" s="6" t="s">
        <v>5</v>
      </c>
      <c r="B164" s="17" t="s">
        <v>770</v>
      </c>
      <c r="C164" s="17" t="s">
        <v>868</v>
      </c>
      <c r="D164" s="17" t="str">
        <f ca="1">IFERROR(__xludf.DUMMYFUNCTION("GOOGLETRANSLATE(C164,""ES"",""EN"")"),"Financing \ Intervention \ Prospective Annual Budget of the SS")</f>
        <v>Financing \ Intervention \ Prospective Annual Budget of the SS</v>
      </c>
      <c r="E164" s="17" t="s">
        <v>1028</v>
      </c>
      <c r="F164" s="17" t="str">
        <f ca="1">IFERROR(__xludf.DUMMYFUNCTION("GOOGLETRANSLATE(E164,""ES"",""EN"")"),"It is not linked to our production. Exact. I also asked about the theme of PPV, it caught my attention because as they are reprogrammed and you have to adjust it and it is a source of income for the equipment, apart from the PPI it does not here, PPV has "&amp;"never been committed to the center. I asked why not? The truth is that nobody responded to me. I do not know if the incidence of our PPV in relation to the Salvador Hospital will be very tin, that we have it here next to me and that I imagine that all tho"&amp;"se resources or those commitments must consume. But it is not linked, we have no PPV or a certain production has been demanded.")</f>
        <v>It is not linked to our production. Exact. I also asked about the theme of PPV, it caught my attention because as they are reprogrammed and you have to adjust it and it is a source of income for the equipment, apart from the PPI it does not here, PPV has never been committed to the center. I asked why not? The truth is that nobody responded to me. I do not know if the incidence of our PPV in relation to the Salvador Hospital will be very tin, that we have it here next to me and that I imagine that all those resources or those commitments must consume. But it is not linked, we have no PPV or a certain production has been demanded.</v>
      </c>
      <c r="G164" s="18">
        <v>622</v>
      </c>
      <c r="H164" s="19">
        <v>2.453358576894253</v>
      </c>
      <c r="I164" s="17" t="s">
        <v>870</v>
      </c>
      <c r="J164" s="17" t="str">
        <f ca="1">IFERROR(__xludf.DUMMYFUNCTION("GOOGLETRANSLATE(I164,""ES"",""EN"")"),"Historical Prospective Budget")</f>
        <v>Historical Prospective Budget</v>
      </c>
      <c r="K164" s="1"/>
      <c r="L164" s="1"/>
      <c r="M164" s="1"/>
      <c r="N164" s="1"/>
      <c r="O164" s="1"/>
      <c r="P164" s="1"/>
      <c r="Q164" s="1"/>
      <c r="R164" s="1"/>
      <c r="S164" s="1"/>
      <c r="T164" s="1"/>
      <c r="U164" s="1"/>
      <c r="V164" s="1"/>
      <c r="W164" s="1"/>
      <c r="X164" s="1"/>
      <c r="Y164" s="1"/>
    </row>
    <row r="165" spans="1:25" ht="15.75" customHeight="1" x14ac:dyDescent="0.25">
      <c r="A165" s="6" t="s">
        <v>5</v>
      </c>
      <c r="B165" s="17" t="s">
        <v>770</v>
      </c>
      <c r="C165" s="17" t="s">
        <v>868</v>
      </c>
      <c r="D165" s="17" t="str">
        <f ca="1">IFERROR(__xludf.DUMMYFUNCTION("GOOGLETRANSLATE(C165,""ES"",""EN"")"),"Financing \ Intervention \ Prospective Annual Budget of the SS")</f>
        <v>Financing \ Intervention \ Prospective Annual Budget of the SS</v>
      </c>
      <c r="E165" s="17" t="s">
        <v>1029</v>
      </c>
      <c r="F165" s="17" t="str">
        <f ca="1">IFERROR(__xludf.DUMMYFUNCTION("GOOGLETRANSLATE(E165,""ES"",""EN"")"),"Production has to do with the health goal, so the programming compromises us, but as far as I know is not linked to the economic issue or the center's budget.")</f>
        <v>Production has to do with the health goal, so the programming compromises us, but as far as I know is not linked to the economic issue or the center's budget.</v>
      </c>
      <c r="G165" s="18">
        <v>176</v>
      </c>
      <c r="H165" s="19">
        <v>0.69419792529483693</v>
      </c>
      <c r="I165" s="17" t="s">
        <v>870</v>
      </c>
      <c r="J165" s="17" t="str">
        <f ca="1">IFERROR(__xludf.DUMMYFUNCTION("GOOGLETRANSLATE(I165,""ES"",""EN"")"),"Historical Prospective Budget")</f>
        <v>Historical Prospective Budget</v>
      </c>
      <c r="K165" s="1"/>
      <c r="L165" s="1"/>
      <c r="M165" s="1"/>
      <c r="N165" s="1"/>
      <c r="O165" s="1"/>
      <c r="P165" s="1"/>
      <c r="Q165" s="1"/>
      <c r="R165" s="1"/>
      <c r="S165" s="1"/>
      <c r="T165" s="1"/>
      <c r="U165" s="1"/>
      <c r="V165" s="1"/>
      <c r="W165" s="1"/>
      <c r="X165" s="1"/>
      <c r="Y165" s="1"/>
    </row>
    <row r="166" spans="1:25" ht="15.75" customHeight="1" x14ac:dyDescent="0.25">
      <c r="A166" s="7" t="s">
        <v>5</v>
      </c>
      <c r="B166" s="17" t="s">
        <v>770</v>
      </c>
      <c r="C166" s="17" t="s">
        <v>835</v>
      </c>
      <c r="D166" s="17" t="str">
        <f ca="1">IFERROR(__xludf.DUMMYFUNCTION("GOOGLETRANSLATE(C166,""ES"",""EN"")"),"Users \ intervention \ affiliated with public insurance")</f>
        <v>Users \ intervention \ affiliated with public insurance</v>
      </c>
      <c r="E166" s="17" t="s">
        <v>1030</v>
      </c>
      <c r="F166" s="17" t="str">
        <f ca="1">IFERROR(__xludf.DUMMYFUNCTION("GOOGLETRANSLATE(E166,""ES"",""EN"")"),"The truth is that in my experience, independent of financing, it does not vary because always being a public service, any user is attended to any user. There our limitations that the person belongs to an isapre. But that is in every field of things, not h"&amp;"aving a center of their own cost where the person can pay their attention here, that limits those who cannot give attention to people who belong to any Isapre.")</f>
        <v>The truth is that in my experience, independent of financing, it does not vary because always being a public service, any user is attended to any user. There our limitations that the person belongs to an isapre. But that is in every field of things, not having a center of their own cost where the person can pay their attention here, that limits those who cannot give attention to people who belong to any Isapre.</v>
      </c>
      <c r="G166" s="18">
        <v>454</v>
      </c>
      <c r="H166" s="19">
        <v>1.7907151027491814</v>
      </c>
      <c r="I166" s="17" t="s">
        <v>837</v>
      </c>
      <c r="J166" s="17" t="str">
        <f ca="1">IFERROR(__xludf.DUMMYFUNCTION("GOOGLETRANSLATE(I166,""ES"",""EN"")"),"Confusing, intervening or mediators of the payment mechanism")</f>
        <v>Confusing, intervening or mediators of the payment mechanism</v>
      </c>
      <c r="K166" s="1"/>
      <c r="L166" s="1"/>
      <c r="M166" s="1"/>
      <c r="N166" s="1"/>
      <c r="O166" s="1"/>
      <c r="P166" s="1"/>
      <c r="Q166" s="1"/>
      <c r="R166" s="1"/>
      <c r="S166" s="1"/>
      <c r="T166" s="1"/>
      <c r="U166" s="1"/>
      <c r="V166" s="1"/>
      <c r="W166" s="1"/>
      <c r="X166" s="1"/>
      <c r="Y166" s="1"/>
    </row>
    <row r="167" spans="1:25" ht="15.75" customHeight="1" x14ac:dyDescent="0.25">
      <c r="A167" s="7" t="s">
        <v>5</v>
      </c>
      <c r="B167" s="17" t="s">
        <v>770</v>
      </c>
      <c r="C167" s="17" t="s">
        <v>835</v>
      </c>
      <c r="D167" s="17" t="str">
        <f ca="1">IFERROR(__xludf.DUMMYFUNCTION("GOOGLETRANSLATE(C167,""ES"",""EN"")"),"Users \ intervention \ affiliated with public insurance")</f>
        <v>Users \ intervention \ affiliated with public insurance</v>
      </c>
      <c r="E167" s="17" t="s">
        <v>1031</v>
      </c>
      <c r="F167" s="17" t="str">
        <f ca="1">IFERROR(__xludf.DUMMYFUNCTION("GOOGLETRANSLATE(E167,""ES"",""EN"")"),"I do not know if here happens that our users with lyrics c or d, who should make some copayment for some benefits, a collection equal to their or home comes to them. I only have to cancel in Fonasa. A direct payment is not made in the services centers. I "&amp;"do not know if that happens here, but I know that in other centers, the people who had fonasa c and d the same had to make a payment for the benefit, the charges arrived and they had to pay in Fonasa.")</f>
        <v>I do not know if here happens that our users with lyrics c or d, who should make some copayment for some benefits, a collection equal to their or home comes to them. I only have to cancel in Fonasa. A direct payment is not made in the services centers. I do not know if that happens here, but I know that in other centers, the people who had fonasa c and d the same had to make a payment for the benefit, the charges arrived and they had to pay in Fonasa.</v>
      </c>
      <c r="G167" s="18">
        <v>477</v>
      </c>
      <c r="H167" s="19">
        <v>1.8814341498047567</v>
      </c>
      <c r="I167" s="17" t="s">
        <v>837</v>
      </c>
      <c r="J167" s="17" t="str">
        <f ca="1">IFERROR(__xludf.DUMMYFUNCTION("GOOGLETRANSLATE(I167,""ES"",""EN"")"),"Confusing, intervening or mediators of the payment mechanism")</f>
        <v>Confusing, intervening or mediators of the payment mechanism</v>
      </c>
      <c r="K167" s="1"/>
      <c r="L167" s="1"/>
      <c r="M167" s="1"/>
      <c r="N167" s="1"/>
      <c r="O167" s="1"/>
      <c r="P167" s="1"/>
      <c r="Q167" s="1"/>
      <c r="R167" s="1"/>
      <c r="S167" s="1"/>
      <c r="T167" s="1"/>
      <c r="U167" s="1"/>
      <c r="V167" s="1"/>
      <c r="W167" s="1"/>
      <c r="X167" s="1"/>
      <c r="Y167" s="1"/>
    </row>
    <row r="168" spans="1:25" ht="15.75" customHeight="1" x14ac:dyDescent="0.25">
      <c r="A168" s="7" t="s">
        <v>5</v>
      </c>
      <c r="B168" s="17" t="s">
        <v>790</v>
      </c>
      <c r="C168" s="17" t="s">
        <v>835</v>
      </c>
      <c r="D168" s="17" t="str">
        <f ca="1">IFERROR(__xludf.DUMMYFUNCTION("GOOGLETRANSLATE(C168,""ES"",""EN"")"),"Users \ intervention \ affiliated with public insurance")</f>
        <v>Users \ intervention \ affiliated with public insurance</v>
      </c>
      <c r="E168" s="17" t="s">
        <v>1032</v>
      </c>
      <c r="F168" s="17" t="str">
        <f ca="1">IFERROR(__xludf.DUMMYFUNCTION("GOOGLETRANSLATE(E168,""ES"",""EN"")"),"We serve all Fonasa users, indistinct to their letter. As we do not have a collection box, which has been an issue that has not been resolved at the level of health service since I am in the center in 2018, the intention is to enable a collection box, but"&amp;" we do not have the right staff or the adequate installation to be able to start this project. Therefore, all the fonasa letters that are served with us are gratuity. There is no later charge.")</f>
        <v>We serve all Fonasa users, indistinct to their letter. As we do not have a collection box, which has been an issue that has not been resolved at the level of health service since I am in the center in 2018, the intention is to enable a collection box, but we do not have the right staff or the adequate installation to be able to start this project. Therefore, all the fonasa letters that are served with us are gratuity. There is no later charge.</v>
      </c>
      <c r="G168" s="18">
        <v>485</v>
      </c>
      <c r="H168" s="19">
        <v>1.9129886009545221</v>
      </c>
      <c r="I168" s="17" t="s">
        <v>837</v>
      </c>
      <c r="J168" s="17" t="str">
        <f ca="1">IFERROR(__xludf.DUMMYFUNCTION("GOOGLETRANSLATE(I168,""ES"",""EN"")"),"Confusing, intervening or mediators of the payment mechanism")</f>
        <v>Confusing, intervening or mediators of the payment mechanism</v>
      </c>
      <c r="K168" s="1"/>
      <c r="L168" s="1"/>
      <c r="M168" s="1"/>
      <c r="N168" s="1"/>
      <c r="O168" s="1"/>
      <c r="P168" s="1"/>
      <c r="Q168" s="1"/>
      <c r="R168" s="1"/>
      <c r="S168" s="1"/>
      <c r="T168" s="1"/>
      <c r="U168" s="1"/>
      <c r="V168" s="1"/>
      <c r="W168" s="1"/>
      <c r="X168" s="1"/>
      <c r="Y168" s="1"/>
    </row>
    <row r="169" spans="1:25" ht="15.75" customHeight="1" x14ac:dyDescent="0.25">
      <c r="A169" s="6" t="s">
        <v>5</v>
      </c>
      <c r="B169" s="17" t="s">
        <v>790</v>
      </c>
      <c r="C169" s="17" t="s">
        <v>830</v>
      </c>
      <c r="D169" s="17" t="str">
        <f ca="1">IFERROR(__xludf.DUMMYFUNCTION("GOOGLETRANSLATE(C169,""ES"",""EN"")"),"FINANCING \ INTERVENTION \ UNIVERSAL GENDER GUARANTEE PLAN")</f>
        <v>FINANCING \ INTERVENTION \ UNIVERSAL GENDER GUARANTEE PLAN</v>
      </c>
      <c r="E169" s="17" t="s">
        <v>1033</v>
      </c>
      <c r="F169" s="17" t="str">
        <f ca="1">IFERROR(__xludf.DUMMYFUNCTION("GOOGLETRANSLATE(E169,""ES"",""EN"")"),"In the case of the GES topic, we are associated with GES Sanitary Goals. 100% care guarantee compliance. But neither do we have an incentive with that beyond, let's say, to fulfill the goal. But, let's say, it is obviously attended within the deadlines, b"&amp;"ut like any other user who arrives an interconsultation from all places of derivation.")</f>
        <v>In the case of the GES topic, we are associated with GES Sanitary Goals. 100% care guarantee compliance. But neither do we have an incentive with that beyond, let's say, to fulfill the goal. But, let's say, it is obviously attended within the deadlines, but like any other user who arrives an interconsultation from all places of derivation.</v>
      </c>
      <c r="G169" s="18">
        <v>364</v>
      </c>
      <c r="H169" s="19">
        <v>1.4357275273143217</v>
      </c>
      <c r="I169" s="17" t="s">
        <v>832</v>
      </c>
      <c r="J169" s="17" t="str">
        <f ca="1">IFERROR(__xludf.DUMMYFUNCTION("GOOGLETRANSLATE(I169,""ES"",""EN"")"),"Universal Health Guarantee Plan (GES)")</f>
        <v>Universal Health Guarantee Plan (GES)</v>
      </c>
      <c r="K169" s="1"/>
      <c r="L169" s="1"/>
      <c r="M169" s="1"/>
      <c r="N169" s="1"/>
      <c r="O169" s="1"/>
      <c r="P169" s="1"/>
      <c r="Q169" s="1"/>
      <c r="R169" s="1"/>
      <c r="S169" s="1"/>
      <c r="T169" s="1"/>
      <c r="U169" s="1"/>
      <c r="V169" s="1"/>
      <c r="W169" s="1"/>
      <c r="X169" s="1"/>
      <c r="Y169" s="1"/>
    </row>
    <row r="170" spans="1:25" ht="15.75" customHeight="1" x14ac:dyDescent="0.25">
      <c r="A170" s="6" t="s">
        <v>5</v>
      </c>
      <c r="B170" s="17" t="s">
        <v>770</v>
      </c>
      <c r="C170" s="17" t="s">
        <v>868</v>
      </c>
      <c r="D170" s="17" t="str">
        <f ca="1">IFERROR(__xludf.DUMMYFUNCTION("GOOGLETRANSLATE(C170,""ES"",""EN"")"),"Financing \ Intervention \ Prospective Annual Budget of the SS")</f>
        <v>Financing \ Intervention \ Prospective Annual Budget of the SS</v>
      </c>
      <c r="E170" s="17" t="s">
        <v>1034</v>
      </c>
      <c r="F170" s="17" t="str">
        <f ca="1">IFERROR(__xludf.DUMMYFUNCTION("GOOGLETRANSLATE(E170,""ES"",""EN"")"),"As we have a base budget, say, of operation, that does not affect the type of benefits delivered. I would say that rather the availability of certain resources could limit the type of benefit, but I mean the number of hours of professionals. But no, let's"&amp;" not say any type of payment or incentive.")</f>
        <v>As we have a base budget, say, of operation, that does not affect the type of benefits delivered. I would say that rather the availability of certain resources could limit the type of benefit, but I mean the number of hours of professionals. But no, let's not say any type of payment or incentive.</v>
      </c>
      <c r="G170" s="18">
        <v>352</v>
      </c>
      <c r="H170" s="19">
        <v>1.3883958505896739</v>
      </c>
      <c r="I170" s="17" t="s">
        <v>870</v>
      </c>
      <c r="J170" s="17" t="str">
        <f ca="1">IFERROR(__xludf.DUMMYFUNCTION("GOOGLETRANSLATE(I170,""ES"",""EN"")"),"Historical Prospective Budget")</f>
        <v>Historical Prospective Budget</v>
      </c>
      <c r="K170" s="1"/>
      <c r="L170" s="1"/>
      <c r="M170" s="1"/>
      <c r="N170" s="1"/>
      <c r="O170" s="1"/>
      <c r="P170" s="1"/>
      <c r="Q170" s="1"/>
      <c r="R170" s="1"/>
      <c r="S170" s="1"/>
      <c r="T170" s="1"/>
      <c r="U170" s="1"/>
      <c r="V170" s="1"/>
      <c r="W170" s="1"/>
      <c r="X170" s="1"/>
      <c r="Y170" s="1"/>
    </row>
    <row r="171" spans="1:25" ht="15.75" customHeight="1" x14ac:dyDescent="0.25">
      <c r="A171" s="7" t="s">
        <v>5</v>
      </c>
      <c r="B171" s="17" t="s">
        <v>770</v>
      </c>
      <c r="C171" s="17" t="s">
        <v>841</v>
      </c>
      <c r="D171" s="17" t="str">
        <f ca="1">IFERROR(__xludf.DUMMYFUNCTION("GOOGLETRANSLATE(C171,""ES"",""EN"")"),"Users \ intervention \ specific population")</f>
        <v>Users \ intervention \ specific population</v>
      </c>
      <c r="E171" s="17" t="s">
        <v>1035</v>
      </c>
      <c r="F171" s="17" t="str">
        <f ca="1">IFERROR(__xludf.DUMMYFUNCTION("GOOGLETRANSLATE(E171,""ES"",""EN"")"),"It gives us the coverage of an area or type of benefits that we are not considered within the center, such as being able to give attention to people alive, in this particular case, which was the MIDESO program.")</f>
        <v>It gives us the coverage of an area or type of benefits that we are not considered within the center, such as being able to give attention to people alive, in this particular case, which was the MIDESO program.</v>
      </c>
      <c r="G171" s="18">
        <v>229</v>
      </c>
      <c r="H171" s="19">
        <v>0.90324616416203218</v>
      </c>
      <c r="I171" s="17" t="s">
        <v>837</v>
      </c>
      <c r="J171" s="17" t="str">
        <f ca="1">IFERROR(__xludf.DUMMYFUNCTION("GOOGLETRANSLATE(I171,""ES"",""EN"")"),"Confusing, intervening or mediators of the payment mechanism")</f>
        <v>Confusing, intervening or mediators of the payment mechanism</v>
      </c>
      <c r="K171" s="1"/>
      <c r="L171" s="1"/>
      <c r="M171" s="1"/>
      <c r="N171" s="1"/>
      <c r="O171" s="1"/>
      <c r="P171" s="1"/>
      <c r="Q171" s="1"/>
      <c r="R171" s="1"/>
      <c r="S171" s="1"/>
      <c r="T171" s="1"/>
      <c r="U171" s="1"/>
      <c r="V171" s="1"/>
      <c r="W171" s="1"/>
      <c r="X171" s="1"/>
      <c r="Y171" s="1"/>
    </row>
    <row r="172" spans="1:25" ht="15.75" customHeight="1" x14ac:dyDescent="0.25">
      <c r="A172" s="1"/>
      <c r="B172" s="1"/>
      <c r="C172" s="15"/>
      <c r="D172" s="17"/>
      <c r="E172" s="17"/>
      <c r="F172" s="17"/>
      <c r="G172" s="1"/>
      <c r="H172" s="1"/>
      <c r="I172" s="17"/>
      <c r="J172" s="17"/>
      <c r="K172" s="1"/>
      <c r="L172" s="1"/>
      <c r="M172" s="1"/>
      <c r="N172" s="1"/>
      <c r="O172" s="1"/>
      <c r="P172" s="1"/>
      <c r="Q172" s="1"/>
      <c r="R172" s="1"/>
      <c r="S172" s="1"/>
      <c r="T172" s="1"/>
      <c r="U172" s="1"/>
      <c r="V172" s="1"/>
      <c r="W172" s="1"/>
      <c r="X172" s="1"/>
      <c r="Y172" s="1"/>
    </row>
    <row r="173" spans="1:25" ht="15.75" customHeight="1" x14ac:dyDescent="0.25">
      <c r="A173" s="1"/>
      <c r="B173" s="1"/>
      <c r="C173" s="15"/>
      <c r="D173" s="17"/>
      <c r="E173" s="17"/>
      <c r="F173" s="17"/>
      <c r="G173" s="1"/>
      <c r="H173" s="1"/>
      <c r="I173" s="17"/>
      <c r="J173" s="17"/>
      <c r="K173" s="1"/>
      <c r="L173" s="1"/>
      <c r="M173" s="1"/>
      <c r="N173" s="1"/>
      <c r="O173" s="1"/>
      <c r="P173" s="1"/>
      <c r="Q173" s="1"/>
      <c r="R173" s="1"/>
      <c r="S173" s="1"/>
      <c r="T173" s="1"/>
      <c r="U173" s="1"/>
      <c r="V173" s="1"/>
      <c r="W173" s="1"/>
      <c r="X173" s="1"/>
      <c r="Y173" s="1"/>
    </row>
    <row r="174" spans="1:25" ht="15.75" customHeight="1" x14ac:dyDescent="0.25">
      <c r="A174" s="1"/>
      <c r="B174" s="1"/>
      <c r="C174" s="15"/>
      <c r="D174" s="17"/>
      <c r="E174" s="1"/>
      <c r="F174" s="17"/>
      <c r="G174" s="1"/>
      <c r="H174" s="1"/>
      <c r="I174" s="17"/>
      <c r="J174" s="17"/>
      <c r="K174" s="1"/>
      <c r="L174" s="1"/>
      <c r="M174" s="1"/>
      <c r="N174" s="1"/>
      <c r="O174" s="1"/>
      <c r="P174" s="1"/>
      <c r="Q174" s="1"/>
      <c r="R174" s="1"/>
      <c r="S174" s="1"/>
      <c r="T174" s="1"/>
      <c r="U174" s="1"/>
      <c r="V174" s="1"/>
      <c r="W174" s="1"/>
      <c r="X174" s="1"/>
      <c r="Y174" s="1"/>
    </row>
    <row r="175" spans="1:25" ht="15.75" customHeight="1" x14ac:dyDescent="0.25">
      <c r="A175" s="1"/>
      <c r="B175" s="1"/>
      <c r="C175" s="15"/>
      <c r="D175" s="17"/>
      <c r="E175" s="1"/>
      <c r="F175" s="17"/>
      <c r="G175" s="1"/>
      <c r="H175" s="1"/>
      <c r="I175" s="17"/>
      <c r="J175" s="17"/>
      <c r="K175" s="1"/>
      <c r="L175" s="1"/>
      <c r="M175" s="1"/>
      <c r="N175" s="1"/>
      <c r="O175" s="1"/>
      <c r="P175" s="1"/>
      <c r="Q175" s="1"/>
      <c r="R175" s="1"/>
      <c r="S175" s="1"/>
      <c r="T175" s="1"/>
      <c r="U175" s="1"/>
      <c r="V175" s="1"/>
      <c r="W175" s="1"/>
      <c r="X175" s="1"/>
      <c r="Y175" s="1"/>
    </row>
    <row r="176" spans="1:25" ht="15.75" customHeight="1" x14ac:dyDescent="0.25">
      <c r="A176" s="1"/>
      <c r="B176" s="1"/>
      <c r="C176" s="15"/>
      <c r="D176" s="17"/>
      <c r="E176" s="1"/>
      <c r="F176" s="17"/>
      <c r="G176" s="1"/>
      <c r="H176" s="1"/>
      <c r="I176" s="17"/>
      <c r="J176" s="17"/>
      <c r="K176" s="1"/>
      <c r="L176" s="1"/>
      <c r="M176" s="1"/>
      <c r="N176" s="1"/>
      <c r="O176" s="1"/>
      <c r="P176" s="1"/>
      <c r="Q176" s="1"/>
      <c r="R176" s="1"/>
      <c r="S176" s="1"/>
      <c r="T176" s="1"/>
      <c r="U176" s="1"/>
      <c r="V176" s="1"/>
      <c r="W176" s="1"/>
      <c r="X176" s="1"/>
      <c r="Y176" s="1"/>
    </row>
    <row r="177" spans="1:25" ht="15.75" customHeight="1" x14ac:dyDescent="0.25">
      <c r="A177" s="1"/>
      <c r="B177" s="1"/>
      <c r="C177" s="15"/>
      <c r="D177" s="17"/>
      <c r="E177" s="1"/>
      <c r="F177" s="17"/>
      <c r="G177" s="1"/>
      <c r="H177" s="1"/>
      <c r="I177" s="17"/>
      <c r="J177" s="17"/>
      <c r="K177" s="1"/>
      <c r="L177" s="1"/>
      <c r="M177" s="1"/>
      <c r="N177" s="1"/>
      <c r="O177" s="1"/>
      <c r="P177" s="1"/>
      <c r="Q177" s="1"/>
      <c r="R177" s="1"/>
      <c r="S177" s="1"/>
      <c r="T177" s="1"/>
      <c r="U177" s="1"/>
      <c r="V177" s="1"/>
      <c r="W177" s="1"/>
      <c r="X177" s="1"/>
      <c r="Y177" s="1"/>
    </row>
    <row r="178" spans="1:25" ht="15.75" customHeight="1" x14ac:dyDescent="0.25">
      <c r="A178" s="1"/>
      <c r="B178" s="1"/>
      <c r="C178" s="15"/>
      <c r="D178" s="17"/>
      <c r="E178" s="1"/>
      <c r="F178" s="17"/>
      <c r="G178" s="1"/>
      <c r="H178" s="1"/>
      <c r="I178" s="17"/>
      <c r="J178" s="17"/>
      <c r="K178" s="1"/>
      <c r="L178" s="1"/>
      <c r="M178" s="1"/>
      <c r="N178" s="1"/>
      <c r="O178" s="1"/>
      <c r="P178" s="1"/>
      <c r="Q178" s="1"/>
      <c r="R178" s="1"/>
      <c r="S178" s="1"/>
      <c r="T178" s="1"/>
      <c r="U178" s="1"/>
      <c r="V178" s="1"/>
      <c r="W178" s="1"/>
      <c r="X178" s="1"/>
      <c r="Y178" s="1"/>
    </row>
    <row r="179" spans="1:25" ht="15.75" customHeight="1" x14ac:dyDescent="0.25">
      <c r="A179" s="1"/>
      <c r="B179" s="1"/>
      <c r="C179" s="15"/>
      <c r="D179" s="17"/>
      <c r="E179" s="1"/>
      <c r="F179" s="17"/>
      <c r="G179" s="1"/>
      <c r="H179" s="1"/>
      <c r="I179" s="17"/>
      <c r="J179" s="17"/>
      <c r="K179" s="1"/>
      <c r="L179" s="1"/>
      <c r="M179" s="1"/>
      <c r="N179" s="1"/>
      <c r="O179" s="1"/>
      <c r="P179" s="1"/>
      <c r="Q179" s="1"/>
      <c r="R179" s="1"/>
      <c r="S179" s="1"/>
      <c r="T179" s="1"/>
      <c r="U179" s="1"/>
      <c r="V179" s="1"/>
      <c r="W179" s="1"/>
      <c r="X179" s="1"/>
      <c r="Y179" s="1"/>
    </row>
    <row r="180" spans="1:25" ht="15.75" customHeight="1" x14ac:dyDescent="0.25">
      <c r="A180" s="1"/>
      <c r="B180" s="1"/>
      <c r="C180" s="15"/>
      <c r="D180" s="17"/>
      <c r="E180" s="1"/>
      <c r="F180" s="17"/>
      <c r="G180" s="1"/>
      <c r="H180" s="1"/>
      <c r="I180" s="17"/>
      <c r="J180" s="17"/>
      <c r="K180" s="1"/>
      <c r="L180" s="1"/>
      <c r="M180" s="1"/>
      <c r="N180" s="1"/>
      <c r="O180" s="1"/>
      <c r="P180" s="1"/>
      <c r="Q180" s="1"/>
      <c r="R180" s="1"/>
      <c r="S180" s="1"/>
      <c r="T180" s="1"/>
      <c r="U180" s="1"/>
      <c r="V180" s="1"/>
      <c r="W180" s="1"/>
      <c r="X180" s="1"/>
      <c r="Y180" s="1"/>
    </row>
    <row r="181" spans="1:25" ht="15.75" customHeight="1" x14ac:dyDescent="0.25">
      <c r="A181" s="1"/>
      <c r="B181" s="1"/>
      <c r="C181" s="15"/>
      <c r="D181" s="17"/>
      <c r="E181" s="1"/>
      <c r="F181" s="17"/>
      <c r="G181" s="1"/>
      <c r="H181" s="1"/>
      <c r="I181" s="17"/>
      <c r="J181" s="17"/>
      <c r="K181" s="1"/>
      <c r="L181" s="1"/>
      <c r="M181" s="1"/>
      <c r="N181" s="1"/>
      <c r="O181" s="1"/>
      <c r="P181" s="1"/>
      <c r="Q181" s="1"/>
      <c r="R181" s="1"/>
      <c r="S181" s="1"/>
      <c r="T181" s="1"/>
      <c r="U181" s="1"/>
      <c r="V181" s="1"/>
      <c r="W181" s="1"/>
      <c r="X181" s="1"/>
      <c r="Y181" s="1"/>
    </row>
    <row r="182" spans="1:25" ht="15.75" customHeight="1" x14ac:dyDescent="0.25">
      <c r="A182" s="1"/>
      <c r="B182" s="1"/>
      <c r="C182" s="15"/>
      <c r="D182" s="17"/>
      <c r="E182" s="1"/>
      <c r="F182" s="17"/>
      <c r="G182" s="1"/>
      <c r="H182" s="1"/>
      <c r="I182" s="17"/>
      <c r="J182" s="17"/>
      <c r="K182" s="1"/>
      <c r="L182" s="1"/>
      <c r="M182" s="1"/>
      <c r="N182" s="1"/>
      <c r="O182" s="1"/>
      <c r="P182" s="1"/>
      <c r="Q182" s="1"/>
      <c r="R182" s="1"/>
      <c r="S182" s="1"/>
      <c r="T182" s="1"/>
      <c r="U182" s="1"/>
      <c r="V182" s="1"/>
      <c r="W182" s="1"/>
      <c r="X182" s="1"/>
      <c r="Y182" s="1"/>
    </row>
    <row r="183" spans="1:25" ht="15.75" customHeight="1" x14ac:dyDescent="0.25">
      <c r="A183" s="1"/>
      <c r="B183" s="1"/>
      <c r="C183" s="15"/>
      <c r="D183" s="17"/>
      <c r="E183" s="1"/>
      <c r="F183" s="17"/>
      <c r="G183" s="1"/>
      <c r="H183" s="1"/>
      <c r="I183" s="17"/>
      <c r="J183" s="17"/>
      <c r="K183" s="1"/>
      <c r="L183" s="1"/>
      <c r="M183" s="1"/>
      <c r="N183" s="1"/>
      <c r="O183" s="1"/>
      <c r="P183" s="1"/>
      <c r="Q183" s="1"/>
      <c r="R183" s="1"/>
      <c r="S183" s="1"/>
      <c r="T183" s="1"/>
      <c r="U183" s="1"/>
      <c r="V183" s="1"/>
      <c r="W183" s="1"/>
      <c r="X183" s="1"/>
      <c r="Y183" s="1"/>
    </row>
    <row r="184" spans="1:25" ht="15.75" customHeight="1" x14ac:dyDescent="0.25">
      <c r="A184" s="1"/>
      <c r="B184" s="1"/>
      <c r="C184" s="15"/>
      <c r="D184" s="17"/>
      <c r="E184" s="1"/>
      <c r="F184" s="17"/>
      <c r="G184" s="1"/>
      <c r="H184" s="1"/>
      <c r="I184" s="17"/>
      <c r="J184" s="17"/>
      <c r="K184" s="1"/>
      <c r="L184" s="1"/>
      <c r="M184" s="1"/>
      <c r="N184" s="1"/>
      <c r="O184" s="1"/>
      <c r="P184" s="1"/>
      <c r="Q184" s="1"/>
      <c r="R184" s="1"/>
      <c r="S184" s="1"/>
      <c r="T184" s="1"/>
      <c r="U184" s="1"/>
      <c r="V184" s="1"/>
      <c r="W184" s="1"/>
      <c r="X184" s="1"/>
      <c r="Y184" s="1"/>
    </row>
    <row r="185" spans="1:25" ht="15.75" customHeight="1" x14ac:dyDescent="0.25">
      <c r="A185" s="1"/>
      <c r="B185" s="1"/>
      <c r="C185" s="15"/>
      <c r="D185" s="17"/>
      <c r="E185" s="1"/>
      <c r="F185" s="17"/>
      <c r="G185" s="1"/>
      <c r="H185" s="1"/>
      <c r="I185" s="17"/>
      <c r="J185" s="17"/>
      <c r="K185" s="1"/>
      <c r="L185" s="1"/>
      <c r="M185" s="1"/>
      <c r="N185" s="1"/>
      <c r="O185" s="1"/>
      <c r="P185" s="1"/>
      <c r="Q185" s="1"/>
      <c r="R185" s="1"/>
      <c r="S185" s="1"/>
      <c r="T185" s="1"/>
      <c r="U185" s="1"/>
      <c r="V185" s="1"/>
      <c r="W185" s="1"/>
      <c r="X185" s="1"/>
      <c r="Y185" s="1"/>
    </row>
    <row r="186" spans="1:25" ht="15.75" customHeight="1" x14ac:dyDescent="0.25">
      <c r="A186" s="1"/>
      <c r="B186" s="1"/>
      <c r="C186" s="15"/>
      <c r="D186" s="17"/>
      <c r="E186" s="1"/>
      <c r="F186" s="17"/>
      <c r="G186" s="1"/>
      <c r="H186" s="1"/>
      <c r="I186" s="17"/>
      <c r="J186" s="17"/>
      <c r="K186" s="1"/>
      <c r="L186" s="1"/>
      <c r="M186" s="1"/>
      <c r="N186" s="1"/>
      <c r="O186" s="1"/>
      <c r="P186" s="1"/>
      <c r="Q186" s="1"/>
      <c r="R186" s="1"/>
      <c r="S186" s="1"/>
      <c r="T186" s="1"/>
      <c r="U186" s="1"/>
      <c r="V186" s="1"/>
      <c r="W186" s="1"/>
      <c r="X186" s="1"/>
      <c r="Y186" s="1"/>
    </row>
    <row r="187" spans="1:25" ht="15.75" customHeight="1" x14ac:dyDescent="0.25">
      <c r="A187" s="1"/>
      <c r="B187" s="1"/>
      <c r="C187" s="15"/>
      <c r="D187" s="17"/>
      <c r="E187" s="1"/>
      <c r="F187" s="17"/>
      <c r="G187" s="1"/>
      <c r="H187" s="1"/>
      <c r="I187" s="17"/>
      <c r="J187" s="17"/>
      <c r="K187" s="1"/>
      <c r="L187" s="1"/>
      <c r="M187" s="1"/>
      <c r="N187" s="1"/>
      <c r="O187" s="1"/>
      <c r="P187" s="1"/>
      <c r="Q187" s="1"/>
      <c r="R187" s="1"/>
      <c r="S187" s="1"/>
      <c r="T187" s="1"/>
      <c r="U187" s="1"/>
      <c r="V187" s="1"/>
      <c r="W187" s="1"/>
      <c r="X187" s="1"/>
      <c r="Y187" s="1"/>
    </row>
    <row r="188" spans="1:25" ht="15.75" customHeight="1" x14ac:dyDescent="0.25">
      <c r="A188" s="1"/>
      <c r="B188" s="1"/>
      <c r="C188" s="15"/>
      <c r="D188" s="17"/>
      <c r="E188" s="1"/>
      <c r="F188" s="17"/>
      <c r="G188" s="1"/>
      <c r="H188" s="1"/>
      <c r="I188" s="17"/>
      <c r="J188" s="17"/>
      <c r="K188" s="1"/>
      <c r="L188" s="1"/>
      <c r="M188" s="1"/>
      <c r="N188" s="1"/>
      <c r="O188" s="1"/>
      <c r="P188" s="1"/>
      <c r="Q188" s="1"/>
      <c r="R188" s="1"/>
      <c r="S188" s="1"/>
      <c r="T188" s="1"/>
      <c r="U188" s="1"/>
      <c r="V188" s="1"/>
      <c r="W188" s="1"/>
      <c r="X188" s="1"/>
      <c r="Y188" s="1"/>
    </row>
    <row r="189" spans="1:25" ht="15.75" customHeight="1" x14ac:dyDescent="0.25">
      <c r="A189" s="1"/>
      <c r="B189" s="1"/>
      <c r="C189" s="15"/>
      <c r="D189" s="17"/>
      <c r="E189" s="1"/>
      <c r="F189" s="17"/>
      <c r="G189" s="1"/>
      <c r="H189" s="1"/>
      <c r="I189" s="17"/>
      <c r="J189" s="17"/>
      <c r="K189" s="1"/>
      <c r="L189" s="1"/>
      <c r="M189" s="1"/>
      <c r="N189" s="1"/>
      <c r="O189" s="1"/>
      <c r="P189" s="1"/>
      <c r="Q189" s="1"/>
      <c r="R189" s="1"/>
      <c r="S189" s="1"/>
      <c r="T189" s="1"/>
      <c r="U189" s="1"/>
      <c r="V189" s="1"/>
      <c r="W189" s="1"/>
      <c r="X189" s="1"/>
      <c r="Y189" s="1"/>
    </row>
    <row r="190" spans="1:25" ht="15.75" customHeight="1" x14ac:dyDescent="0.25">
      <c r="A190" s="1"/>
      <c r="B190" s="1"/>
      <c r="C190" s="15"/>
      <c r="D190" s="17"/>
      <c r="E190" s="1"/>
      <c r="F190" s="17"/>
      <c r="G190" s="1"/>
      <c r="H190" s="1"/>
      <c r="I190" s="17"/>
      <c r="J190" s="17"/>
      <c r="K190" s="1"/>
      <c r="L190" s="1"/>
      <c r="M190" s="1"/>
      <c r="N190" s="1"/>
      <c r="O190" s="1"/>
      <c r="P190" s="1"/>
      <c r="Q190" s="1"/>
      <c r="R190" s="1"/>
      <c r="S190" s="1"/>
      <c r="T190" s="1"/>
      <c r="U190" s="1"/>
      <c r="V190" s="1"/>
      <c r="W190" s="1"/>
      <c r="X190" s="1"/>
      <c r="Y190" s="1"/>
    </row>
    <row r="191" spans="1:25" ht="15.75" customHeight="1" x14ac:dyDescent="0.25">
      <c r="A191" s="1"/>
      <c r="B191" s="1"/>
      <c r="C191" s="15"/>
      <c r="D191" s="17"/>
      <c r="E191" s="1"/>
      <c r="F191" s="17"/>
      <c r="G191" s="1"/>
      <c r="H191" s="1"/>
      <c r="I191" s="17"/>
      <c r="J191" s="17"/>
      <c r="K191" s="1"/>
      <c r="L191" s="1"/>
      <c r="M191" s="1"/>
      <c r="N191" s="1"/>
      <c r="O191" s="1"/>
      <c r="P191" s="1"/>
      <c r="Q191" s="1"/>
      <c r="R191" s="1"/>
      <c r="S191" s="1"/>
      <c r="T191" s="1"/>
      <c r="U191" s="1"/>
      <c r="V191" s="1"/>
      <c r="W191" s="1"/>
      <c r="X191" s="1"/>
      <c r="Y191" s="1"/>
    </row>
    <row r="192" spans="1:25" ht="15.75" customHeight="1" x14ac:dyDescent="0.25">
      <c r="A192" s="1"/>
      <c r="B192" s="1"/>
      <c r="C192" s="15"/>
      <c r="D192" s="17"/>
      <c r="E192" s="1"/>
      <c r="F192" s="17"/>
      <c r="G192" s="1"/>
      <c r="H192" s="1"/>
      <c r="I192" s="17"/>
      <c r="J192" s="17"/>
      <c r="K192" s="1"/>
      <c r="L192" s="1"/>
      <c r="M192" s="1"/>
      <c r="N192" s="1"/>
      <c r="O192" s="1"/>
      <c r="P192" s="1"/>
      <c r="Q192" s="1"/>
      <c r="R192" s="1"/>
      <c r="S192" s="1"/>
      <c r="T192" s="1"/>
      <c r="U192" s="1"/>
      <c r="V192" s="1"/>
      <c r="W192" s="1"/>
      <c r="X192" s="1"/>
      <c r="Y192" s="1"/>
    </row>
    <row r="193" spans="1:25" ht="15.75" customHeight="1" x14ac:dyDescent="0.25">
      <c r="A193" s="1"/>
      <c r="B193" s="1"/>
      <c r="C193" s="15"/>
      <c r="D193" s="17"/>
      <c r="E193" s="1"/>
      <c r="F193" s="17"/>
      <c r="G193" s="1"/>
      <c r="H193" s="1"/>
      <c r="I193" s="17"/>
      <c r="J193" s="17"/>
      <c r="K193" s="1"/>
      <c r="L193" s="1"/>
      <c r="M193" s="1"/>
      <c r="N193" s="1"/>
      <c r="O193" s="1"/>
      <c r="P193" s="1"/>
      <c r="Q193" s="1"/>
      <c r="R193" s="1"/>
      <c r="S193" s="1"/>
      <c r="T193" s="1"/>
      <c r="U193" s="1"/>
      <c r="V193" s="1"/>
      <c r="W193" s="1"/>
      <c r="X193" s="1"/>
      <c r="Y193" s="1"/>
    </row>
    <row r="194" spans="1:25" ht="15.75" customHeight="1" x14ac:dyDescent="0.25">
      <c r="A194" s="1"/>
      <c r="B194" s="1"/>
      <c r="C194" s="15"/>
      <c r="D194" s="17"/>
      <c r="E194" s="1"/>
      <c r="F194" s="17"/>
      <c r="G194" s="1"/>
      <c r="H194" s="1"/>
      <c r="I194" s="17"/>
      <c r="J194" s="17"/>
      <c r="K194" s="1"/>
      <c r="L194" s="1"/>
      <c r="M194" s="1"/>
      <c r="N194" s="1"/>
      <c r="O194" s="1"/>
      <c r="P194" s="1"/>
      <c r="Q194" s="1"/>
      <c r="R194" s="1"/>
      <c r="S194" s="1"/>
      <c r="T194" s="1"/>
      <c r="U194" s="1"/>
      <c r="V194" s="1"/>
      <c r="W194" s="1"/>
      <c r="X194" s="1"/>
      <c r="Y194" s="1"/>
    </row>
    <row r="195" spans="1:25" ht="15.75" customHeight="1" x14ac:dyDescent="0.25">
      <c r="A195" s="1"/>
      <c r="B195" s="1"/>
      <c r="C195" s="15"/>
      <c r="D195" s="17"/>
      <c r="E195" s="1"/>
      <c r="F195" s="17"/>
      <c r="G195" s="1"/>
      <c r="H195" s="1"/>
      <c r="I195" s="17"/>
      <c r="J195" s="17"/>
      <c r="K195" s="1"/>
      <c r="L195" s="1"/>
      <c r="M195" s="1"/>
      <c r="N195" s="1"/>
      <c r="O195" s="1"/>
      <c r="P195" s="1"/>
      <c r="Q195" s="1"/>
      <c r="R195" s="1"/>
      <c r="S195" s="1"/>
      <c r="T195" s="1"/>
      <c r="U195" s="1"/>
      <c r="V195" s="1"/>
      <c r="W195" s="1"/>
      <c r="X195" s="1"/>
      <c r="Y195" s="1"/>
    </row>
    <row r="196" spans="1:25" ht="15.75" customHeight="1" x14ac:dyDescent="0.25">
      <c r="A196" s="1"/>
      <c r="B196" s="1"/>
      <c r="C196" s="15"/>
      <c r="D196" s="17"/>
      <c r="E196" s="1"/>
      <c r="F196" s="17"/>
      <c r="G196" s="1"/>
      <c r="H196" s="1"/>
      <c r="I196" s="17"/>
      <c r="J196" s="17"/>
      <c r="K196" s="1"/>
      <c r="L196" s="1"/>
      <c r="M196" s="1"/>
      <c r="N196" s="1"/>
      <c r="O196" s="1"/>
      <c r="P196" s="1"/>
      <c r="Q196" s="1"/>
      <c r="R196" s="1"/>
      <c r="S196" s="1"/>
      <c r="T196" s="1"/>
      <c r="U196" s="1"/>
      <c r="V196" s="1"/>
      <c r="W196" s="1"/>
      <c r="X196" s="1"/>
      <c r="Y196" s="1"/>
    </row>
    <row r="197" spans="1:25" ht="15.75" customHeight="1" x14ac:dyDescent="0.25">
      <c r="A197" s="1"/>
      <c r="B197" s="1"/>
      <c r="C197" s="15"/>
      <c r="D197" s="17"/>
      <c r="E197" s="1"/>
      <c r="F197" s="17"/>
      <c r="G197" s="1"/>
      <c r="H197" s="1"/>
      <c r="I197" s="17"/>
      <c r="J197" s="17"/>
      <c r="K197" s="1"/>
      <c r="L197" s="1"/>
      <c r="M197" s="1"/>
      <c r="N197" s="1"/>
      <c r="O197" s="1"/>
      <c r="P197" s="1"/>
      <c r="Q197" s="1"/>
      <c r="R197" s="1"/>
      <c r="S197" s="1"/>
      <c r="T197" s="1"/>
      <c r="U197" s="1"/>
      <c r="V197" s="1"/>
      <c r="W197" s="1"/>
      <c r="X197" s="1"/>
      <c r="Y197" s="1"/>
    </row>
    <row r="198" spans="1:25" ht="15.75" customHeight="1" x14ac:dyDescent="0.25">
      <c r="A198" s="1"/>
      <c r="B198" s="1"/>
      <c r="C198" s="15"/>
      <c r="D198" s="17"/>
      <c r="E198" s="1"/>
      <c r="F198" s="17"/>
      <c r="G198" s="1"/>
      <c r="H198" s="1"/>
      <c r="I198" s="17"/>
      <c r="J198" s="17"/>
      <c r="K198" s="1"/>
      <c r="L198" s="1"/>
      <c r="M198" s="1"/>
      <c r="N198" s="1"/>
      <c r="O198" s="1"/>
      <c r="P198" s="1"/>
      <c r="Q198" s="1"/>
      <c r="R198" s="1"/>
      <c r="S198" s="1"/>
      <c r="T198" s="1"/>
      <c r="U198" s="1"/>
      <c r="V198" s="1"/>
      <c r="W198" s="1"/>
      <c r="X198" s="1"/>
      <c r="Y198" s="1"/>
    </row>
    <row r="199" spans="1:25" ht="15.75" customHeight="1" x14ac:dyDescent="0.25">
      <c r="A199" s="1"/>
      <c r="B199" s="1"/>
      <c r="C199" s="15"/>
      <c r="D199" s="17"/>
      <c r="E199" s="1"/>
      <c r="F199" s="17"/>
      <c r="G199" s="1"/>
      <c r="H199" s="1"/>
      <c r="I199" s="17"/>
      <c r="J199" s="17"/>
      <c r="K199" s="1"/>
      <c r="L199" s="1"/>
      <c r="M199" s="1"/>
      <c r="N199" s="1"/>
      <c r="O199" s="1"/>
      <c r="P199" s="1"/>
      <c r="Q199" s="1"/>
      <c r="R199" s="1"/>
      <c r="S199" s="1"/>
      <c r="T199" s="1"/>
      <c r="U199" s="1"/>
      <c r="V199" s="1"/>
      <c r="W199" s="1"/>
      <c r="X199" s="1"/>
      <c r="Y199" s="1"/>
    </row>
    <row r="200" spans="1:25" ht="15.75" customHeight="1" x14ac:dyDescent="0.25">
      <c r="A200" s="1"/>
      <c r="B200" s="1"/>
      <c r="C200" s="15"/>
      <c r="D200" s="17"/>
      <c r="E200" s="1"/>
      <c r="F200" s="17"/>
      <c r="G200" s="1"/>
      <c r="H200" s="1"/>
      <c r="I200" s="17"/>
      <c r="J200" s="17"/>
      <c r="K200" s="1"/>
      <c r="L200" s="1"/>
      <c r="M200" s="1"/>
      <c r="N200" s="1"/>
      <c r="O200" s="1"/>
      <c r="P200" s="1"/>
      <c r="Q200" s="1"/>
      <c r="R200" s="1"/>
      <c r="S200" s="1"/>
      <c r="T200" s="1"/>
      <c r="U200" s="1"/>
      <c r="V200" s="1"/>
      <c r="W200" s="1"/>
      <c r="X200" s="1"/>
      <c r="Y200" s="1"/>
    </row>
    <row r="201" spans="1:25" ht="15.75" customHeight="1" x14ac:dyDescent="0.25">
      <c r="A201" s="1"/>
      <c r="B201" s="1"/>
      <c r="C201" s="15"/>
      <c r="D201" s="17"/>
      <c r="E201" s="1"/>
      <c r="F201" s="17"/>
      <c r="G201" s="1"/>
      <c r="H201" s="1"/>
      <c r="I201" s="17"/>
      <c r="J201" s="17"/>
      <c r="K201" s="1"/>
      <c r="L201" s="1"/>
      <c r="M201" s="1"/>
      <c r="N201" s="1"/>
      <c r="O201" s="1"/>
      <c r="P201" s="1"/>
      <c r="Q201" s="1"/>
      <c r="R201" s="1"/>
      <c r="S201" s="1"/>
      <c r="T201" s="1"/>
      <c r="U201" s="1"/>
      <c r="V201" s="1"/>
      <c r="W201" s="1"/>
      <c r="X201" s="1"/>
      <c r="Y201" s="1"/>
    </row>
    <row r="202" spans="1:25" ht="15.75" customHeight="1" x14ac:dyDescent="0.25">
      <c r="A202" s="1"/>
      <c r="B202" s="1"/>
      <c r="C202" s="15"/>
      <c r="D202" s="17"/>
      <c r="E202" s="1"/>
      <c r="F202" s="17"/>
      <c r="G202" s="1"/>
      <c r="H202" s="1"/>
      <c r="I202" s="17"/>
      <c r="J202" s="17"/>
      <c r="K202" s="1"/>
      <c r="L202" s="1"/>
      <c r="M202" s="1"/>
      <c r="N202" s="1"/>
      <c r="O202" s="1"/>
      <c r="P202" s="1"/>
      <c r="Q202" s="1"/>
      <c r="R202" s="1"/>
      <c r="S202" s="1"/>
      <c r="T202" s="1"/>
      <c r="U202" s="1"/>
      <c r="V202" s="1"/>
      <c r="W202" s="1"/>
      <c r="X202" s="1"/>
      <c r="Y202" s="1"/>
    </row>
    <row r="203" spans="1:25" ht="15.75" customHeight="1" x14ac:dyDescent="0.25">
      <c r="A203" s="1"/>
      <c r="B203" s="1"/>
      <c r="C203" s="15"/>
      <c r="D203" s="17"/>
      <c r="E203" s="1"/>
      <c r="F203" s="17"/>
      <c r="G203" s="1"/>
      <c r="H203" s="1"/>
      <c r="I203" s="17"/>
      <c r="J203" s="17"/>
      <c r="K203" s="1"/>
      <c r="L203" s="1"/>
      <c r="M203" s="1"/>
      <c r="N203" s="1"/>
      <c r="O203" s="1"/>
      <c r="P203" s="1"/>
      <c r="Q203" s="1"/>
      <c r="R203" s="1"/>
      <c r="S203" s="1"/>
      <c r="T203" s="1"/>
      <c r="U203" s="1"/>
      <c r="V203" s="1"/>
      <c r="W203" s="1"/>
      <c r="X203" s="1"/>
      <c r="Y203" s="1"/>
    </row>
    <row r="204" spans="1:25" ht="15.75" customHeight="1" x14ac:dyDescent="0.25">
      <c r="A204" s="1"/>
      <c r="B204" s="1"/>
      <c r="C204" s="15"/>
      <c r="D204" s="17"/>
      <c r="E204" s="1"/>
      <c r="F204" s="17"/>
      <c r="G204" s="1"/>
      <c r="H204" s="1"/>
      <c r="I204" s="17"/>
      <c r="J204" s="17"/>
      <c r="K204" s="1"/>
      <c r="L204" s="1"/>
      <c r="M204" s="1"/>
      <c r="N204" s="1"/>
      <c r="O204" s="1"/>
      <c r="P204" s="1"/>
      <c r="Q204" s="1"/>
      <c r="R204" s="1"/>
      <c r="S204" s="1"/>
      <c r="T204" s="1"/>
      <c r="U204" s="1"/>
      <c r="V204" s="1"/>
      <c r="W204" s="1"/>
      <c r="X204" s="1"/>
      <c r="Y204" s="1"/>
    </row>
    <row r="205" spans="1:25" ht="15.75" customHeight="1" x14ac:dyDescent="0.25">
      <c r="A205" s="1"/>
      <c r="B205" s="1"/>
      <c r="C205" s="15"/>
      <c r="D205" s="17"/>
      <c r="E205" s="1"/>
      <c r="F205" s="17"/>
      <c r="G205" s="1"/>
      <c r="H205" s="1"/>
      <c r="I205" s="17"/>
      <c r="J205" s="17"/>
      <c r="K205" s="1"/>
      <c r="L205" s="1"/>
      <c r="M205" s="1"/>
      <c r="N205" s="1"/>
      <c r="O205" s="1"/>
      <c r="P205" s="1"/>
      <c r="Q205" s="1"/>
      <c r="R205" s="1"/>
      <c r="S205" s="1"/>
      <c r="T205" s="1"/>
      <c r="U205" s="1"/>
      <c r="V205" s="1"/>
      <c r="W205" s="1"/>
      <c r="X205" s="1"/>
      <c r="Y205" s="1"/>
    </row>
    <row r="206" spans="1:25" ht="15.75" customHeight="1" x14ac:dyDescent="0.25">
      <c r="A206" s="1"/>
      <c r="B206" s="1"/>
      <c r="C206" s="15"/>
      <c r="D206" s="17"/>
      <c r="E206" s="1"/>
      <c r="F206" s="17"/>
      <c r="G206" s="1"/>
      <c r="H206" s="1"/>
      <c r="I206" s="17"/>
      <c r="J206" s="17"/>
      <c r="K206" s="1"/>
      <c r="L206" s="1"/>
      <c r="M206" s="1"/>
      <c r="N206" s="1"/>
      <c r="O206" s="1"/>
      <c r="P206" s="1"/>
      <c r="Q206" s="1"/>
      <c r="R206" s="1"/>
      <c r="S206" s="1"/>
      <c r="T206" s="1"/>
      <c r="U206" s="1"/>
      <c r="V206" s="1"/>
      <c r="W206" s="1"/>
      <c r="X206" s="1"/>
      <c r="Y206" s="1"/>
    </row>
    <row r="207" spans="1:25" ht="15.75" customHeight="1" x14ac:dyDescent="0.25">
      <c r="A207" s="1"/>
      <c r="B207" s="1"/>
      <c r="C207" s="15"/>
      <c r="D207" s="17"/>
      <c r="E207" s="1"/>
      <c r="F207" s="17"/>
      <c r="G207" s="1"/>
      <c r="H207" s="1"/>
      <c r="I207" s="17"/>
      <c r="J207" s="17"/>
      <c r="K207" s="1"/>
      <c r="L207" s="1"/>
      <c r="M207" s="1"/>
      <c r="N207" s="1"/>
      <c r="O207" s="1"/>
      <c r="P207" s="1"/>
      <c r="Q207" s="1"/>
      <c r="R207" s="1"/>
      <c r="S207" s="1"/>
      <c r="T207" s="1"/>
      <c r="U207" s="1"/>
      <c r="V207" s="1"/>
      <c r="W207" s="1"/>
      <c r="X207" s="1"/>
      <c r="Y207" s="1"/>
    </row>
    <row r="208" spans="1:25" ht="15.75" customHeight="1" x14ac:dyDescent="0.25">
      <c r="A208" s="1"/>
      <c r="B208" s="1"/>
      <c r="C208" s="15"/>
      <c r="D208" s="17"/>
      <c r="E208" s="1"/>
      <c r="F208" s="17"/>
      <c r="G208" s="1"/>
      <c r="H208" s="1"/>
      <c r="I208" s="17"/>
      <c r="J208" s="17"/>
      <c r="K208" s="1"/>
      <c r="L208" s="1"/>
      <c r="M208" s="1"/>
      <c r="N208" s="1"/>
      <c r="O208" s="1"/>
      <c r="P208" s="1"/>
      <c r="Q208" s="1"/>
      <c r="R208" s="1"/>
      <c r="S208" s="1"/>
      <c r="T208" s="1"/>
      <c r="U208" s="1"/>
      <c r="V208" s="1"/>
      <c r="W208" s="1"/>
      <c r="X208" s="1"/>
      <c r="Y208" s="1"/>
    </row>
    <row r="209" spans="1:25" ht="15.75" customHeight="1" x14ac:dyDescent="0.25">
      <c r="A209" s="1"/>
      <c r="B209" s="1"/>
      <c r="C209" s="15"/>
      <c r="D209" s="17"/>
      <c r="E209" s="1"/>
      <c r="F209" s="17"/>
      <c r="G209" s="1"/>
      <c r="H209" s="1"/>
      <c r="I209" s="17"/>
      <c r="J209" s="17"/>
      <c r="K209" s="1"/>
      <c r="L209" s="1"/>
      <c r="M209" s="1"/>
      <c r="N209" s="1"/>
      <c r="O209" s="1"/>
      <c r="P209" s="1"/>
      <c r="Q209" s="1"/>
      <c r="R209" s="1"/>
      <c r="S209" s="1"/>
      <c r="T209" s="1"/>
      <c r="U209" s="1"/>
      <c r="V209" s="1"/>
      <c r="W209" s="1"/>
      <c r="X209" s="1"/>
      <c r="Y209" s="1"/>
    </row>
    <row r="210" spans="1:25" ht="15.75" customHeight="1" x14ac:dyDescent="0.25">
      <c r="A210" s="1"/>
      <c r="B210" s="1"/>
      <c r="C210" s="15"/>
      <c r="D210" s="17"/>
      <c r="E210" s="1"/>
      <c r="F210" s="17"/>
      <c r="G210" s="1"/>
      <c r="H210" s="1"/>
      <c r="I210" s="17"/>
      <c r="J210" s="17"/>
      <c r="K210" s="1"/>
      <c r="L210" s="1"/>
      <c r="M210" s="1"/>
      <c r="N210" s="1"/>
      <c r="O210" s="1"/>
      <c r="P210" s="1"/>
      <c r="Q210" s="1"/>
      <c r="R210" s="1"/>
      <c r="S210" s="1"/>
      <c r="T210" s="1"/>
      <c r="U210" s="1"/>
      <c r="V210" s="1"/>
      <c r="W210" s="1"/>
      <c r="X210" s="1"/>
      <c r="Y210" s="1"/>
    </row>
    <row r="211" spans="1:25" ht="15.75" customHeight="1" x14ac:dyDescent="0.25">
      <c r="A211" s="1"/>
      <c r="B211" s="1"/>
      <c r="C211" s="15"/>
      <c r="D211" s="17"/>
      <c r="E211" s="1"/>
      <c r="F211" s="17"/>
      <c r="G211" s="1"/>
      <c r="H211" s="1"/>
      <c r="I211" s="17"/>
      <c r="J211" s="17"/>
      <c r="K211" s="1"/>
      <c r="L211" s="1"/>
      <c r="M211" s="1"/>
      <c r="N211" s="1"/>
      <c r="O211" s="1"/>
      <c r="P211" s="1"/>
      <c r="Q211" s="1"/>
      <c r="R211" s="1"/>
      <c r="S211" s="1"/>
      <c r="T211" s="1"/>
      <c r="U211" s="1"/>
      <c r="V211" s="1"/>
      <c r="W211" s="1"/>
      <c r="X211" s="1"/>
      <c r="Y211" s="1"/>
    </row>
    <row r="212" spans="1:25" ht="15.75" customHeight="1" x14ac:dyDescent="0.25">
      <c r="A212" s="1"/>
      <c r="B212" s="1"/>
      <c r="C212" s="15"/>
      <c r="D212" s="17"/>
      <c r="E212" s="1"/>
      <c r="F212" s="17"/>
      <c r="G212" s="1"/>
      <c r="H212" s="1"/>
      <c r="I212" s="17"/>
      <c r="J212" s="17"/>
      <c r="K212" s="1"/>
      <c r="L212" s="1"/>
      <c r="M212" s="1"/>
      <c r="N212" s="1"/>
      <c r="O212" s="1"/>
      <c r="P212" s="1"/>
      <c r="Q212" s="1"/>
      <c r="R212" s="1"/>
      <c r="S212" s="1"/>
      <c r="T212" s="1"/>
      <c r="U212" s="1"/>
      <c r="V212" s="1"/>
      <c r="W212" s="1"/>
      <c r="X212" s="1"/>
      <c r="Y212" s="1"/>
    </row>
    <row r="213" spans="1:25" ht="15.75" customHeight="1" x14ac:dyDescent="0.25">
      <c r="A213" s="1"/>
      <c r="B213" s="1"/>
      <c r="C213" s="15"/>
      <c r="D213" s="17"/>
      <c r="E213" s="1"/>
      <c r="F213" s="17"/>
      <c r="G213" s="1"/>
      <c r="H213" s="1"/>
      <c r="I213" s="17"/>
      <c r="J213" s="17"/>
      <c r="K213" s="1"/>
      <c r="L213" s="1"/>
      <c r="M213" s="1"/>
      <c r="N213" s="1"/>
      <c r="O213" s="1"/>
      <c r="P213" s="1"/>
      <c r="Q213" s="1"/>
      <c r="R213" s="1"/>
      <c r="S213" s="1"/>
      <c r="T213" s="1"/>
      <c r="U213" s="1"/>
      <c r="V213" s="1"/>
      <c r="W213" s="1"/>
      <c r="X213" s="1"/>
      <c r="Y213" s="1"/>
    </row>
    <row r="214" spans="1:25" ht="15.75" customHeight="1" x14ac:dyDescent="0.25">
      <c r="A214" s="1"/>
      <c r="B214" s="1"/>
      <c r="C214" s="15"/>
      <c r="D214" s="17"/>
      <c r="E214" s="1"/>
      <c r="F214" s="17"/>
      <c r="G214" s="1"/>
      <c r="H214" s="1"/>
      <c r="I214" s="17"/>
      <c r="J214" s="17"/>
      <c r="K214" s="1"/>
      <c r="L214" s="1"/>
      <c r="M214" s="1"/>
      <c r="N214" s="1"/>
      <c r="O214" s="1"/>
      <c r="P214" s="1"/>
      <c r="Q214" s="1"/>
      <c r="R214" s="1"/>
      <c r="S214" s="1"/>
      <c r="T214" s="1"/>
      <c r="U214" s="1"/>
      <c r="V214" s="1"/>
      <c r="W214" s="1"/>
      <c r="X214" s="1"/>
      <c r="Y214" s="1"/>
    </row>
    <row r="215" spans="1:25" ht="15.75" customHeight="1" x14ac:dyDescent="0.25">
      <c r="A215" s="1"/>
      <c r="B215" s="1"/>
      <c r="C215" s="15"/>
      <c r="D215" s="17"/>
      <c r="E215" s="1"/>
      <c r="F215" s="17"/>
      <c r="G215" s="1"/>
      <c r="H215" s="1"/>
      <c r="I215" s="17"/>
      <c r="J215" s="17"/>
      <c r="K215" s="1"/>
      <c r="L215" s="1"/>
      <c r="M215" s="1"/>
      <c r="N215" s="1"/>
      <c r="O215" s="1"/>
      <c r="P215" s="1"/>
      <c r="Q215" s="1"/>
      <c r="R215" s="1"/>
      <c r="S215" s="1"/>
      <c r="T215" s="1"/>
      <c r="U215" s="1"/>
      <c r="V215" s="1"/>
      <c r="W215" s="1"/>
      <c r="X215" s="1"/>
      <c r="Y215" s="1"/>
    </row>
    <row r="216" spans="1:25" ht="15.75" customHeight="1" x14ac:dyDescent="0.25">
      <c r="A216" s="1"/>
      <c r="B216" s="1"/>
      <c r="C216" s="15"/>
      <c r="D216" s="17"/>
      <c r="E216" s="1"/>
      <c r="F216" s="17"/>
      <c r="G216" s="1"/>
      <c r="H216" s="1"/>
      <c r="I216" s="17"/>
      <c r="J216" s="17"/>
      <c r="K216" s="1"/>
      <c r="L216" s="1"/>
      <c r="M216" s="1"/>
      <c r="N216" s="1"/>
      <c r="O216" s="1"/>
      <c r="P216" s="1"/>
      <c r="Q216" s="1"/>
      <c r="R216" s="1"/>
      <c r="S216" s="1"/>
      <c r="T216" s="1"/>
      <c r="U216" s="1"/>
      <c r="V216" s="1"/>
      <c r="W216" s="1"/>
      <c r="X216" s="1"/>
      <c r="Y216" s="1"/>
    </row>
    <row r="217" spans="1:25" ht="15.75" customHeight="1" x14ac:dyDescent="0.25">
      <c r="A217" s="1"/>
      <c r="B217" s="1"/>
      <c r="C217" s="15"/>
      <c r="D217" s="17"/>
      <c r="E217" s="1"/>
      <c r="F217" s="17"/>
      <c r="G217" s="1"/>
      <c r="H217" s="1"/>
      <c r="I217" s="17"/>
      <c r="J217" s="17"/>
      <c r="K217" s="1"/>
      <c r="L217" s="1"/>
      <c r="M217" s="1"/>
      <c r="N217" s="1"/>
      <c r="O217" s="1"/>
      <c r="P217" s="1"/>
      <c r="Q217" s="1"/>
      <c r="R217" s="1"/>
      <c r="S217" s="1"/>
      <c r="T217" s="1"/>
      <c r="U217" s="1"/>
      <c r="V217" s="1"/>
      <c r="W217" s="1"/>
      <c r="X217" s="1"/>
      <c r="Y217" s="1"/>
    </row>
    <row r="218" spans="1:25" ht="15.75" customHeight="1" x14ac:dyDescent="0.25">
      <c r="A218" s="1"/>
      <c r="B218" s="1"/>
      <c r="C218" s="15"/>
      <c r="D218" s="17"/>
      <c r="E218" s="1"/>
      <c r="F218" s="17"/>
      <c r="G218" s="1"/>
      <c r="H218" s="1"/>
      <c r="I218" s="17"/>
      <c r="J218" s="17"/>
      <c r="K218" s="1"/>
      <c r="L218" s="1"/>
      <c r="M218" s="1"/>
      <c r="N218" s="1"/>
      <c r="O218" s="1"/>
      <c r="P218" s="1"/>
      <c r="Q218" s="1"/>
      <c r="R218" s="1"/>
      <c r="S218" s="1"/>
      <c r="T218" s="1"/>
      <c r="U218" s="1"/>
      <c r="V218" s="1"/>
      <c r="W218" s="1"/>
      <c r="X218" s="1"/>
      <c r="Y218" s="1"/>
    </row>
    <row r="219" spans="1:25" ht="15.75" customHeight="1" x14ac:dyDescent="0.25">
      <c r="A219" s="1"/>
      <c r="B219" s="1"/>
      <c r="C219" s="15"/>
      <c r="D219" s="17"/>
      <c r="E219" s="1"/>
      <c r="F219" s="17"/>
      <c r="G219" s="1"/>
      <c r="H219" s="1"/>
      <c r="I219" s="17"/>
      <c r="J219" s="17"/>
      <c r="K219" s="1"/>
      <c r="L219" s="1"/>
      <c r="M219" s="1"/>
      <c r="N219" s="1"/>
      <c r="O219" s="1"/>
      <c r="P219" s="1"/>
      <c r="Q219" s="1"/>
      <c r="R219" s="1"/>
      <c r="S219" s="1"/>
      <c r="T219" s="1"/>
      <c r="U219" s="1"/>
      <c r="V219" s="1"/>
      <c r="W219" s="1"/>
      <c r="X219" s="1"/>
      <c r="Y219" s="1"/>
    </row>
    <row r="220" spans="1:25" ht="15.75" customHeight="1" x14ac:dyDescent="0.25">
      <c r="A220" s="1"/>
      <c r="B220" s="1"/>
      <c r="C220" s="15"/>
      <c r="D220" s="17"/>
      <c r="E220" s="1"/>
      <c r="F220" s="17"/>
      <c r="G220" s="1"/>
      <c r="H220" s="1"/>
      <c r="I220" s="17"/>
      <c r="J220" s="17"/>
      <c r="K220" s="1"/>
      <c r="L220" s="1"/>
      <c r="M220" s="1"/>
      <c r="N220" s="1"/>
      <c r="O220" s="1"/>
      <c r="P220" s="1"/>
      <c r="Q220" s="1"/>
      <c r="R220" s="1"/>
      <c r="S220" s="1"/>
      <c r="T220" s="1"/>
      <c r="U220" s="1"/>
      <c r="V220" s="1"/>
      <c r="W220" s="1"/>
      <c r="X220" s="1"/>
      <c r="Y220" s="1"/>
    </row>
    <row r="221" spans="1:25" ht="15.75" customHeight="1" x14ac:dyDescent="0.25">
      <c r="A221" s="1"/>
      <c r="B221" s="1"/>
      <c r="C221" s="15"/>
      <c r="D221" s="17"/>
      <c r="E221" s="1"/>
      <c r="F221" s="17"/>
      <c r="G221" s="1"/>
      <c r="H221" s="1"/>
      <c r="I221" s="17"/>
      <c r="J221" s="17"/>
      <c r="K221" s="1"/>
      <c r="L221" s="1"/>
      <c r="M221" s="1"/>
      <c r="N221" s="1"/>
      <c r="O221" s="1"/>
      <c r="P221" s="1"/>
      <c r="Q221" s="1"/>
      <c r="R221" s="1"/>
      <c r="S221" s="1"/>
      <c r="T221" s="1"/>
      <c r="U221" s="1"/>
      <c r="V221" s="1"/>
      <c r="W221" s="1"/>
      <c r="X221" s="1"/>
      <c r="Y221" s="1"/>
    </row>
    <row r="222" spans="1:25" ht="15.75" customHeight="1" x14ac:dyDescent="0.25">
      <c r="A222" s="1"/>
      <c r="B222" s="1"/>
      <c r="C222" s="15"/>
      <c r="D222" s="17"/>
      <c r="E222" s="1"/>
      <c r="F222" s="17"/>
      <c r="G222" s="1"/>
      <c r="H222" s="1"/>
      <c r="I222" s="17"/>
      <c r="J222" s="17"/>
      <c r="K222" s="1"/>
      <c r="L222" s="1"/>
      <c r="M222" s="1"/>
      <c r="N222" s="1"/>
      <c r="O222" s="1"/>
      <c r="P222" s="1"/>
      <c r="Q222" s="1"/>
      <c r="R222" s="1"/>
      <c r="S222" s="1"/>
      <c r="T222" s="1"/>
      <c r="U222" s="1"/>
      <c r="V222" s="1"/>
      <c r="W222" s="1"/>
      <c r="X222" s="1"/>
      <c r="Y222" s="1"/>
    </row>
    <row r="223" spans="1:25" ht="15.75" customHeight="1" x14ac:dyDescent="0.25">
      <c r="A223" s="1"/>
      <c r="B223" s="1"/>
      <c r="C223" s="15"/>
      <c r="D223" s="17"/>
      <c r="E223" s="1"/>
      <c r="F223" s="17"/>
      <c r="G223" s="1"/>
      <c r="H223" s="1"/>
      <c r="I223" s="17"/>
      <c r="J223" s="17"/>
      <c r="K223" s="1"/>
      <c r="L223" s="1"/>
      <c r="M223" s="1"/>
      <c r="N223" s="1"/>
      <c r="O223" s="1"/>
      <c r="P223" s="1"/>
      <c r="Q223" s="1"/>
      <c r="R223" s="1"/>
      <c r="S223" s="1"/>
      <c r="T223" s="1"/>
      <c r="U223" s="1"/>
      <c r="V223" s="1"/>
      <c r="W223" s="1"/>
      <c r="X223" s="1"/>
      <c r="Y223" s="1"/>
    </row>
    <row r="224" spans="1:25" ht="15.75" customHeight="1" x14ac:dyDescent="0.25">
      <c r="A224" s="1"/>
      <c r="B224" s="1"/>
      <c r="C224" s="15"/>
      <c r="D224" s="17"/>
      <c r="E224" s="1"/>
      <c r="F224" s="17"/>
      <c r="G224" s="1"/>
      <c r="H224" s="1"/>
      <c r="I224" s="17"/>
      <c r="J224" s="17"/>
      <c r="K224" s="1"/>
      <c r="L224" s="1"/>
      <c r="M224" s="1"/>
      <c r="N224" s="1"/>
      <c r="O224" s="1"/>
      <c r="P224" s="1"/>
      <c r="Q224" s="1"/>
      <c r="R224" s="1"/>
      <c r="S224" s="1"/>
      <c r="T224" s="1"/>
      <c r="U224" s="1"/>
      <c r="V224" s="1"/>
      <c r="W224" s="1"/>
      <c r="X224" s="1"/>
      <c r="Y224" s="1"/>
    </row>
    <row r="225" spans="1:25" ht="15.75" customHeight="1" x14ac:dyDescent="0.25">
      <c r="A225" s="1"/>
      <c r="B225" s="1"/>
      <c r="C225" s="15"/>
      <c r="D225" s="17"/>
      <c r="E225" s="1"/>
      <c r="F225" s="17"/>
      <c r="G225" s="1"/>
      <c r="H225" s="1"/>
      <c r="I225" s="17"/>
      <c r="J225" s="17"/>
      <c r="K225" s="1"/>
      <c r="L225" s="1"/>
      <c r="M225" s="1"/>
      <c r="N225" s="1"/>
      <c r="O225" s="1"/>
      <c r="P225" s="1"/>
      <c r="Q225" s="1"/>
      <c r="R225" s="1"/>
      <c r="S225" s="1"/>
      <c r="T225" s="1"/>
      <c r="U225" s="1"/>
      <c r="V225" s="1"/>
      <c r="W225" s="1"/>
      <c r="X225" s="1"/>
      <c r="Y225" s="1"/>
    </row>
    <row r="226" spans="1:25" ht="15.75" customHeight="1" x14ac:dyDescent="0.25">
      <c r="A226" s="1"/>
      <c r="B226" s="1"/>
      <c r="C226" s="15"/>
      <c r="D226" s="17"/>
      <c r="E226" s="1"/>
      <c r="F226" s="17"/>
      <c r="G226" s="1"/>
      <c r="H226" s="1"/>
      <c r="I226" s="17"/>
      <c r="J226" s="17"/>
      <c r="K226" s="1"/>
      <c r="L226" s="1"/>
      <c r="M226" s="1"/>
      <c r="N226" s="1"/>
      <c r="O226" s="1"/>
      <c r="P226" s="1"/>
      <c r="Q226" s="1"/>
      <c r="R226" s="1"/>
      <c r="S226" s="1"/>
      <c r="T226" s="1"/>
      <c r="U226" s="1"/>
      <c r="V226" s="1"/>
      <c r="W226" s="1"/>
      <c r="X226" s="1"/>
      <c r="Y226" s="1"/>
    </row>
    <row r="227" spans="1:25" ht="15.75" customHeight="1" x14ac:dyDescent="0.25">
      <c r="A227" s="1"/>
      <c r="B227" s="1"/>
      <c r="C227" s="15"/>
      <c r="D227" s="17"/>
      <c r="E227" s="1"/>
      <c r="F227" s="17"/>
      <c r="G227" s="1"/>
      <c r="H227" s="1"/>
      <c r="I227" s="17"/>
      <c r="J227" s="17"/>
      <c r="K227" s="1"/>
      <c r="L227" s="1"/>
      <c r="M227" s="1"/>
      <c r="N227" s="1"/>
      <c r="O227" s="1"/>
      <c r="P227" s="1"/>
      <c r="Q227" s="1"/>
      <c r="R227" s="1"/>
      <c r="S227" s="1"/>
      <c r="T227" s="1"/>
      <c r="U227" s="1"/>
      <c r="V227" s="1"/>
      <c r="W227" s="1"/>
      <c r="X227" s="1"/>
      <c r="Y227" s="1"/>
    </row>
    <row r="228" spans="1:25" ht="15.75" customHeight="1" x14ac:dyDescent="0.25">
      <c r="A228" s="1"/>
      <c r="B228" s="1"/>
      <c r="C228" s="15"/>
      <c r="D228" s="17"/>
      <c r="E228" s="1"/>
      <c r="F228" s="17"/>
      <c r="G228" s="1"/>
      <c r="H228" s="1"/>
      <c r="I228" s="17"/>
      <c r="J228" s="17"/>
      <c r="K228" s="1"/>
      <c r="L228" s="1"/>
      <c r="M228" s="1"/>
      <c r="N228" s="1"/>
      <c r="O228" s="1"/>
      <c r="P228" s="1"/>
      <c r="Q228" s="1"/>
      <c r="R228" s="1"/>
      <c r="S228" s="1"/>
      <c r="T228" s="1"/>
      <c r="U228" s="1"/>
      <c r="V228" s="1"/>
      <c r="W228" s="1"/>
      <c r="X228" s="1"/>
      <c r="Y228" s="1"/>
    </row>
    <row r="229" spans="1:25" ht="15.75" customHeight="1" x14ac:dyDescent="0.25">
      <c r="A229" s="1"/>
      <c r="B229" s="1"/>
      <c r="C229" s="15"/>
      <c r="D229" s="17"/>
      <c r="E229" s="1"/>
      <c r="F229" s="17"/>
      <c r="G229" s="1"/>
      <c r="H229" s="1"/>
      <c r="I229" s="17"/>
      <c r="J229" s="17"/>
      <c r="K229" s="1"/>
      <c r="L229" s="1"/>
      <c r="M229" s="1"/>
      <c r="N229" s="1"/>
      <c r="O229" s="1"/>
      <c r="P229" s="1"/>
      <c r="Q229" s="1"/>
      <c r="R229" s="1"/>
      <c r="S229" s="1"/>
      <c r="T229" s="1"/>
      <c r="U229" s="1"/>
      <c r="V229" s="1"/>
      <c r="W229" s="1"/>
      <c r="X229" s="1"/>
      <c r="Y229" s="1"/>
    </row>
    <row r="230" spans="1:25" ht="15.75" customHeight="1" x14ac:dyDescent="0.25">
      <c r="A230" s="1"/>
      <c r="B230" s="1"/>
      <c r="C230" s="15"/>
      <c r="D230" s="17"/>
      <c r="E230" s="1"/>
      <c r="F230" s="17"/>
      <c r="G230" s="1"/>
      <c r="H230" s="1"/>
      <c r="I230" s="17"/>
      <c r="J230" s="17"/>
      <c r="K230" s="1"/>
      <c r="L230" s="1"/>
      <c r="M230" s="1"/>
      <c r="N230" s="1"/>
      <c r="O230" s="1"/>
      <c r="P230" s="1"/>
      <c r="Q230" s="1"/>
      <c r="R230" s="1"/>
      <c r="S230" s="1"/>
      <c r="T230" s="1"/>
      <c r="U230" s="1"/>
      <c r="V230" s="1"/>
      <c r="W230" s="1"/>
      <c r="X230" s="1"/>
      <c r="Y230" s="1"/>
    </row>
    <row r="231" spans="1:25" ht="15.75" customHeight="1" x14ac:dyDescent="0.25">
      <c r="A231" s="1"/>
      <c r="B231" s="1"/>
      <c r="C231" s="15"/>
      <c r="D231" s="17"/>
      <c r="E231" s="1"/>
      <c r="F231" s="17"/>
      <c r="G231" s="1"/>
      <c r="H231" s="1"/>
      <c r="I231" s="17"/>
      <c r="J231" s="17"/>
      <c r="K231" s="1"/>
      <c r="L231" s="1"/>
      <c r="M231" s="1"/>
      <c r="N231" s="1"/>
      <c r="O231" s="1"/>
      <c r="P231" s="1"/>
      <c r="Q231" s="1"/>
      <c r="R231" s="1"/>
      <c r="S231" s="1"/>
      <c r="T231" s="1"/>
      <c r="U231" s="1"/>
      <c r="V231" s="1"/>
      <c r="W231" s="1"/>
      <c r="X231" s="1"/>
      <c r="Y231" s="1"/>
    </row>
    <row r="232" spans="1:25" ht="15.75" customHeight="1" x14ac:dyDescent="0.25">
      <c r="A232" s="1"/>
      <c r="B232" s="1"/>
      <c r="C232" s="15"/>
      <c r="D232" s="17"/>
      <c r="E232" s="1"/>
      <c r="F232" s="17"/>
      <c r="G232" s="1"/>
      <c r="H232" s="1"/>
      <c r="I232" s="17"/>
      <c r="J232" s="17"/>
      <c r="K232" s="1"/>
      <c r="L232" s="1"/>
      <c r="M232" s="1"/>
      <c r="N232" s="1"/>
      <c r="O232" s="1"/>
      <c r="P232" s="1"/>
      <c r="Q232" s="1"/>
      <c r="R232" s="1"/>
      <c r="S232" s="1"/>
      <c r="T232" s="1"/>
      <c r="U232" s="1"/>
      <c r="V232" s="1"/>
      <c r="W232" s="1"/>
      <c r="X232" s="1"/>
      <c r="Y232" s="1"/>
    </row>
    <row r="233" spans="1:25" ht="15.75" customHeight="1" x14ac:dyDescent="0.25">
      <c r="A233" s="1"/>
      <c r="B233" s="1"/>
      <c r="C233" s="15"/>
      <c r="D233" s="17"/>
      <c r="E233" s="1"/>
      <c r="F233" s="17"/>
      <c r="G233" s="1"/>
      <c r="H233" s="1"/>
      <c r="I233" s="17"/>
      <c r="J233" s="17"/>
      <c r="K233" s="1"/>
      <c r="L233" s="1"/>
      <c r="M233" s="1"/>
      <c r="N233" s="1"/>
      <c r="O233" s="1"/>
      <c r="P233" s="1"/>
      <c r="Q233" s="1"/>
      <c r="R233" s="1"/>
      <c r="S233" s="1"/>
      <c r="T233" s="1"/>
      <c r="U233" s="1"/>
      <c r="V233" s="1"/>
      <c r="W233" s="1"/>
      <c r="X233" s="1"/>
      <c r="Y233" s="1"/>
    </row>
    <row r="234" spans="1:25" ht="15.75" customHeight="1" x14ac:dyDescent="0.25">
      <c r="A234" s="1"/>
      <c r="B234" s="1"/>
      <c r="C234" s="15"/>
      <c r="D234" s="17"/>
      <c r="E234" s="1"/>
      <c r="F234" s="17"/>
      <c r="G234" s="1"/>
      <c r="H234" s="1"/>
      <c r="I234" s="17"/>
      <c r="J234" s="17"/>
      <c r="K234" s="1"/>
      <c r="L234" s="1"/>
      <c r="M234" s="1"/>
      <c r="N234" s="1"/>
      <c r="O234" s="1"/>
      <c r="P234" s="1"/>
      <c r="Q234" s="1"/>
      <c r="R234" s="1"/>
      <c r="S234" s="1"/>
      <c r="T234" s="1"/>
      <c r="U234" s="1"/>
      <c r="V234" s="1"/>
      <c r="W234" s="1"/>
      <c r="X234" s="1"/>
      <c r="Y234" s="1"/>
    </row>
    <row r="235" spans="1:25" ht="15.75" customHeight="1" x14ac:dyDescent="0.25">
      <c r="A235" s="1"/>
      <c r="B235" s="1"/>
      <c r="C235" s="15"/>
      <c r="D235" s="17"/>
      <c r="E235" s="1"/>
      <c r="F235" s="17"/>
      <c r="G235" s="1"/>
      <c r="H235" s="1"/>
      <c r="I235" s="17"/>
      <c r="J235" s="17"/>
      <c r="K235" s="1"/>
      <c r="L235" s="1"/>
      <c r="M235" s="1"/>
      <c r="N235" s="1"/>
      <c r="O235" s="1"/>
      <c r="P235" s="1"/>
      <c r="Q235" s="1"/>
      <c r="R235" s="1"/>
      <c r="S235" s="1"/>
      <c r="T235" s="1"/>
      <c r="U235" s="1"/>
      <c r="V235" s="1"/>
      <c r="W235" s="1"/>
      <c r="X235" s="1"/>
      <c r="Y235" s="1"/>
    </row>
    <row r="236" spans="1:25" ht="15.75" customHeight="1" x14ac:dyDescent="0.25">
      <c r="A236" s="1"/>
      <c r="B236" s="1"/>
      <c r="C236" s="15"/>
      <c r="D236" s="17"/>
      <c r="E236" s="1"/>
      <c r="F236" s="17"/>
      <c r="G236" s="1"/>
      <c r="H236" s="1"/>
      <c r="I236" s="17"/>
      <c r="J236" s="17"/>
      <c r="K236" s="1"/>
      <c r="L236" s="1"/>
      <c r="M236" s="1"/>
      <c r="N236" s="1"/>
      <c r="O236" s="1"/>
      <c r="P236" s="1"/>
      <c r="Q236" s="1"/>
      <c r="R236" s="1"/>
      <c r="S236" s="1"/>
      <c r="T236" s="1"/>
      <c r="U236" s="1"/>
      <c r="V236" s="1"/>
      <c r="W236" s="1"/>
      <c r="X236" s="1"/>
      <c r="Y236" s="1"/>
    </row>
    <row r="237" spans="1:25" ht="15.75" customHeight="1" x14ac:dyDescent="0.25">
      <c r="A237" s="1"/>
      <c r="B237" s="1"/>
      <c r="C237" s="15"/>
      <c r="D237" s="17"/>
      <c r="E237" s="1"/>
      <c r="F237" s="17"/>
      <c r="G237" s="1"/>
      <c r="H237" s="1"/>
      <c r="I237" s="17"/>
      <c r="J237" s="17"/>
      <c r="K237" s="1"/>
      <c r="L237" s="1"/>
      <c r="M237" s="1"/>
      <c r="N237" s="1"/>
      <c r="O237" s="1"/>
      <c r="P237" s="1"/>
      <c r="Q237" s="1"/>
      <c r="R237" s="1"/>
      <c r="S237" s="1"/>
      <c r="T237" s="1"/>
      <c r="U237" s="1"/>
      <c r="V237" s="1"/>
      <c r="W237" s="1"/>
      <c r="X237" s="1"/>
      <c r="Y237" s="1"/>
    </row>
    <row r="238" spans="1:25" ht="15.75" customHeight="1" x14ac:dyDescent="0.25">
      <c r="A238" s="1"/>
      <c r="B238" s="1"/>
      <c r="C238" s="15"/>
      <c r="D238" s="17"/>
      <c r="E238" s="1"/>
      <c r="F238" s="17"/>
      <c r="G238" s="1"/>
      <c r="H238" s="1"/>
      <c r="I238" s="17"/>
      <c r="J238" s="17"/>
      <c r="K238" s="1"/>
      <c r="L238" s="1"/>
      <c r="M238" s="1"/>
      <c r="N238" s="1"/>
      <c r="O238" s="1"/>
      <c r="P238" s="1"/>
      <c r="Q238" s="1"/>
      <c r="R238" s="1"/>
      <c r="S238" s="1"/>
      <c r="T238" s="1"/>
      <c r="U238" s="1"/>
      <c r="V238" s="1"/>
      <c r="W238" s="1"/>
      <c r="X238" s="1"/>
      <c r="Y238" s="1"/>
    </row>
    <row r="239" spans="1:25" ht="15.75" customHeight="1" x14ac:dyDescent="0.25">
      <c r="A239" s="1"/>
      <c r="B239" s="1"/>
      <c r="C239" s="15"/>
      <c r="D239" s="17"/>
      <c r="E239" s="1"/>
      <c r="F239" s="17"/>
      <c r="G239" s="1"/>
      <c r="H239" s="1"/>
      <c r="I239" s="17"/>
      <c r="J239" s="17"/>
      <c r="K239" s="1"/>
      <c r="L239" s="1"/>
      <c r="M239" s="1"/>
      <c r="N239" s="1"/>
      <c r="O239" s="1"/>
      <c r="P239" s="1"/>
      <c r="Q239" s="1"/>
      <c r="R239" s="1"/>
      <c r="S239" s="1"/>
      <c r="T239" s="1"/>
      <c r="U239" s="1"/>
      <c r="V239" s="1"/>
      <c r="W239" s="1"/>
      <c r="X239" s="1"/>
      <c r="Y239" s="1"/>
    </row>
    <row r="240" spans="1:25" ht="15.75" customHeight="1" x14ac:dyDescent="0.25">
      <c r="A240" s="1"/>
      <c r="B240" s="1"/>
      <c r="C240" s="15"/>
      <c r="D240" s="17"/>
      <c r="E240" s="1"/>
      <c r="F240" s="17"/>
      <c r="G240" s="1"/>
      <c r="H240" s="1"/>
      <c r="I240" s="17"/>
      <c r="J240" s="17"/>
      <c r="K240" s="1"/>
      <c r="L240" s="1"/>
      <c r="M240" s="1"/>
      <c r="N240" s="1"/>
      <c r="O240" s="1"/>
      <c r="P240" s="1"/>
      <c r="Q240" s="1"/>
      <c r="R240" s="1"/>
      <c r="S240" s="1"/>
      <c r="T240" s="1"/>
      <c r="U240" s="1"/>
      <c r="V240" s="1"/>
      <c r="W240" s="1"/>
      <c r="X240" s="1"/>
      <c r="Y240" s="1"/>
    </row>
    <row r="241" spans="1:25" ht="15.75" customHeight="1" x14ac:dyDescent="0.25">
      <c r="A241" s="1"/>
      <c r="B241" s="1"/>
      <c r="C241" s="15"/>
      <c r="D241" s="17"/>
      <c r="E241" s="1"/>
      <c r="F241" s="17"/>
      <c r="G241" s="1"/>
      <c r="H241" s="1"/>
      <c r="I241" s="17"/>
      <c r="J241" s="17"/>
      <c r="K241" s="1"/>
      <c r="L241" s="1"/>
      <c r="M241" s="1"/>
      <c r="N241" s="1"/>
      <c r="O241" s="1"/>
      <c r="P241" s="1"/>
      <c r="Q241" s="1"/>
      <c r="R241" s="1"/>
      <c r="S241" s="1"/>
      <c r="T241" s="1"/>
      <c r="U241" s="1"/>
      <c r="V241" s="1"/>
      <c r="W241" s="1"/>
      <c r="X241" s="1"/>
      <c r="Y241" s="1"/>
    </row>
    <row r="242" spans="1:25" ht="15.75" customHeight="1" x14ac:dyDescent="0.25">
      <c r="A242" s="1"/>
      <c r="B242" s="1"/>
      <c r="C242" s="15"/>
      <c r="D242" s="17"/>
      <c r="E242" s="1"/>
      <c r="F242" s="17"/>
      <c r="G242" s="1"/>
      <c r="H242" s="1"/>
      <c r="I242" s="17"/>
      <c r="J242" s="17"/>
      <c r="K242" s="1"/>
      <c r="L242" s="1"/>
      <c r="M242" s="1"/>
      <c r="N242" s="1"/>
      <c r="O242" s="1"/>
      <c r="P242" s="1"/>
      <c r="Q242" s="1"/>
      <c r="R242" s="1"/>
      <c r="S242" s="1"/>
      <c r="T242" s="1"/>
      <c r="U242" s="1"/>
      <c r="V242" s="1"/>
      <c r="W242" s="1"/>
      <c r="X242" s="1"/>
      <c r="Y242" s="1"/>
    </row>
    <row r="243" spans="1:25" ht="15.75" customHeight="1" x14ac:dyDescent="0.25">
      <c r="A243" s="1"/>
      <c r="B243" s="1"/>
      <c r="C243" s="15"/>
      <c r="D243" s="17"/>
      <c r="E243" s="1"/>
      <c r="F243" s="17"/>
      <c r="G243" s="1"/>
      <c r="H243" s="1"/>
      <c r="I243" s="17"/>
      <c r="J243" s="17"/>
      <c r="K243" s="1"/>
      <c r="L243" s="1"/>
      <c r="M243" s="1"/>
      <c r="N243" s="1"/>
      <c r="O243" s="1"/>
      <c r="P243" s="1"/>
      <c r="Q243" s="1"/>
      <c r="R243" s="1"/>
      <c r="S243" s="1"/>
      <c r="T243" s="1"/>
      <c r="U243" s="1"/>
      <c r="V243" s="1"/>
      <c r="W243" s="1"/>
      <c r="X243" s="1"/>
      <c r="Y243" s="1"/>
    </row>
    <row r="244" spans="1:25" ht="15.75" customHeight="1" x14ac:dyDescent="0.25">
      <c r="A244" s="1"/>
      <c r="B244" s="1"/>
      <c r="C244" s="15"/>
      <c r="D244" s="17"/>
      <c r="E244" s="1"/>
      <c r="F244" s="17"/>
      <c r="G244" s="1"/>
      <c r="H244" s="1"/>
      <c r="I244" s="17"/>
      <c r="J244" s="17"/>
      <c r="K244" s="1"/>
      <c r="L244" s="1"/>
      <c r="M244" s="1"/>
      <c r="N244" s="1"/>
      <c r="O244" s="1"/>
      <c r="P244" s="1"/>
      <c r="Q244" s="1"/>
      <c r="R244" s="1"/>
      <c r="S244" s="1"/>
      <c r="T244" s="1"/>
      <c r="U244" s="1"/>
      <c r="V244" s="1"/>
      <c r="W244" s="1"/>
      <c r="X244" s="1"/>
      <c r="Y244" s="1"/>
    </row>
    <row r="245" spans="1:25" ht="15.75" customHeight="1" x14ac:dyDescent="0.25">
      <c r="A245" s="1"/>
      <c r="B245" s="1"/>
      <c r="C245" s="15"/>
      <c r="D245" s="17"/>
      <c r="E245" s="1"/>
      <c r="F245" s="17"/>
      <c r="G245" s="1"/>
      <c r="H245" s="1"/>
      <c r="I245" s="17"/>
      <c r="J245" s="17"/>
      <c r="K245" s="1"/>
      <c r="L245" s="1"/>
      <c r="M245" s="1"/>
      <c r="N245" s="1"/>
      <c r="O245" s="1"/>
      <c r="P245" s="1"/>
      <c r="Q245" s="1"/>
      <c r="R245" s="1"/>
      <c r="S245" s="1"/>
      <c r="T245" s="1"/>
      <c r="U245" s="1"/>
      <c r="V245" s="1"/>
      <c r="W245" s="1"/>
      <c r="X245" s="1"/>
      <c r="Y245" s="1"/>
    </row>
    <row r="246" spans="1:25" ht="15.75" customHeight="1" x14ac:dyDescent="0.25">
      <c r="A246" s="1"/>
      <c r="B246" s="1"/>
      <c r="C246" s="15"/>
      <c r="D246" s="17"/>
      <c r="E246" s="1"/>
      <c r="F246" s="17"/>
      <c r="G246" s="1"/>
      <c r="H246" s="1"/>
      <c r="I246" s="17"/>
      <c r="J246" s="17"/>
      <c r="K246" s="1"/>
      <c r="L246" s="1"/>
      <c r="M246" s="1"/>
      <c r="N246" s="1"/>
      <c r="O246" s="1"/>
      <c r="P246" s="1"/>
      <c r="Q246" s="1"/>
      <c r="R246" s="1"/>
      <c r="S246" s="1"/>
      <c r="T246" s="1"/>
      <c r="U246" s="1"/>
      <c r="V246" s="1"/>
      <c r="W246" s="1"/>
      <c r="X246" s="1"/>
      <c r="Y246" s="1"/>
    </row>
    <row r="247" spans="1:25" ht="15.75" customHeight="1" x14ac:dyDescent="0.25">
      <c r="A247" s="1"/>
      <c r="B247" s="1"/>
      <c r="C247" s="15"/>
      <c r="D247" s="17"/>
      <c r="E247" s="1"/>
      <c r="F247" s="17"/>
      <c r="G247" s="1"/>
      <c r="H247" s="1"/>
      <c r="I247" s="17"/>
      <c r="J247" s="17"/>
      <c r="K247" s="1"/>
      <c r="L247" s="1"/>
      <c r="M247" s="1"/>
      <c r="N247" s="1"/>
      <c r="O247" s="1"/>
      <c r="P247" s="1"/>
      <c r="Q247" s="1"/>
      <c r="R247" s="1"/>
      <c r="S247" s="1"/>
      <c r="T247" s="1"/>
      <c r="U247" s="1"/>
      <c r="V247" s="1"/>
      <c r="W247" s="1"/>
      <c r="X247" s="1"/>
      <c r="Y247" s="1"/>
    </row>
    <row r="248" spans="1:25" ht="15.75" customHeight="1" x14ac:dyDescent="0.25">
      <c r="A248" s="1"/>
      <c r="B248" s="1"/>
      <c r="C248" s="15"/>
      <c r="D248" s="17"/>
      <c r="E248" s="1"/>
      <c r="F248" s="17"/>
      <c r="G248" s="1"/>
      <c r="H248" s="1"/>
      <c r="I248" s="17"/>
      <c r="J248" s="17"/>
      <c r="K248" s="1"/>
      <c r="L248" s="1"/>
      <c r="M248" s="1"/>
      <c r="N248" s="1"/>
      <c r="O248" s="1"/>
      <c r="P248" s="1"/>
      <c r="Q248" s="1"/>
      <c r="R248" s="1"/>
      <c r="S248" s="1"/>
      <c r="T248" s="1"/>
      <c r="U248" s="1"/>
      <c r="V248" s="1"/>
      <c r="W248" s="1"/>
      <c r="X248" s="1"/>
      <c r="Y248" s="1"/>
    </row>
    <row r="249" spans="1:25" ht="15.75" customHeight="1" x14ac:dyDescent="0.25">
      <c r="A249" s="1"/>
      <c r="B249" s="1"/>
      <c r="C249" s="15"/>
      <c r="D249" s="17"/>
      <c r="E249" s="1"/>
      <c r="F249" s="17"/>
      <c r="G249" s="1"/>
      <c r="H249" s="1"/>
      <c r="I249" s="17"/>
      <c r="J249" s="17"/>
      <c r="K249" s="1"/>
      <c r="L249" s="1"/>
      <c r="M249" s="1"/>
      <c r="N249" s="1"/>
      <c r="O249" s="1"/>
      <c r="P249" s="1"/>
      <c r="Q249" s="1"/>
      <c r="R249" s="1"/>
      <c r="S249" s="1"/>
      <c r="T249" s="1"/>
      <c r="U249" s="1"/>
      <c r="V249" s="1"/>
      <c r="W249" s="1"/>
      <c r="X249" s="1"/>
      <c r="Y249" s="1"/>
    </row>
    <row r="250" spans="1:25" ht="15.75" customHeight="1" x14ac:dyDescent="0.25">
      <c r="A250" s="1"/>
      <c r="B250" s="1"/>
      <c r="C250" s="15"/>
      <c r="D250" s="17"/>
      <c r="E250" s="1"/>
      <c r="F250" s="17"/>
      <c r="G250" s="1"/>
      <c r="H250" s="1"/>
      <c r="I250" s="17"/>
      <c r="J250" s="17"/>
      <c r="K250" s="1"/>
      <c r="L250" s="1"/>
      <c r="M250" s="1"/>
      <c r="N250" s="1"/>
      <c r="O250" s="1"/>
      <c r="P250" s="1"/>
      <c r="Q250" s="1"/>
      <c r="R250" s="1"/>
      <c r="S250" s="1"/>
      <c r="T250" s="1"/>
      <c r="U250" s="1"/>
      <c r="V250" s="1"/>
      <c r="W250" s="1"/>
      <c r="X250" s="1"/>
      <c r="Y250" s="1"/>
    </row>
    <row r="251" spans="1:25" ht="15.75" customHeight="1" x14ac:dyDescent="0.25">
      <c r="A251" s="1"/>
      <c r="B251" s="1"/>
      <c r="C251" s="15"/>
      <c r="D251" s="17"/>
      <c r="E251" s="1"/>
      <c r="F251" s="17"/>
      <c r="G251" s="1"/>
      <c r="H251" s="1"/>
      <c r="I251" s="17"/>
      <c r="J251" s="17"/>
      <c r="K251" s="1"/>
      <c r="L251" s="1"/>
      <c r="M251" s="1"/>
      <c r="N251" s="1"/>
      <c r="O251" s="1"/>
      <c r="P251" s="1"/>
      <c r="Q251" s="1"/>
      <c r="R251" s="1"/>
      <c r="S251" s="1"/>
      <c r="T251" s="1"/>
      <c r="U251" s="1"/>
      <c r="V251" s="1"/>
      <c r="W251" s="1"/>
      <c r="X251" s="1"/>
      <c r="Y251" s="1"/>
    </row>
    <row r="252" spans="1:25" ht="15.75" customHeight="1" x14ac:dyDescent="0.25">
      <c r="A252" s="1"/>
      <c r="B252" s="1"/>
      <c r="C252" s="15"/>
      <c r="D252" s="17"/>
      <c r="E252" s="1"/>
      <c r="F252" s="17"/>
      <c r="G252" s="1"/>
      <c r="H252" s="1"/>
      <c r="I252" s="17"/>
      <c r="J252" s="17"/>
      <c r="K252" s="1"/>
      <c r="L252" s="1"/>
      <c r="M252" s="1"/>
      <c r="N252" s="1"/>
      <c r="O252" s="1"/>
      <c r="P252" s="1"/>
      <c r="Q252" s="1"/>
      <c r="R252" s="1"/>
      <c r="S252" s="1"/>
      <c r="T252" s="1"/>
      <c r="U252" s="1"/>
      <c r="V252" s="1"/>
      <c r="W252" s="1"/>
      <c r="X252" s="1"/>
      <c r="Y252" s="1"/>
    </row>
    <row r="253" spans="1:25" ht="15.75" customHeight="1" x14ac:dyDescent="0.25">
      <c r="A253" s="1"/>
      <c r="B253" s="1"/>
      <c r="C253" s="15"/>
      <c r="D253" s="17"/>
      <c r="E253" s="1"/>
      <c r="F253" s="17"/>
      <c r="G253" s="1"/>
      <c r="H253" s="1"/>
      <c r="I253" s="17"/>
      <c r="J253" s="17"/>
      <c r="K253" s="1"/>
      <c r="L253" s="1"/>
      <c r="M253" s="1"/>
      <c r="N253" s="1"/>
      <c r="O253" s="1"/>
      <c r="P253" s="1"/>
      <c r="Q253" s="1"/>
      <c r="R253" s="1"/>
      <c r="S253" s="1"/>
      <c r="T253" s="1"/>
      <c r="U253" s="1"/>
      <c r="V253" s="1"/>
      <c r="W253" s="1"/>
      <c r="X253" s="1"/>
      <c r="Y253" s="1"/>
    </row>
    <row r="254" spans="1:25" ht="15.75" customHeight="1" x14ac:dyDescent="0.25">
      <c r="A254" s="1"/>
      <c r="B254" s="1"/>
      <c r="C254" s="15"/>
      <c r="D254" s="17"/>
      <c r="E254" s="1"/>
      <c r="F254" s="17"/>
      <c r="G254" s="1"/>
      <c r="H254" s="1"/>
      <c r="I254" s="17"/>
      <c r="J254" s="17"/>
      <c r="K254" s="1"/>
      <c r="L254" s="1"/>
      <c r="M254" s="1"/>
      <c r="N254" s="1"/>
      <c r="O254" s="1"/>
      <c r="P254" s="1"/>
      <c r="Q254" s="1"/>
      <c r="R254" s="1"/>
      <c r="S254" s="1"/>
      <c r="T254" s="1"/>
      <c r="U254" s="1"/>
      <c r="V254" s="1"/>
      <c r="W254" s="1"/>
      <c r="X254" s="1"/>
      <c r="Y254" s="1"/>
    </row>
    <row r="255" spans="1:25" ht="15.75" customHeight="1" x14ac:dyDescent="0.25">
      <c r="A255" s="1"/>
      <c r="B255" s="1"/>
      <c r="C255" s="15"/>
      <c r="D255" s="17"/>
      <c r="E255" s="1"/>
      <c r="F255" s="17"/>
      <c r="G255" s="1"/>
      <c r="H255" s="1"/>
      <c r="I255" s="17"/>
      <c r="J255" s="17"/>
      <c r="K255" s="1"/>
      <c r="L255" s="1"/>
      <c r="M255" s="1"/>
      <c r="N255" s="1"/>
      <c r="O255" s="1"/>
      <c r="P255" s="1"/>
      <c r="Q255" s="1"/>
      <c r="R255" s="1"/>
      <c r="S255" s="1"/>
      <c r="T255" s="1"/>
      <c r="U255" s="1"/>
      <c r="V255" s="1"/>
      <c r="W255" s="1"/>
      <c r="X255" s="1"/>
      <c r="Y255" s="1"/>
    </row>
    <row r="256" spans="1:25" ht="15.75" customHeight="1" x14ac:dyDescent="0.25">
      <c r="A256" s="1"/>
      <c r="B256" s="1"/>
      <c r="C256" s="15"/>
      <c r="D256" s="17"/>
      <c r="E256" s="1"/>
      <c r="F256" s="17"/>
      <c r="G256" s="1"/>
      <c r="H256" s="1"/>
      <c r="I256" s="17"/>
      <c r="J256" s="17"/>
      <c r="K256" s="1"/>
      <c r="L256" s="1"/>
      <c r="M256" s="1"/>
      <c r="N256" s="1"/>
      <c r="O256" s="1"/>
      <c r="P256" s="1"/>
      <c r="Q256" s="1"/>
      <c r="R256" s="1"/>
      <c r="S256" s="1"/>
      <c r="T256" s="1"/>
      <c r="U256" s="1"/>
      <c r="V256" s="1"/>
      <c r="W256" s="1"/>
      <c r="X256" s="1"/>
      <c r="Y256" s="1"/>
    </row>
    <row r="257" spans="1:25" ht="15.75" customHeight="1" x14ac:dyDescent="0.25">
      <c r="A257" s="1"/>
      <c r="B257" s="1"/>
      <c r="C257" s="15"/>
      <c r="D257" s="17"/>
      <c r="E257" s="1"/>
      <c r="F257" s="17"/>
      <c r="G257" s="1"/>
      <c r="H257" s="1"/>
      <c r="I257" s="17"/>
      <c r="J257" s="17"/>
      <c r="K257" s="1"/>
      <c r="L257" s="1"/>
      <c r="M257" s="1"/>
      <c r="N257" s="1"/>
      <c r="O257" s="1"/>
      <c r="P257" s="1"/>
      <c r="Q257" s="1"/>
      <c r="R257" s="1"/>
      <c r="S257" s="1"/>
      <c r="T257" s="1"/>
      <c r="U257" s="1"/>
      <c r="V257" s="1"/>
      <c r="W257" s="1"/>
      <c r="X257" s="1"/>
      <c r="Y257" s="1"/>
    </row>
    <row r="258" spans="1:25" ht="15.75" customHeight="1" x14ac:dyDescent="0.25">
      <c r="A258" s="1"/>
      <c r="B258" s="1"/>
      <c r="C258" s="15"/>
      <c r="D258" s="17"/>
      <c r="E258" s="1"/>
      <c r="F258" s="17"/>
      <c r="G258" s="1"/>
      <c r="H258" s="1"/>
      <c r="I258" s="17"/>
      <c r="J258" s="17"/>
      <c r="K258" s="1"/>
      <c r="L258" s="1"/>
      <c r="M258" s="1"/>
      <c r="N258" s="1"/>
      <c r="O258" s="1"/>
      <c r="P258" s="1"/>
      <c r="Q258" s="1"/>
      <c r="R258" s="1"/>
      <c r="S258" s="1"/>
      <c r="T258" s="1"/>
      <c r="U258" s="1"/>
      <c r="V258" s="1"/>
      <c r="W258" s="1"/>
      <c r="X258" s="1"/>
      <c r="Y258" s="1"/>
    </row>
    <row r="259" spans="1:25" ht="15.75" customHeight="1" x14ac:dyDescent="0.25">
      <c r="A259" s="1"/>
      <c r="B259" s="1"/>
      <c r="C259" s="15"/>
      <c r="D259" s="17"/>
      <c r="E259" s="1"/>
      <c r="F259" s="17"/>
      <c r="G259" s="1"/>
      <c r="H259" s="1"/>
      <c r="I259" s="17"/>
      <c r="J259" s="17"/>
      <c r="K259" s="1"/>
      <c r="L259" s="1"/>
      <c r="M259" s="1"/>
      <c r="N259" s="1"/>
      <c r="O259" s="1"/>
      <c r="P259" s="1"/>
      <c r="Q259" s="1"/>
      <c r="R259" s="1"/>
      <c r="S259" s="1"/>
      <c r="T259" s="1"/>
      <c r="U259" s="1"/>
      <c r="V259" s="1"/>
      <c r="W259" s="1"/>
      <c r="X259" s="1"/>
      <c r="Y259" s="1"/>
    </row>
    <row r="260" spans="1:25" ht="15.75" customHeight="1" x14ac:dyDescent="0.25">
      <c r="A260" s="1"/>
      <c r="B260" s="1"/>
      <c r="C260" s="15"/>
      <c r="D260" s="17"/>
      <c r="E260" s="1"/>
      <c r="F260" s="17"/>
      <c r="G260" s="1"/>
      <c r="H260" s="1"/>
      <c r="I260" s="17"/>
      <c r="J260" s="17"/>
      <c r="K260" s="1"/>
      <c r="L260" s="1"/>
      <c r="M260" s="1"/>
      <c r="N260" s="1"/>
      <c r="O260" s="1"/>
      <c r="P260" s="1"/>
      <c r="Q260" s="1"/>
      <c r="R260" s="1"/>
      <c r="S260" s="1"/>
      <c r="T260" s="1"/>
      <c r="U260" s="1"/>
      <c r="V260" s="1"/>
      <c r="W260" s="1"/>
      <c r="X260" s="1"/>
      <c r="Y260" s="1"/>
    </row>
    <row r="261" spans="1:25" ht="15.75" customHeight="1" x14ac:dyDescent="0.25">
      <c r="A261" s="1"/>
      <c r="B261" s="1"/>
      <c r="C261" s="15"/>
      <c r="D261" s="17"/>
      <c r="E261" s="1"/>
      <c r="F261" s="17"/>
      <c r="G261" s="1"/>
      <c r="H261" s="1"/>
      <c r="I261" s="17"/>
      <c r="J261" s="17"/>
      <c r="K261" s="1"/>
      <c r="L261" s="1"/>
      <c r="M261" s="1"/>
      <c r="N261" s="1"/>
      <c r="O261" s="1"/>
      <c r="P261" s="1"/>
      <c r="Q261" s="1"/>
      <c r="R261" s="1"/>
      <c r="S261" s="1"/>
      <c r="T261" s="1"/>
      <c r="U261" s="1"/>
      <c r="V261" s="1"/>
      <c r="W261" s="1"/>
      <c r="X261" s="1"/>
      <c r="Y261" s="1"/>
    </row>
    <row r="262" spans="1:25" ht="15.75" customHeight="1" x14ac:dyDescent="0.25">
      <c r="A262" s="1"/>
      <c r="B262" s="1"/>
      <c r="C262" s="15"/>
      <c r="D262" s="17"/>
      <c r="E262" s="1"/>
      <c r="F262" s="17"/>
      <c r="G262" s="1"/>
      <c r="H262" s="1"/>
      <c r="I262" s="17"/>
      <c r="J262" s="17"/>
      <c r="K262" s="1"/>
      <c r="L262" s="1"/>
      <c r="M262" s="1"/>
      <c r="N262" s="1"/>
      <c r="O262" s="1"/>
      <c r="P262" s="1"/>
      <c r="Q262" s="1"/>
      <c r="R262" s="1"/>
      <c r="S262" s="1"/>
      <c r="T262" s="1"/>
      <c r="U262" s="1"/>
      <c r="V262" s="1"/>
      <c r="W262" s="1"/>
      <c r="X262" s="1"/>
      <c r="Y262" s="1"/>
    </row>
    <row r="263" spans="1:25" ht="15.75" customHeight="1" x14ac:dyDescent="0.25">
      <c r="A263" s="1"/>
      <c r="B263" s="1"/>
      <c r="C263" s="15"/>
      <c r="D263" s="17"/>
      <c r="E263" s="1"/>
      <c r="F263" s="17"/>
      <c r="G263" s="1"/>
      <c r="H263" s="1"/>
      <c r="I263" s="17"/>
      <c r="J263" s="17"/>
      <c r="K263" s="1"/>
      <c r="L263" s="1"/>
      <c r="M263" s="1"/>
      <c r="N263" s="1"/>
      <c r="O263" s="1"/>
      <c r="P263" s="1"/>
      <c r="Q263" s="1"/>
      <c r="R263" s="1"/>
      <c r="S263" s="1"/>
      <c r="T263" s="1"/>
      <c r="U263" s="1"/>
      <c r="V263" s="1"/>
      <c r="W263" s="1"/>
      <c r="X263" s="1"/>
      <c r="Y263" s="1"/>
    </row>
    <row r="264" spans="1:25" ht="15.75" customHeight="1" x14ac:dyDescent="0.25">
      <c r="A264" s="1"/>
      <c r="B264" s="1"/>
      <c r="C264" s="15"/>
      <c r="D264" s="17"/>
      <c r="E264" s="1"/>
      <c r="F264" s="17"/>
      <c r="G264" s="1"/>
      <c r="H264" s="1"/>
      <c r="I264" s="17"/>
      <c r="J264" s="17"/>
      <c r="K264" s="1"/>
      <c r="L264" s="1"/>
      <c r="M264" s="1"/>
      <c r="N264" s="1"/>
      <c r="O264" s="1"/>
      <c r="P264" s="1"/>
      <c r="Q264" s="1"/>
      <c r="R264" s="1"/>
      <c r="S264" s="1"/>
      <c r="T264" s="1"/>
      <c r="U264" s="1"/>
      <c r="V264" s="1"/>
      <c r="W264" s="1"/>
      <c r="X264" s="1"/>
      <c r="Y264" s="1"/>
    </row>
    <row r="265" spans="1:25" ht="15.75" customHeight="1" x14ac:dyDescent="0.25">
      <c r="A265" s="1"/>
      <c r="B265" s="1"/>
      <c r="C265" s="15"/>
      <c r="D265" s="17"/>
      <c r="E265" s="1"/>
      <c r="F265" s="17"/>
      <c r="G265" s="1"/>
      <c r="H265" s="1"/>
      <c r="I265" s="17"/>
      <c r="J265" s="17"/>
      <c r="K265" s="1"/>
      <c r="L265" s="1"/>
      <c r="M265" s="1"/>
      <c r="N265" s="1"/>
      <c r="O265" s="1"/>
      <c r="P265" s="1"/>
      <c r="Q265" s="1"/>
      <c r="R265" s="1"/>
      <c r="S265" s="1"/>
      <c r="T265" s="1"/>
      <c r="U265" s="1"/>
      <c r="V265" s="1"/>
      <c r="W265" s="1"/>
      <c r="X265" s="1"/>
      <c r="Y265" s="1"/>
    </row>
    <row r="266" spans="1:25" ht="15.75" customHeight="1" x14ac:dyDescent="0.25">
      <c r="A266" s="1"/>
      <c r="B266" s="1"/>
      <c r="C266" s="15"/>
      <c r="D266" s="17"/>
      <c r="E266" s="1"/>
      <c r="F266" s="17"/>
      <c r="G266" s="1"/>
      <c r="H266" s="1"/>
      <c r="I266" s="17"/>
      <c r="J266" s="17"/>
      <c r="K266" s="1"/>
      <c r="L266" s="1"/>
      <c r="M266" s="1"/>
      <c r="N266" s="1"/>
      <c r="O266" s="1"/>
      <c r="P266" s="1"/>
      <c r="Q266" s="1"/>
      <c r="R266" s="1"/>
      <c r="S266" s="1"/>
      <c r="T266" s="1"/>
      <c r="U266" s="1"/>
      <c r="V266" s="1"/>
      <c r="W266" s="1"/>
      <c r="X266" s="1"/>
      <c r="Y266" s="1"/>
    </row>
    <row r="267" spans="1:25" ht="15.75" customHeight="1" x14ac:dyDescent="0.25">
      <c r="A267" s="1"/>
      <c r="B267" s="1"/>
      <c r="C267" s="15"/>
      <c r="D267" s="17"/>
      <c r="E267" s="1"/>
      <c r="F267" s="17"/>
      <c r="G267" s="1"/>
      <c r="H267" s="1"/>
      <c r="I267" s="17"/>
      <c r="J267" s="17"/>
      <c r="K267" s="1"/>
      <c r="L267" s="1"/>
      <c r="M267" s="1"/>
      <c r="N267" s="1"/>
      <c r="O267" s="1"/>
      <c r="P267" s="1"/>
      <c r="Q267" s="1"/>
      <c r="R267" s="1"/>
      <c r="S267" s="1"/>
      <c r="T267" s="1"/>
      <c r="U267" s="1"/>
      <c r="V267" s="1"/>
      <c r="W267" s="1"/>
      <c r="X267" s="1"/>
      <c r="Y267" s="1"/>
    </row>
    <row r="268" spans="1:25" ht="15.75" customHeight="1" x14ac:dyDescent="0.25">
      <c r="A268" s="1"/>
      <c r="B268" s="1"/>
      <c r="C268" s="15"/>
      <c r="D268" s="17"/>
      <c r="E268" s="1"/>
      <c r="F268" s="17"/>
      <c r="G268" s="1"/>
      <c r="H268" s="1"/>
      <c r="I268" s="17"/>
      <c r="J268" s="17"/>
      <c r="K268" s="1"/>
      <c r="L268" s="1"/>
      <c r="M268" s="1"/>
      <c r="N268" s="1"/>
      <c r="O268" s="1"/>
      <c r="P268" s="1"/>
      <c r="Q268" s="1"/>
      <c r="R268" s="1"/>
      <c r="S268" s="1"/>
      <c r="T268" s="1"/>
      <c r="U268" s="1"/>
      <c r="V268" s="1"/>
      <c r="W268" s="1"/>
      <c r="X268" s="1"/>
      <c r="Y268" s="1"/>
    </row>
    <row r="269" spans="1:25" ht="15.75" customHeight="1" x14ac:dyDescent="0.25">
      <c r="A269" s="1"/>
      <c r="B269" s="1"/>
      <c r="C269" s="15"/>
      <c r="D269" s="17"/>
      <c r="E269" s="1"/>
      <c r="F269" s="17"/>
      <c r="G269" s="1"/>
      <c r="H269" s="1"/>
      <c r="I269" s="17"/>
      <c r="J269" s="17"/>
      <c r="K269" s="1"/>
      <c r="L269" s="1"/>
      <c r="M269" s="1"/>
      <c r="N269" s="1"/>
      <c r="O269" s="1"/>
      <c r="P269" s="1"/>
      <c r="Q269" s="1"/>
      <c r="R269" s="1"/>
      <c r="S269" s="1"/>
      <c r="T269" s="1"/>
      <c r="U269" s="1"/>
      <c r="V269" s="1"/>
      <c r="W269" s="1"/>
      <c r="X269" s="1"/>
      <c r="Y269" s="1"/>
    </row>
    <row r="270" spans="1:25" ht="15.75" customHeight="1" x14ac:dyDescent="0.25">
      <c r="A270" s="1"/>
      <c r="B270" s="1"/>
      <c r="C270" s="15"/>
      <c r="D270" s="17"/>
      <c r="E270" s="1"/>
      <c r="F270" s="17"/>
      <c r="G270" s="1"/>
      <c r="H270" s="1"/>
      <c r="I270" s="17"/>
      <c r="J270" s="17"/>
      <c r="K270" s="1"/>
      <c r="L270" s="1"/>
      <c r="M270" s="1"/>
      <c r="N270" s="1"/>
      <c r="O270" s="1"/>
      <c r="P270" s="1"/>
      <c r="Q270" s="1"/>
      <c r="R270" s="1"/>
      <c r="S270" s="1"/>
      <c r="T270" s="1"/>
      <c r="U270" s="1"/>
      <c r="V270" s="1"/>
      <c r="W270" s="1"/>
      <c r="X270" s="1"/>
      <c r="Y270" s="1"/>
    </row>
    <row r="271" spans="1:25" ht="15.75" customHeight="1" x14ac:dyDescent="0.25">
      <c r="A271" s="1"/>
      <c r="B271" s="1"/>
      <c r="C271" s="15"/>
      <c r="D271" s="17"/>
      <c r="E271" s="1"/>
      <c r="F271" s="17"/>
      <c r="G271" s="1"/>
      <c r="H271" s="1"/>
      <c r="I271" s="17"/>
      <c r="J271" s="17"/>
      <c r="K271" s="1"/>
      <c r="L271" s="1"/>
      <c r="M271" s="1"/>
      <c r="N271" s="1"/>
      <c r="O271" s="1"/>
      <c r="P271" s="1"/>
      <c r="Q271" s="1"/>
      <c r="R271" s="1"/>
      <c r="S271" s="1"/>
      <c r="T271" s="1"/>
      <c r="U271" s="1"/>
      <c r="V271" s="1"/>
      <c r="W271" s="1"/>
      <c r="X271" s="1"/>
      <c r="Y271" s="1"/>
    </row>
    <row r="272" spans="1:25" ht="15.75" customHeight="1" x14ac:dyDescent="0.25">
      <c r="A272" s="1"/>
      <c r="B272" s="1"/>
      <c r="C272" s="15"/>
      <c r="D272" s="17"/>
      <c r="E272" s="1"/>
      <c r="F272" s="17"/>
      <c r="G272" s="1"/>
      <c r="H272" s="1"/>
      <c r="I272" s="17"/>
      <c r="J272" s="17"/>
      <c r="K272" s="1"/>
      <c r="L272" s="1"/>
      <c r="M272" s="1"/>
      <c r="N272" s="1"/>
      <c r="O272" s="1"/>
      <c r="P272" s="1"/>
      <c r="Q272" s="1"/>
      <c r="R272" s="1"/>
      <c r="S272" s="1"/>
      <c r="T272" s="1"/>
      <c r="U272" s="1"/>
      <c r="V272" s="1"/>
      <c r="W272" s="1"/>
      <c r="X272" s="1"/>
      <c r="Y272" s="1"/>
    </row>
    <row r="273" spans="1:25" ht="15.75" customHeight="1" x14ac:dyDescent="0.25">
      <c r="A273" s="1"/>
      <c r="B273" s="1"/>
      <c r="C273" s="15"/>
      <c r="D273" s="17"/>
      <c r="E273" s="1"/>
      <c r="F273" s="17"/>
      <c r="G273" s="1"/>
      <c r="H273" s="1"/>
      <c r="I273" s="17"/>
      <c r="J273" s="17"/>
      <c r="K273" s="1"/>
      <c r="L273" s="1"/>
      <c r="M273" s="1"/>
      <c r="N273" s="1"/>
      <c r="O273" s="1"/>
      <c r="P273" s="1"/>
      <c r="Q273" s="1"/>
      <c r="R273" s="1"/>
      <c r="S273" s="1"/>
      <c r="T273" s="1"/>
      <c r="U273" s="1"/>
      <c r="V273" s="1"/>
      <c r="W273" s="1"/>
      <c r="X273" s="1"/>
      <c r="Y273" s="1"/>
    </row>
    <row r="274" spans="1:25" ht="15.75" customHeight="1" x14ac:dyDescent="0.25">
      <c r="A274" s="1"/>
      <c r="B274" s="1"/>
      <c r="C274" s="15"/>
      <c r="D274" s="17"/>
      <c r="E274" s="1"/>
      <c r="F274" s="17"/>
      <c r="G274" s="1"/>
      <c r="H274" s="1"/>
      <c r="I274" s="17"/>
      <c r="J274" s="17"/>
      <c r="K274" s="1"/>
      <c r="L274" s="1"/>
      <c r="M274" s="1"/>
      <c r="N274" s="1"/>
      <c r="O274" s="1"/>
      <c r="P274" s="1"/>
      <c r="Q274" s="1"/>
      <c r="R274" s="1"/>
      <c r="S274" s="1"/>
      <c r="T274" s="1"/>
      <c r="U274" s="1"/>
      <c r="V274" s="1"/>
      <c r="W274" s="1"/>
      <c r="X274" s="1"/>
      <c r="Y274" s="1"/>
    </row>
    <row r="275" spans="1:25" ht="15.75" customHeight="1" x14ac:dyDescent="0.25">
      <c r="A275" s="1"/>
      <c r="B275" s="1"/>
      <c r="C275" s="15"/>
      <c r="D275" s="17"/>
      <c r="E275" s="1"/>
      <c r="F275" s="17"/>
      <c r="G275" s="1"/>
      <c r="H275" s="1"/>
      <c r="I275" s="17"/>
      <c r="J275" s="17"/>
      <c r="K275" s="1"/>
      <c r="L275" s="1"/>
      <c r="M275" s="1"/>
      <c r="N275" s="1"/>
      <c r="O275" s="1"/>
      <c r="P275" s="1"/>
      <c r="Q275" s="1"/>
      <c r="R275" s="1"/>
      <c r="S275" s="1"/>
      <c r="T275" s="1"/>
      <c r="U275" s="1"/>
      <c r="V275" s="1"/>
      <c r="W275" s="1"/>
      <c r="X275" s="1"/>
      <c r="Y275" s="1"/>
    </row>
    <row r="276" spans="1:25" ht="15.75" customHeight="1" x14ac:dyDescent="0.25">
      <c r="A276" s="1"/>
      <c r="B276" s="1"/>
      <c r="C276" s="15"/>
      <c r="D276" s="17"/>
      <c r="E276" s="1"/>
      <c r="F276" s="17"/>
      <c r="G276" s="1"/>
      <c r="H276" s="1"/>
      <c r="I276" s="17"/>
      <c r="J276" s="17"/>
      <c r="K276" s="1"/>
      <c r="L276" s="1"/>
      <c r="M276" s="1"/>
      <c r="N276" s="1"/>
      <c r="O276" s="1"/>
      <c r="P276" s="1"/>
      <c r="Q276" s="1"/>
      <c r="R276" s="1"/>
      <c r="S276" s="1"/>
      <c r="T276" s="1"/>
      <c r="U276" s="1"/>
      <c r="V276" s="1"/>
      <c r="W276" s="1"/>
      <c r="X276" s="1"/>
      <c r="Y276" s="1"/>
    </row>
    <row r="277" spans="1:25" ht="15.75" customHeight="1" x14ac:dyDescent="0.25">
      <c r="A277" s="1"/>
      <c r="B277" s="1"/>
      <c r="C277" s="15"/>
      <c r="D277" s="17"/>
      <c r="E277" s="1"/>
      <c r="F277" s="17"/>
      <c r="G277" s="1"/>
      <c r="H277" s="1"/>
      <c r="I277" s="17"/>
      <c r="J277" s="17"/>
      <c r="K277" s="1"/>
      <c r="L277" s="1"/>
      <c r="M277" s="1"/>
      <c r="N277" s="1"/>
      <c r="O277" s="1"/>
      <c r="P277" s="1"/>
      <c r="Q277" s="1"/>
      <c r="R277" s="1"/>
      <c r="S277" s="1"/>
      <c r="T277" s="1"/>
      <c r="U277" s="1"/>
      <c r="V277" s="1"/>
      <c r="W277" s="1"/>
      <c r="X277" s="1"/>
      <c r="Y277" s="1"/>
    </row>
    <row r="278" spans="1:25" ht="15.75" customHeight="1" x14ac:dyDescent="0.25">
      <c r="A278" s="1"/>
      <c r="B278" s="1"/>
      <c r="C278" s="15"/>
      <c r="D278" s="17"/>
      <c r="E278" s="1"/>
      <c r="F278" s="17"/>
      <c r="G278" s="1"/>
      <c r="H278" s="1"/>
      <c r="I278" s="17"/>
      <c r="J278" s="17"/>
      <c r="K278" s="1"/>
      <c r="L278" s="1"/>
      <c r="M278" s="1"/>
      <c r="N278" s="1"/>
      <c r="O278" s="1"/>
      <c r="P278" s="1"/>
      <c r="Q278" s="1"/>
      <c r="R278" s="1"/>
      <c r="S278" s="1"/>
      <c r="T278" s="1"/>
      <c r="U278" s="1"/>
      <c r="V278" s="1"/>
      <c r="W278" s="1"/>
      <c r="X278" s="1"/>
      <c r="Y278" s="1"/>
    </row>
    <row r="279" spans="1:25" ht="15.75" customHeight="1" x14ac:dyDescent="0.25">
      <c r="A279" s="1"/>
      <c r="B279" s="1"/>
      <c r="C279" s="15"/>
      <c r="D279" s="17"/>
      <c r="E279" s="1"/>
      <c r="F279" s="17"/>
      <c r="G279" s="1"/>
      <c r="H279" s="1"/>
      <c r="I279" s="17"/>
      <c r="J279" s="17"/>
      <c r="K279" s="1"/>
      <c r="L279" s="1"/>
      <c r="M279" s="1"/>
      <c r="N279" s="1"/>
      <c r="O279" s="1"/>
      <c r="P279" s="1"/>
      <c r="Q279" s="1"/>
      <c r="R279" s="1"/>
      <c r="S279" s="1"/>
      <c r="T279" s="1"/>
      <c r="U279" s="1"/>
      <c r="V279" s="1"/>
      <c r="W279" s="1"/>
      <c r="X279" s="1"/>
      <c r="Y279" s="1"/>
    </row>
    <row r="280" spans="1:25" ht="15.75" customHeight="1" x14ac:dyDescent="0.25">
      <c r="A280" s="1"/>
      <c r="B280" s="1"/>
      <c r="C280" s="15"/>
      <c r="D280" s="17"/>
      <c r="E280" s="1"/>
      <c r="F280" s="17"/>
      <c r="G280" s="1"/>
      <c r="H280" s="1"/>
      <c r="I280" s="17"/>
      <c r="J280" s="17"/>
      <c r="K280" s="1"/>
      <c r="L280" s="1"/>
      <c r="M280" s="1"/>
      <c r="N280" s="1"/>
      <c r="O280" s="1"/>
      <c r="P280" s="1"/>
      <c r="Q280" s="1"/>
      <c r="R280" s="1"/>
      <c r="S280" s="1"/>
      <c r="T280" s="1"/>
      <c r="U280" s="1"/>
      <c r="V280" s="1"/>
      <c r="W280" s="1"/>
      <c r="X280" s="1"/>
      <c r="Y280" s="1"/>
    </row>
    <row r="281" spans="1:25" ht="15.75" customHeight="1" x14ac:dyDescent="0.25">
      <c r="A281" s="1"/>
      <c r="B281" s="1"/>
      <c r="C281" s="15"/>
      <c r="D281" s="17"/>
      <c r="E281" s="1"/>
      <c r="F281" s="17"/>
      <c r="G281" s="1"/>
      <c r="H281" s="1"/>
      <c r="I281" s="17"/>
      <c r="J281" s="17"/>
      <c r="K281" s="1"/>
      <c r="L281" s="1"/>
      <c r="M281" s="1"/>
      <c r="N281" s="1"/>
      <c r="O281" s="1"/>
      <c r="P281" s="1"/>
      <c r="Q281" s="1"/>
      <c r="R281" s="1"/>
      <c r="S281" s="1"/>
      <c r="T281" s="1"/>
      <c r="U281" s="1"/>
      <c r="V281" s="1"/>
      <c r="W281" s="1"/>
      <c r="X281" s="1"/>
      <c r="Y281" s="1"/>
    </row>
    <row r="282" spans="1:25" ht="15.75" customHeight="1" x14ac:dyDescent="0.25">
      <c r="A282" s="1"/>
      <c r="B282" s="1"/>
      <c r="C282" s="15"/>
      <c r="D282" s="17"/>
      <c r="E282" s="1"/>
      <c r="F282" s="17"/>
      <c r="G282" s="1"/>
      <c r="H282" s="1"/>
      <c r="I282" s="17"/>
      <c r="J282" s="17"/>
      <c r="K282" s="1"/>
      <c r="L282" s="1"/>
      <c r="M282" s="1"/>
      <c r="N282" s="1"/>
      <c r="O282" s="1"/>
      <c r="P282" s="1"/>
      <c r="Q282" s="1"/>
      <c r="R282" s="1"/>
      <c r="S282" s="1"/>
      <c r="T282" s="1"/>
      <c r="U282" s="1"/>
      <c r="V282" s="1"/>
      <c r="W282" s="1"/>
      <c r="X282" s="1"/>
      <c r="Y282" s="1"/>
    </row>
    <row r="283" spans="1:25" ht="15.75" customHeight="1" x14ac:dyDescent="0.25">
      <c r="A283" s="1"/>
      <c r="B283" s="1"/>
      <c r="C283" s="15"/>
      <c r="D283" s="17"/>
      <c r="E283" s="1"/>
      <c r="F283" s="17"/>
      <c r="G283" s="1"/>
      <c r="H283" s="1"/>
      <c r="I283" s="17"/>
      <c r="J283" s="17"/>
      <c r="K283" s="1"/>
      <c r="L283" s="1"/>
      <c r="M283" s="1"/>
      <c r="N283" s="1"/>
      <c r="O283" s="1"/>
      <c r="P283" s="1"/>
      <c r="Q283" s="1"/>
      <c r="R283" s="1"/>
      <c r="S283" s="1"/>
      <c r="T283" s="1"/>
      <c r="U283" s="1"/>
      <c r="V283" s="1"/>
      <c r="W283" s="1"/>
      <c r="X283" s="1"/>
      <c r="Y283" s="1"/>
    </row>
    <row r="284" spans="1:25" ht="15.75" customHeight="1" x14ac:dyDescent="0.25">
      <c r="A284" s="1"/>
      <c r="B284" s="1"/>
      <c r="C284" s="15"/>
      <c r="D284" s="17"/>
      <c r="E284" s="1"/>
      <c r="F284" s="17"/>
      <c r="G284" s="1"/>
      <c r="H284" s="1"/>
      <c r="I284" s="17"/>
      <c r="J284" s="17"/>
      <c r="K284" s="1"/>
      <c r="L284" s="1"/>
      <c r="M284" s="1"/>
      <c r="N284" s="1"/>
      <c r="O284" s="1"/>
      <c r="P284" s="1"/>
      <c r="Q284" s="1"/>
      <c r="R284" s="1"/>
      <c r="S284" s="1"/>
      <c r="T284" s="1"/>
      <c r="U284" s="1"/>
      <c r="V284" s="1"/>
      <c r="W284" s="1"/>
      <c r="X284" s="1"/>
      <c r="Y284" s="1"/>
    </row>
    <row r="285" spans="1:25" ht="15.75" customHeight="1" x14ac:dyDescent="0.25">
      <c r="A285" s="1"/>
      <c r="B285" s="1"/>
      <c r="C285" s="15"/>
      <c r="D285" s="17"/>
      <c r="E285" s="1"/>
      <c r="F285" s="17"/>
      <c r="G285" s="1"/>
      <c r="H285" s="1"/>
      <c r="I285" s="17"/>
      <c r="J285" s="17"/>
      <c r="K285" s="1"/>
      <c r="L285" s="1"/>
      <c r="M285" s="1"/>
      <c r="N285" s="1"/>
      <c r="O285" s="1"/>
      <c r="P285" s="1"/>
      <c r="Q285" s="1"/>
      <c r="R285" s="1"/>
      <c r="S285" s="1"/>
      <c r="T285" s="1"/>
      <c r="U285" s="1"/>
      <c r="V285" s="1"/>
      <c r="W285" s="1"/>
      <c r="X285" s="1"/>
      <c r="Y285" s="1"/>
    </row>
    <row r="286" spans="1:25" ht="15.75" customHeight="1" x14ac:dyDescent="0.25">
      <c r="A286" s="1"/>
      <c r="B286" s="1"/>
      <c r="C286" s="15"/>
      <c r="D286" s="17"/>
      <c r="E286" s="1"/>
      <c r="F286" s="17"/>
      <c r="G286" s="1"/>
      <c r="H286" s="1"/>
      <c r="I286" s="17"/>
      <c r="J286" s="17"/>
      <c r="K286" s="1"/>
      <c r="L286" s="1"/>
      <c r="M286" s="1"/>
      <c r="N286" s="1"/>
      <c r="O286" s="1"/>
      <c r="P286" s="1"/>
      <c r="Q286" s="1"/>
      <c r="R286" s="1"/>
      <c r="S286" s="1"/>
      <c r="T286" s="1"/>
      <c r="U286" s="1"/>
      <c r="V286" s="1"/>
      <c r="W286" s="1"/>
      <c r="X286" s="1"/>
      <c r="Y286" s="1"/>
    </row>
    <row r="287" spans="1:25" ht="15.75" customHeight="1" x14ac:dyDescent="0.25">
      <c r="A287" s="1"/>
      <c r="B287" s="1"/>
      <c r="C287" s="15"/>
      <c r="D287" s="17"/>
      <c r="E287" s="1"/>
      <c r="F287" s="17"/>
      <c r="G287" s="1"/>
      <c r="H287" s="1"/>
      <c r="I287" s="17"/>
      <c r="J287" s="17"/>
      <c r="K287" s="1"/>
      <c r="L287" s="1"/>
      <c r="M287" s="1"/>
      <c r="N287" s="1"/>
      <c r="O287" s="1"/>
      <c r="P287" s="1"/>
      <c r="Q287" s="1"/>
      <c r="R287" s="1"/>
      <c r="S287" s="1"/>
      <c r="T287" s="1"/>
      <c r="U287" s="1"/>
      <c r="V287" s="1"/>
      <c r="W287" s="1"/>
      <c r="X287" s="1"/>
      <c r="Y287" s="1"/>
    </row>
    <row r="288" spans="1:25" ht="15.75" customHeight="1" x14ac:dyDescent="0.25">
      <c r="A288" s="1"/>
      <c r="B288" s="1"/>
      <c r="C288" s="15"/>
      <c r="D288" s="17"/>
      <c r="E288" s="1"/>
      <c r="F288" s="17"/>
      <c r="G288" s="1"/>
      <c r="H288" s="1"/>
      <c r="I288" s="17"/>
      <c r="J288" s="17"/>
      <c r="K288" s="1"/>
      <c r="L288" s="1"/>
      <c r="M288" s="1"/>
      <c r="N288" s="1"/>
      <c r="O288" s="1"/>
      <c r="P288" s="1"/>
      <c r="Q288" s="1"/>
      <c r="R288" s="1"/>
      <c r="S288" s="1"/>
      <c r="T288" s="1"/>
      <c r="U288" s="1"/>
      <c r="V288" s="1"/>
      <c r="W288" s="1"/>
      <c r="X288" s="1"/>
      <c r="Y288" s="1"/>
    </row>
    <row r="289" spans="1:25" ht="15.75" customHeight="1" x14ac:dyDescent="0.25">
      <c r="A289" s="1"/>
      <c r="B289" s="1"/>
      <c r="C289" s="15"/>
      <c r="D289" s="17"/>
      <c r="E289" s="1"/>
      <c r="F289" s="17"/>
      <c r="G289" s="1"/>
      <c r="H289" s="1"/>
      <c r="I289" s="17"/>
      <c r="J289" s="17"/>
      <c r="K289" s="1"/>
      <c r="L289" s="1"/>
      <c r="M289" s="1"/>
      <c r="N289" s="1"/>
      <c r="O289" s="1"/>
      <c r="P289" s="1"/>
      <c r="Q289" s="1"/>
      <c r="R289" s="1"/>
      <c r="S289" s="1"/>
      <c r="T289" s="1"/>
      <c r="U289" s="1"/>
      <c r="V289" s="1"/>
      <c r="W289" s="1"/>
      <c r="X289" s="1"/>
      <c r="Y289" s="1"/>
    </row>
    <row r="290" spans="1:25" ht="15.75" customHeight="1" x14ac:dyDescent="0.25">
      <c r="A290" s="1"/>
      <c r="B290" s="1"/>
      <c r="C290" s="15"/>
      <c r="D290" s="17"/>
      <c r="E290" s="1"/>
      <c r="F290" s="17"/>
      <c r="G290" s="1"/>
      <c r="H290" s="1"/>
      <c r="I290" s="17"/>
      <c r="J290" s="17"/>
      <c r="K290" s="1"/>
      <c r="L290" s="1"/>
      <c r="M290" s="1"/>
      <c r="N290" s="1"/>
      <c r="O290" s="1"/>
      <c r="P290" s="1"/>
      <c r="Q290" s="1"/>
      <c r="R290" s="1"/>
      <c r="S290" s="1"/>
      <c r="T290" s="1"/>
      <c r="U290" s="1"/>
      <c r="V290" s="1"/>
      <c r="W290" s="1"/>
      <c r="X290" s="1"/>
      <c r="Y290" s="1"/>
    </row>
    <row r="291" spans="1:25" ht="15.75" customHeight="1" x14ac:dyDescent="0.25">
      <c r="A291" s="1"/>
      <c r="B291" s="1"/>
      <c r="C291" s="15"/>
      <c r="D291" s="17"/>
      <c r="E291" s="1"/>
      <c r="F291" s="17"/>
      <c r="G291" s="1"/>
      <c r="H291" s="1"/>
      <c r="I291" s="17"/>
      <c r="J291" s="17"/>
      <c r="K291" s="1"/>
      <c r="L291" s="1"/>
      <c r="M291" s="1"/>
      <c r="N291" s="1"/>
      <c r="O291" s="1"/>
      <c r="P291" s="1"/>
      <c r="Q291" s="1"/>
      <c r="R291" s="1"/>
      <c r="S291" s="1"/>
      <c r="T291" s="1"/>
      <c r="U291" s="1"/>
      <c r="V291" s="1"/>
      <c r="W291" s="1"/>
      <c r="X291" s="1"/>
      <c r="Y291" s="1"/>
    </row>
    <row r="292" spans="1:25" ht="15.75" customHeight="1" x14ac:dyDescent="0.25">
      <c r="A292" s="1"/>
      <c r="B292" s="1"/>
      <c r="C292" s="15"/>
      <c r="D292" s="17"/>
      <c r="E292" s="1"/>
      <c r="F292" s="17"/>
      <c r="G292" s="1"/>
      <c r="H292" s="1"/>
      <c r="I292" s="17"/>
      <c r="J292" s="17"/>
      <c r="K292" s="1"/>
      <c r="L292" s="1"/>
      <c r="M292" s="1"/>
      <c r="N292" s="1"/>
      <c r="O292" s="1"/>
      <c r="P292" s="1"/>
      <c r="Q292" s="1"/>
      <c r="R292" s="1"/>
      <c r="S292" s="1"/>
      <c r="T292" s="1"/>
      <c r="U292" s="1"/>
      <c r="V292" s="1"/>
      <c r="W292" s="1"/>
      <c r="X292" s="1"/>
      <c r="Y292" s="1"/>
    </row>
    <row r="293" spans="1:25" ht="15.75" customHeight="1" x14ac:dyDescent="0.25">
      <c r="A293" s="1"/>
      <c r="B293" s="1"/>
      <c r="C293" s="15"/>
      <c r="D293" s="17"/>
      <c r="E293" s="1"/>
      <c r="F293" s="17"/>
      <c r="G293" s="1"/>
      <c r="H293" s="1"/>
      <c r="I293" s="17"/>
      <c r="J293" s="17"/>
      <c r="K293" s="1"/>
      <c r="L293" s="1"/>
      <c r="M293" s="1"/>
      <c r="N293" s="1"/>
      <c r="O293" s="1"/>
      <c r="P293" s="1"/>
      <c r="Q293" s="1"/>
      <c r="R293" s="1"/>
      <c r="S293" s="1"/>
      <c r="T293" s="1"/>
      <c r="U293" s="1"/>
      <c r="V293" s="1"/>
      <c r="W293" s="1"/>
      <c r="X293" s="1"/>
      <c r="Y293" s="1"/>
    </row>
    <row r="294" spans="1:25" ht="15.75" customHeight="1" x14ac:dyDescent="0.25">
      <c r="A294" s="1"/>
      <c r="B294" s="1"/>
      <c r="C294" s="15"/>
      <c r="D294" s="17"/>
      <c r="E294" s="1"/>
      <c r="F294" s="17"/>
      <c r="G294" s="1"/>
      <c r="H294" s="1"/>
      <c r="I294" s="17"/>
      <c r="J294" s="17"/>
      <c r="K294" s="1"/>
      <c r="L294" s="1"/>
      <c r="M294" s="1"/>
      <c r="N294" s="1"/>
      <c r="O294" s="1"/>
      <c r="P294" s="1"/>
      <c r="Q294" s="1"/>
      <c r="R294" s="1"/>
      <c r="S294" s="1"/>
      <c r="T294" s="1"/>
      <c r="U294" s="1"/>
      <c r="V294" s="1"/>
      <c r="W294" s="1"/>
      <c r="X294" s="1"/>
      <c r="Y294" s="1"/>
    </row>
    <row r="295" spans="1:25" ht="15.75" customHeight="1" x14ac:dyDescent="0.25">
      <c r="A295" s="1"/>
      <c r="B295" s="1"/>
      <c r="C295" s="15"/>
      <c r="D295" s="17"/>
      <c r="E295" s="1"/>
      <c r="F295" s="17"/>
      <c r="G295" s="1"/>
      <c r="H295" s="1"/>
      <c r="I295" s="17"/>
      <c r="J295" s="17"/>
      <c r="K295" s="1"/>
      <c r="L295" s="1"/>
      <c r="M295" s="1"/>
      <c r="N295" s="1"/>
      <c r="O295" s="1"/>
      <c r="P295" s="1"/>
      <c r="Q295" s="1"/>
      <c r="R295" s="1"/>
      <c r="S295" s="1"/>
      <c r="T295" s="1"/>
      <c r="U295" s="1"/>
      <c r="V295" s="1"/>
      <c r="W295" s="1"/>
      <c r="X295" s="1"/>
      <c r="Y295" s="1"/>
    </row>
    <row r="296" spans="1:25" ht="15.75" customHeight="1" x14ac:dyDescent="0.25">
      <c r="A296" s="1"/>
      <c r="B296" s="1"/>
      <c r="C296" s="15"/>
      <c r="D296" s="17"/>
      <c r="E296" s="1"/>
      <c r="F296" s="17"/>
      <c r="G296" s="1"/>
      <c r="H296" s="1"/>
      <c r="I296" s="17"/>
      <c r="J296" s="17"/>
      <c r="K296" s="1"/>
      <c r="L296" s="1"/>
      <c r="M296" s="1"/>
      <c r="N296" s="1"/>
      <c r="O296" s="1"/>
      <c r="P296" s="1"/>
      <c r="Q296" s="1"/>
      <c r="R296" s="1"/>
      <c r="S296" s="1"/>
      <c r="T296" s="1"/>
      <c r="U296" s="1"/>
      <c r="V296" s="1"/>
      <c r="W296" s="1"/>
      <c r="X296" s="1"/>
      <c r="Y296" s="1"/>
    </row>
    <row r="297" spans="1:25" ht="15.75" customHeight="1" x14ac:dyDescent="0.25">
      <c r="A297" s="1"/>
      <c r="B297" s="1"/>
      <c r="C297" s="15"/>
      <c r="D297" s="17"/>
      <c r="E297" s="1"/>
      <c r="F297" s="17"/>
      <c r="G297" s="1"/>
      <c r="H297" s="1"/>
      <c r="I297" s="17"/>
      <c r="J297" s="17"/>
      <c r="K297" s="1"/>
      <c r="L297" s="1"/>
      <c r="M297" s="1"/>
      <c r="N297" s="1"/>
      <c r="O297" s="1"/>
      <c r="P297" s="1"/>
      <c r="Q297" s="1"/>
      <c r="R297" s="1"/>
      <c r="S297" s="1"/>
      <c r="T297" s="1"/>
      <c r="U297" s="1"/>
      <c r="V297" s="1"/>
      <c r="W297" s="1"/>
      <c r="X297" s="1"/>
      <c r="Y297" s="1"/>
    </row>
    <row r="298" spans="1:25" ht="15.75" customHeight="1" x14ac:dyDescent="0.25">
      <c r="A298" s="1"/>
      <c r="B298" s="1"/>
      <c r="C298" s="15"/>
      <c r="D298" s="17"/>
      <c r="E298" s="1"/>
      <c r="F298" s="17"/>
      <c r="G298" s="1"/>
      <c r="H298" s="1"/>
      <c r="I298" s="17"/>
      <c r="J298" s="17"/>
      <c r="K298" s="1"/>
      <c r="L298" s="1"/>
      <c r="M298" s="1"/>
      <c r="N298" s="1"/>
      <c r="O298" s="1"/>
      <c r="P298" s="1"/>
      <c r="Q298" s="1"/>
      <c r="R298" s="1"/>
      <c r="S298" s="1"/>
      <c r="T298" s="1"/>
      <c r="U298" s="1"/>
      <c r="V298" s="1"/>
      <c r="W298" s="1"/>
      <c r="X298" s="1"/>
      <c r="Y298" s="1"/>
    </row>
    <row r="299" spans="1:25" ht="15.75" customHeight="1" x14ac:dyDescent="0.25">
      <c r="A299" s="1"/>
      <c r="B299" s="1"/>
      <c r="C299" s="15"/>
      <c r="D299" s="17"/>
      <c r="E299" s="1"/>
      <c r="F299" s="17"/>
      <c r="G299" s="1"/>
      <c r="H299" s="1"/>
      <c r="I299" s="17"/>
      <c r="J299" s="17"/>
      <c r="K299" s="1"/>
      <c r="L299" s="1"/>
      <c r="M299" s="1"/>
      <c r="N299" s="1"/>
      <c r="O299" s="1"/>
      <c r="P299" s="1"/>
      <c r="Q299" s="1"/>
      <c r="R299" s="1"/>
      <c r="S299" s="1"/>
      <c r="T299" s="1"/>
      <c r="U299" s="1"/>
      <c r="V299" s="1"/>
      <c r="W299" s="1"/>
      <c r="X299" s="1"/>
      <c r="Y299" s="1"/>
    </row>
    <row r="300" spans="1:25" ht="15.75" customHeight="1" x14ac:dyDescent="0.25">
      <c r="A300" s="1"/>
      <c r="B300" s="1"/>
      <c r="C300" s="15"/>
      <c r="D300" s="17"/>
      <c r="E300" s="1"/>
      <c r="F300" s="17"/>
      <c r="G300" s="1"/>
      <c r="H300" s="1"/>
      <c r="I300" s="17"/>
      <c r="J300" s="17"/>
      <c r="K300" s="1"/>
      <c r="L300" s="1"/>
      <c r="M300" s="1"/>
      <c r="N300" s="1"/>
      <c r="O300" s="1"/>
      <c r="P300" s="1"/>
      <c r="Q300" s="1"/>
      <c r="R300" s="1"/>
      <c r="S300" s="1"/>
      <c r="T300" s="1"/>
      <c r="U300" s="1"/>
      <c r="V300" s="1"/>
      <c r="W300" s="1"/>
      <c r="X300" s="1"/>
      <c r="Y300" s="1"/>
    </row>
    <row r="301" spans="1:25" ht="15.75" customHeight="1" x14ac:dyDescent="0.25">
      <c r="A301" s="1"/>
      <c r="B301" s="1"/>
      <c r="C301" s="15"/>
      <c r="D301" s="17"/>
      <c r="E301" s="1"/>
      <c r="F301" s="17"/>
      <c r="G301" s="1"/>
      <c r="H301" s="1"/>
      <c r="I301" s="17"/>
      <c r="J301" s="17"/>
      <c r="K301" s="1"/>
      <c r="L301" s="1"/>
      <c r="M301" s="1"/>
      <c r="N301" s="1"/>
      <c r="O301" s="1"/>
      <c r="P301" s="1"/>
      <c r="Q301" s="1"/>
      <c r="R301" s="1"/>
      <c r="S301" s="1"/>
      <c r="T301" s="1"/>
      <c r="U301" s="1"/>
      <c r="V301" s="1"/>
      <c r="W301" s="1"/>
      <c r="X301" s="1"/>
      <c r="Y301" s="1"/>
    </row>
    <row r="302" spans="1:25" ht="15.75" customHeight="1" x14ac:dyDescent="0.25">
      <c r="A302" s="1"/>
      <c r="B302" s="1"/>
      <c r="C302" s="15"/>
      <c r="D302" s="17"/>
      <c r="E302" s="1"/>
      <c r="F302" s="17"/>
      <c r="G302" s="1"/>
      <c r="H302" s="1"/>
      <c r="I302" s="17"/>
      <c r="J302" s="17"/>
      <c r="K302" s="1"/>
      <c r="L302" s="1"/>
      <c r="M302" s="1"/>
      <c r="N302" s="1"/>
      <c r="O302" s="1"/>
      <c r="P302" s="1"/>
      <c r="Q302" s="1"/>
      <c r="R302" s="1"/>
      <c r="S302" s="1"/>
      <c r="T302" s="1"/>
      <c r="U302" s="1"/>
      <c r="V302" s="1"/>
      <c r="W302" s="1"/>
      <c r="X302" s="1"/>
      <c r="Y302" s="1"/>
    </row>
    <row r="303" spans="1:25" ht="15.75" customHeight="1" x14ac:dyDescent="0.25">
      <c r="A303" s="1"/>
      <c r="B303" s="1"/>
      <c r="C303" s="15"/>
      <c r="D303" s="17"/>
      <c r="E303" s="1"/>
      <c r="F303" s="17"/>
      <c r="G303" s="1"/>
      <c r="H303" s="1"/>
      <c r="I303" s="17"/>
      <c r="J303" s="17"/>
      <c r="K303" s="1"/>
      <c r="L303" s="1"/>
      <c r="M303" s="1"/>
      <c r="N303" s="1"/>
      <c r="O303" s="1"/>
      <c r="P303" s="1"/>
      <c r="Q303" s="1"/>
      <c r="R303" s="1"/>
      <c r="S303" s="1"/>
      <c r="T303" s="1"/>
      <c r="U303" s="1"/>
      <c r="V303" s="1"/>
      <c r="W303" s="1"/>
      <c r="X303" s="1"/>
      <c r="Y303" s="1"/>
    </row>
    <row r="304" spans="1:25" ht="15.75" customHeight="1" x14ac:dyDescent="0.25">
      <c r="A304" s="1"/>
      <c r="B304" s="1"/>
      <c r="C304" s="15"/>
      <c r="D304" s="17"/>
      <c r="E304" s="1"/>
      <c r="F304" s="17"/>
      <c r="G304" s="1"/>
      <c r="H304" s="1"/>
      <c r="I304" s="17"/>
      <c r="J304" s="17"/>
      <c r="K304" s="1"/>
      <c r="L304" s="1"/>
      <c r="M304" s="1"/>
      <c r="N304" s="1"/>
      <c r="O304" s="1"/>
      <c r="P304" s="1"/>
      <c r="Q304" s="1"/>
      <c r="R304" s="1"/>
      <c r="S304" s="1"/>
      <c r="T304" s="1"/>
      <c r="U304" s="1"/>
      <c r="V304" s="1"/>
      <c r="W304" s="1"/>
      <c r="X304" s="1"/>
      <c r="Y304" s="1"/>
    </row>
    <row r="305" spans="1:25" ht="15.75" customHeight="1" x14ac:dyDescent="0.25">
      <c r="A305" s="1"/>
      <c r="B305" s="1"/>
      <c r="C305" s="15"/>
      <c r="D305" s="17"/>
      <c r="E305" s="1"/>
      <c r="F305" s="17"/>
      <c r="G305" s="1"/>
      <c r="H305" s="1"/>
      <c r="I305" s="17"/>
      <c r="J305" s="17"/>
      <c r="K305" s="1"/>
      <c r="L305" s="1"/>
      <c r="M305" s="1"/>
      <c r="N305" s="1"/>
      <c r="O305" s="1"/>
      <c r="P305" s="1"/>
      <c r="Q305" s="1"/>
      <c r="R305" s="1"/>
      <c r="S305" s="1"/>
      <c r="T305" s="1"/>
      <c r="U305" s="1"/>
      <c r="V305" s="1"/>
      <c r="W305" s="1"/>
      <c r="X305" s="1"/>
      <c r="Y305" s="1"/>
    </row>
    <row r="306" spans="1:25" ht="15.75" customHeight="1" x14ac:dyDescent="0.25">
      <c r="A306" s="1"/>
      <c r="B306" s="1"/>
      <c r="C306" s="15"/>
      <c r="D306" s="17"/>
      <c r="E306" s="1"/>
      <c r="F306" s="17"/>
      <c r="G306" s="1"/>
      <c r="H306" s="1"/>
      <c r="I306" s="17"/>
      <c r="J306" s="17"/>
      <c r="K306" s="1"/>
      <c r="L306" s="1"/>
      <c r="M306" s="1"/>
      <c r="N306" s="1"/>
      <c r="O306" s="1"/>
      <c r="P306" s="1"/>
      <c r="Q306" s="1"/>
      <c r="R306" s="1"/>
      <c r="S306" s="1"/>
      <c r="T306" s="1"/>
      <c r="U306" s="1"/>
      <c r="V306" s="1"/>
      <c r="W306" s="1"/>
      <c r="X306" s="1"/>
      <c r="Y306" s="1"/>
    </row>
    <row r="307" spans="1:25" ht="15.75" customHeight="1" x14ac:dyDescent="0.25">
      <c r="A307" s="1"/>
      <c r="B307" s="1"/>
      <c r="C307" s="15"/>
      <c r="D307" s="17"/>
      <c r="E307" s="1"/>
      <c r="F307" s="17"/>
      <c r="G307" s="1"/>
      <c r="H307" s="1"/>
      <c r="I307" s="17"/>
      <c r="J307" s="17"/>
      <c r="K307" s="1"/>
      <c r="L307" s="1"/>
      <c r="M307" s="1"/>
      <c r="N307" s="1"/>
      <c r="O307" s="1"/>
      <c r="P307" s="1"/>
      <c r="Q307" s="1"/>
      <c r="R307" s="1"/>
      <c r="S307" s="1"/>
      <c r="T307" s="1"/>
      <c r="U307" s="1"/>
      <c r="V307" s="1"/>
      <c r="W307" s="1"/>
      <c r="X307" s="1"/>
      <c r="Y307" s="1"/>
    </row>
    <row r="308" spans="1:25" ht="15.75" customHeight="1" x14ac:dyDescent="0.25">
      <c r="A308" s="1"/>
      <c r="B308" s="1"/>
      <c r="C308" s="15"/>
      <c r="D308" s="17"/>
      <c r="E308" s="1"/>
      <c r="F308" s="17"/>
      <c r="G308" s="1"/>
      <c r="H308" s="1"/>
      <c r="I308" s="17"/>
      <c r="J308" s="17"/>
      <c r="K308" s="1"/>
      <c r="L308" s="1"/>
      <c r="M308" s="1"/>
      <c r="N308" s="1"/>
      <c r="O308" s="1"/>
      <c r="P308" s="1"/>
      <c r="Q308" s="1"/>
      <c r="R308" s="1"/>
      <c r="S308" s="1"/>
      <c r="T308" s="1"/>
      <c r="U308" s="1"/>
      <c r="V308" s="1"/>
      <c r="W308" s="1"/>
      <c r="X308" s="1"/>
      <c r="Y308" s="1"/>
    </row>
    <row r="309" spans="1:25" ht="15.75" customHeight="1" x14ac:dyDescent="0.25">
      <c r="A309" s="1"/>
      <c r="B309" s="1"/>
      <c r="C309" s="15"/>
      <c r="D309" s="17"/>
      <c r="E309" s="1"/>
      <c r="F309" s="17"/>
      <c r="G309" s="1"/>
      <c r="H309" s="1"/>
      <c r="I309" s="17"/>
      <c r="J309" s="17"/>
      <c r="K309" s="1"/>
      <c r="L309" s="1"/>
      <c r="M309" s="1"/>
      <c r="N309" s="1"/>
      <c r="O309" s="1"/>
      <c r="P309" s="1"/>
      <c r="Q309" s="1"/>
      <c r="R309" s="1"/>
      <c r="S309" s="1"/>
      <c r="T309" s="1"/>
      <c r="U309" s="1"/>
      <c r="V309" s="1"/>
      <c r="W309" s="1"/>
      <c r="X309" s="1"/>
      <c r="Y309" s="1"/>
    </row>
    <row r="310" spans="1:25" ht="15.75" customHeight="1" x14ac:dyDescent="0.25">
      <c r="A310" s="1"/>
      <c r="B310" s="1"/>
      <c r="C310" s="15"/>
      <c r="D310" s="17"/>
      <c r="E310" s="1"/>
      <c r="F310" s="17"/>
      <c r="G310" s="1"/>
      <c r="H310" s="1"/>
      <c r="I310" s="17"/>
      <c r="J310" s="17"/>
      <c r="K310" s="1"/>
      <c r="L310" s="1"/>
      <c r="M310" s="1"/>
      <c r="N310" s="1"/>
      <c r="O310" s="1"/>
      <c r="P310" s="1"/>
      <c r="Q310" s="1"/>
      <c r="R310" s="1"/>
      <c r="S310" s="1"/>
      <c r="T310" s="1"/>
      <c r="U310" s="1"/>
      <c r="V310" s="1"/>
      <c r="W310" s="1"/>
      <c r="X310" s="1"/>
      <c r="Y310" s="1"/>
    </row>
    <row r="311" spans="1:25" ht="15.75" customHeight="1" x14ac:dyDescent="0.25">
      <c r="A311" s="1"/>
      <c r="B311" s="1"/>
      <c r="C311" s="15"/>
      <c r="D311" s="17"/>
      <c r="E311" s="1"/>
      <c r="F311" s="17"/>
      <c r="G311" s="1"/>
      <c r="H311" s="1"/>
      <c r="I311" s="17"/>
      <c r="J311" s="17"/>
      <c r="K311" s="1"/>
      <c r="L311" s="1"/>
      <c r="M311" s="1"/>
      <c r="N311" s="1"/>
      <c r="O311" s="1"/>
      <c r="P311" s="1"/>
      <c r="Q311" s="1"/>
      <c r="R311" s="1"/>
      <c r="S311" s="1"/>
      <c r="T311" s="1"/>
      <c r="U311" s="1"/>
      <c r="V311" s="1"/>
      <c r="W311" s="1"/>
      <c r="X311" s="1"/>
      <c r="Y311" s="1"/>
    </row>
    <row r="312" spans="1:25" ht="15.75" customHeight="1" x14ac:dyDescent="0.25">
      <c r="A312" s="1"/>
      <c r="B312" s="1"/>
      <c r="C312" s="15"/>
      <c r="D312" s="17"/>
      <c r="E312" s="1"/>
      <c r="F312" s="17"/>
      <c r="G312" s="1"/>
      <c r="H312" s="1"/>
      <c r="I312" s="17"/>
      <c r="J312" s="17"/>
      <c r="K312" s="1"/>
      <c r="L312" s="1"/>
      <c r="M312" s="1"/>
      <c r="N312" s="1"/>
      <c r="O312" s="1"/>
      <c r="P312" s="1"/>
      <c r="Q312" s="1"/>
      <c r="R312" s="1"/>
      <c r="S312" s="1"/>
      <c r="T312" s="1"/>
      <c r="U312" s="1"/>
      <c r="V312" s="1"/>
      <c r="W312" s="1"/>
      <c r="X312" s="1"/>
      <c r="Y312" s="1"/>
    </row>
    <row r="313" spans="1:25" ht="15.75" customHeight="1" x14ac:dyDescent="0.25">
      <c r="A313" s="1"/>
      <c r="B313" s="1"/>
      <c r="C313" s="15"/>
      <c r="D313" s="17"/>
      <c r="E313" s="1"/>
      <c r="F313" s="17"/>
      <c r="G313" s="1"/>
      <c r="H313" s="1"/>
      <c r="I313" s="17"/>
      <c r="J313" s="17"/>
      <c r="K313" s="1"/>
      <c r="L313" s="1"/>
      <c r="M313" s="1"/>
      <c r="N313" s="1"/>
      <c r="O313" s="1"/>
      <c r="P313" s="1"/>
      <c r="Q313" s="1"/>
      <c r="R313" s="1"/>
      <c r="S313" s="1"/>
      <c r="T313" s="1"/>
      <c r="U313" s="1"/>
      <c r="V313" s="1"/>
      <c r="W313" s="1"/>
      <c r="X313" s="1"/>
      <c r="Y313" s="1"/>
    </row>
    <row r="314" spans="1:25" ht="15.75" customHeight="1" x14ac:dyDescent="0.25">
      <c r="A314" s="1"/>
      <c r="B314" s="1"/>
      <c r="C314" s="15"/>
      <c r="D314" s="17"/>
      <c r="E314" s="1"/>
      <c r="F314" s="17"/>
      <c r="G314" s="1"/>
      <c r="H314" s="1"/>
      <c r="I314" s="17"/>
      <c r="J314" s="17"/>
      <c r="K314" s="1"/>
      <c r="L314" s="1"/>
      <c r="M314" s="1"/>
      <c r="N314" s="1"/>
      <c r="O314" s="1"/>
      <c r="P314" s="1"/>
      <c r="Q314" s="1"/>
      <c r="R314" s="1"/>
      <c r="S314" s="1"/>
      <c r="T314" s="1"/>
      <c r="U314" s="1"/>
      <c r="V314" s="1"/>
      <c r="W314" s="1"/>
      <c r="X314" s="1"/>
      <c r="Y314" s="1"/>
    </row>
    <row r="315" spans="1:25" ht="15.75" customHeight="1" x14ac:dyDescent="0.25">
      <c r="A315" s="1"/>
      <c r="B315" s="1"/>
      <c r="C315" s="15"/>
      <c r="D315" s="17"/>
      <c r="E315" s="1"/>
      <c r="F315" s="17"/>
      <c r="G315" s="1"/>
      <c r="H315" s="1"/>
      <c r="I315" s="17"/>
      <c r="J315" s="17"/>
      <c r="K315" s="1"/>
      <c r="L315" s="1"/>
      <c r="M315" s="1"/>
      <c r="N315" s="1"/>
      <c r="O315" s="1"/>
      <c r="P315" s="1"/>
      <c r="Q315" s="1"/>
      <c r="R315" s="1"/>
      <c r="S315" s="1"/>
      <c r="T315" s="1"/>
      <c r="U315" s="1"/>
      <c r="V315" s="1"/>
      <c r="W315" s="1"/>
      <c r="X315" s="1"/>
      <c r="Y315" s="1"/>
    </row>
    <row r="316" spans="1:25" ht="15.75" customHeight="1" x14ac:dyDescent="0.25">
      <c r="A316" s="1"/>
      <c r="B316" s="1"/>
      <c r="C316" s="15"/>
      <c r="D316" s="17"/>
      <c r="E316" s="1"/>
      <c r="F316" s="17"/>
      <c r="G316" s="1"/>
      <c r="H316" s="1"/>
      <c r="I316" s="17"/>
      <c r="J316" s="17"/>
      <c r="K316" s="1"/>
      <c r="L316" s="1"/>
      <c r="M316" s="1"/>
      <c r="N316" s="1"/>
      <c r="O316" s="1"/>
      <c r="P316" s="1"/>
      <c r="Q316" s="1"/>
      <c r="R316" s="1"/>
      <c r="S316" s="1"/>
      <c r="T316" s="1"/>
      <c r="U316" s="1"/>
      <c r="V316" s="1"/>
      <c r="W316" s="1"/>
      <c r="X316" s="1"/>
      <c r="Y316" s="1"/>
    </row>
    <row r="317" spans="1:25" ht="15.75" customHeight="1" x14ac:dyDescent="0.25">
      <c r="A317" s="1"/>
      <c r="B317" s="1"/>
      <c r="C317" s="15"/>
      <c r="D317" s="17"/>
      <c r="E317" s="1"/>
      <c r="F317" s="17"/>
      <c r="G317" s="1"/>
      <c r="H317" s="1"/>
      <c r="I317" s="17"/>
      <c r="J317" s="17"/>
      <c r="K317" s="1"/>
      <c r="L317" s="1"/>
      <c r="M317" s="1"/>
      <c r="N317" s="1"/>
      <c r="O317" s="1"/>
      <c r="P317" s="1"/>
      <c r="Q317" s="1"/>
      <c r="R317" s="1"/>
      <c r="S317" s="1"/>
      <c r="T317" s="1"/>
      <c r="U317" s="1"/>
      <c r="V317" s="1"/>
      <c r="W317" s="1"/>
      <c r="X317" s="1"/>
      <c r="Y317" s="1"/>
    </row>
    <row r="318" spans="1:25" ht="15.75" customHeight="1" x14ac:dyDescent="0.25">
      <c r="A318" s="1"/>
      <c r="B318" s="1"/>
      <c r="C318" s="15"/>
      <c r="D318" s="17"/>
      <c r="E318" s="1"/>
      <c r="F318" s="17"/>
      <c r="G318" s="1"/>
      <c r="H318" s="1"/>
      <c r="I318" s="17"/>
      <c r="J318" s="17"/>
      <c r="K318" s="1"/>
      <c r="L318" s="1"/>
      <c r="M318" s="1"/>
      <c r="N318" s="1"/>
      <c r="O318" s="1"/>
      <c r="P318" s="1"/>
      <c r="Q318" s="1"/>
      <c r="R318" s="1"/>
      <c r="S318" s="1"/>
      <c r="T318" s="1"/>
      <c r="U318" s="1"/>
      <c r="V318" s="1"/>
      <c r="W318" s="1"/>
      <c r="X318" s="1"/>
      <c r="Y318" s="1"/>
    </row>
    <row r="319" spans="1:25" ht="15.75" customHeight="1" x14ac:dyDescent="0.25">
      <c r="A319" s="1"/>
      <c r="B319" s="1"/>
      <c r="C319" s="15"/>
      <c r="D319" s="17"/>
      <c r="E319" s="1"/>
      <c r="F319" s="17"/>
      <c r="G319" s="1"/>
      <c r="H319" s="1"/>
      <c r="I319" s="17"/>
      <c r="J319" s="17"/>
      <c r="K319" s="1"/>
      <c r="L319" s="1"/>
      <c r="M319" s="1"/>
      <c r="N319" s="1"/>
      <c r="O319" s="1"/>
      <c r="P319" s="1"/>
      <c r="Q319" s="1"/>
      <c r="R319" s="1"/>
      <c r="S319" s="1"/>
      <c r="T319" s="1"/>
      <c r="U319" s="1"/>
      <c r="V319" s="1"/>
      <c r="W319" s="1"/>
      <c r="X319" s="1"/>
      <c r="Y319" s="1"/>
    </row>
    <row r="320" spans="1:25" ht="15.75" customHeight="1" x14ac:dyDescent="0.25">
      <c r="A320" s="1"/>
      <c r="B320" s="1"/>
      <c r="C320" s="15"/>
      <c r="D320" s="17"/>
      <c r="E320" s="1"/>
      <c r="F320" s="17"/>
      <c r="G320" s="1"/>
      <c r="H320" s="1"/>
      <c r="I320" s="17"/>
      <c r="J320" s="17"/>
      <c r="K320" s="1"/>
      <c r="L320" s="1"/>
      <c r="M320" s="1"/>
      <c r="N320" s="1"/>
      <c r="O320" s="1"/>
      <c r="P320" s="1"/>
      <c r="Q320" s="1"/>
      <c r="R320" s="1"/>
      <c r="S320" s="1"/>
      <c r="T320" s="1"/>
      <c r="U320" s="1"/>
      <c r="V320" s="1"/>
      <c r="W320" s="1"/>
      <c r="X320" s="1"/>
      <c r="Y320" s="1"/>
    </row>
    <row r="321" spans="1:25" ht="15.75" customHeight="1" x14ac:dyDescent="0.25">
      <c r="A321" s="1"/>
      <c r="B321" s="1"/>
      <c r="C321" s="15"/>
      <c r="D321" s="17"/>
      <c r="E321" s="1"/>
      <c r="F321" s="17"/>
      <c r="G321" s="1"/>
      <c r="H321" s="1"/>
      <c r="I321" s="17"/>
      <c r="J321" s="17"/>
      <c r="K321" s="1"/>
      <c r="L321" s="1"/>
      <c r="M321" s="1"/>
      <c r="N321" s="1"/>
      <c r="O321" s="1"/>
      <c r="P321" s="1"/>
      <c r="Q321" s="1"/>
      <c r="R321" s="1"/>
      <c r="S321" s="1"/>
      <c r="T321" s="1"/>
      <c r="U321" s="1"/>
      <c r="V321" s="1"/>
      <c r="W321" s="1"/>
      <c r="X321" s="1"/>
      <c r="Y321" s="1"/>
    </row>
    <row r="322" spans="1:25" ht="15.75" customHeight="1" x14ac:dyDescent="0.25">
      <c r="A322" s="1"/>
      <c r="B322" s="1"/>
      <c r="C322" s="15"/>
      <c r="D322" s="17"/>
      <c r="E322" s="1"/>
      <c r="F322" s="17"/>
      <c r="G322" s="1"/>
      <c r="H322" s="1"/>
      <c r="I322" s="17"/>
      <c r="J322" s="17"/>
      <c r="K322" s="1"/>
      <c r="L322" s="1"/>
      <c r="M322" s="1"/>
      <c r="N322" s="1"/>
      <c r="O322" s="1"/>
      <c r="P322" s="1"/>
      <c r="Q322" s="1"/>
      <c r="R322" s="1"/>
      <c r="S322" s="1"/>
      <c r="T322" s="1"/>
      <c r="U322" s="1"/>
      <c r="V322" s="1"/>
      <c r="W322" s="1"/>
      <c r="X322" s="1"/>
      <c r="Y322" s="1"/>
    </row>
    <row r="323" spans="1:25" ht="15.75" customHeight="1" x14ac:dyDescent="0.25">
      <c r="A323" s="1"/>
      <c r="B323" s="1"/>
      <c r="C323" s="15"/>
      <c r="D323" s="17"/>
      <c r="E323" s="1"/>
      <c r="F323" s="17"/>
      <c r="G323" s="1"/>
      <c r="H323" s="1"/>
      <c r="I323" s="17"/>
      <c r="J323" s="17"/>
      <c r="K323" s="1"/>
      <c r="L323" s="1"/>
      <c r="M323" s="1"/>
      <c r="N323" s="1"/>
      <c r="O323" s="1"/>
      <c r="P323" s="1"/>
      <c r="Q323" s="1"/>
      <c r="R323" s="1"/>
      <c r="S323" s="1"/>
      <c r="T323" s="1"/>
      <c r="U323" s="1"/>
      <c r="V323" s="1"/>
      <c r="W323" s="1"/>
      <c r="X323" s="1"/>
      <c r="Y323" s="1"/>
    </row>
    <row r="324" spans="1:25" ht="15.75" customHeight="1" x14ac:dyDescent="0.25">
      <c r="A324" s="1"/>
      <c r="B324" s="1"/>
      <c r="C324" s="15"/>
      <c r="D324" s="17"/>
      <c r="E324" s="1"/>
      <c r="F324" s="17"/>
      <c r="G324" s="1"/>
      <c r="H324" s="1"/>
      <c r="I324" s="17"/>
      <c r="J324" s="17"/>
      <c r="K324" s="1"/>
      <c r="L324" s="1"/>
      <c r="M324" s="1"/>
      <c r="N324" s="1"/>
      <c r="O324" s="1"/>
      <c r="P324" s="1"/>
      <c r="Q324" s="1"/>
      <c r="R324" s="1"/>
      <c r="S324" s="1"/>
      <c r="T324" s="1"/>
      <c r="U324" s="1"/>
      <c r="V324" s="1"/>
      <c r="W324" s="1"/>
      <c r="X324" s="1"/>
      <c r="Y324" s="1"/>
    </row>
    <row r="325" spans="1:25" ht="15.75" customHeight="1" x14ac:dyDescent="0.25">
      <c r="A325" s="1"/>
      <c r="B325" s="1"/>
      <c r="C325" s="15"/>
      <c r="D325" s="17"/>
      <c r="E325" s="1"/>
      <c r="F325" s="17"/>
      <c r="G325" s="1"/>
      <c r="H325" s="1"/>
      <c r="I325" s="17"/>
      <c r="J325" s="17"/>
      <c r="K325" s="1"/>
      <c r="L325" s="1"/>
      <c r="M325" s="1"/>
      <c r="N325" s="1"/>
      <c r="O325" s="1"/>
      <c r="P325" s="1"/>
      <c r="Q325" s="1"/>
      <c r="R325" s="1"/>
      <c r="S325" s="1"/>
      <c r="T325" s="1"/>
      <c r="U325" s="1"/>
      <c r="V325" s="1"/>
      <c r="W325" s="1"/>
      <c r="X325" s="1"/>
      <c r="Y325" s="1"/>
    </row>
    <row r="326" spans="1:25" ht="15.75" customHeight="1" x14ac:dyDescent="0.25">
      <c r="A326" s="1"/>
      <c r="B326" s="1"/>
      <c r="C326" s="15"/>
      <c r="D326" s="17"/>
      <c r="E326" s="1"/>
      <c r="F326" s="17"/>
      <c r="G326" s="1"/>
      <c r="H326" s="1"/>
      <c r="I326" s="17"/>
      <c r="J326" s="17"/>
      <c r="K326" s="1"/>
      <c r="L326" s="1"/>
      <c r="M326" s="1"/>
      <c r="N326" s="1"/>
      <c r="O326" s="1"/>
      <c r="P326" s="1"/>
      <c r="Q326" s="1"/>
      <c r="R326" s="1"/>
      <c r="S326" s="1"/>
      <c r="T326" s="1"/>
      <c r="U326" s="1"/>
      <c r="V326" s="1"/>
      <c r="W326" s="1"/>
      <c r="X326" s="1"/>
      <c r="Y326" s="1"/>
    </row>
    <row r="327" spans="1:25" ht="15.75" customHeight="1" x14ac:dyDescent="0.25">
      <c r="A327" s="1"/>
      <c r="B327" s="1"/>
      <c r="C327" s="15"/>
      <c r="D327" s="17"/>
      <c r="E327" s="1"/>
      <c r="F327" s="17"/>
      <c r="G327" s="1"/>
      <c r="H327" s="1"/>
      <c r="I327" s="17"/>
      <c r="J327" s="17"/>
      <c r="K327" s="1"/>
      <c r="L327" s="1"/>
      <c r="M327" s="1"/>
      <c r="N327" s="1"/>
      <c r="O327" s="1"/>
      <c r="P327" s="1"/>
      <c r="Q327" s="1"/>
      <c r="R327" s="1"/>
      <c r="S327" s="1"/>
      <c r="T327" s="1"/>
      <c r="U327" s="1"/>
      <c r="V327" s="1"/>
      <c r="W327" s="1"/>
      <c r="X327" s="1"/>
      <c r="Y327" s="1"/>
    </row>
    <row r="328" spans="1:25" ht="15.75" customHeight="1" x14ac:dyDescent="0.25">
      <c r="A328" s="1"/>
      <c r="B328" s="1"/>
      <c r="C328" s="15"/>
      <c r="D328" s="17"/>
      <c r="E328" s="1"/>
      <c r="F328" s="17"/>
      <c r="G328" s="1"/>
      <c r="H328" s="1"/>
      <c r="I328" s="17"/>
      <c r="J328" s="17"/>
      <c r="K328" s="1"/>
      <c r="L328" s="1"/>
      <c r="M328" s="1"/>
      <c r="N328" s="1"/>
      <c r="O328" s="1"/>
      <c r="P328" s="1"/>
      <c r="Q328" s="1"/>
      <c r="R328" s="1"/>
      <c r="S328" s="1"/>
      <c r="T328" s="1"/>
      <c r="U328" s="1"/>
      <c r="V328" s="1"/>
      <c r="W328" s="1"/>
      <c r="X328" s="1"/>
      <c r="Y328" s="1"/>
    </row>
    <row r="329" spans="1:25" ht="15.75" customHeight="1" x14ac:dyDescent="0.25">
      <c r="A329" s="1"/>
      <c r="B329" s="1"/>
      <c r="C329" s="15"/>
      <c r="D329" s="17"/>
      <c r="E329" s="1"/>
      <c r="F329" s="17"/>
      <c r="G329" s="1"/>
      <c r="H329" s="1"/>
      <c r="I329" s="17"/>
      <c r="J329" s="17"/>
      <c r="K329" s="1"/>
      <c r="L329" s="1"/>
      <c r="M329" s="1"/>
      <c r="N329" s="1"/>
      <c r="O329" s="1"/>
      <c r="P329" s="1"/>
      <c r="Q329" s="1"/>
      <c r="R329" s="1"/>
      <c r="S329" s="1"/>
      <c r="T329" s="1"/>
      <c r="U329" s="1"/>
      <c r="V329" s="1"/>
      <c r="W329" s="1"/>
      <c r="X329" s="1"/>
      <c r="Y329" s="1"/>
    </row>
    <row r="330" spans="1:25" ht="15.75" customHeight="1" x14ac:dyDescent="0.25">
      <c r="A330" s="1"/>
      <c r="B330" s="1"/>
      <c r="C330" s="15"/>
      <c r="D330" s="17"/>
      <c r="E330" s="1"/>
      <c r="F330" s="17"/>
      <c r="G330" s="1"/>
      <c r="H330" s="1"/>
      <c r="I330" s="17"/>
      <c r="J330" s="17"/>
      <c r="K330" s="1"/>
      <c r="L330" s="1"/>
      <c r="M330" s="1"/>
      <c r="N330" s="1"/>
      <c r="O330" s="1"/>
      <c r="P330" s="1"/>
      <c r="Q330" s="1"/>
      <c r="R330" s="1"/>
      <c r="S330" s="1"/>
      <c r="T330" s="1"/>
      <c r="U330" s="1"/>
      <c r="V330" s="1"/>
      <c r="W330" s="1"/>
      <c r="X330" s="1"/>
      <c r="Y330" s="1"/>
    </row>
    <row r="331" spans="1:25" ht="15.75" customHeight="1" x14ac:dyDescent="0.25">
      <c r="A331" s="1"/>
      <c r="B331" s="1"/>
      <c r="C331" s="15"/>
      <c r="D331" s="17"/>
      <c r="E331" s="1"/>
      <c r="F331" s="17"/>
      <c r="G331" s="1"/>
      <c r="H331" s="1"/>
      <c r="I331" s="17"/>
      <c r="J331" s="17"/>
      <c r="K331" s="1"/>
      <c r="L331" s="1"/>
      <c r="M331" s="1"/>
      <c r="N331" s="1"/>
      <c r="O331" s="1"/>
      <c r="P331" s="1"/>
      <c r="Q331" s="1"/>
      <c r="R331" s="1"/>
      <c r="S331" s="1"/>
      <c r="T331" s="1"/>
      <c r="U331" s="1"/>
      <c r="V331" s="1"/>
      <c r="W331" s="1"/>
      <c r="X331" s="1"/>
      <c r="Y331" s="1"/>
    </row>
    <row r="332" spans="1:25" ht="15.75" customHeight="1" x14ac:dyDescent="0.25">
      <c r="A332" s="1"/>
      <c r="B332" s="1"/>
      <c r="C332" s="15"/>
      <c r="D332" s="17"/>
      <c r="E332" s="1"/>
      <c r="F332" s="17"/>
      <c r="G332" s="1"/>
      <c r="H332" s="1"/>
      <c r="I332" s="17"/>
      <c r="J332" s="17"/>
      <c r="K332" s="1"/>
      <c r="L332" s="1"/>
      <c r="M332" s="1"/>
      <c r="N332" s="1"/>
      <c r="O332" s="1"/>
      <c r="P332" s="1"/>
      <c r="Q332" s="1"/>
      <c r="R332" s="1"/>
      <c r="S332" s="1"/>
      <c r="T332" s="1"/>
      <c r="U332" s="1"/>
      <c r="V332" s="1"/>
      <c r="W332" s="1"/>
      <c r="X332" s="1"/>
      <c r="Y332" s="1"/>
    </row>
    <row r="333" spans="1:25" ht="15.75" customHeight="1" x14ac:dyDescent="0.25">
      <c r="A333" s="1"/>
      <c r="B333" s="1"/>
      <c r="C333" s="15"/>
      <c r="D333" s="17"/>
      <c r="E333" s="1"/>
      <c r="F333" s="17"/>
      <c r="G333" s="1"/>
      <c r="H333" s="1"/>
      <c r="I333" s="17"/>
      <c r="J333" s="17"/>
      <c r="K333" s="1"/>
      <c r="L333" s="1"/>
      <c r="M333" s="1"/>
      <c r="N333" s="1"/>
      <c r="O333" s="1"/>
      <c r="P333" s="1"/>
      <c r="Q333" s="1"/>
      <c r="R333" s="1"/>
      <c r="S333" s="1"/>
      <c r="T333" s="1"/>
      <c r="U333" s="1"/>
      <c r="V333" s="1"/>
      <c r="W333" s="1"/>
      <c r="X333" s="1"/>
      <c r="Y333" s="1"/>
    </row>
    <row r="334" spans="1:25" ht="15.75" customHeight="1" x14ac:dyDescent="0.25">
      <c r="A334" s="1"/>
      <c r="B334" s="1"/>
      <c r="C334" s="15"/>
      <c r="D334" s="17"/>
      <c r="E334" s="1"/>
      <c r="F334" s="17"/>
      <c r="G334" s="1"/>
      <c r="H334" s="1"/>
      <c r="I334" s="17"/>
      <c r="J334" s="17"/>
      <c r="K334" s="1"/>
      <c r="L334" s="1"/>
      <c r="M334" s="1"/>
      <c r="N334" s="1"/>
      <c r="O334" s="1"/>
      <c r="P334" s="1"/>
      <c r="Q334" s="1"/>
      <c r="R334" s="1"/>
      <c r="S334" s="1"/>
      <c r="T334" s="1"/>
      <c r="U334" s="1"/>
      <c r="V334" s="1"/>
      <c r="W334" s="1"/>
      <c r="X334" s="1"/>
      <c r="Y334" s="1"/>
    </row>
    <row r="335" spans="1:25" ht="15.75" customHeight="1" x14ac:dyDescent="0.25">
      <c r="A335" s="1"/>
      <c r="B335" s="1"/>
      <c r="C335" s="15"/>
      <c r="D335" s="17"/>
      <c r="E335" s="1"/>
      <c r="F335" s="17"/>
      <c r="G335" s="1"/>
      <c r="H335" s="1"/>
      <c r="I335" s="17"/>
      <c r="J335" s="17"/>
      <c r="K335" s="1"/>
      <c r="L335" s="1"/>
      <c r="M335" s="1"/>
      <c r="N335" s="1"/>
      <c r="O335" s="1"/>
      <c r="P335" s="1"/>
      <c r="Q335" s="1"/>
      <c r="R335" s="1"/>
      <c r="S335" s="1"/>
      <c r="T335" s="1"/>
      <c r="U335" s="1"/>
      <c r="V335" s="1"/>
      <c r="W335" s="1"/>
      <c r="X335" s="1"/>
      <c r="Y335" s="1"/>
    </row>
    <row r="336" spans="1:25" ht="15.75" customHeight="1" x14ac:dyDescent="0.25">
      <c r="A336" s="1"/>
      <c r="B336" s="1"/>
      <c r="C336" s="15"/>
      <c r="D336" s="17"/>
      <c r="E336" s="1"/>
      <c r="F336" s="17"/>
      <c r="G336" s="1"/>
      <c r="H336" s="1"/>
      <c r="I336" s="17"/>
      <c r="J336" s="17"/>
      <c r="K336" s="1"/>
      <c r="L336" s="1"/>
      <c r="M336" s="1"/>
      <c r="N336" s="1"/>
      <c r="O336" s="1"/>
      <c r="P336" s="1"/>
      <c r="Q336" s="1"/>
      <c r="R336" s="1"/>
      <c r="S336" s="1"/>
      <c r="T336" s="1"/>
      <c r="U336" s="1"/>
      <c r="V336" s="1"/>
      <c r="W336" s="1"/>
      <c r="X336" s="1"/>
      <c r="Y336" s="1"/>
    </row>
    <row r="337" spans="1:25" ht="15.75" customHeight="1" x14ac:dyDescent="0.25">
      <c r="A337" s="1"/>
      <c r="B337" s="1"/>
      <c r="C337" s="15"/>
      <c r="D337" s="17"/>
      <c r="E337" s="1"/>
      <c r="F337" s="17"/>
      <c r="G337" s="1"/>
      <c r="H337" s="1"/>
      <c r="I337" s="17"/>
      <c r="J337" s="17"/>
      <c r="K337" s="1"/>
      <c r="L337" s="1"/>
      <c r="M337" s="1"/>
      <c r="N337" s="1"/>
      <c r="O337" s="1"/>
      <c r="P337" s="1"/>
      <c r="Q337" s="1"/>
      <c r="R337" s="1"/>
      <c r="S337" s="1"/>
      <c r="T337" s="1"/>
      <c r="U337" s="1"/>
      <c r="V337" s="1"/>
      <c r="W337" s="1"/>
      <c r="X337" s="1"/>
      <c r="Y337" s="1"/>
    </row>
    <row r="338" spans="1:25" ht="15.75" customHeight="1" x14ac:dyDescent="0.25">
      <c r="A338" s="1"/>
      <c r="B338" s="1"/>
      <c r="C338" s="15"/>
      <c r="D338" s="17"/>
      <c r="E338" s="1"/>
      <c r="F338" s="17"/>
      <c r="G338" s="1"/>
      <c r="H338" s="1"/>
      <c r="I338" s="17"/>
      <c r="J338" s="17"/>
      <c r="K338" s="1"/>
      <c r="L338" s="1"/>
      <c r="M338" s="1"/>
      <c r="N338" s="1"/>
      <c r="O338" s="1"/>
      <c r="P338" s="1"/>
      <c r="Q338" s="1"/>
      <c r="R338" s="1"/>
      <c r="S338" s="1"/>
      <c r="T338" s="1"/>
      <c r="U338" s="1"/>
      <c r="V338" s="1"/>
      <c r="W338" s="1"/>
      <c r="X338" s="1"/>
      <c r="Y338" s="1"/>
    </row>
    <row r="339" spans="1:25" ht="15.75" customHeight="1" x14ac:dyDescent="0.25">
      <c r="A339" s="1"/>
      <c r="B339" s="1"/>
      <c r="C339" s="15"/>
      <c r="D339" s="17"/>
      <c r="E339" s="1"/>
      <c r="F339" s="17"/>
      <c r="G339" s="1"/>
      <c r="H339" s="1"/>
      <c r="I339" s="17"/>
      <c r="J339" s="17"/>
      <c r="K339" s="1"/>
      <c r="L339" s="1"/>
      <c r="M339" s="1"/>
      <c r="N339" s="1"/>
      <c r="O339" s="1"/>
      <c r="P339" s="1"/>
      <c r="Q339" s="1"/>
      <c r="R339" s="1"/>
      <c r="S339" s="1"/>
      <c r="T339" s="1"/>
      <c r="U339" s="1"/>
      <c r="V339" s="1"/>
      <c r="W339" s="1"/>
      <c r="X339" s="1"/>
      <c r="Y339" s="1"/>
    </row>
    <row r="340" spans="1:25" ht="15.75" customHeight="1" x14ac:dyDescent="0.25">
      <c r="A340" s="1"/>
      <c r="B340" s="1"/>
      <c r="C340" s="15"/>
      <c r="D340" s="17"/>
      <c r="E340" s="1"/>
      <c r="F340" s="17"/>
      <c r="G340" s="1"/>
      <c r="H340" s="1"/>
      <c r="I340" s="17"/>
      <c r="J340" s="17"/>
      <c r="K340" s="1"/>
      <c r="L340" s="1"/>
      <c r="M340" s="1"/>
      <c r="N340" s="1"/>
      <c r="O340" s="1"/>
      <c r="P340" s="1"/>
      <c r="Q340" s="1"/>
      <c r="R340" s="1"/>
      <c r="S340" s="1"/>
      <c r="T340" s="1"/>
      <c r="U340" s="1"/>
      <c r="V340" s="1"/>
      <c r="W340" s="1"/>
      <c r="X340" s="1"/>
      <c r="Y340" s="1"/>
    </row>
    <row r="341" spans="1:25" ht="15.75" customHeight="1" x14ac:dyDescent="0.25">
      <c r="A341" s="1"/>
      <c r="B341" s="1"/>
      <c r="C341" s="15"/>
      <c r="D341" s="17"/>
      <c r="E341" s="1"/>
      <c r="F341" s="17"/>
      <c r="G341" s="1"/>
      <c r="H341" s="1"/>
      <c r="I341" s="17"/>
      <c r="J341" s="17"/>
      <c r="K341" s="1"/>
      <c r="L341" s="1"/>
      <c r="M341" s="1"/>
      <c r="N341" s="1"/>
      <c r="O341" s="1"/>
      <c r="P341" s="1"/>
      <c r="Q341" s="1"/>
      <c r="R341" s="1"/>
      <c r="S341" s="1"/>
      <c r="T341" s="1"/>
      <c r="U341" s="1"/>
      <c r="V341" s="1"/>
      <c r="W341" s="1"/>
      <c r="X341" s="1"/>
      <c r="Y341" s="1"/>
    </row>
    <row r="342" spans="1:25" ht="15.75" customHeight="1" x14ac:dyDescent="0.25">
      <c r="A342" s="1"/>
      <c r="B342" s="1"/>
      <c r="C342" s="15"/>
      <c r="D342" s="17"/>
      <c r="E342" s="1"/>
      <c r="F342" s="17"/>
      <c r="G342" s="1"/>
      <c r="H342" s="1"/>
      <c r="I342" s="17"/>
      <c r="J342" s="17"/>
      <c r="K342" s="1"/>
      <c r="L342" s="1"/>
      <c r="M342" s="1"/>
      <c r="N342" s="1"/>
      <c r="O342" s="1"/>
      <c r="P342" s="1"/>
      <c r="Q342" s="1"/>
      <c r="R342" s="1"/>
      <c r="S342" s="1"/>
      <c r="T342" s="1"/>
      <c r="U342" s="1"/>
      <c r="V342" s="1"/>
      <c r="W342" s="1"/>
      <c r="X342" s="1"/>
      <c r="Y342" s="1"/>
    </row>
    <row r="343" spans="1:25" ht="15.75" customHeight="1" x14ac:dyDescent="0.25">
      <c r="A343" s="1"/>
      <c r="B343" s="1"/>
      <c r="C343" s="15"/>
      <c r="D343" s="17"/>
      <c r="E343" s="1"/>
      <c r="F343" s="17"/>
      <c r="G343" s="1"/>
      <c r="H343" s="1"/>
      <c r="I343" s="17"/>
      <c r="J343" s="17"/>
      <c r="K343" s="1"/>
      <c r="L343" s="1"/>
      <c r="M343" s="1"/>
      <c r="N343" s="1"/>
      <c r="O343" s="1"/>
      <c r="P343" s="1"/>
      <c r="Q343" s="1"/>
      <c r="R343" s="1"/>
      <c r="S343" s="1"/>
      <c r="T343" s="1"/>
      <c r="U343" s="1"/>
      <c r="V343" s="1"/>
      <c r="W343" s="1"/>
      <c r="X343" s="1"/>
      <c r="Y343" s="1"/>
    </row>
    <row r="344" spans="1:25" ht="15.75" customHeight="1" x14ac:dyDescent="0.25">
      <c r="A344" s="1"/>
      <c r="B344" s="1"/>
      <c r="C344" s="15"/>
      <c r="D344" s="17"/>
      <c r="E344" s="1"/>
      <c r="F344" s="17"/>
      <c r="G344" s="1"/>
      <c r="H344" s="1"/>
      <c r="I344" s="17"/>
      <c r="J344" s="17"/>
      <c r="K344" s="1"/>
      <c r="L344" s="1"/>
      <c r="M344" s="1"/>
      <c r="N344" s="1"/>
      <c r="O344" s="1"/>
      <c r="P344" s="1"/>
      <c r="Q344" s="1"/>
      <c r="R344" s="1"/>
      <c r="S344" s="1"/>
      <c r="T344" s="1"/>
      <c r="U344" s="1"/>
      <c r="V344" s="1"/>
      <c r="W344" s="1"/>
      <c r="X344" s="1"/>
      <c r="Y344" s="1"/>
    </row>
    <row r="345" spans="1:25" ht="15.75" customHeight="1" x14ac:dyDescent="0.25">
      <c r="A345" s="1"/>
      <c r="B345" s="1"/>
      <c r="C345" s="15"/>
      <c r="D345" s="17"/>
      <c r="E345" s="1"/>
      <c r="F345" s="17"/>
      <c r="G345" s="1"/>
      <c r="H345" s="1"/>
      <c r="I345" s="17"/>
      <c r="J345" s="17"/>
      <c r="K345" s="1"/>
      <c r="L345" s="1"/>
      <c r="M345" s="1"/>
      <c r="N345" s="1"/>
      <c r="O345" s="1"/>
      <c r="P345" s="1"/>
      <c r="Q345" s="1"/>
      <c r="R345" s="1"/>
      <c r="S345" s="1"/>
      <c r="T345" s="1"/>
      <c r="U345" s="1"/>
      <c r="V345" s="1"/>
      <c r="W345" s="1"/>
      <c r="X345" s="1"/>
      <c r="Y345" s="1"/>
    </row>
    <row r="346" spans="1:25" ht="15.75" customHeight="1" x14ac:dyDescent="0.25">
      <c r="A346" s="1"/>
      <c r="B346" s="1"/>
      <c r="C346" s="15"/>
      <c r="D346" s="17"/>
      <c r="E346" s="1"/>
      <c r="F346" s="17"/>
      <c r="G346" s="1"/>
      <c r="H346" s="1"/>
      <c r="I346" s="17"/>
      <c r="J346" s="17"/>
      <c r="K346" s="1"/>
      <c r="L346" s="1"/>
      <c r="M346" s="1"/>
      <c r="N346" s="1"/>
      <c r="O346" s="1"/>
      <c r="P346" s="1"/>
      <c r="Q346" s="1"/>
      <c r="R346" s="1"/>
      <c r="S346" s="1"/>
      <c r="T346" s="1"/>
      <c r="U346" s="1"/>
      <c r="V346" s="1"/>
      <c r="W346" s="1"/>
      <c r="X346" s="1"/>
      <c r="Y346" s="1"/>
    </row>
    <row r="347" spans="1:25" ht="15.75" customHeight="1" x14ac:dyDescent="0.25">
      <c r="A347" s="1"/>
      <c r="B347" s="1"/>
      <c r="C347" s="15"/>
      <c r="D347" s="17"/>
      <c r="E347" s="1"/>
      <c r="F347" s="17"/>
      <c r="G347" s="1"/>
      <c r="H347" s="1"/>
      <c r="I347" s="17"/>
      <c r="J347" s="17"/>
      <c r="K347" s="1"/>
      <c r="L347" s="1"/>
      <c r="M347" s="1"/>
      <c r="N347" s="1"/>
      <c r="O347" s="1"/>
      <c r="P347" s="1"/>
      <c r="Q347" s="1"/>
      <c r="R347" s="1"/>
      <c r="S347" s="1"/>
      <c r="T347" s="1"/>
      <c r="U347" s="1"/>
      <c r="V347" s="1"/>
      <c r="W347" s="1"/>
      <c r="X347" s="1"/>
      <c r="Y347" s="1"/>
    </row>
    <row r="348" spans="1:25" ht="15.75" customHeight="1" x14ac:dyDescent="0.25">
      <c r="A348" s="1"/>
      <c r="B348" s="1"/>
      <c r="C348" s="15"/>
      <c r="D348" s="17"/>
      <c r="E348" s="1"/>
      <c r="F348" s="17"/>
      <c r="G348" s="1"/>
      <c r="H348" s="1"/>
      <c r="I348" s="17"/>
      <c r="J348" s="17"/>
      <c r="K348" s="1"/>
      <c r="L348" s="1"/>
      <c r="M348" s="1"/>
      <c r="N348" s="1"/>
      <c r="O348" s="1"/>
      <c r="P348" s="1"/>
      <c r="Q348" s="1"/>
      <c r="R348" s="1"/>
      <c r="S348" s="1"/>
      <c r="T348" s="1"/>
      <c r="U348" s="1"/>
      <c r="V348" s="1"/>
      <c r="W348" s="1"/>
      <c r="X348" s="1"/>
      <c r="Y348" s="1"/>
    </row>
    <row r="349" spans="1:25" ht="15.75" customHeight="1" x14ac:dyDescent="0.25">
      <c r="A349" s="1"/>
      <c r="B349" s="1"/>
      <c r="C349" s="15"/>
      <c r="D349" s="17"/>
      <c r="E349" s="1"/>
      <c r="F349" s="17"/>
      <c r="G349" s="1"/>
      <c r="H349" s="1"/>
      <c r="I349" s="17"/>
      <c r="J349" s="17"/>
      <c r="K349" s="1"/>
      <c r="L349" s="1"/>
      <c r="M349" s="1"/>
      <c r="N349" s="1"/>
      <c r="O349" s="1"/>
      <c r="P349" s="1"/>
      <c r="Q349" s="1"/>
      <c r="R349" s="1"/>
      <c r="S349" s="1"/>
      <c r="T349" s="1"/>
      <c r="U349" s="1"/>
      <c r="V349" s="1"/>
      <c r="W349" s="1"/>
      <c r="X349" s="1"/>
      <c r="Y349" s="1"/>
    </row>
    <row r="350" spans="1:25" ht="15.75" customHeight="1" x14ac:dyDescent="0.25">
      <c r="A350" s="1"/>
      <c r="B350" s="1"/>
      <c r="C350" s="15"/>
      <c r="D350" s="17"/>
      <c r="E350" s="1"/>
      <c r="F350" s="17"/>
      <c r="G350" s="1"/>
      <c r="H350" s="1"/>
      <c r="I350" s="17"/>
      <c r="J350" s="17"/>
      <c r="K350" s="1"/>
      <c r="L350" s="1"/>
      <c r="M350" s="1"/>
      <c r="N350" s="1"/>
      <c r="O350" s="1"/>
      <c r="P350" s="1"/>
      <c r="Q350" s="1"/>
      <c r="R350" s="1"/>
      <c r="S350" s="1"/>
      <c r="T350" s="1"/>
      <c r="U350" s="1"/>
      <c r="V350" s="1"/>
      <c r="W350" s="1"/>
      <c r="X350" s="1"/>
      <c r="Y350" s="1"/>
    </row>
    <row r="351" spans="1:25" ht="15.75" customHeight="1" x14ac:dyDescent="0.25">
      <c r="A351" s="1"/>
      <c r="B351" s="1"/>
      <c r="C351" s="15"/>
      <c r="D351" s="17"/>
      <c r="E351" s="1"/>
      <c r="F351" s="17"/>
      <c r="G351" s="1"/>
      <c r="H351" s="1"/>
      <c r="I351" s="17"/>
      <c r="J351" s="17"/>
      <c r="K351" s="1"/>
      <c r="L351" s="1"/>
      <c r="M351" s="1"/>
      <c r="N351" s="1"/>
      <c r="O351" s="1"/>
      <c r="P351" s="1"/>
      <c r="Q351" s="1"/>
      <c r="R351" s="1"/>
      <c r="S351" s="1"/>
      <c r="T351" s="1"/>
      <c r="U351" s="1"/>
      <c r="V351" s="1"/>
      <c r="W351" s="1"/>
      <c r="X351" s="1"/>
      <c r="Y351" s="1"/>
    </row>
    <row r="352" spans="1:25" ht="15.75" customHeight="1" x14ac:dyDescent="0.25">
      <c r="A352" s="1"/>
      <c r="B352" s="1"/>
      <c r="C352" s="15"/>
      <c r="D352" s="17"/>
      <c r="E352" s="1"/>
      <c r="F352" s="17"/>
      <c r="G352" s="1"/>
      <c r="H352" s="1"/>
      <c r="I352" s="17"/>
      <c r="J352" s="17"/>
      <c r="K352" s="1"/>
      <c r="L352" s="1"/>
      <c r="M352" s="1"/>
      <c r="N352" s="1"/>
      <c r="O352" s="1"/>
      <c r="P352" s="1"/>
      <c r="Q352" s="1"/>
      <c r="R352" s="1"/>
      <c r="S352" s="1"/>
      <c r="T352" s="1"/>
      <c r="U352" s="1"/>
      <c r="V352" s="1"/>
      <c r="W352" s="1"/>
      <c r="X352" s="1"/>
      <c r="Y352" s="1"/>
    </row>
    <row r="353" spans="1:25" ht="15.75" customHeight="1" x14ac:dyDescent="0.25">
      <c r="A353" s="1"/>
      <c r="B353" s="1"/>
      <c r="C353" s="15"/>
      <c r="D353" s="17"/>
      <c r="E353" s="1"/>
      <c r="F353" s="17"/>
      <c r="G353" s="1"/>
      <c r="H353" s="1"/>
      <c r="I353" s="17"/>
      <c r="J353" s="17"/>
      <c r="K353" s="1"/>
      <c r="L353" s="1"/>
      <c r="M353" s="1"/>
      <c r="N353" s="1"/>
      <c r="O353" s="1"/>
      <c r="P353" s="1"/>
      <c r="Q353" s="1"/>
      <c r="R353" s="1"/>
      <c r="S353" s="1"/>
      <c r="T353" s="1"/>
      <c r="U353" s="1"/>
      <c r="V353" s="1"/>
      <c r="W353" s="1"/>
      <c r="X353" s="1"/>
      <c r="Y353" s="1"/>
    </row>
    <row r="354" spans="1:25" ht="15.75" customHeight="1" x14ac:dyDescent="0.25">
      <c r="A354" s="1"/>
      <c r="B354" s="1"/>
      <c r="C354" s="15"/>
      <c r="D354" s="17"/>
      <c r="E354" s="1"/>
      <c r="F354" s="17"/>
      <c r="G354" s="1"/>
      <c r="H354" s="1"/>
      <c r="I354" s="17"/>
      <c r="J354" s="17"/>
      <c r="K354" s="1"/>
      <c r="L354" s="1"/>
      <c r="M354" s="1"/>
      <c r="N354" s="1"/>
      <c r="O354" s="1"/>
      <c r="P354" s="1"/>
      <c r="Q354" s="1"/>
      <c r="R354" s="1"/>
      <c r="S354" s="1"/>
      <c r="T354" s="1"/>
      <c r="U354" s="1"/>
      <c r="V354" s="1"/>
      <c r="W354" s="1"/>
      <c r="X354" s="1"/>
      <c r="Y354" s="1"/>
    </row>
    <row r="355" spans="1:25" ht="15.75" customHeight="1" x14ac:dyDescent="0.25">
      <c r="A355" s="1"/>
      <c r="B355" s="1"/>
      <c r="C355" s="15"/>
      <c r="D355" s="17"/>
      <c r="E355" s="1"/>
      <c r="F355" s="17"/>
      <c r="G355" s="1"/>
      <c r="H355" s="1"/>
      <c r="I355" s="17"/>
      <c r="J355" s="17"/>
      <c r="K355" s="1"/>
      <c r="L355" s="1"/>
      <c r="M355" s="1"/>
      <c r="N355" s="1"/>
      <c r="O355" s="1"/>
      <c r="P355" s="1"/>
      <c r="Q355" s="1"/>
      <c r="R355" s="1"/>
      <c r="S355" s="1"/>
      <c r="T355" s="1"/>
      <c r="U355" s="1"/>
      <c r="V355" s="1"/>
      <c r="W355" s="1"/>
      <c r="X355" s="1"/>
      <c r="Y355" s="1"/>
    </row>
    <row r="356" spans="1:25" ht="15.75" customHeight="1" x14ac:dyDescent="0.25">
      <c r="A356" s="1"/>
      <c r="B356" s="1"/>
      <c r="C356" s="15"/>
      <c r="D356" s="17"/>
      <c r="E356" s="1"/>
      <c r="F356" s="17"/>
      <c r="G356" s="1"/>
      <c r="H356" s="1"/>
      <c r="I356" s="17"/>
      <c r="J356" s="17"/>
      <c r="K356" s="1"/>
      <c r="L356" s="1"/>
      <c r="M356" s="1"/>
      <c r="N356" s="1"/>
      <c r="O356" s="1"/>
      <c r="P356" s="1"/>
      <c r="Q356" s="1"/>
      <c r="R356" s="1"/>
      <c r="S356" s="1"/>
      <c r="T356" s="1"/>
      <c r="U356" s="1"/>
      <c r="V356" s="1"/>
      <c r="W356" s="1"/>
      <c r="X356" s="1"/>
      <c r="Y356" s="1"/>
    </row>
    <row r="357" spans="1:25" ht="15.75" customHeight="1" x14ac:dyDescent="0.25">
      <c r="A357" s="1"/>
      <c r="B357" s="1"/>
      <c r="C357" s="15"/>
      <c r="D357" s="17"/>
      <c r="E357" s="1"/>
      <c r="F357" s="17"/>
      <c r="G357" s="1"/>
      <c r="H357" s="1"/>
      <c r="I357" s="17"/>
      <c r="J357" s="17"/>
      <c r="K357" s="1"/>
      <c r="L357" s="1"/>
      <c r="M357" s="1"/>
      <c r="N357" s="1"/>
      <c r="O357" s="1"/>
      <c r="P357" s="1"/>
      <c r="Q357" s="1"/>
      <c r="R357" s="1"/>
      <c r="S357" s="1"/>
      <c r="T357" s="1"/>
      <c r="U357" s="1"/>
      <c r="V357" s="1"/>
      <c r="W357" s="1"/>
      <c r="X357" s="1"/>
      <c r="Y357" s="1"/>
    </row>
    <row r="358" spans="1:25" ht="15.75" customHeight="1" x14ac:dyDescent="0.25">
      <c r="A358" s="1"/>
      <c r="B358" s="1"/>
      <c r="C358" s="15"/>
      <c r="D358" s="17"/>
      <c r="E358" s="1"/>
      <c r="F358" s="17"/>
      <c r="G358" s="1"/>
      <c r="H358" s="1"/>
      <c r="I358" s="17"/>
      <c r="J358" s="17"/>
      <c r="K358" s="1"/>
      <c r="L358" s="1"/>
      <c r="M358" s="1"/>
      <c r="N358" s="1"/>
      <c r="O358" s="1"/>
      <c r="P358" s="1"/>
      <c r="Q358" s="1"/>
      <c r="R358" s="1"/>
      <c r="S358" s="1"/>
      <c r="T358" s="1"/>
      <c r="U358" s="1"/>
      <c r="V358" s="1"/>
      <c r="W358" s="1"/>
      <c r="X358" s="1"/>
      <c r="Y358" s="1"/>
    </row>
    <row r="359" spans="1:25" ht="15.75" customHeight="1" x14ac:dyDescent="0.25">
      <c r="A359" s="1"/>
      <c r="B359" s="1"/>
      <c r="C359" s="15"/>
      <c r="D359" s="17"/>
      <c r="E359" s="1"/>
      <c r="F359" s="17"/>
      <c r="G359" s="1"/>
      <c r="H359" s="1"/>
      <c r="I359" s="17"/>
      <c r="J359" s="17"/>
      <c r="K359" s="1"/>
      <c r="L359" s="1"/>
      <c r="M359" s="1"/>
      <c r="N359" s="1"/>
      <c r="O359" s="1"/>
      <c r="P359" s="1"/>
      <c r="Q359" s="1"/>
      <c r="R359" s="1"/>
      <c r="S359" s="1"/>
      <c r="T359" s="1"/>
      <c r="U359" s="1"/>
      <c r="V359" s="1"/>
      <c r="W359" s="1"/>
      <c r="X359" s="1"/>
      <c r="Y359" s="1"/>
    </row>
    <row r="360" spans="1:25" ht="15.75" customHeight="1" x14ac:dyDescent="0.25">
      <c r="A360" s="1"/>
      <c r="B360" s="1"/>
      <c r="C360" s="15"/>
      <c r="D360" s="17"/>
      <c r="E360" s="1"/>
      <c r="F360" s="17"/>
      <c r="G360" s="1"/>
      <c r="H360" s="1"/>
      <c r="I360" s="17"/>
      <c r="J360" s="17"/>
      <c r="K360" s="1"/>
      <c r="L360" s="1"/>
      <c r="M360" s="1"/>
      <c r="N360" s="1"/>
      <c r="O360" s="1"/>
      <c r="P360" s="1"/>
      <c r="Q360" s="1"/>
      <c r="R360" s="1"/>
      <c r="S360" s="1"/>
      <c r="T360" s="1"/>
      <c r="U360" s="1"/>
      <c r="V360" s="1"/>
      <c r="W360" s="1"/>
      <c r="X360" s="1"/>
      <c r="Y360" s="1"/>
    </row>
    <row r="361" spans="1:25" ht="15.75" customHeight="1" x14ac:dyDescent="0.25">
      <c r="A361" s="1"/>
      <c r="B361" s="1"/>
      <c r="C361" s="15"/>
      <c r="D361" s="17"/>
      <c r="E361" s="1"/>
      <c r="F361" s="17"/>
      <c r="G361" s="1"/>
      <c r="H361" s="1"/>
      <c r="I361" s="17"/>
      <c r="J361" s="17"/>
      <c r="K361" s="1"/>
      <c r="L361" s="1"/>
      <c r="M361" s="1"/>
      <c r="N361" s="1"/>
      <c r="O361" s="1"/>
      <c r="P361" s="1"/>
      <c r="Q361" s="1"/>
      <c r="R361" s="1"/>
      <c r="S361" s="1"/>
      <c r="T361" s="1"/>
      <c r="U361" s="1"/>
      <c r="V361" s="1"/>
      <c r="W361" s="1"/>
      <c r="X361" s="1"/>
      <c r="Y361" s="1"/>
    </row>
    <row r="362" spans="1:25" ht="15.75" customHeight="1" x14ac:dyDescent="0.25">
      <c r="A362" s="1"/>
      <c r="B362" s="1"/>
      <c r="C362" s="15"/>
      <c r="D362" s="17"/>
      <c r="E362" s="1"/>
      <c r="F362" s="17"/>
      <c r="G362" s="1"/>
      <c r="H362" s="1"/>
      <c r="I362" s="17"/>
      <c r="J362" s="17"/>
      <c r="K362" s="1"/>
      <c r="L362" s="1"/>
      <c r="M362" s="1"/>
      <c r="N362" s="1"/>
      <c r="O362" s="1"/>
      <c r="P362" s="1"/>
      <c r="Q362" s="1"/>
      <c r="R362" s="1"/>
      <c r="S362" s="1"/>
      <c r="T362" s="1"/>
      <c r="U362" s="1"/>
      <c r="V362" s="1"/>
      <c r="W362" s="1"/>
      <c r="X362" s="1"/>
      <c r="Y362" s="1"/>
    </row>
    <row r="363" spans="1:25" ht="15.75" customHeight="1" x14ac:dyDescent="0.25">
      <c r="A363" s="1"/>
      <c r="B363" s="1"/>
      <c r="C363" s="15"/>
      <c r="D363" s="17"/>
      <c r="E363" s="1"/>
      <c r="F363" s="17"/>
      <c r="G363" s="1"/>
      <c r="H363" s="1"/>
      <c r="I363" s="17"/>
      <c r="J363" s="17"/>
      <c r="K363" s="1"/>
      <c r="L363" s="1"/>
      <c r="M363" s="1"/>
      <c r="N363" s="1"/>
      <c r="O363" s="1"/>
      <c r="P363" s="1"/>
      <c r="Q363" s="1"/>
      <c r="R363" s="1"/>
      <c r="S363" s="1"/>
      <c r="T363" s="1"/>
      <c r="U363" s="1"/>
      <c r="V363" s="1"/>
      <c r="W363" s="1"/>
      <c r="X363" s="1"/>
      <c r="Y363" s="1"/>
    </row>
    <row r="364" spans="1:25" ht="15.75" customHeight="1" x14ac:dyDescent="0.25">
      <c r="A364" s="1"/>
      <c r="B364" s="1"/>
      <c r="C364" s="15"/>
      <c r="D364" s="17"/>
      <c r="E364" s="1"/>
      <c r="F364" s="17"/>
      <c r="G364" s="1"/>
      <c r="H364" s="1"/>
      <c r="I364" s="17"/>
      <c r="J364" s="17"/>
      <c r="K364" s="1"/>
      <c r="L364" s="1"/>
      <c r="M364" s="1"/>
      <c r="N364" s="1"/>
      <c r="O364" s="1"/>
      <c r="P364" s="1"/>
      <c r="Q364" s="1"/>
      <c r="R364" s="1"/>
      <c r="S364" s="1"/>
      <c r="T364" s="1"/>
      <c r="U364" s="1"/>
      <c r="V364" s="1"/>
      <c r="W364" s="1"/>
      <c r="X364" s="1"/>
      <c r="Y364" s="1"/>
    </row>
    <row r="365" spans="1:25" ht="15.75" customHeight="1" x14ac:dyDescent="0.25">
      <c r="A365" s="1"/>
      <c r="B365" s="1"/>
      <c r="C365" s="15"/>
      <c r="D365" s="17"/>
      <c r="E365" s="1"/>
      <c r="F365" s="17"/>
      <c r="G365" s="1"/>
      <c r="H365" s="1"/>
      <c r="I365" s="17"/>
      <c r="J365" s="17"/>
      <c r="K365" s="1"/>
      <c r="L365" s="1"/>
      <c r="M365" s="1"/>
      <c r="N365" s="1"/>
      <c r="O365" s="1"/>
      <c r="P365" s="1"/>
      <c r="Q365" s="1"/>
      <c r="R365" s="1"/>
      <c r="S365" s="1"/>
      <c r="T365" s="1"/>
      <c r="U365" s="1"/>
      <c r="V365" s="1"/>
      <c r="W365" s="1"/>
      <c r="X365" s="1"/>
      <c r="Y365" s="1"/>
    </row>
    <row r="366" spans="1:25" ht="15.75" customHeight="1" x14ac:dyDescent="0.25">
      <c r="A366" s="1"/>
      <c r="B366" s="1"/>
      <c r="C366" s="15"/>
      <c r="D366" s="17"/>
      <c r="E366" s="1"/>
      <c r="F366" s="17"/>
      <c r="G366" s="1"/>
      <c r="H366" s="1"/>
      <c r="I366" s="17"/>
      <c r="J366" s="17"/>
      <c r="K366" s="1"/>
      <c r="L366" s="1"/>
      <c r="M366" s="1"/>
      <c r="N366" s="1"/>
      <c r="O366" s="1"/>
      <c r="P366" s="1"/>
      <c r="Q366" s="1"/>
      <c r="R366" s="1"/>
      <c r="S366" s="1"/>
      <c r="T366" s="1"/>
      <c r="U366" s="1"/>
      <c r="V366" s="1"/>
      <c r="W366" s="1"/>
      <c r="X366" s="1"/>
      <c r="Y366" s="1"/>
    </row>
    <row r="367" spans="1:25" ht="15.75" customHeight="1" x14ac:dyDescent="0.25">
      <c r="A367" s="1"/>
      <c r="B367" s="1"/>
      <c r="C367" s="15"/>
      <c r="D367" s="17"/>
      <c r="E367" s="1"/>
      <c r="F367" s="17"/>
      <c r="G367" s="1"/>
      <c r="H367" s="1"/>
      <c r="I367" s="17"/>
      <c r="J367" s="17"/>
      <c r="K367" s="1"/>
      <c r="L367" s="1"/>
      <c r="M367" s="1"/>
      <c r="N367" s="1"/>
      <c r="O367" s="1"/>
      <c r="P367" s="1"/>
      <c r="Q367" s="1"/>
      <c r="R367" s="1"/>
      <c r="S367" s="1"/>
      <c r="T367" s="1"/>
      <c r="U367" s="1"/>
      <c r="V367" s="1"/>
      <c r="W367" s="1"/>
      <c r="X367" s="1"/>
      <c r="Y367" s="1"/>
    </row>
    <row r="368" spans="1:25" ht="15.75" customHeight="1" x14ac:dyDescent="0.25">
      <c r="A368" s="1"/>
      <c r="B368" s="1"/>
      <c r="C368" s="15"/>
      <c r="D368" s="17"/>
      <c r="E368" s="1"/>
      <c r="F368" s="17"/>
      <c r="G368" s="1"/>
      <c r="H368" s="1"/>
      <c r="I368" s="17"/>
      <c r="J368" s="17"/>
      <c r="K368" s="1"/>
      <c r="L368" s="1"/>
      <c r="M368" s="1"/>
      <c r="N368" s="1"/>
      <c r="O368" s="1"/>
      <c r="P368" s="1"/>
      <c r="Q368" s="1"/>
      <c r="R368" s="1"/>
      <c r="S368" s="1"/>
      <c r="T368" s="1"/>
      <c r="U368" s="1"/>
      <c r="V368" s="1"/>
      <c r="W368" s="1"/>
      <c r="X368" s="1"/>
      <c r="Y368" s="1"/>
    </row>
    <row r="369" spans="1:25" ht="15.75" customHeight="1" x14ac:dyDescent="0.25">
      <c r="A369" s="1"/>
      <c r="B369" s="1"/>
      <c r="C369" s="15"/>
      <c r="D369" s="17"/>
      <c r="E369" s="1"/>
      <c r="F369" s="17"/>
      <c r="G369" s="1"/>
      <c r="H369" s="1"/>
      <c r="I369" s="17"/>
      <c r="J369" s="17"/>
      <c r="K369" s="1"/>
      <c r="L369" s="1"/>
      <c r="M369" s="1"/>
      <c r="N369" s="1"/>
      <c r="O369" s="1"/>
      <c r="P369" s="1"/>
      <c r="Q369" s="1"/>
      <c r="R369" s="1"/>
      <c r="S369" s="1"/>
      <c r="T369" s="1"/>
      <c r="U369" s="1"/>
      <c r="V369" s="1"/>
      <c r="W369" s="1"/>
      <c r="X369" s="1"/>
      <c r="Y369" s="1"/>
    </row>
    <row r="370" spans="1:25" ht="15.75" customHeight="1" x14ac:dyDescent="0.25">
      <c r="A370" s="1"/>
      <c r="B370" s="1"/>
      <c r="C370" s="15"/>
      <c r="D370" s="17"/>
      <c r="E370" s="1"/>
      <c r="F370" s="17"/>
      <c r="G370" s="1"/>
      <c r="H370" s="1"/>
      <c r="I370" s="17"/>
      <c r="J370" s="17"/>
      <c r="K370" s="1"/>
      <c r="L370" s="1"/>
      <c r="M370" s="1"/>
      <c r="N370" s="1"/>
      <c r="O370" s="1"/>
      <c r="P370" s="1"/>
      <c r="Q370" s="1"/>
      <c r="R370" s="1"/>
      <c r="S370" s="1"/>
      <c r="T370" s="1"/>
      <c r="U370" s="1"/>
      <c r="V370" s="1"/>
      <c r="W370" s="1"/>
      <c r="X370" s="1"/>
      <c r="Y370" s="1"/>
    </row>
    <row r="371" spans="1:25" ht="15.75" customHeight="1" x14ac:dyDescent="0.25">
      <c r="A371" s="1"/>
      <c r="B371" s="1"/>
      <c r="C371" s="15"/>
      <c r="D371" s="17"/>
      <c r="E371" s="1"/>
      <c r="F371" s="17"/>
      <c r="G371" s="1"/>
      <c r="H371" s="1"/>
      <c r="I371" s="17"/>
      <c r="J371" s="17"/>
      <c r="K371" s="1"/>
      <c r="L371" s="1"/>
      <c r="M371" s="1"/>
      <c r="N371" s="1"/>
      <c r="O371" s="1"/>
      <c r="P371" s="1"/>
      <c r="Q371" s="1"/>
      <c r="R371" s="1"/>
      <c r="S371" s="1"/>
      <c r="T371" s="1"/>
      <c r="U371" s="1"/>
      <c r="V371" s="1"/>
      <c r="W371" s="1"/>
      <c r="X371" s="1"/>
      <c r="Y371" s="1"/>
    </row>
    <row r="372" spans="1:25" ht="15.75" customHeight="1" x14ac:dyDescent="0.25">
      <c r="A372" s="1"/>
      <c r="B372" s="1"/>
      <c r="C372" s="15"/>
      <c r="D372" s="17"/>
      <c r="E372" s="1"/>
      <c r="F372" s="17"/>
      <c r="G372" s="1"/>
      <c r="H372" s="1"/>
      <c r="I372" s="17"/>
      <c r="J372" s="17"/>
      <c r="K372" s="1"/>
      <c r="L372" s="1"/>
      <c r="M372" s="1"/>
      <c r="N372" s="1"/>
      <c r="O372" s="1"/>
      <c r="P372" s="1"/>
      <c r="Q372" s="1"/>
      <c r="R372" s="1"/>
      <c r="S372" s="1"/>
      <c r="T372" s="1"/>
      <c r="U372" s="1"/>
      <c r="V372" s="1"/>
      <c r="W372" s="1"/>
      <c r="X372" s="1"/>
      <c r="Y372" s="1"/>
    </row>
    <row r="373" spans="1:25" ht="15.75" customHeight="1" x14ac:dyDescent="0.25">
      <c r="A373" s="1"/>
      <c r="B373" s="1"/>
      <c r="C373" s="15"/>
      <c r="D373" s="17"/>
      <c r="E373" s="1"/>
      <c r="F373" s="17"/>
      <c r="G373" s="1"/>
      <c r="H373" s="1"/>
      <c r="I373" s="17"/>
      <c r="J373" s="17"/>
      <c r="K373" s="1"/>
      <c r="L373" s="1"/>
      <c r="M373" s="1"/>
      <c r="N373" s="1"/>
      <c r="O373" s="1"/>
      <c r="P373" s="1"/>
      <c r="Q373" s="1"/>
      <c r="R373" s="1"/>
      <c r="S373" s="1"/>
      <c r="T373" s="1"/>
      <c r="U373" s="1"/>
      <c r="V373" s="1"/>
      <c r="W373" s="1"/>
      <c r="X373" s="1"/>
      <c r="Y373" s="1"/>
    </row>
    <row r="374" spans="1:25" ht="15.75" customHeight="1" x14ac:dyDescent="0.25">
      <c r="A374" s="1"/>
      <c r="B374" s="1"/>
      <c r="C374" s="15"/>
      <c r="D374" s="17"/>
      <c r="E374" s="1"/>
      <c r="F374" s="17"/>
      <c r="G374" s="1"/>
      <c r="H374" s="1"/>
      <c r="I374" s="17"/>
      <c r="J374" s="17"/>
      <c r="K374" s="1"/>
      <c r="L374" s="1"/>
      <c r="M374" s="1"/>
      <c r="N374" s="1"/>
      <c r="O374" s="1"/>
      <c r="P374" s="1"/>
      <c r="Q374" s="1"/>
      <c r="R374" s="1"/>
      <c r="S374" s="1"/>
      <c r="T374" s="1"/>
      <c r="U374" s="1"/>
      <c r="V374" s="1"/>
      <c r="W374" s="1"/>
      <c r="X374" s="1"/>
      <c r="Y374" s="1"/>
    </row>
    <row r="375" spans="1:25" ht="15.75" customHeight="1" x14ac:dyDescent="0.25">
      <c r="A375" s="1"/>
      <c r="B375" s="1"/>
      <c r="C375" s="15"/>
      <c r="D375" s="17"/>
      <c r="E375" s="1"/>
      <c r="F375" s="17"/>
      <c r="G375" s="1"/>
      <c r="H375" s="1"/>
      <c r="I375" s="17"/>
      <c r="J375" s="17"/>
      <c r="K375" s="1"/>
      <c r="L375" s="1"/>
      <c r="M375" s="1"/>
      <c r="N375" s="1"/>
      <c r="O375" s="1"/>
      <c r="P375" s="1"/>
      <c r="Q375" s="1"/>
      <c r="R375" s="1"/>
      <c r="S375" s="1"/>
      <c r="T375" s="1"/>
      <c r="U375" s="1"/>
      <c r="V375" s="1"/>
      <c r="W375" s="1"/>
      <c r="X375" s="1"/>
      <c r="Y375" s="1"/>
    </row>
    <row r="376" spans="1:25" ht="15.75" customHeight="1" x14ac:dyDescent="0.25">
      <c r="A376" s="1"/>
      <c r="B376" s="1"/>
      <c r="C376" s="15"/>
      <c r="D376" s="17"/>
      <c r="E376" s="1"/>
      <c r="F376" s="17"/>
      <c r="G376" s="1"/>
      <c r="H376" s="1"/>
      <c r="I376" s="17"/>
      <c r="J376" s="17"/>
      <c r="K376" s="1"/>
      <c r="L376" s="1"/>
      <c r="M376" s="1"/>
      <c r="N376" s="1"/>
      <c r="O376" s="1"/>
      <c r="P376" s="1"/>
      <c r="Q376" s="1"/>
      <c r="R376" s="1"/>
      <c r="S376" s="1"/>
      <c r="T376" s="1"/>
      <c r="U376" s="1"/>
      <c r="V376" s="1"/>
      <c r="W376" s="1"/>
      <c r="X376" s="1"/>
      <c r="Y376" s="1"/>
    </row>
    <row r="377" spans="1:25" ht="15.75" customHeight="1" x14ac:dyDescent="0.25">
      <c r="A377" s="1"/>
      <c r="B377" s="1"/>
      <c r="C377" s="15"/>
      <c r="D377" s="17"/>
      <c r="E377" s="1"/>
      <c r="F377" s="17"/>
      <c r="G377" s="1"/>
      <c r="H377" s="1"/>
      <c r="I377" s="17"/>
      <c r="J377" s="17"/>
      <c r="K377" s="1"/>
      <c r="L377" s="1"/>
      <c r="M377" s="1"/>
      <c r="N377" s="1"/>
      <c r="O377" s="1"/>
      <c r="P377" s="1"/>
      <c r="Q377" s="1"/>
      <c r="R377" s="1"/>
      <c r="S377" s="1"/>
      <c r="T377" s="1"/>
      <c r="U377" s="1"/>
      <c r="V377" s="1"/>
      <c r="W377" s="1"/>
      <c r="X377" s="1"/>
      <c r="Y377" s="1"/>
    </row>
    <row r="378" spans="1:25" ht="15.75" customHeight="1" x14ac:dyDescent="0.25">
      <c r="A378" s="1"/>
      <c r="B378" s="1"/>
      <c r="C378" s="15"/>
      <c r="D378" s="17"/>
      <c r="E378" s="1"/>
      <c r="F378" s="17"/>
      <c r="G378" s="1"/>
      <c r="H378" s="1"/>
      <c r="I378" s="17"/>
      <c r="J378" s="17"/>
      <c r="K378" s="1"/>
      <c r="L378" s="1"/>
      <c r="M378" s="1"/>
      <c r="N378" s="1"/>
      <c r="O378" s="1"/>
      <c r="P378" s="1"/>
      <c r="Q378" s="1"/>
      <c r="R378" s="1"/>
      <c r="S378" s="1"/>
      <c r="T378" s="1"/>
      <c r="U378" s="1"/>
      <c r="V378" s="1"/>
      <c r="W378" s="1"/>
      <c r="X378" s="1"/>
      <c r="Y378" s="1"/>
    </row>
    <row r="379" spans="1:25" ht="15.75" customHeight="1" x14ac:dyDescent="0.25">
      <c r="A379" s="1"/>
      <c r="B379" s="1"/>
      <c r="C379" s="15"/>
      <c r="D379" s="17"/>
      <c r="E379" s="1"/>
      <c r="F379" s="17"/>
      <c r="G379" s="1"/>
      <c r="H379" s="1"/>
      <c r="I379" s="17"/>
      <c r="J379" s="17"/>
      <c r="K379" s="1"/>
      <c r="L379" s="1"/>
      <c r="M379" s="1"/>
      <c r="N379" s="1"/>
      <c r="O379" s="1"/>
      <c r="P379" s="1"/>
      <c r="Q379" s="1"/>
      <c r="R379" s="1"/>
      <c r="S379" s="1"/>
      <c r="T379" s="1"/>
      <c r="U379" s="1"/>
      <c r="V379" s="1"/>
      <c r="W379" s="1"/>
      <c r="X379" s="1"/>
      <c r="Y379" s="1"/>
    </row>
    <row r="380" spans="1:25" ht="15.75" customHeight="1" x14ac:dyDescent="0.25">
      <c r="A380" s="1"/>
      <c r="B380" s="1"/>
      <c r="C380" s="15"/>
      <c r="D380" s="17"/>
      <c r="E380" s="1"/>
      <c r="F380" s="17"/>
      <c r="G380" s="1"/>
      <c r="H380" s="1"/>
      <c r="I380" s="17"/>
      <c r="J380" s="17"/>
      <c r="K380" s="1"/>
      <c r="L380" s="1"/>
      <c r="M380" s="1"/>
      <c r="N380" s="1"/>
      <c r="O380" s="1"/>
      <c r="P380" s="1"/>
      <c r="Q380" s="1"/>
      <c r="R380" s="1"/>
      <c r="S380" s="1"/>
      <c r="T380" s="1"/>
      <c r="U380" s="1"/>
      <c r="V380" s="1"/>
      <c r="W380" s="1"/>
      <c r="X380" s="1"/>
      <c r="Y380" s="1"/>
    </row>
    <row r="381" spans="1:25" ht="15.75" customHeight="1" x14ac:dyDescent="0.25">
      <c r="A381" s="1"/>
      <c r="B381" s="1"/>
      <c r="C381" s="15"/>
      <c r="D381" s="17"/>
      <c r="E381" s="1"/>
      <c r="F381" s="17"/>
      <c r="G381" s="1"/>
      <c r="H381" s="1"/>
      <c r="I381" s="17"/>
      <c r="J381" s="17"/>
      <c r="K381" s="1"/>
      <c r="L381" s="1"/>
      <c r="M381" s="1"/>
      <c r="N381" s="1"/>
      <c r="O381" s="1"/>
      <c r="P381" s="1"/>
      <c r="Q381" s="1"/>
      <c r="R381" s="1"/>
      <c r="S381" s="1"/>
      <c r="T381" s="1"/>
      <c r="U381" s="1"/>
      <c r="V381" s="1"/>
      <c r="W381" s="1"/>
      <c r="X381" s="1"/>
      <c r="Y381" s="1"/>
    </row>
    <row r="382" spans="1:25" ht="15.75" customHeight="1" x14ac:dyDescent="0.25">
      <c r="A382" s="1"/>
      <c r="B382" s="1"/>
      <c r="C382" s="15"/>
      <c r="D382" s="17"/>
      <c r="E382" s="1"/>
      <c r="F382" s="17"/>
      <c r="G382" s="1"/>
      <c r="H382" s="1"/>
      <c r="I382" s="17"/>
      <c r="J382" s="17"/>
      <c r="K382" s="1"/>
      <c r="L382" s="1"/>
      <c r="M382" s="1"/>
      <c r="N382" s="1"/>
      <c r="O382" s="1"/>
      <c r="P382" s="1"/>
      <c r="Q382" s="1"/>
      <c r="R382" s="1"/>
      <c r="S382" s="1"/>
      <c r="T382" s="1"/>
      <c r="U382" s="1"/>
      <c r="V382" s="1"/>
      <c r="W382" s="1"/>
      <c r="X382" s="1"/>
      <c r="Y382" s="1"/>
    </row>
    <row r="383" spans="1:25" ht="15.75" customHeight="1" x14ac:dyDescent="0.25">
      <c r="A383" s="1"/>
      <c r="B383" s="1"/>
      <c r="C383" s="15"/>
      <c r="D383" s="17"/>
      <c r="E383" s="1"/>
      <c r="F383" s="17"/>
      <c r="G383" s="1"/>
      <c r="H383" s="1"/>
      <c r="I383" s="17"/>
      <c r="J383" s="17"/>
      <c r="K383" s="1"/>
      <c r="L383" s="1"/>
      <c r="M383" s="1"/>
      <c r="N383" s="1"/>
      <c r="O383" s="1"/>
      <c r="P383" s="1"/>
      <c r="Q383" s="1"/>
      <c r="R383" s="1"/>
      <c r="S383" s="1"/>
      <c r="T383" s="1"/>
      <c r="U383" s="1"/>
      <c r="V383" s="1"/>
      <c r="W383" s="1"/>
      <c r="X383" s="1"/>
      <c r="Y383" s="1"/>
    </row>
    <row r="384" spans="1:25" ht="15.75" customHeight="1" x14ac:dyDescent="0.25">
      <c r="A384" s="1"/>
      <c r="B384" s="1"/>
      <c r="C384" s="15"/>
      <c r="D384" s="17"/>
      <c r="E384" s="1"/>
      <c r="F384" s="17"/>
      <c r="G384" s="1"/>
      <c r="H384" s="1"/>
      <c r="I384" s="17"/>
      <c r="J384" s="17"/>
      <c r="K384" s="1"/>
      <c r="L384" s="1"/>
      <c r="M384" s="1"/>
      <c r="N384" s="1"/>
      <c r="O384" s="1"/>
      <c r="P384" s="1"/>
      <c r="Q384" s="1"/>
      <c r="R384" s="1"/>
      <c r="S384" s="1"/>
      <c r="T384" s="1"/>
      <c r="U384" s="1"/>
      <c r="V384" s="1"/>
      <c r="W384" s="1"/>
      <c r="X384" s="1"/>
      <c r="Y384" s="1"/>
    </row>
    <row r="385" spans="1:25" ht="15.75" customHeight="1" x14ac:dyDescent="0.25">
      <c r="A385" s="1"/>
      <c r="B385" s="1"/>
      <c r="C385" s="15"/>
      <c r="D385" s="17"/>
      <c r="E385" s="1"/>
      <c r="F385" s="17"/>
      <c r="G385" s="1"/>
      <c r="H385" s="1"/>
      <c r="I385" s="17"/>
      <c r="J385" s="17"/>
      <c r="K385" s="1"/>
      <c r="L385" s="1"/>
      <c r="M385" s="1"/>
      <c r="N385" s="1"/>
      <c r="O385" s="1"/>
      <c r="P385" s="1"/>
      <c r="Q385" s="1"/>
      <c r="R385" s="1"/>
      <c r="S385" s="1"/>
      <c r="T385" s="1"/>
      <c r="U385" s="1"/>
      <c r="V385" s="1"/>
      <c r="W385" s="1"/>
      <c r="X385" s="1"/>
      <c r="Y385" s="1"/>
    </row>
    <row r="386" spans="1:25" ht="15.75" customHeight="1" x14ac:dyDescent="0.25">
      <c r="A386" s="1"/>
      <c r="B386" s="1"/>
      <c r="C386" s="15"/>
      <c r="D386" s="17"/>
      <c r="E386" s="1"/>
      <c r="F386" s="17"/>
      <c r="G386" s="1"/>
      <c r="H386" s="1"/>
      <c r="I386" s="17"/>
      <c r="J386" s="17"/>
      <c r="K386" s="1"/>
      <c r="L386" s="1"/>
      <c r="M386" s="1"/>
      <c r="N386" s="1"/>
      <c r="O386" s="1"/>
      <c r="P386" s="1"/>
      <c r="Q386" s="1"/>
      <c r="R386" s="1"/>
      <c r="S386" s="1"/>
      <c r="T386" s="1"/>
      <c r="U386" s="1"/>
      <c r="V386" s="1"/>
      <c r="W386" s="1"/>
      <c r="X386" s="1"/>
      <c r="Y386" s="1"/>
    </row>
    <row r="387" spans="1:25" ht="15.75" customHeight="1" x14ac:dyDescent="0.25">
      <c r="A387" s="1"/>
      <c r="B387" s="1"/>
      <c r="C387" s="15"/>
      <c r="D387" s="17"/>
      <c r="E387" s="1"/>
      <c r="F387" s="17"/>
      <c r="G387" s="1"/>
      <c r="H387" s="1"/>
      <c r="I387" s="17"/>
      <c r="J387" s="17"/>
      <c r="K387" s="1"/>
      <c r="L387" s="1"/>
      <c r="M387" s="1"/>
      <c r="N387" s="1"/>
      <c r="O387" s="1"/>
      <c r="P387" s="1"/>
      <c r="Q387" s="1"/>
      <c r="R387" s="1"/>
      <c r="S387" s="1"/>
      <c r="T387" s="1"/>
      <c r="U387" s="1"/>
      <c r="V387" s="1"/>
      <c r="W387" s="1"/>
      <c r="X387" s="1"/>
      <c r="Y387" s="1"/>
    </row>
    <row r="388" spans="1:25" ht="15.75" customHeight="1" x14ac:dyDescent="0.25">
      <c r="A388" s="1"/>
      <c r="B388" s="1"/>
      <c r="C388" s="15"/>
      <c r="D388" s="17"/>
      <c r="E388" s="1"/>
      <c r="F388" s="17"/>
      <c r="G388" s="1"/>
      <c r="H388" s="1"/>
      <c r="I388" s="17"/>
      <c r="J388" s="17"/>
      <c r="K388" s="1"/>
      <c r="L388" s="1"/>
      <c r="M388" s="1"/>
      <c r="N388" s="1"/>
      <c r="O388" s="1"/>
      <c r="P388" s="1"/>
      <c r="Q388" s="1"/>
      <c r="R388" s="1"/>
      <c r="S388" s="1"/>
      <c r="T388" s="1"/>
      <c r="U388" s="1"/>
      <c r="V388" s="1"/>
      <c r="W388" s="1"/>
      <c r="X388" s="1"/>
      <c r="Y388" s="1"/>
    </row>
    <row r="389" spans="1:25" ht="15.75" customHeight="1" x14ac:dyDescent="0.25">
      <c r="A389" s="1"/>
      <c r="B389" s="1"/>
      <c r="C389" s="15"/>
      <c r="D389" s="17"/>
      <c r="E389" s="1"/>
      <c r="F389" s="17"/>
      <c r="G389" s="1"/>
      <c r="H389" s="1"/>
      <c r="I389" s="17"/>
      <c r="J389" s="17"/>
      <c r="K389" s="1"/>
      <c r="L389" s="1"/>
      <c r="M389" s="1"/>
      <c r="N389" s="1"/>
      <c r="O389" s="1"/>
      <c r="P389" s="1"/>
      <c r="Q389" s="1"/>
      <c r="R389" s="1"/>
      <c r="S389" s="1"/>
      <c r="T389" s="1"/>
      <c r="U389" s="1"/>
      <c r="V389" s="1"/>
      <c r="W389" s="1"/>
      <c r="X389" s="1"/>
      <c r="Y389" s="1"/>
    </row>
    <row r="390" spans="1:25" ht="15.75" customHeight="1" x14ac:dyDescent="0.25">
      <c r="A390" s="1"/>
      <c r="B390" s="1"/>
      <c r="C390" s="15"/>
      <c r="D390" s="17"/>
      <c r="E390" s="1"/>
      <c r="F390" s="17"/>
      <c r="G390" s="1"/>
      <c r="H390" s="1"/>
      <c r="I390" s="17"/>
      <c r="J390" s="17"/>
      <c r="K390" s="1"/>
      <c r="L390" s="1"/>
      <c r="M390" s="1"/>
      <c r="N390" s="1"/>
      <c r="O390" s="1"/>
      <c r="P390" s="1"/>
      <c r="Q390" s="1"/>
      <c r="R390" s="1"/>
      <c r="S390" s="1"/>
      <c r="T390" s="1"/>
      <c r="U390" s="1"/>
      <c r="V390" s="1"/>
      <c r="W390" s="1"/>
      <c r="X390" s="1"/>
      <c r="Y390" s="1"/>
    </row>
    <row r="391" spans="1:25" ht="15.75" customHeight="1" x14ac:dyDescent="0.25">
      <c r="A391" s="1"/>
      <c r="B391" s="1"/>
      <c r="C391" s="15"/>
      <c r="D391" s="17"/>
      <c r="E391" s="1"/>
      <c r="F391" s="17"/>
      <c r="G391" s="1"/>
      <c r="H391" s="1"/>
      <c r="I391" s="17"/>
      <c r="J391" s="17"/>
      <c r="K391" s="1"/>
      <c r="L391" s="1"/>
      <c r="M391" s="1"/>
      <c r="N391" s="1"/>
      <c r="O391" s="1"/>
      <c r="P391" s="1"/>
      <c r="Q391" s="1"/>
      <c r="R391" s="1"/>
      <c r="S391" s="1"/>
      <c r="T391" s="1"/>
      <c r="U391" s="1"/>
      <c r="V391" s="1"/>
      <c r="W391" s="1"/>
      <c r="X391" s="1"/>
      <c r="Y391" s="1"/>
    </row>
    <row r="392" spans="1:25" ht="15.75" customHeight="1" x14ac:dyDescent="0.25">
      <c r="A392" s="1"/>
      <c r="B392" s="1"/>
      <c r="C392" s="15"/>
      <c r="D392" s="17"/>
      <c r="E392" s="1"/>
      <c r="F392" s="17"/>
      <c r="G392" s="1"/>
      <c r="H392" s="1"/>
      <c r="I392" s="17"/>
      <c r="J392" s="17"/>
      <c r="K392" s="1"/>
      <c r="L392" s="1"/>
      <c r="M392" s="1"/>
      <c r="N392" s="1"/>
      <c r="O392" s="1"/>
      <c r="P392" s="1"/>
      <c r="Q392" s="1"/>
      <c r="R392" s="1"/>
      <c r="S392" s="1"/>
      <c r="T392" s="1"/>
      <c r="U392" s="1"/>
      <c r="V392" s="1"/>
      <c r="W392" s="1"/>
      <c r="X392" s="1"/>
      <c r="Y392" s="1"/>
    </row>
    <row r="393" spans="1:25" ht="15.75" customHeight="1" x14ac:dyDescent="0.25">
      <c r="A393" s="1"/>
      <c r="B393" s="1"/>
      <c r="C393" s="15"/>
      <c r="D393" s="17"/>
      <c r="E393" s="1"/>
      <c r="F393" s="17"/>
      <c r="G393" s="1"/>
      <c r="H393" s="1"/>
      <c r="I393" s="17"/>
      <c r="J393" s="17"/>
      <c r="K393" s="1"/>
      <c r="L393" s="1"/>
      <c r="M393" s="1"/>
      <c r="N393" s="1"/>
      <c r="O393" s="1"/>
      <c r="P393" s="1"/>
      <c r="Q393" s="1"/>
      <c r="R393" s="1"/>
      <c r="S393" s="1"/>
      <c r="T393" s="1"/>
      <c r="U393" s="1"/>
      <c r="V393" s="1"/>
      <c r="W393" s="1"/>
      <c r="X393" s="1"/>
      <c r="Y393" s="1"/>
    </row>
    <row r="394" spans="1:25" ht="15.75" customHeight="1" x14ac:dyDescent="0.25">
      <c r="A394" s="1"/>
      <c r="B394" s="1"/>
      <c r="C394" s="15"/>
      <c r="D394" s="17"/>
      <c r="E394" s="1"/>
      <c r="F394" s="17"/>
      <c r="G394" s="1"/>
      <c r="H394" s="1"/>
      <c r="I394" s="17"/>
      <c r="J394" s="17"/>
      <c r="K394" s="1"/>
      <c r="L394" s="1"/>
      <c r="M394" s="1"/>
      <c r="N394" s="1"/>
      <c r="O394" s="1"/>
      <c r="P394" s="1"/>
      <c r="Q394" s="1"/>
      <c r="R394" s="1"/>
      <c r="S394" s="1"/>
      <c r="T394" s="1"/>
      <c r="U394" s="1"/>
      <c r="V394" s="1"/>
      <c r="W394" s="1"/>
      <c r="X394" s="1"/>
      <c r="Y394" s="1"/>
    </row>
    <row r="395" spans="1:25" ht="15.75" customHeight="1" x14ac:dyDescent="0.25">
      <c r="A395" s="1"/>
      <c r="B395" s="1"/>
      <c r="C395" s="15"/>
      <c r="D395" s="17"/>
      <c r="E395" s="1"/>
      <c r="F395" s="17"/>
      <c r="G395" s="1"/>
      <c r="H395" s="1"/>
      <c r="I395" s="17"/>
      <c r="J395" s="17"/>
      <c r="K395" s="1"/>
      <c r="L395" s="1"/>
      <c r="M395" s="1"/>
      <c r="N395" s="1"/>
      <c r="O395" s="1"/>
      <c r="P395" s="1"/>
      <c r="Q395" s="1"/>
      <c r="R395" s="1"/>
      <c r="S395" s="1"/>
      <c r="T395" s="1"/>
      <c r="U395" s="1"/>
      <c r="V395" s="1"/>
      <c r="W395" s="1"/>
      <c r="X395" s="1"/>
      <c r="Y395" s="1"/>
    </row>
    <row r="396" spans="1:25" ht="15.75" customHeight="1" x14ac:dyDescent="0.25">
      <c r="A396" s="1"/>
      <c r="B396" s="1"/>
      <c r="C396" s="15"/>
      <c r="D396" s="17"/>
      <c r="E396" s="1"/>
      <c r="F396" s="17"/>
      <c r="G396" s="1"/>
      <c r="H396" s="1"/>
      <c r="I396" s="17"/>
      <c r="J396" s="17"/>
      <c r="K396" s="1"/>
      <c r="L396" s="1"/>
      <c r="M396" s="1"/>
      <c r="N396" s="1"/>
      <c r="O396" s="1"/>
      <c r="P396" s="1"/>
      <c r="Q396" s="1"/>
      <c r="R396" s="1"/>
      <c r="S396" s="1"/>
      <c r="T396" s="1"/>
      <c r="U396" s="1"/>
      <c r="V396" s="1"/>
      <c r="W396" s="1"/>
      <c r="X396" s="1"/>
      <c r="Y396" s="1"/>
    </row>
    <row r="397" spans="1:25" ht="15.75" customHeight="1" x14ac:dyDescent="0.25">
      <c r="A397" s="1"/>
      <c r="B397" s="1"/>
      <c r="C397" s="15"/>
      <c r="D397" s="17"/>
      <c r="E397" s="1"/>
      <c r="F397" s="17"/>
      <c r="G397" s="1"/>
      <c r="H397" s="1"/>
      <c r="I397" s="17"/>
      <c r="J397" s="17"/>
      <c r="K397" s="1"/>
      <c r="L397" s="1"/>
      <c r="M397" s="1"/>
      <c r="N397" s="1"/>
      <c r="O397" s="1"/>
      <c r="P397" s="1"/>
      <c r="Q397" s="1"/>
      <c r="R397" s="1"/>
      <c r="S397" s="1"/>
      <c r="T397" s="1"/>
      <c r="U397" s="1"/>
      <c r="V397" s="1"/>
      <c r="W397" s="1"/>
      <c r="X397" s="1"/>
      <c r="Y397" s="1"/>
    </row>
    <row r="398" spans="1:25" ht="15.75" customHeight="1" x14ac:dyDescent="0.25">
      <c r="A398" s="1"/>
      <c r="B398" s="1"/>
      <c r="C398" s="15"/>
      <c r="D398" s="17"/>
      <c r="E398" s="1"/>
      <c r="F398" s="17"/>
      <c r="G398" s="1"/>
      <c r="H398" s="1"/>
      <c r="I398" s="17"/>
      <c r="J398" s="17"/>
      <c r="K398" s="1"/>
      <c r="L398" s="1"/>
      <c r="M398" s="1"/>
      <c r="N398" s="1"/>
      <c r="O398" s="1"/>
      <c r="P398" s="1"/>
      <c r="Q398" s="1"/>
      <c r="R398" s="1"/>
      <c r="S398" s="1"/>
      <c r="T398" s="1"/>
      <c r="U398" s="1"/>
      <c r="V398" s="1"/>
      <c r="W398" s="1"/>
      <c r="X398" s="1"/>
      <c r="Y398" s="1"/>
    </row>
    <row r="399" spans="1:25" ht="15.75" customHeight="1" x14ac:dyDescent="0.25">
      <c r="A399" s="1"/>
      <c r="B399" s="1"/>
      <c r="C399" s="15"/>
      <c r="D399" s="17"/>
      <c r="E399" s="1"/>
      <c r="F399" s="17"/>
      <c r="G399" s="1"/>
      <c r="H399" s="1"/>
      <c r="I399" s="17"/>
      <c r="J399" s="17"/>
      <c r="K399" s="1"/>
      <c r="L399" s="1"/>
      <c r="M399" s="1"/>
      <c r="N399" s="1"/>
      <c r="O399" s="1"/>
      <c r="P399" s="1"/>
      <c r="Q399" s="1"/>
      <c r="R399" s="1"/>
      <c r="S399" s="1"/>
      <c r="T399" s="1"/>
      <c r="U399" s="1"/>
      <c r="V399" s="1"/>
      <c r="W399" s="1"/>
      <c r="X399" s="1"/>
      <c r="Y399" s="1"/>
    </row>
    <row r="400" spans="1:25" ht="15.75" customHeight="1" x14ac:dyDescent="0.25">
      <c r="A400" s="1"/>
      <c r="B400" s="1"/>
      <c r="C400" s="15"/>
      <c r="D400" s="17"/>
      <c r="E400" s="1"/>
      <c r="F400" s="17"/>
      <c r="G400" s="1"/>
      <c r="H400" s="1"/>
      <c r="I400" s="17"/>
      <c r="J400" s="17"/>
      <c r="K400" s="1"/>
      <c r="L400" s="1"/>
      <c r="M400" s="1"/>
      <c r="N400" s="1"/>
      <c r="O400" s="1"/>
      <c r="P400" s="1"/>
      <c r="Q400" s="1"/>
      <c r="R400" s="1"/>
      <c r="S400" s="1"/>
      <c r="T400" s="1"/>
      <c r="U400" s="1"/>
      <c r="V400" s="1"/>
      <c r="W400" s="1"/>
      <c r="X400" s="1"/>
      <c r="Y400" s="1"/>
    </row>
    <row r="401" spans="1:25" ht="15.75" customHeight="1" x14ac:dyDescent="0.25">
      <c r="A401" s="1"/>
      <c r="B401" s="1"/>
      <c r="C401" s="15"/>
      <c r="D401" s="17"/>
      <c r="E401" s="1"/>
      <c r="F401" s="17"/>
      <c r="G401" s="1"/>
      <c r="H401" s="1"/>
      <c r="I401" s="17"/>
      <c r="J401" s="17"/>
      <c r="K401" s="1"/>
      <c r="L401" s="1"/>
      <c r="M401" s="1"/>
      <c r="N401" s="1"/>
      <c r="O401" s="1"/>
      <c r="P401" s="1"/>
      <c r="Q401" s="1"/>
      <c r="R401" s="1"/>
      <c r="S401" s="1"/>
      <c r="T401" s="1"/>
      <c r="U401" s="1"/>
      <c r="V401" s="1"/>
      <c r="W401" s="1"/>
      <c r="X401" s="1"/>
      <c r="Y401" s="1"/>
    </row>
    <row r="402" spans="1:25" ht="15.75" customHeight="1" x14ac:dyDescent="0.25">
      <c r="A402" s="1"/>
      <c r="B402" s="1"/>
      <c r="C402" s="15"/>
      <c r="D402" s="17"/>
      <c r="E402" s="1"/>
      <c r="F402" s="17"/>
      <c r="G402" s="1"/>
      <c r="H402" s="1"/>
      <c r="I402" s="17"/>
      <c r="J402" s="17"/>
      <c r="K402" s="1"/>
      <c r="L402" s="1"/>
      <c r="M402" s="1"/>
      <c r="N402" s="1"/>
      <c r="O402" s="1"/>
      <c r="P402" s="1"/>
      <c r="Q402" s="1"/>
      <c r="R402" s="1"/>
      <c r="S402" s="1"/>
      <c r="T402" s="1"/>
      <c r="U402" s="1"/>
      <c r="V402" s="1"/>
      <c r="W402" s="1"/>
      <c r="X402" s="1"/>
      <c r="Y402" s="1"/>
    </row>
    <row r="403" spans="1:25" ht="15.75" customHeight="1" x14ac:dyDescent="0.25">
      <c r="A403" s="1"/>
      <c r="B403" s="1"/>
      <c r="C403" s="15"/>
      <c r="D403" s="17"/>
      <c r="E403" s="1"/>
      <c r="F403" s="17"/>
      <c r="G403" s="1"/>
      <c r="H403" s="1"/>
      <c r="I403" s="17"/>
      <c r="J403" s="17"/>
      <c r="K403" s="1"/>
      <c r="L403" s="1"/>
      <c r="M403" s="1"/>
      <c r="N403" s="1"/>
      <c r="O403" s="1"/>
      <c r="P403" s="1"/>
      <c r="Q403" s="1"/>
      <c r="R403" s="1"/>
      <c r="S403" s="1"/>
      <c r="T403" s="1"/>
      <c r="U403" s="1"/>
      <c r="V403" s="1"/>
      <c r="W403" s="1"/>
      <c r="X403" s="1"/>
      <c r="Y403" s="1"/>
    </row>
    <row r="404" spans="1:25" ht="15.75" customHeight="1" x14ac:dyDescent="0.25">
      <c r="A404" s="1"/>
      <c r="B404" s="1"/>
      <c r="C404" s="15"/>
      <c r="D404" s="17"/>
      <c r="E404" s="1"/>
      <c r="F404" s="17"/>
      <c r="G404" s="1"/>
      <c r="H404" s="1"/>
      <c r="I404" s="17"/>
      <c r="J404" s="17"/>
      <c r="K404" s="1"/>
      <c r="L404" s="1"/>
      <c r="M404" s="1"/>
      <c r="N404" s="1"/>
      <c r="O404" s="1"/>
      <c r="P404" s="1"/>
      <c r="Q404" s="1"/>
      <c r="R404" s="1"/>
      <c r="S404" s="1"/>
      <c r="T404" s="1"/>
      <c r="U404" s="1"/>
      <c r="V404" s="1"/>
      <c r="W404" s="1"/>
      <c r="X404" s="1"/>
      <c r="Y404" s="1"/>
    </row>
    <row r="405" spans="1:25" ht="15.75" customHeight="1" x14ac:dyDescent="0.25">
      <c r="A405" s="1"/>
      <c r="B405" s="1"/>
      <c r="C405" s="15"/>
      <c r="D405" s="17"/>
      <c r="E405" s="1"/>
      <c r="F405" s="17"/>
      <c r="G405" s="1"/>
      <c r="H405" s="1"/>
      <c r="I405" s="17"/>
      <c r="J405" s="17"/>
      <c r="K405" s="1"/>
      <c r="L405" s="1"/>
      <c r="M405" s="1"/>
      <c r="N405" s="1"/>
      <c r="O405" s="1"/>
      <c r="P405" s="1"/>
      <c r="Q405" s="1"/>
      <c r="R405" s="1"/>
      <c r="S405" s="1"/>
      <c r="T405" s="1"/>
      <c r="U405" s="1"/>
      <c r="V405" s="1"/>
      <c r="W405" s="1"/>
      <c r="X405" s="1"/>
      <c r="Y405" s="1"/>
    </row>
    <row r="406" spans="1:25" ht="15.75" customHeight="1" x14ac:dyDescent="0.25">
      <c r="A406" s="1"/>
      <c r="B406" s="1"/>
      <c r="C406" s="15"/>
      <c r="D406" s="17"/>
      <c r="E406" s="1"/>
      <c r="F406" s="17"/>
      <c r="G406" s="1"/>
      <c r="H406" s="1"/>
      <c r="I406" s="17"/>
      <c r="J406" s="17"/>
      <c r="K406" s="1"/>
      <c r="L406" s="1"/>
      <c r="M406" s="1"/>
      <c r="N406" s="1"/>
      <c r="O406" s="1"/>
      <c r="P406" s="1"/>
      <c r="Q406" s="1"/>
      <c r="R406" s="1"/>
      <c r="S406" s="1"/>
      <c r="T406" s="1"/>
      <c r="U406" s="1"/>
      <c r="V406" s="1"/>
      <c r="W406" s="1"/>
      <c r="X406" s="1"/>
      <c r="Y406" s="1"/>
    </row>
    <row r="407" spans="1:25" ht="15.75" customHeight="1" x14ac:dyDescent="0.25">
      <c r="A407" s="1"/>
      <c r="B407" s="1"/>
      <c r="C407" s="15"/>
      <c r="D407" s="17"/>
      <c r="E407" s="1"/>
      <c r="F407" s="17"/>
      <c r="G407" s="1"/>
      <c r="H407" s="1"/>
      <c r="I407" s="17"/>
      <c r="J407" s="17"/>
      <c r="K407" s="1"/>
      <c r="L407" s="1"/>
      <c r="M407" s="1"/>
      <c r="N407" s="1"/>
      <c r="O407" s="1"/>
      <c r="P407" s="1"/>
      <c r="Q407" s="1"/>
      <c r="R407" s="1"/>
      <c r="S407" s="1"/>
      <c r="T407" s="1"/>
      <c r="U407" s="1"/>
      <c r="V407" s="1"/>
      <c r="W407" s="1"/>
      <c r="X407" s="1"/>
      <c r="Y407" s="1"/>
    </row>
    <row r="408" spans="1:25" ht="15.75" customHeight="1" x14ac:dyDescent="0.25">
      <c r="A408" s="1"/>
      <c r="B408" s="1"/>
      <c r="C408" s="15"/>
      <c r="D408" s="17"/>
      <c r="E408" s="1"/>
      <c r="F408" s="17"/>
      <c r="G408" s="1"/>
      <c r="H408" s="1"/>
      <c r="I408" s="17"/>
      <c r="J408" s="17"/>
      <c r="K408" s="1"/>
      <c r="L408" s="1"/>
      <c r="M408" s="1"/>
      <c r="N408" s="1"/>
      <c r="O408" s="1"/>
      <c r="P408" s="1"/>
      <c r="Q408" s="1"/>
      <c r="R408" s="1"/>
      <c r="S408" s="1"/>
      <c r="T408" s="1"/>
      <c r="U408" s="1"/>
      <c r="V408" s="1"/>
      <c r="W408" s="1"/>
      <c r="X408" s="1"/>
      <c r="Y408" s="1"/>
    </row>
    <row r="409" spans="1:25" ht="15.75" customHeight="1" x14ac:dyDescent="0.25">
      <c r="A409" s="1"/>
      <c r="B409" s="1"/>
      <c r="C409" s="15"/>
      <c r="D409" s="17"/>
      <c r="E409" s="1"/>
      <c r="F409" s="17"/>
      <c r="G409" s="1"/>
      <c r="H409" s="1"/>
      <c r="I409" s="17"/>
      <c r="J409" s="17"/>
      <c r="K409" s="1"/>
      <c r="L409" s="1"/>
      <c r="M409" s="1"/>
      <c r="N409" s="1"/>
      <c r="O409" s="1"/>
      <c r="P409" s="1"/>
      <c r="Q409" s="1"/>
      <c r="R409" s="1"/>
      <c r="S409" s="1"/>
      <c r="T409" s="1"/>
      <c r="U409" s="1"/>
      <c r="V409" s="1"/>
      <c r="W409" s="1"/>
      <c r="X409" s="1"/>
      <c r="Y409" s="1"/>
    </row>
    <row r="410" spans="1:25" ht="15.75" customHeight="1" x14ac:dyDescent="0.25">
      <c r="A410" s="1"/>
      <c r="B410" s="1"/>
      <c r="C410" s="15"/>
      <c r="D410" s="17"/>
      <c r="E410" s="1"/>
      <c r="F410" s="17"/>
      <c r="G410" s="1"/>
      <c r="H410" s="1"/>
      <c r="I410" s="17"/>
      <c r="J410" s="17"/>
      <c r="K410" s="1"/>
      <c r="L410" s="1"/>
      <c r="M410" s="1"/>
      <c r="N410" s="1"/>
      <c r="O410" s="1"/>
      <c r="P410" s="1"/>
      <c r="Q410" s="1"/>
      <c r="R410" s="1"/>
      <c r="S410" s="1"/>
      <c r="T410" s="1"/>
      <c r="U410" s="1"/>
      <c r="V410" s="1"/>
      <c r="W410" s="1"/>
      <c r="X410" s="1"/>
      <c r="Y410" s="1"/>
    </row>
    <row r="411" spans="1:25" ht="15.75" customHeight="1" x14ac:dyDescent="0.25">
      <c r="A411" s="1"/>
      <c r="B411" s="1"/>
      <c r="C411" s="15"/>
      <c r="D411" s="17"/>
      <c r="E411" s="1"/>
      <c r="F411" s="17"/>
      <c r="G411" s="1"/>
      <c r="H411" s="1"/>
      <c r="I411" s="17"/>
      <c r="J411" s="17"/>
      <c r="K411" s="1"/>
      <c r="L411" s="1"/>
      <c r="M411" s="1"/>
      <c r="N411" s="1"/>
      <c r="O411" s="1"/>
      <c r="P411" s="1"/>
      <c r="Q411" s="1"/>
      <c r="R411" s="1"/>
      <c r="S411" s="1"/>
      <c r="T411" s="1"/>
      <c r="U411" s="1"/>
      <c r="V411" s="1"/>
      <c r="W411" s="1"/>
      <c r="X411" s="1"/>
      <c r="Y411" s="1"/>
    </row>
    <row r="412" spans="1:25" ht="15.75" customHeight="1" x14ac:dyDescent="0.25">
      <c r="A412" s="1"/>
      <c r="B412" s="1"/>
      <c r="C412" s="15"/>
      <c r="D412" s="17"/>
      <c r="E412" s="1"/>
      <c r="F412" s="17"/>
      <c r="G412" s="1"/>
      <c r="H412" s="1"/>
      <c r="I412" s="17"/>
      <c r="J412" s="17"/>
      <c r="K412" s="1"/>
      <c r="L412" s="1"/>
      <c r="M412" s="1"/>
      <c r="N412" s="1"/>
      <c r="O412" s="1"/>
      <c r="P412" s="1"/>
      <c r="Q412" s="1"/>
      <c r="R412" s="1"/>
      <c r="S412" s="1"/>
      <c r="T412" s="1"/>
      <c r="U412" s="1"/>
      <c r="V412" s="1"/>
      <c r="W412" s="1"/>
      <c r="X412" s="1"/>
      <c r="Y412" s="1"/>
    </row>
    <row r="413" spans="1:25" ht="15.75" customHeight="1" x14ac:dyDescent="0.25">
      <c r="A413" s="1"/>
      <c r="B413" s="1"/>
      <c r="C413" s="15"/>
      <c r="D413" s="17"/>
      <c r="E413" s="1"/>
      <c r="F413" s="17"/>
      <c r="G413" s="1"/>
      <c r="H413" s="1"/>
      <c r="I413" s="17"/>
      <c r="J413" s="17"/>
      <c r="K413" s="1"/>
      <c r="L413" s="1"/>
      <c r="M413" s="1"/>
      <c r="N413" s="1"/>
      <c r="O413" s="1"/>
      <c r="P413" s="1"/>
      <c r="Q413" s="1"/>
      <c r="R413" s="1"/>
      <c r="S413" s="1"/>
      <c r="T413" s="1"/>
      <c r="U413" s="1"/>
      <c r="V413" s="1"/>
      <c r="W413" s="1"/>
      <c r="X413" s="1"/>
      <c r="Y413" s="1"/>
    </row>
    <row r="414" spans="1:25" ht="15.75" customHeight="1" x14ac:dyDescent="0.25">
      <c r="A414" s="1"/>
      <c r="B414" s="1"/>
      <c r="C414" s="15"/>
      <c r="D414" s="17"/>
      <c r="E414" s="1"/>
      <c r="F414" s="17"/>
      <c r="G414" s="1"/>
      <c r="H414" s="1"/>
      <c r="I414" s="17"/>
      <c r="J414" s="17"/>
      <c r="K414" s="1"/>
      <c r="L414" s="1"/>
      <c r="M414" s="1"/>
      <c r="N414" s="1"/>
      <c r="O414" s="1"/>
      <c r="P414" s="1"/>
      <c r="Q414" s="1"/>
      <c r="R414" s="1"/>
      <c r="S414" s="1"/>
      <c r="T414" s="1"/>
      <c r="U414" s="1"/>
      <c r="V414" s="1"/>
      <c r="W414" s="1"/>
      <c r="X414" s="1"/>
      <c r="Y414" s="1"/>
    </row>
    <row r="415" spans="1:25" ht="15.75" customHeight="1" x14ac:dyDescent="0.25">
      <c r="A415" s="1"/>
      <c r="B415" s="1"/>
      <c r="C415" s="15"/>
      <c r="D415" s="17"/>
      <c r="E415" s="1"/>
      <c r="F415" s="17"/>
      <c r="G415" s="1"/>
      <c r="H415" s="1"/>
      <c r="I415" s="17"/>
      <c r="J415" s="17"/>
      <c r="K415" s="1"/>
      <c r="L415" s="1"/>
      <c r="M415" s="1"/>
      <c r="N415" s="1"/>
      <c r="O415" s="1"/>
      <c r="P415" s="1"/>
      <c r="Q415" s="1"/>
      <c r="R415" s="1"/>
      <c r="S415" s="1"/>
      <c r="T415" s="1"/>
      <c r="U415" s="1"/>
      <c r="V415" s="1"/>
      <c r="W415" s="1"/>
      <c r="X415" s="1"/>
      <c r="Y415" s="1"/>
    </row>
    <row r="416" spans="1:25" ht="15.75" customHeight="1" x14ac:dyDescent="0.25">
      <c r="A416" s="1"/>
      <c r="B416" s="1"/>
      <c r="C416" s="15"/>
      <c r="D416" s="17"/>
      <c r="E416" s="1"/>
      <c r="F416" s="17"/>
      <c r="G416" s="1"/>
      <c r="H416" s="1"/>
      <c r="I416" s="17"/>
      <c r="J416" s="17"/>
      <c r="K416" s="1"/>
      <c r="L416" s="1"/>
      <c r="M416" s="1"/>
      <c r="N416" s="1"/>
      <c r="O416" s="1"/>
      <c r="P416" s="1"/>
      <c r="Q416" s="1"/>
      <c r="R416" s="1"/>
      <c r="S416" s="1"/>
      <c r="T416" s="1"/>
      <c r="U416" s="1"/>
      <c r="V416" s="1"/>
      <c r="W416" s="1"/>
      <c r="X416" s="1"/>
      <c r="Y416" s="1"/>
    </row>
    <row r="417" spans="1:25" ht="15.75" customHeight="1" x14ac:dyDescent="0.25">
      <c r="A417" s="1"/>
      <c r="B417" s="1"/>
      <c r="C417" s="15"/>
      <c r="D417" s="17"/>
      <c r="E417" s="1"/>
      <c r="F417" s="17"/>
      <c r="G417" s="1"/>
      <c r="H417" s="1"/>
      <c r="I417" s="17"/>
      <c r="J417" s="17"/>
      <c r="K417" s="1"/>
      <c r="L417" s="1"/>
      <c r="M417" s="1"/>
      <c r="N417" s="1"/>
      <c r="O417" s="1"/>
      <c r="P417" s="1"/>
      <c r="Q417" s="1"/>
      <c r="R417" s="1"/>
      <c r="S417" s="1"/>
      <c r="T417" s="1"/>
      <c r="U417" s="1"/>
      <c r="V417" s="1"/>
      <c r="W417" s="1"/>
      <c r="X417" s="1"/>
      <c r="Y417" s="1"/>
    </row>
    <row r="418" spans="1:25" ht="15.75" customHeight="1" x14ac:dyDescent="0.25">
      <c r="A418" s="1"/>
      <c r="B418" s="1"/>
      <c r="C418" s="15"/>
      <c r="D418" s="17"/>
      <c r="E418" s="1"/>
      <c r="F418" s="17"/>
      <c r="G418" s="1"/>
      <c r="H418" s="1"/>
      <c r="I418" s="17"/>
      <c r="J418" s="17"/>
      <c r="K418" s="1"/>
      <c r="L418" s="1"/>
      <c r="M418" s="1"/>
      <c r="N418" s="1"/>
      <c r="O418" s="1"/>
      <c r="P418" s="1"/>
      <c r="Q418" s="1"/>
      <c r="R418" s="1"/>
      <c r="S418" s="1"/>
      <c r="T418" s="1"/>
      <c r="U418" s="1"/>
      <c r="V418" s="1"/>
      <c r="W418" s="1"/>
      <c r="X418" s="1"/>
      <c r="Y418" s="1"/>
    </row>
    <row r="419" spans="1:25" ht="15.75" customHeight="1" x14ac:dyDescent="0.25">
      <c r="A419" s="1"/>
      <c r="B419" s="1"/>
      <c r="C419" s="15"/>
      <c r="D419" s="17"/>
      <c r="E419" s="1"/>
      <c r="F419" s="17"/>
      <c r="G419" s="1"/>
      <c r="H419" s="1"/>
      <c r="I419" s="17"/>
      <c r="J419" s="17"/>
      <c r="K419" s="1"/>
      <c r="L419" s="1"/>
      <c r="M419" s="1"/>
      <c r="N419" s="1"/>
      <c r="O419" s="1"/>
      <c r="P419" s="1"/>
      <c r="Q419" s="1"/>
      <c r="R419" s="1"/>
      <c r="S419" s="1"/>
      <c r="T419" s="1"/>
      <c r="U419" s="1"/>
      <c r="V419" s="1"/>
      <c r="W419" s="1"/>
      <c r="X419" s="1"/>
      <c r="Y419" s="1"/>
    </row>
    <row r="420" spans="1:25" ht="15.75" customHeight="1" x14ac:dyDescent="0.25">
      <c r="A420" s="1"/>
      <c r="B420" s="1"/>
      <c r="C420" s="15"/>
      <c r="D420" s="17"/>
      <c r="E420" s="1"/>
      <c r="F420" s="17"/>
      <c r="G420" s="1"/>
      <c r="H420" s="1"/>
      <c r="I420" s="17"/>
      <c r="J420" s="17"/>
      <c r="K420" s="1"/>
      <c r="L420" s="1"/>
      <c r="M420" s="1"/>
      <c r="N420" s="1"/>
      <c r="O420" s="1"/>
      <c r="P420" s="1"/>
      <c r="Q420" s="1"/>
      <c r="R420" s="1"/>
      <c r="S420" s="1"/>
      <c r="T420" s="1"/>
      <c r="U420" s="1"/>
      <c r="V420" s="1"/>
      <c r="W420" s="1"/>
      <c r="X420" s="1"/>
      <c r="Y420" s="1"/>
    </row>
    <row r="421" spans="1:25" ht="15.75" customHeight="1" x14ac:dyDescent="0.25">
      <c r="A421" s="1"/>
      <c r="B421" s="1"/>
      <c r="C421" s="15"/>
      <c r="D421" s="17"/>
      <c r="E421" s="1"/>
      <c r="F421" s="17"/>
      <c r="G421" s="1"/>
      <c r="H421" s="1"/>
      <c r="I421" s="17"/>
      <c r="J421" s="17"/>
      <c r="K421" s="1"/>
      <c r="L421" s="1"/>
      <c r="M421" s="1"/>
      <c r="N421" s="1"/>
      <c r="O421" s="1"/>
      <c r="P421" s="1"/>
      <c r="Q421" s="1"/>
      <c r="R421" s="1"/>
      <c r="S421" s="1"/>
      <c r="T421" s="1"/>
      <c r="U421" s="1"/>
      <c r="V421" s="1"/>
      <c r="W421" s="1"/>
      <c r="X421" s="1"/>
      <c r="Y421" s="1"/>
    </row>
    <row r="422" spans="1:25" ht="15.75" customHeight="1" x14ac:dyDescent="0.25">
      <c r="A422" s="1"/>
      <c r="B422" s="1"/>
      <c r="C422" s="15"/>
      <c r="D422" s="17"/>
      <c r="E422" s="1"/>
      <c r="F422" s="17"/>
      <c r="G422" s="1"/>
      <c r="H422" s="1"/>
      <c r="I422" s="17"/>
      <c r="J422" s="17"/>
      <c r="K422" s="1"/>
      <c r="L422" s="1"/>
      <c r="M422" s="1"/>
      <c r="N422" s="1"/>
      <c r="O422" s="1"/>
      <c r="P422" s="1"/>
      <c r="Q422" s="1"/>
      <c r="R422" s="1"/>
      <c r="S422" s="1"/>
      <c r="T422" s="1"/>
      <c r="U422" s="1"/>
      <c r="V422" s="1"/>
      <c r="W422" s="1"/>
      <c r="X422" s="1"/>
      <c r="Y422" s="1"/>
    </row>
    <row r="423" spans="1:25" ht="15.75" customHeight="1" x14ac:dyDescent="0.25">
      <c r="A423" s="1"/>
      <c r="B423" s="1"/>
      <c r="C423" s="15"/>
      <c r="D423" s="17"/>
      <c r="E423" s="1"/>
      <c r="F423" s="17"/>
      <c r="G423" s="1"/>
      <c r="H423" s="1"/>
      <c r="I423" s="17"/>
      <c r="J423" s="17"/>
      <c r="K423" s="1"/>
      <c r="L423" s="1"/>
      <c r="M423" s="1"/>
      <c r="N423" s="1"/>
      <c r="O423" s="1"/>
      <c r="P423" s="1"/>
      <c r="Q423" s="1"/>
      <c r="R423" s="1"/>
      <c r="S423" s="1"/>
      <c r="T423" s="1"/>
      <c r="U423" s="1"/>
      <c r="V423" s="1"/>
      <c r="W423" s="1"/>
      <c r="X423" s="1"/>
      <c r="Y423" s="1"/>
    </row>
    <row r="424" spans="1:25" ht="15.75" customHeight="1" x14ac:dyDescent="0.25">
      <c r="A424" s="1"/>
      <c r="B424" s="1"/>
      <c r="C424" s="15"/>
      <c r="D424" s="17"/>
      <c r="E424" s="1"/>
      <c r="F424" s="17"/>
      <c r="G424" s="1"/>
      <c r="H424" s="1"/>
      <c r="I424" s="17"/>
      <c r="J424" s="17"/>
      <c r="K424" s="1"/>
      <c r="L424" s="1"/>
      <c r="M424" s="1"/>
      <c r="N424" s="1"/>
      <c r="O424" s="1"/>
      <c r="P424" s="1"/>
      <c r="Q424" s="1"/>
      <c r="R424" s="1"/>
      <c r="S424" s="1"/>
      <c r="T424" s="1"/>
      <c r="U424" s="1"/>
      <c r="V424" s="1"/>
      <c r="W424" s="1"/>
      <c r="X424" s="1"/>
      <c r="Y424" s="1"/>
    </row>
    <row r="425" spans="1:25" ht="15.75" customHeight="1" x14ac:dyDescent="0.25">
      <c r="A425" s="1"/>
      <c r="B425" s="1"/>
      <c r="C425" s="15"/>
      <c r="D425" s="17"/>
      <c r="E425" s="1"/>
      <c r="F425" s="17"/>
      <c r="G425" s="1"/>
      <c r="H425" s="1"/>
      <c r="I425" s="17"/>
      <c r="J425" s="17"/>
      <c r="K425" s="1"/>
      <c r="L425" s="1"/>
      <c r="M425" s="1"/>
      <c r="N425" s="1"/>
      <c r="O425" s="1"/>
      <c r="P425" s="1"/>
      <c r="Q425" s="1"/>
      <c r="R425" s="1"/>
      <c r="S425" s="1"/>
      <c r="T425" s="1"/>
      <c r="U425" s="1"/>
      <c r="V425" s="1"/>
      <c r="W425" s="1"/>
      <c r="X425" s="1"/>
      <c r="Y425" s="1"/>
    </row>
    <row r="426" spans="1:25" ht="15.75" customHeight="1" x14ac:dyDescent="0.25">
      <c r="A426" s="1"/>
      <c r="B426" s="1"/>
      <c r="C426" s="15"/>
      <c r="D426" s="17"/>
      <c r="E426" s="1"/>
      <c r="F426" s="17"/>
      <c r="G426" s="1"/>
      <c r="H426" s="1"/>
      <c r="I426" s="17"/>
      <c r="J426" s="17"/>
      <c r="K426" s="1"/>
      <c r="L426" s="1"/>
      <c r="M426" s="1"/>
      <c r="N426" s="1"/>
      <c r="O426" s="1"/>
      <c r="P426" s="1"/>
      <c r="Q426" s="1"/>
      <c r="R426" s="1"/>
      <c r="S426" s="1"/>
      <c r="T426" s="1"/>
      <c r="U426" s="1"/>
      <c r="V426" s="1"/>
      <c r="W426" s="1"/>
      <c r="X426" s="1"/>
      <c r="Y426" s="1"/>
    </row>
    <row r="427" spans="1:25" ht="15.75" customHeight="1" x14ac:dyDescent="0.25">
      <c r="A427" s="1"/>
      <c r="B427" s="1"/>
      <c r="C427" s="15"/>
      <c r="D427" s="17"/>
      <c r="E427" s="1"/>
      <c r="F427" s="17"/>
      <c r="G427" s="1"/>
      <c r="H427" s="1"/>
      <c r="I427" s="17"/>
      <c r="J427" s="17"/>
      <c r="K427" s="1"/>
      <c r="L427" s="1"/>
      <c r="M427" s="1"/>
      <c r="N427" s="1"/>
      <c r="O427" s="1"/>
      <c r="P427" s="1"/>
      <c r="Q427" s="1"/>
      <c r="R427" s="1"/>
      <c r="S427" s="1"/>
      <c r="T427" s="1"/>
      <c r="U427" s="1"/>
      <c r="V427" s="1"/>
      <c r="W427" s="1"/>
      <c r="X427" s="1"/>
      <c r="Y427" s="1"/>
    </row>
    <row r="428" spans="1:25" ht="15.75" customHeight="1" x14ac:dyDescent="0.25">
      <c r="A428" s="1"/>
      <c r="B428" s="1"/>
      <c r="C428" s="15"/>
      <c r="D428" s="17"/>
      <c r="E428" s="1"/>
      <c r="F428" s="17"/>
      <c r="G428" s="1"/>
      <c r="H428" s="1"/>
      <c r="I428" s="17"/>
      <c r="J428" s="17"/>
      <c r="K428" s="1"/>
      <c r="L428" s="1"/>
      <c r="M428" s="1"/>
      <c r="N428" s="1"/>
      <c r="O428" s="1"/>
      <c r="P428" s="1"/>
      <c r="Q428" s="1"/>
      <c r="R428" s="1"/>
      <c r="S428" s="1"/>
      <c r="T428" s="1"/>
      <c r="U428" s="1"/>
      <c r="V428" s="1"/>
      <c r="W428" s="1"/>
      <c r="X428" s="1"/>
      <c r="Y428" s="1"/>
    </row>
    <row r="429" spans="1:25" ht="15.75" customHeight="1" x14ac:dyDescent="0.25">
      <c r="A429" s="1"/>
      <c r="B429" s="1"/>
      <c r="C429" s="15"/>
      <c r="D429" s="17"/>
      <c r="E429" s="1"/>
      <c r="F429" s="17"/>
      <c r="G429" s="1"/>
      <c r="H429" s="1"/>
      <c r="I429" s="17"/>
      <c r="J429" s="17"/>
      <c r="K429" s="1"/>
      <c r="L429" s="1"/>
      <c r="M429" s="1"/>
      <c r="N429" s="1"/>
      <c r="O429" s="1"/>
      <c r="P429" s="1"/>
      <c r="Q429" s="1"/>
      <c r="R429" s="1"/>
      <c r="S429" s="1"/>
      <c r="T429" s="1"/>
      <c r="U429" s="1"/>
      <c r="V429" s="1"/>
      <c r="W429" s="1"/>
      <c r="X429" s="1"/>
      <c r="Y429" s="1"/>
    </row>
    <row r="430" spans="1:25" ht="15.75" customHeight="1" x14ac:dyDescent="0.25">
      <c r="A430" s="1"/>
      <c r="B430" s="1"/>
      <c r="C430" s="15"/>
      <c r="D430" s="17"/>
      <c r="E430" s="1"/>
      <c r="F430" s="17"/>
      <c r="G430" s="1"/>
      <c r="H430" s="1"/>
      <c r="I430" s="17"/>
      <c r="J430" s="17"/>
      <c r="K430" s="1"/>
      <c r="L430" s="1"/>
      <c r="M430" s="1"/>
      <c r="N430" s="1"/>
      <c r="O430" s="1"/>
      <c r="P430" s="1"/>
      <c r="Q430" s="1"/>
      <c r="R430" s="1"/>
      <c r="S430" s="1"/>
      <c r="T430" s="1"/>
      <c r="U430" s="1"/>
      <c r="V430" s="1"/>
      <c r="W430" s="1"/>
      <c r="X430" s="1"/>
      <c r="Y430" s="1"/>
    </row>
    <row r="431" spans="1:25" ht="15.75" customHeight="1" x14ac:dyDescent="0.25">
      <c r="A431" s="1"/>
      <c r="B431" s="1"/>
      <c r="C431" s="15"/>
      <c r="D431" s="17"/>
      <c r="E431" s="1"/>
      <c r="F431" s="17"/>
      <c r="G431" s="1"/>
      <c r="H431" s="1"/>
      <c r="I431" s="17"/>
      <c r="J431" s="17"/>
      <c r="K431" s="1"/>
      <c r="L431" s="1"/>
      <c r="M431" s="1"/>
      <c r="N431" s="1"/>
      <c r="O431" s="1"/>
      <c r="P431" s="1"/>
      <c r="Q431" s="1"/>
      <c r="R431" s="1"/>
      <c r="S431" s="1"/>
      <c r="T431" s="1"/>
      <c r="U431" s="1"/>
      <c r="V431" s="1"/>
      <c r="W431" s="1"/>
      <c r="X431" s="1"/>
      <c r="Y431" s="1"/>
    </row>
    <row r="432" spans="1:25" ht="15.75" customHeight="1" x14ac:dyDescent="0.25">
      <c r="A432" s="1"/>
      <c r="B432" s="1"/>
      <c r="C432" s="15"/>
      <c r="D432" s="17"/>
      <c r="E432" s="1"/>
      <c r="F432" s="17"/>
      <c r="G432" s="1"/>
      <c r="H432" s="1"/>
      <c r="I432" s="17"/>
      <c r="J432" s="17"/>
      <c r="K432" s="1"/>
      <c r="L432" s="1"/>
      <c r="M432" s="1"/>
      <c r="N432" s="1"/>
      <c r="O432" s="1"/>
      <c r="P432" s="1"/>
      <c r="Q432" s="1"/>
      <c r="R432" s="1"/>
      <c r="S432" s="1"/>
      <c r="T432" s="1"/>
      <c r="U432" s="1"/>
      <c r="V432" s="1"/>
      <c r="W432" s="1"/>
      <c r="X432" s="1"/>
      <c r="Y432" s="1"/>
    </row>
    <row r="433" spans="1:25" ht="15.75" customHeight="1" x14ac:dyDescent="0.25">
      <c r="A433" s="1"/>
      <c r="B433" s="1"/>
      <c r="C433" s="15"/>
      <c r="D433" s="17"/>
      <c r="E433" s="1"/>
      <c r="F433" s="17"/>
      <c r="G433" s="1"/>
      <c r="H433" s="1"/>
      <c r="I433" s="17"/>
      <c r="J433" s="17"/>
      <c r="K433" s="1"/>
      <c r="L433" s="1"/>
      <c r="M433" s="1"/>
      <c r="N433" s="1"/>
      <c r="O433" s="1"/>
      <c r="P433" s="1"/>
      <c r="Q433" s="1"/>
      <c r="R433" s="1"/>
      <c r="S433" s="1"/>
      <c r="T433" s="1"/>
      <c r="U433" s="1"/>
      <c r="V433" s="1"/>
      <c r="W433" s="1"/>
      <c r="X433" s="1"/>
      <c r="Y433" s="1"/>
    </row>
    <row r="434" spans="1:25" ht="15.75" customHeight="1" x14ac:dyDescent="0.25">
      <c r="A434" s="1"/>
      <c r="B434" s="1"/>
      <c r="C434" s="15"/>
      <c r="D434" s="17"/>
      <c r="E434" s="1"/>
      <c r="F434" s="17"/>
      <c r="G434" s="1"/>
      <c r="H434" s="1"/>
      <c r="I434" s="17"/>
      <c r="J434" s="17"/>
      <c r="K434" s="1"/>
      <c r="L434" s="1"/>
      <c r="M434" s="1"/>
      <c r="N434" s="1"/>
      <c r="O434" s="1"/>
      <c r="P434" s="1"/>
      <c r="Q434" s="1"/>
      <c r="R434" s="1"/>
      <c r="S434" s="1"/>
      <c r="T434" s="1"/>
      <c r="U434" s="1"/>
      <c r="V434" s="1"/>
      <c r="W434" s="1"/>
      <c r="X434" s="1"/>
      <c r="Y434" s="1"/>
    </row>
    <row r="435" spans="1:25" ht="15.75" customHeight="1" x14ac:dyDescent="0.25">
      <c r="A435" s="1"/>
      <c r="B435" s="1"/>
      <c r="C435" s="15"/>
      <c r="D435" s="17"/>
      <c r="E435" s="1"/>
      <c r="F435" s="17"/>
      <c r="G435" s="1"/>
      <c r="H435" s="1"/>
      <c r="I435" s="17"/>
      <c r="J435" s="17"/>
      <c r="K435" s="1"/>
      <c r="L435" s="1"/>
      <c r="M435" s="1"/>
      <c r="N435" s="1"/>
      <c r="O435" s="1"/>
      <c r="P435" s="1"/>
      <c r="Q435" s="1"/>
      <c r="R435" s="1"/>
      <c r="S435" s="1"/>
      <c r="T435" s="1"/>
      <c r="U435" s="1"/>
      <c r="V435" s="1"/>
      <c r="W435" s="1"/>
      <c r="X435" s="1"/>
      <c r="Y435" s="1"/>
    </row>
    <row r="436" spans="1:25" ht="15.75" customHeight="1" x14ac:dyDescent="0.25">
      <c r="A436" s="1"/>
      <c r="B436" s="1"/>
      <c r="C436" s="15"/>
      <c r="D436" s="17"/>
      <c r="E436" s="1"/>
      <c r="F436" s="17"/>
      <c r="G436" s="1"/>
      <c r="H436" s="1"/>
      <c r="I436" s="17"/>
      <c r="J436" s="17"/>
      <c r="K436" s="1"/>
      <c r="L436" s="1"/>
      <c r="M436" s="1"/>
      <c r="N436" s="1"/>
      <c r="O436" s="1"/>
      <c r="P436" s="1"/>
      <c r="Q436" s="1"/>
      <c r="R436" s="1"/>
      <c r="S436" s="1"/>
      <c r="T436" s="1"/>
      <c r="U436" s="1"/>
      <c r="V436" s="1"/>
      <c r="W436" s="1"/>
      <c r="X436" s="1"/>
      <c r="Y436" s="1"/>
    </row>
    <row r="437" spans="1:25" ht="15.75" customHeight="1" x14ac:dyDescent="0.25">
      <c r="A437" s="1"/>
      <c r="B437" s="1"/>
      <c r="C437" s="15"/>
      <c r="D437" s="17"/>
      <c r="E437" s="1"/>
      <c r="F437" s="17"/>
      <c r="G437" s="1"/>
      <c r="H437" s="1"/>
      <c r="I437" s="17"/>
      <c r="J437" s="17"/>
      <c r="K437" s="1"/>
      <c r="L437" s="1"/>
      <c r="M437" s="1"/>
      <c r="N437" s="1"/>
      <c r="O437" s="1"/>
      <c r="P437" s="1"/>
      <c r="Q437" s="1"/>
      <c r="R437" s="1"/>
      <c r="S437" s="1"/>
      <c r="T437" s="1"/>
      <c r="U437" s="1"/>
      <c r="V437" s="1"/>
      <c r="W437" s="1"/>
      <c r="X437" s="1"/>
      <c r="Y437" s="1"/>
    </row>
    <row r="438" spans="1:25" ht="15.75" customHeight="1" x14ac:dyDescent="0.25">
      <c r="A438" s="1"/>
      <c r="B438" s="1"/>
      <c r="C438" s="15"/>
      <c r="D438" s="17"/>
      <c r="E438" s="1"/>
      <c r="F438" s="17"/>
      <c r="G438" s="1"/>
      <c r="H438" s="1"/>
      <c r="I438" s="17"/>
      <c r="J438" s="17"/>
      <c r="K438" s="1"/>
      <c r="L438" s="1"/>
      <c r="M438" s="1"/>
      <c r="N438" s="1"/>
      <c r="O438" s="1"/>
      <c r="P438" s="1"/>
      <c r="Q438" s="1"/>
      <c r="R438" s="1"/>
      <c r="S438" s="1"/>
      <c r="T438" s="1"/>
      <c r="U438" s="1"/>
      <c r="V438" s="1"/>
      <c r="W438" s="1"/>
      <c r="X438" s="1"/>
      <c r="Y438" s="1"/>
    </row>
    <row r="439" spans="1:25" ht="15.75" customHeight="1" x14ac:dyDescent="0.25">
      <c r="A439" s="1"/>
      <c r="B439" s="1"/>
      <c r="C439" s="15"/>
      <c r="D439" s="17"/>
      <c r="E439" s="1"/>
      <c r="F439" s="17"/>
      <c r="G439" s="1"/>
      <c r="H439" s="1"/>
      <c r="I439" s="17"/>
      <c r="J439" s="17"/>
      <c r="K439" s="1"/>
      <c r="L439" s="1"/>
      <c r="M439" s="1"/>
      <c r="N439" s="1"/>
      <c r="O439" s="1"/>
      <c r="P439" s="1"/>
      <c r="Q439" s="1"/>
      <c r="R439" s="1"/>
      <c r="S439" s="1"/>
      <c r="T439" s="1"/>
      <c r="U439" s="1"/>
      <c r="V439" s="1"/>
      <c r="W439" s="1"/>
      <c r="X439" s="1"/>
      <c r="Y439" s="1"/>
    </row>
    <row r="440" spans="1:25" ht="15.75" customHeight="1" x14ac:dyDescent="0.25">
      <c r="A440" s="1"/>
      <c r="B440" s="1"/>
      <c r="C440" s="15"/>
      <c r="D440" s="17"/>
      <c r="E440" s="1"/>
      <c r="F440" s="17"/>
      <c r="G440" s="1"/>
      <c r="H440" s="1"/>
      <c r="I440" s="17"/>
      <c r="J440" s="17"/>
      <c r="K440" s="1"/>
      <c r="L440" s="1"/>
      <c r="M440" s="1"/>
      <c r="N440" s="1"/>
      <c r="O440" s="1"/>
      <c r="P440" s="1"/>
      <c r="Q440" s="1"/>
      <c r="R440" s="1"/>
      <c r="S440" s="1"/>
      <c r="T440" s="1"/>
      <c r="U440" s="1"/>
      <c r="V440" s="1"/>
      <c r="W440" s="1"/>
      <c r="X440" s="1"/>
      <c r="Y440" s="1"/>
    </row>
    <row r="441" spans="1:25" ht="15.75" customHeight="1" x14ac:dyDescent="0.25">
      <c r="A441" s="1"/>
      <c r="B441" s="1"/>
      <c r="C441" s="15"/>
      <c r="D441" s="17"/>
      <c r="E441" s="1"/>
      <c r="F441" s="17"/>
      <c r="G441" s="1"/>
      <c r="H441" s="1"/>
      <c r="I441" s="17"/>
      <c r="J441" s="17"/>
      <c r="K441" s="1"/>
      <c r="L441" s="1"/>
      <c r="M441" s="1"/>
      <c r="N441" s="1"/>
      <c r="O441" s="1"/>
      <c r="P441" s="1"/>
      <c r="Q441" s="1"/>
      <c r="R441" s="1"/>
      <c r="S441" s="1"/>
      <c r="T441" s="1"/>
      <c r="U441" s="1"/>
      <c r="V441" s="1"/>
      <c r="W441" s="1"/>
      <c r="X441" s="1"/>
      <c r="Y441" s="1"/>
    </row>
    <row r="442" spans="1:25" ht="15.75" customHeight="1" x14ac:dyDescent="0.25">
      <c r="A442" s="1"/>
      <c r="B442" s="1"/>
      <c r="C442" s="15"/>
      <c r="D442" s="17"/>
      <c r="E442" s="1"/>
      <c r="F442" s="17"/>
      <c r="G442" s="1"/>
      <c r="H442" s="1"/>
      <c r="I442" s="17"/>
      <c r="J442" s="17"/>
      <c r="K442" s="1"/>
      <c r="L442" s="1"/>
      <c r="M442" s="1"/>
      <c r="N442" s="1"/>
      <c r="O442" s="1"/>
      <c r="P442" s="1"/>
      <c r="Q442" s="1"/>
      <c r="R442" s="1"/>
      <c r="S442" s="1"/>
      <c r="T442" s="1"/>
      <c r="U442" s="1"/>
      <c r="V442" s="1"/>
      <c r="W442" s="1"/>
      <c r="X442" s="1"/>
      <c r="Y442" s="1"/>
    </row>
    <row r="443" spans="1:25" ht="15.75" customHeight="1" x14ac:dyDescent="0.25">
      <c r="A443" s="1"/>
      <c r="B443" s="1"/>
      <c r="C443" s="15"/>
      <c r="D443" s="17"/>
      <c r="E443" s="1"/>
      <c r="F443" s="17"/>
      <c r="G443" s="1"/>
      <c r="H443" s="1"/>
      <c r="I443" s="17"/>
      <c r="J443" s="17"/>
      <c r="K443" s="1"/>
      <c r="L443" s="1"/>
      <c r="M443" s="1"/>
      <c r="N443" s="1"/>
      <c r="O443" s="1"/>
      <c r="P443" s="1"/>
      <c r="Q443" s="1"/>
      <c r="R443" s="1"/>
      <c r="S443" s="1"/>
      <c r="T443" s="1"/>
      <c r="U443" s="1"/>
      <c r="V443" s="1"/>
      <c r="W443" s="1"/>
      <c r="X443" s="1"/>
      <c r="Y443" s="1"/>
    </row>
    <row r="444" spans="1:25" ht="15.75" customHeight="1" x14ac:dyDescent="0.25">
      <c r="A444" s="1"/>
      <c r="B444" s="1"/>
      <c r="C444" s="15"/>
      <c r="D444" s="17"/>
      <c r="E444" s="1"/>
      <c r="F444" s="17"/>
      <c r="G444" s="1"/>
      <c r="H444" s="1"/>
      <c r="I444" s="17"/>
      <c r="J444" s="17"/>
      <c r="K444" s="1"/>
      <c r="L444" s="1"/>
      <c r="M444" s="1"/>
      <c r="N444" s="1"/>
      <c r="O444" s="1"/>
      <c r="P444" s="1"/>
      <c r="Q444" s="1"/>
      <c r="R444" s="1"/>
      <c r="S444" s="1"/>
      <c r="T444" s="1"/>
      <c r="U444" s="1"/>
      <c r="V444" s="1"/>
      <c r="W444" s="1"/>
      <c r="X444" s="1"/>
      <c r="Y444" s="1"/>
    </row>
    <row r="445" spans="1:25" ht="15.75" customHeight="1" x14ac:dyDescent="0.25">
      <c r="A445" s="1"/>
      <c r="B445" s="1"/>
      <c r="C445" s="15"/>
      <c r="D445" s="17"/>
      <c r="E445" s="1"/>
      <c r="F445" s="17"/>
      <c r="G445" s="1"/>
      <c r="H445" s="1"/>
      <c r="I445" s="17"/>
      <c r="J445" s="17"/>
      <c r="K445" s="1"/>
      <c r="L445" s="1"/>
      <c r="M445" s="1"/>
      <c r="N445" s="1"/>
      <c r="O445" s="1"/>
      <c r="P445" s="1"/>
      <c r="Q445" s="1"/>
      <c r="R445" s="1"/>
      <c r="S445" s="1"/>
      <c r="T445" s="1"/>
      <c r="U445" s="1"/>
      <c r="V445" s="1"/>
      <c r="W445" s="1"/>
      <c r="X445" s="1"/>
      <c r="Y445" s="1"/>
    </row>
    <row r="446" spans="1:25" ht="15.75" customHeight="1" x14ac:dyDescent="0.25">
      <c r="A446" s="1"/>
      <c r="B446" s="1"/>
      <c r="C446" s="15"/>
      <c r="D446" s="17"/>
      <c r="E446" s="1"/>
      <c r="F446" s="17"/>
      <c r="G446" s="1"/>
      <c r="H446" s="1"/>
      <c r="I446" s="17"/>
      <c r="J446" s="17"/>
      <c r="K446" s="1"/>
      <c r="L446" s="1"/>
      <c r="M446" s="1"/>
      <c r="N446" s="1"/>
      <c r="O446" s="1"/>
      <c r="P446" s="1"/>
      <c r="Q446" s="1"/>
      <c r="R446" s="1"/>
      <c r="S446" s="1"/>
      <c r="T446" s="1"/>
      <c r="U446" s="1"/>
      <c r="V446" s="1"/>
      <c r="W446" s="1"/>
      <c r="X446" s="1"/>
      <c r="Y446" s="1"/>
    </row>
    <row r="447" spans="1:25" ht="15.75" customHeight="1" x14ac:dyDescent="0.25">
      <c r="A447" s="1"/>
      <c r="B447" s="1"/>
      <c r="C447" s="15"/>
      <c r="D447" s="17"/>
      <c r="E447" s="1"/>
      <c r="F447" s="17"/>
      <c r="G447" s="1"/>
      <c r="H447" s="1"/>
      <c r="I447" s="17"/>
      <c r="J447" s="17"/>
      <c r="K447" s="1"/>
      <c r="L447" s="1"/>
      <c r="M447" s="1"/>
      <c r="N447" s="1"/>
      <c r="O447" s="1"/>
      <c r="P447" s="1"/>
      <c r="Q447" s="1"/>
      <c r="R447" s="1"/>
      <c r="S447" s="1"/>
      <c r="T447" s="1"/>
      <c r="U447" s="1"/>
      <c r="V447" s="1"/>
      <c r="W447" s="1"/>
      <c r="X447" s="1"/>
      <c r="Y447" s="1"/>
    </row>
    <row r="448" spans="1:25" ht="15.75" customHeight="1" x14ac:dyDescent="0.25">
      <c r="A448" s="1"/>
      <c r="B448" s="1"/>
      <c r="C448" s="15"/>
      <c r="D448" s="17"/>
      <c r="E448" s="1"/>
      <c r="F448" s="17"/>
      <c r="G448" s="1"/>
      <c r="H448" s="1"/>
      <c r="I448" s="17"/>
      <c r="J448" s="17"/>
      <c r="K448" s="1"/>
      <c r="L448" s="1"/>
      <c r="M448" s="1"/>
      <c r="N448" s="1"/>
      <c r="O448" s="1"/>
      <c r="P448" s="1"/>
      <c r="Q448" s="1"/>
      <c r="R448" s="1"/>
      <c r="S448" s="1"/>
      <c r="T448" s="1"/>
      <c r="U448" s="1"/>
      <c r="V448" s="1"/>
      <c r="W448" s="1"/>
      <c r="X448" s="1"/>
      <c r="Y448" s="1"/>
    </row>
    <row r="449" spans="1:25" ht="15.75" customHeight="1" x14ac:dyDescent="0.25">
      <c r="A449" s="1"/>
      <c r="B449" s="1"/>
      <c r="C449" s="15"/>
      <c r="D449" s="17"/>
      <c r="E449" s="1"/>
      <c r="F449" s="17"/>
      <c r="G449" s="1"/>
      <c r="H449" s="1"/>
      <c r="I449" s="17"/>
      <c r="J449" s="17"/>
      <c r="K449" s="1"/>
      <c r="L449" s="1"/>
      <c r="M449" s="1"/>
      <c r="N449" s="1"/>
      <c r="O449" s="1"/>
      <c r="P449" s="1"/>
      <c r="Q449" s="1"/>
      <c r="R449" s="1"/>
      <c r="S449" s="1"/>
      <c r="T449" s="1"/>
      <c r="U449" s="1"/>
      <c r="V449" s="1"/>
      <c r="W449" s="1"/>
      <c r="X449" s="1"/>
      <c r="Y449" s="1"/>
    </row>
    <row r="450" spans="1:25" ht="15.75" customHeight="1" x14ac:dyDescent="0.25">
      <c r="A450" s="1"/>
      <c r="B450" s="1"/>
      <c r="C450" s="15"/>
      <c r="D450" s="17"/>
      <c r="E450" s="1"/>
      <c r="F450" s="17"/>
      <c r="G450" s="1"/>
      <c r="H450" s="1"/>
      <c r="I450" s="17"/>
      <c r="J450" s="17"/>
      <c r="K450" s="1"/>
      <c r="L450" s="1"/>
      <c r="M450" s="1"/>
      <c r="N450" s="1"/>
      <c r="O450" s="1"/>
      <c r="P450" s="1"/>
      <c r="Q450" s="1"/>
      <c r="R450" s="1"/>
      <c r="S450" s="1"/>
      <c r="T450" s="1"/>
      <c r="U450" s="1"/>
      <c r="V450" s="1"/>
      <c r="W450" s="1"/>
      <c r="X450" s="1"/>
      <c r="Y450" s="1"/>
    </row>
    <row r="451" spans="1:25" ht="15.75" customHeight="1" x14ac:dyDescent="0.25">
      <c r="A451" s="1"/>
      <c r="B451" s="1"/>
      <c r="C451" s="15"/>
      <c r="D451" s="17"/>
      <c r="E451" s="1"/>
      <c r="F451" s="17"/>
      <c r="G451" s="1"/>
      <c r="H451" s="1"/>
      <c r="I451" s="17"/>
      <c r="J451" s="17"/>
      <c r="K451" s="1"/>
      <c r="L451" s="1"/>
      <c r="M451" s="1"/>
      <c r="N451" s="1"/>
      <c r="O451" s="1"/>
      <c r="P451" s="1"/>
      <c r="Q451" s="1"/>
      <c r="R451" s="1"/>
      <c r="S451" s="1"/>
      <c r="T451" s="1"/>
      <c r="U451" s="1"/>
      <c r="V451" s="1"/>
      <c r="W451" s="1"/>
      <c r="X451" s="1"/>
      <c r="Y451" s="1"/>
    </row>
    <row r="452" spans="1:25" ht="15.75" customHeight="1" x14ac:dyDescent="0.25">
      <c r="A452" s="1"/>
      <c r="B452" s="1"/>
      <c r="C452" s="15"/>
      <c r="D452" s="17"/>
      <c r="E452" s="1"/>
      <c r="F452" s="17"/>
      <c r="G452" s="1"/>
      <c r="H452" s="1"/>
      <c r="I452" s="17"/>
      <c r="J452" s="17"/>
      <c r="K452" s="1"/>
      <c r="L452" s="1"/>
      <c r="M452" s="1"/>
      <c r="N452" s="1"/>
      <c r="O452" s="1"/>
      <c r="P452" s="1"/>
      <c r="Q452" s="1"/>
      <c r="R452" s="1"/>
      <c r="S452" s="1"/>
      <c r="T452" s="1"/>
      <c r="U452" s="1"/>
      <c r="V452" s="1"/>
      <c r="W452" s="1"/>
      <c r="X452" s="1"/>
      <c r="Y452" s="1"/>
    </row>
    <row r="453" spans="1:25" ht="15.75" customHeight="1" x14ac:dyDescent="0.25">
      <c r="A453" s="1"/>
      <c r="B453" s="1"/>
      <c r="C453" s="15"/>
      <c r="D453" s="17"/>
      <c r="E453" s="1"/>
      <c r="F453" s="17"/>
      <c r="G453" s="1"/>
      <c r="H453" s="1"/>
      <c r="I453" s="17"/>
      <c r="J453" s="17"/>
      <c r="K453" s="1"/>
      <c r="L453" s="1"/>
      <c r="M453" s="1"/>
      <c r="N453" s="1"/>
      <c r="O453" s="1"/>
      <c r="P453" s="1"/>
      <c r="Q453" s="1"/>
      <c r="R453" s="1"/>
      <c r="S453" s="1"/>
      <c r="T453" s="1"/>
      <c r="U453" s="1"/>
      <c r="V453" s="1"/>
      <c r="W453" s="1"/>
      <c r="X453" s="1"/>
      <c r="Y453" s="1"/>
    </row>
    <row r="454" spans="1:25" ht="15.75" customHeight="1" x14ac:dyDescent="0.25">
      <c r="A454" s="1"/>
      <c r="B454" s="1"/>
      <c r="C454" s="15"/>
      <c r="D454" s="17"/>
      <c r="E454" s="1"/>
      <c r="F454" s="17"/>
      <c r="G454" s="1"/>
      <c r="H454" s="1"/>
      <c r="I454" s="17"/>
      <c r="J454" s="17"/>
      <c r="K454" s="1"/>
      <c r="L454" s="1"/>
      <c r="M454" s="1"/>
      <c r="N454" s="1"/>
      <c r="O454" s="1"/>
      <c r="P454" s="1"/>
      <c r="Q454" s="1"/>
      <c r="R454" s="1"/>
      <c r="S454" s="1"/>
      <c r="T454" s="1"/>
      <c r="U454" s="1"/>
      <c r="V454" s="1"/>
      <c r="W454" s="1"/>
      <c r="X454" s="1"/>
      <c r="Y454" s="1"/>
    </row>
    <row r="455" spans="1:25" ht="15.75" customHeight="1" x14ac:dyDescent="0.25">
      <c r="A455" s="1"/>
      <c r="B455" s="1"/>
      <c r="C455" s="15"/>
      <c r="D455" s="17"/>
      <c r="E455" s="1"/>
      <c r="F455" s="17"/>
      <c r="G455" s="1"/>
      <c r="H455" s="1"/>
      <c r="I455" s="17"/>
      <c r="J455" s="17"/>
      <c r="K455" s="1"/>
      <c r="L455" s="1"/>
      <c r="M455" s="1"/>
      <c r="N455" s="1"/>
      <c r="O455" s="1"/>
      <c r="P455" s="1"/>
      <c r="Q455" s="1"/>
      <c r="R455" s="1"/>
      <c r="S455" s="1"/>
      <c r="T455" s="1"/>
      <c r="U455" s="1"/>
      <c r="V455" s="1"/>
      <c r="W455" s="1"/>
      <c r="X455" s="1"/>
      <c r="Y455" s="1"/>
    </row>
    <row r="456" spans="1:25" ht="15.75" customHeight="1" x14ac:dyDescent="0.25">
      <c r="A456" s="1"/>
      <c r="B456" s="1"/>
      <c r="C456" s="15"/>
      <c r="D456" s="17"/>
      <c r="E456" s="1"/>
      <c r="F456" s="17"/>
      <c r="G456" s="1"/>
      <c r="H456" s="1"/>
      <c r="I456" s="17"/>
      <c r="J456" s="17"/>
      <c r="K456" s="1"/>
      <c r="L456" s="1"/>
      <c r="M456" s="1"/>
      <c r="N456" s="1"/>
      <c r="O456" s="1"/>
      <c r="P456" s="1"/>
      <c r="Q456" s="1"/>
      <c r="R456" s="1"/>
      <c r="S456" s="1"/>
      <c r="T456" s="1"/>
      <c r="U456" s="1"/>
      <c r="V456" s="1"/>
      <c r="W456" s="1"/>
      <c r="X456" s="1"/>
      <c r="Y456" s="1"/>
    </row>
    <row r="457" spans="1:25" ht="15.75" customHeight="1" x14ac:dyDescent="0.25">
      <c r="A457" s="1"/>
      <c r="B457" s="1"/>
      <c r="C457" s="15"/>
      <c r="D457" s="17"/>
      <c r="E457" s="1"/>
      <c r="F457" s="17"/>
      <c r="G457" s="1"/>
      <c r="H457" s="1"/>
      <c r="I457" s="17"/>
      <c r="J457" s="17"/>
      <c r="K457" s="1"/>
      <c r="L457" s="1"/>
      <c r="M457" s="1"/>
      <c r="N457" s="1"/>
      <c r="O457" s="1"/>
      <c r="P457" s="1"/>
      <c r="Q457" s="1"/>
      <c r="R457" s="1"/>
      <c r="S457" s="1"/>
      <c r="T457" s="1"/>
      <c r="U457" s="1"/>
      <c r="V457" s="1"/>
      <c r="W457" s="1"/>
      <c r="X457" s="1"/>
      <c r="Y457" s="1"/>
    </row>
    <row r="458" spans="1:25" ht="15.75" customHeight="1" x14ac:dyDescent="0.25">
      <c r="A458" s="1"/>
      <c r="B458" s="1"/>
      <c r="C458" s="15"/>
      <c r="D458" s="17"/>
      <c r="E458" s="1"/>
      <c r="F458" s="17"/>
      <c r="G458" s="1"/>
      <c r="H458" s="1"/>
      <c r="I458" s="17"/>
      <c r="J458" s="17"/>
      <c r="K458" s="1"/>
      <c r="L458" s="1"/>
      <c r="M458" s="1"/>
      <c r="N458" s="1"/>
      <c r="O458" s="1"/>
      <c r="P458" s="1"/>
      <c r="Q458" s="1"/>
      <c r="R458" s="1"/>
      <c r="S458" s="1"/>
      <c r="T458" s="1"/>
      <c r="U458" s="1"/>
      <c r="V458" s="1"/>
      <c r="W458" s="1"/>
      <c r="X458" s="1"/>
      <c r="Y458" s="1"/>
    </row>
    <row r="459" spans="1:25" ht="15.75" customHeight="1" x14ac:dyDescent="0.25">
      <c r="A459" s="1"/>
      <c r="B459" s="1"/>
      <c r="C459" s="15"/>
      <c r="D459" s="17"/>
      <c r="E459" s="1"/>
      <c r="F459" s="17"/>
      <c r="G459" s="1"/>
      <c r="H459" s="1"/>
      <c r="I459" s="17"/>
      <c r="J459" s="17"/>
      <c r="K459" s="1"/>
      <c r="L459" s="1"/>
      <c r="M459" s="1"/>
      <c r="N459" s="1"/>
      <c r="O459" s="1"/>
      <c r="P459" s="1"/>
      <c r="Q459" s="1"/>
      <c r="R459" s="1"/>
      <c r="S459" s="1"/>
      <c r="T459" s="1"/>
      <c r="U459" s="1"/>
      <c r="V459" s="1"/>
      <c r="W459" s="1"/>
      <c r="X459" s="1"/>
      <c r="Y459" s="1"/>
    </row>
    <row r="460" spans="1:25" ht="15.75" customHeight="1" x14ac:dyDescent="0.25">
      <c r="A460" s="1"/>
      <c r="B460" s="1"/>
      <c r="C460" s="15"/>
      <c r="D460" s="17"/>
      <c r="E460" s="1"/>
      <c r="F460" s="17"/>
      <c r="G460" s="1"/>
      <c r="H460" s="1"/>
      <c r="I460" s="17"/>
      <c r="J460" s="17"/>
      <c r="K460" s="1"/>
      <c r="L460" s="1"/>
      <c r="M460" s="1"/>
      <c r="N460" s="1"/>
      <c r="O460" s="1"/>
      <c r="P460" s="1"/>
      <c r="Q460" s="1"/>
      <c r="R460" s="1"/>
      <c r="S460" s="1"/>
      <c r="T460" s="1"/>
      <c r="U460" s="1"/>
      <c r="V460" s="1"/>
      <c r="W460" s="1"/>
      <c r="X460" s="1"/>
      <c r="Y460" s="1"/>
    </row>
    <row r="461" spans="1:25" ht="15.75" customHeight="1" x14ac:dyDescent="0.25">
      <c r="A461" s="1"/>
      <c r="B461" s="1"/>
      <c r="C461" s="15"/>
      <c r="D461" s="17"/>
      <c r="E461" s="1"/>
      <c r="F461" s="17"/>
      <c r="G461" s="1"/>
      <c r="H461" s="1"/>
      <c r="I461" s="17"/>
      <c r="J461" s="17"/>
      <c r="K461" s="1"/>
      <c r="L461" s="1"/>
      <c r="M461" s="1"/>
      <c r="N461" s="1"/>
      <c r="O461" s="1"/>
      <c r="P461" s="1"/>
      <c r="Q461" s="1"/>
      <c r="R461" s="1"/>
      <c r="S461" s="1"/>
      <c r="T461" s="1"/>
      <c r="U461" s="1"/>
      <c r="V461" s="1"/>
      <c r="W461" s="1"/>
      <c r="X461" s="1"/>
      <c r="Y461" s="1"/>
    </row>
    <row r="462" spans="1:25" ht="15.75" customHeight="1" x14ac:dyDescent="0.25">
      <c r="A462" s="1"/>
      <c r="B462" s="1"/>
      <c r="C462" s="15"/>
      <c r="D462" s="17"/>
      <c r="E462" s="1"/>
      <c r="F462" s="17"/>
      <c r="G462" s="1"/>
      <c r="H462" s="1"/>
      <c r="I462" s="17"/>
      <c r="J462" s="17"/>
      <c r="K462" s="1"/>
      <c r="L462" s="1"/>
      <c r="M462" s="1"/>
      <c r="N462" s="1"/>
      <c r="O462" s="1"/>
      <c r="P462" s="1"/>
      <c r="Q462" s="1"/>
      <c r="R462" s="1"/>
      <c r="S462" s="1"/>
      <c r="T462" s="1"/>
      <c r="U462" s="1"/>
      <c r="V462" s="1"/>
      <c r="W462" s="1"/>
      <c r="X462" s="1"/>
      <c r="Y462" s="1"/>
    </row>
    <row r="463" spans="1:25" ht="15.75" customHeight="1" x14ac:dyDescent="0.25">
      <c r="A463" s="1"/>
      <c r="B463" s="1"/>
      <c r="C463" s="15"/>
      <c r="D463" s="17"/>
      <c r="E463" s="1"/>
      <c r="F463" s="17"/>
      <c r="G463" s="1"/>
      <c r="H463" s="1"/>
      <c r="I463" s="17"/>
      <c r="J463" s="17"/>
      <c r="K463" s="1"/>
      <c r="L463" s="1"/>
      <c r="M463" s="1"/>
      <c r="N463" s="1"/>
      <c r="O463" s="1"/>
      <c r="P463" s="1"/>
      <c r="Q463" s="1"/>
      <c r="R463" s="1"/>
      <c r="S463" s="1"/>
      <c r="T463" s="1"/>
      <c r="U463" s="1"/>
      <c r="V463" s="1"/>
      <c r="W463" s="1"/>
      <c r="X463" s="1"/>
      <c r="Y463" s="1"/>
    </row>
    <row r="464" spans="1:25" ht="15.75" customHeight="1" x14ac:dyDescent="0.25">
      <c r="A464" s="1"/>
      <c r="B464" s="1"/>
      <c r="C464" s="15"/>
      <c r="D464" s="17"/>
      <c r="E464" s="1"/>
      <c r="F464" s="17"/>
      <c r="G464" s="1"/>
      <c r="H464" s="1"/>
      <c r="I464" s="17"/>
      <c r="J464" s="17"/>
      <c r="K464" s="1"/>
      <c r="L464" s="1"/>
      <c r="M464" s="1"/>
      <c r="N464" s="1"/>
      <c r="O464" s="1"/>
      <c r="P464" s="1"/>
      <c r="Q464" s="1"/>
      <c r="R464" s="1"/>
      <c r="S464" s="1"/>
      <c r="T464" s="1"/>
      <c r="U464" s="1"/>
      <c r="V464" s="1"/>
      <c r="W464" s="1"/>
      <c r="X464" s="1"/>
      <c r="Y464" s="1"/>
    </row>
    <row r="465" spans="1:25" ht="15.75" customHeight="1" x14ac:dyDescent="0.25">
      <c r="A465" s="1"/>
      <c r="B465" s="1"/>
      <c r="C465" s="15"/>
      <c r="D465" s="17"/>
      <c r="E465" s="1"/>
      <c r="F465" s="17"/>
      <c r="G465" s="1"/>
      <c r="H465" s="1"/>
      <c r="I465" s="17"/>
      <c r="J465" s="17"/>
      <c r="K465" s="1"/>
      <c r="L465" s="1"/>
      <c r="M465" s="1"/>
      <c r="N465" s="1"/>
      <c r="O465" s="1"/>
      <c r="P465" s="1"/>
      <c r="Q465" s="1"/>
      <c r="R465" s="1"/>
      <c r="S465" s="1"/>
      <c r="T465" s="1"/>
      <c r="U465" s="1"/>
      <c r="V465" s="1"/>
      <c r="W465" s="1"/>
      <c r="X465" s="1"/>
      <c r="Y465" s="1"/>
    </row>
    <row r="466" spans="1:25" ht="15.75" customHeight="1" x14ac:dyDescent="0.25">
      <c r="A466" s="1"/>
      <c r="B466" s="1"/>
      <c r="C466" s="15"/>
      <c r="D466" s="17"/>
      <c r="E466" s="1"/>
      <c r="F466" s="17"/>
      <c r="G466" s="1"/>
      <c r="H466" s="1"/>
      <c r="I466" s="17"/>
      <c r="J466" s="17"/>
      <c r="K466" s="1"/>
      <c r="L466" s="1"/>
      <c r="M466" s="1"/>
      <c r="N466" s="1"/>
      <c r="O466" s="1"/>
      <c r="P466" s="1"/>
      <c r="Q466" s="1"/>
      <c r="R466" s="1"/>
      <c r="S466" s="1"/>
      <c r="T466" s="1"/>
      <c r="U466" s="1"/>
      <c r="V466" s="1"/>
      <c r="W466" s="1"/>
      <c r="X466" s="1"/>
      <c r="Y466" s="1"/>
    </row>
    <row r="467" spans="1:25" ht="15.75" customHeight="1" x14ac:dyDescent="0.25">
      <c r="A467" s="1"/>
      <c r="B467" s="1"/>
      <c r="C467" s="15"/>
      <c r="D467" s="17"/>
      <c r="E467" s="1"/>
      <c r="F467" s="17"/>
      <c r="G467" s="1"/>
      <c r="H467" s="1"/>
      <c r="I467" s="17"/>
      <c r="J467" s="17"/>
      <c r="K467" s="1"/>
      <c r="L467" s="1"/>
      <c r="M467" s="1"/>
      <c r="N467" s="1"/>
      <c r="O467" s="1"/>
      <c r="P467" s="1"/>
      <c r="Q467" s="1"/>
      <c r="R467" s="1"/>
      <c r="S467" s="1"/>
      <c r="T467" s="1"/>
      <c r="U467" s="1"/>
      <c r="V467" s="1"/>
      <c r="W467" s="1"/>
      <c r="X467" s="1"/>
      <c r="Y467" s="1"/>
    </row>
    <row r="468" spans="1:25" ht="15.75" customHeight="1" x14ac:dyDescent="0.25">
      <c r="A468" s="1"/>
      <c r="B468" s="1"/>
      <c r="C468" s="15"/>
      <c r="D468" s="17"/>
      <c r="E468" s="1"/>
      <c r="F468" s="17"/>
      <c r="G468" s="1"/>
      <c r="H468" s="1"/>
      <c r="I468" s="17"/>
      <c r="J468" s="17"/>
      <c r="K468" s="1"/>
      <c r="L468" s="1"/>
      <c r="M468" s="1"/>
      <c r="N468" s="1"/>
      <c r="O468" s="1"/>
      <c r="P468" s="1"/>
      <c r="Q468" s="1"/>
      <c r="R468" s="1"/>
      <c r="S468" s="1"/>
      <c r="T468" s="1"/>
      <c r="U468" s="1"/>
      <c r="V468" s="1"/>
      <c r="W468" s="1"/>
      <c r="X468" s="1"/>
      <c r="Y468" s="1"/>
    </row>
    <row r="469" spans="1:25" ht="15.75" customHeight="1" x14ac:dyDescent="0.25">
      <c r="A469" s="1"/>
      <c r="B469" s="1"/>
      <c r="C469" s="15"/>
      <c r="D469" s="17"/>
      <c r="E469" s="1"/>
      <c r="F469" s="17"/>
      <c r="G469" s="1"/>
      <c r="H469" s="1"/>
      <c r="I469" s="17"/>
      <c r="J469" s="17"/>
      <c r="K469" s="1"/>
      <c r="L469" s="1"/>
      <c r="M469" s="1"/>
      <c r="N469" s="1"/>
      <c r="O469" s="1"/>
      <c r="P469" s="1"/>
      <c r="Q469" s="1"/>
      <c r="R469" s="1"/>
      <c r="S469" s="1"/>
      <c r="T469" s="1"/>
      <c r="U469" s="1"/>
      <c r="V469" s="1"/>
      <c r="W469" s="1"/>
      <c r="X469" s="1"/>
      <c r="Y469" s="1"/>
    </row>
    <row r="470" spans="1:25" ht="15.75" customHeight="1" x14ac:dyDescent="0.25">
      <c r="A470" s="1"/>
      <c r="B470" s="1"/>
      <c r="C470" s="15"/>
      <c r="D470" s="17"/>
      <c r="E470" s="1"/>
      <c r="F470" s="17"/>
      <c r="G470" s="1"/>
      <c r="H470" s="1"/>
      <c r="I470" s="17"/>
      <c r="J470" s="17"/>
      <c r="K470" s="1"/>
      <c r="L470" s="1"/>
      <c r="M470" s="1"/>
      <c r="N470" s="1"/>
      <c r="O470" s="1"/>
      <c r="P470" s="1"/>
      <c r="Q470" s="1"/>
      <c r="R470" s="1"/>
      <c r="S470" s="1"/>
      <c r="T470" s="1"/>
      <c r="U470" s="1"/>
      <c r="V470" s="1"/>
      <c r="W470" s="1"/>
      <c r="X470" s="1"/>
      <c r="Y470" s="1"/>
    </row>
    <row r="471" spans="1:25" ht="15.75" customHeight="1" x14ac:dyDescent="0.25">
      <c r="A471" s="1"/>
      <c r="B471" s="1"/>
      <c r="C471" s="15"/>
      <c r="D471" s="17"/>
      <c r="E471" s="1"/>
      <c r="F471" s="17"/>
      <c r="G471" s="1"/>
      <c r="H471" s="1"/>
      <c r="I471" s="17"/>
      <c r="J471" s="17"/>
      <c r="K471" s="1"/>
      <c r="L471" s="1"/>
      <c r="M471" s="1"/>
      <c r="N471" s="1"/>
      <c r="O471" s="1"/>
      <c r="P471" s="1"/>
      <c r="Q471" s="1"/>
      <c r="R471" s="1"/>
      <c r="S471" s="1"/>
      <c r="T471" s="1"/>
      <c r="U471" s="1"/>
      <c r="V471" s="1"/>
      <c r="W471" s="1"/>
      <c r="X471" s="1"/>
      <c r="Y471" s="1"/>
    </row>
    <row r="472" spans="1:25" ht="15.75" customHeight="1" x14ac:dyDescent="0.25">
      <c r="A472" s="1"/>
      <c r="B472" s="1"/>
      <c r="C472" s="15"/>
      <c r="D472" s="17"/>
      <c r="E472" s="1"/>
      <c r="F472" s="17"/>
      <c r="G472" s="1"/>
      <c r="H472" s="1"/>
      <c r="I472" s="17"/>
      <c r="J472" s="17"/>
      <c r="K472" s="1"/>
      <c r="L472" s="1"/>
      <c r="M472" s="1"/>
      <c r="N472" s="1"/>
      <c r="O472" s="1"/>
      <c r="P472" s="1"/>
      <c r="Q472" s="1"/>
      <c r="R472" s="1"/>
      <c r="S472" s="1"/>
      <c r="T472" s="1"/>
      <c r="U472" s="1"/>
      <c r="V472" s="1"/>
      <c r="W472" s="1"/>
      <c r="X472" s="1"/>
      <c r="Y472" s="1"/>
    </row>
    <row r="473" spans="1:25" ht="15.75" customHeight="1" x14ac:dyDescent="0.25">
      <c r="A473" s="1"/>
      <c r="B473" s="1"/>
      <c r="C473" s="15"/>
      <c r="D473" s="17"/>
      <c r="E473" s="1"/>
      <c r="F473" s="17"/>
      <c r="G473" s="1"/>
      <c r="H473" s="1"/>
      <c r="I473" s="17"/>
      <c r="J473" s="17"/>
      <c r="K473" s="1"/>
      <c r="L473" s="1"/>
      <c r="M473" s="1"/>
      <c r="N473" s="1"/>
      <c r="O473" s="1"/>
      <c r="P473" s="1"/>
      <c r="Q473" s="1"/>
      <c r="R473" s="1"/>
      <c r="S473" s="1"/>
      <c r="T473" s="1"/>
      <c r="U473" s="1"/>
      <c r="V473" s="1"/>
      <c r="W473" s="1"/>
      <c r="X473" s="1"/>
      <c r="Y473" s="1"/>
    </row>
    <row r="474" spans="1:25" ht="15.75" customHeight="1" x14ac:dyDescent="0.25">
      <c r="A474" s="1"/>
      <c r="B474" s="1"/>
      <c r="C474" s="15"/>
      <c r="D474" s="17"/>
      <c r="E474" s="1"/>
      <c r="F474" s="17"/>
      <c r="G474" s="1"/>
      <c r="H474" s="1"/>
      <c r="I474" s="17"/>
      <c r="J474" s="17"/>
      <c r="K474" s="1"/>
      <c r="L474" s="1"/>
      <c r="M474" s="1"/>
      <c r="N474" s="1"/>
      <c r="O474" s="1"/>
      <c r="P474" s="1"/>
      <c r="Q474" s="1"/>
      <c r="R474" s="1"/>
      <c r="S474" s="1"/>
      <c r="T474" s="1"/>
      <c r="U474" s="1"/>
      <c r="V474" s="1"/>
      <c r="W474" s="1"/>
      <c r="X474" s="1"/>
      <c r="Y474" s="1"/>
    </row>
    <row r="475" spans="1:25" ht="15.75" customHeight="1" x14ac:dyDescent="0.25">
      <c r="A475" s="1"/>
      <c r="B475" s="1"/>
      <c r="C475" s="15"/>
      <c r="D475" s="17"/>
      <c r="E475" s="1"/>
      <c r="F475" s="17"/>
      <c r="G475" s="1"/>
      <c r="H475" s="1"/>
      <c r="I475" s="17"/>
      <c r="J475" s="17"/>
      <c r="K475" s="1"/>
      <c r="L475" s="1"/>
      <c r="M475" s="1"/>
      <c r="N475" s="1"/>
      <c r="O475" s="1"/>
      <c r="P475" s="1"/>
      <c r="Q475" s="1"/>
      <c r="R475" s="1"/>
      <c r="S475" s="1"/>
      <c r="T475" s="1"/>
      <c r="U475" s="1"/>
      <c r="V475" s="1"/>
      <c r="W475" s="1"/>
      <c r="X475" s="1"/>
      <c r="Y475" s="1"/>
    </row>
    <row r="476" spans="1:25" ht="15.75" customHeight="1" x14ac:dyDescent="0.25">
      <c r="A476" s="1"/>
      <c r="B476" s="1"/>
      <c r="C476" s="15"/>
      <c r="D476" s="17"/>
      <c r="E476" s="1"/>
      <c r="F476" s="17"/>
      <c r="G476" s="1"/>
      <c r="H476" s="1"/>
      <c r="I476" s="17"/>
      <c r="J476" s="17"/>
      <c r="K476" s="1"/>
      <c r="L476" s="1"/>
      <c r="M476" s="1"/>
      <c r="N476" s="1"/>
      <c r="O476" s="1"/>
      <c r="P476" s="1"/>
      <c r="Q476" s="1"/>
      <c r="R476" s="1"/>
      <c r="S476" s="1"/>
      <c r="T476" s="1"/>
      <c r="U476" s="1"/>
      <c r="V476" s="1"/>
      <c r="W476" s="1"/>
      <c r="X476" s="1"/>
      <c r="Y476" s="1"/>
    </row>
    <row r="477" spans="1:25" ht="15.75" customHeight="1" x14ac:dyDescent="0.25">
      <c r="A477" s="1"/>
      <c r="B477" s="1"/>
      <c r="C477" s="15"/>
      <c r="D477" s="17"/>
      <c r="E477" s="1"/>
      <c r="F477" s="17"/>
      <c r="G477" s="1"/>
      <c r="H477" s="1"/>
      <c r="I477" s="17"/>
      <c r="J477" s="17"/>
      <c r="K477" s="1"/>
      <c r="L477" s="1"/>
      <c r="M477" s="1"/>
      <c r="N477" s="1"/>
      <c r="O477" s="1"/>
      <c r="P477" s="1"/>
      <c r="Q477" s="1"/>
      <c r="R477" s="1"/>
      <c r="S477" s="1"/>
      <c r="T477" s="1"/>
      <c r="U477" s="1"/>
      <c r="V477" s="1"/>
      <c r="W477" s="1"/>
      <c r="X477" s="1"/>
      <c r="Y477" s="1"/>
    </row>
    <row r="478" spans="1:25" ht="15.75" customHeight="1" x14ac:dyDescent="0.25">
      <c r="A478" s="1"/>
      <c r="B478" s="1"/>
      <c r="C478" s="15"/>
      <c r="D478" s="17"/>
      <c r="E478" s="1"/>
      <c r="F478" s="17"/>
      <c r="G478" s="1"/>
      <c r="H478" s="1"/>
      <c r="I478" s="17"/>
      <c r="J478" s="17"/>
      <c r="K478" s="1"/>
      <c r="L478" s="1"/>
      <c r="M478" s="1"/>
      <c r="N478" s="1"/>
      <c r="O478" s="1"/>
      <c r="P478" s="1"/>
      <c r="Q478" s="1"/>
      <c r="R478" s="1"/>
      <c r="S478" s="1"/>
      <c r="T478" s="1"/>
      <c r="U478" s="1"/>
      <c r="V478" s="1"/>
      <c r="W478" s="1"/>
      <c r="X478" s="1"/>
      <c r="Y478" s="1"/>
    </row>
    <row r="479" spans="1:25" ht="15.75" customHeight="1" x14ac:dyDescent="0.25">
      <c r="A479" s="1"/>
      <c r="B479" s="1"/>
      <c r="C479" s="15"/>
      <c r="D479" s="17"/>
      <c r="E479" s="1"/>
      <c r="F479" s="17"/>
      <c r="G479" s="1"/>
      <c r="H479" s="1"/>
      <c r="I479" s="17"/>
      <c r="J479" s="17"/>
      <c r="K479" s="1"/>
      <c r="L479" s="1"/>
      <c r="M479" s="1"/>
      <c r="N479" s="1"/>
      <c r="O479" s="1"/>
      <c r="P479" s="1"/>
      <c r="Q479" s="1"/>
      <c r="R479" s="1"/>
      <c r="S479" s="1"/>
      <c r="T479" s="1"/>
      <c r="U479" s="1"/>
      <c r="V479" s="1"/>
      <c r="W479" s="1"/>
      <c r="X479" s="1"/>
      <c r="Y479" s="1"/>
    </row>
    <row r="480" spans="1:25" ht="15.75" customHeight="1" x14ac:dyDescent="0.25">
      <c r="A480" s="1"/>
      <c r="B480" s="1"/>
      <c r="C480" s="15"/>
      <c r="D480" s="17"/>
      <c r="E480" s="1"/>
      <c r="F480" s="17"/>
      <c r="G480" s="1"/>
      <c r="H480" s="1"/>
      <c r="I480" s="17"/>
      <c r="J480" s="17"/>
      <c r="K480" s="1"/>
      <c r="L480" s="1"/>
      <c r="M480" s="1"/>
      <c r="N480" s="1"/>
      <c r="O480" s="1"/>
      <c r="P480" s="1"/>
      <c r="Q480" s="1"/>
      <c r="R480" s="1"/>
      <c r="S480" s="1"/>
      <c r="T480" s="1"/>
      <c r="U480" s="1"/>
      <c r="V480" s="1"/>
      <c r="W480" s="1"/>
      <c r="X480" s="1"/>
      <c r="Y480" s="1"/>
    </row>
    <row r="481" spans="1:25" ht="15.75" customHeight="1" x14ac:dyDescent="0.25">
      <c r="A481" s="1"/>
      <c r="B481" s="1"/>
      <c r="C481" s="15"/>
      <c r="D481" s="17"/>
      <c r="E481" s="1"/>
      <c r="F481" s="17"/>
      <c r="G481" s="1"/>
      <c r="H481" s="1"/>
      <c r="I481" s="17"/>
      <c r="J481" s="17"/>
      <c r="K481" s="1"/>
      <c r="L481" s="1"/>
      <c r="M481" s="1"/>
      <c r="N481" s="1"/>
      <c r="O481" s="1"/>
      <c r="P481" s="1"/>
      <c r="Q481" s="1"/>
      <c r="R481" s="1"/>
      <c r="S481" s="1"/>
      <c r="T481" s="1"/>
      <c r="U481" s="1"/>
      <c r="V481" s="1"/>
      <c r="W481" s="1"/>
      <c r="X481" s="1"/>
      <c r="Y481" s="1"/>
    </row>
    <row r="482" spans="1:25" ht="15.75" customHeight="1" x14ac:dyDescent="0.25">
      <c r="A482" s="1"/>
      <c r="B482" s="1"/>
      <c r="C482" s="15"/>
      <c r="D482" s="17"/>
      <c r="E482" s="1"/>
      <c r="F482" s="17"/>
      <c r="G482" s="1"/>
      <c r="H482" s="1"/>
      <c r="I482" s="17"/>
      <c r="J482" s="17"/>
      <c r="K482" s="1"/>
      <c r="L482" s="1"/>
      <c r="M482" s="1"/>
      <c r="N482" s="1"/>
      <c r="O482" s="1"/>
      <c r="P482" s="1"/>
      <c r="Q482" s="1"/>
      <c r="R482" s="1"/>
      <c r="S482" s="1"/>
      <c r="T482" s="1"/>
      <c r="U482" s="1"/>
      <c r="V482" s="1"/>
      <c r="W482" s="1"/>
      <c r="X482" s="1"/>
      <c r="Y482" s="1"/>
    </row>
    <row r="483" spans="1:25" ht="15.75" customHeight="1" x14ac:dyDescent="0.25">
      <c r="A483" s="1"/>
      <c r="B483" s="1"/>
      <c r="C483" s="15"/>
      <c r="D483" s="17"/>
      <c r="E483" s="1"/>
      <c r="F483" s="17"/>
      <c r="G483" s="1"/>
      <c r="H483" s="1"/>
      <c r="I483" s="17"/>
      <c r="J483" s="17"/>
      <c r="K483" s="1"/>
      <c r="L483" s="1"/>
      <c r="M483" s="1"/>
      <c r="N483" s="1"/>
      <c r="O483" s="1"/>
      <c r="P483" s="1"/>
      <c r="Q483" s="1"/>
      <c r="R483" s="1"/>
      <c r="S483" s="1"/>
      <c r="T483" s="1"/>
      <c r="U483" s="1"/>
      <c r="V483" s="1"/>
      <c r="W483" s="1"/>
      <c r="X483" s="1"/>
      <c r="Y483" s="1"/>
    </row>
    <row r="484" spans="1:25" ht="15.75" customHeight="1" x14ac:dyDescent="0.25">
      <c r="A484" s="1"/>
      <c r="B484" s="1"/>
      <c r="C484" s="15"/>
      <c r="D484" s="17"/>
      <c r="E484" s="1"/>
      <c r="F484" s="17"/>
      <c r="G484" s="1"/>
      <c r="H484" s="1"/>
      <c r="I484" s="17"/>
      <c r="J484" s="17"/>
      <c r="K484" s="1"/>
      <c r="L484" s="1"/>
      <c r="M484" s="1"/>
      <c r="N484" s="1"/>
      <c r="O484" s="1"/>
      <c r="P484" s="1"/>
      <c r="Q484" s="1"/>
      <c r="R484" s="1"/>
      <c r="S484" s="1"/>
      <c r="T484" s="1"/>
      <c r="U484" s="1"/>
      <c r="V484" s="1"/>
      <c r="W484" s="1"/>
      <c r="X484" s="1"/>
      <c r="Y484" s="1"/>
    </row>
    <row r="485" spans="1:25" ht="15.75" customHeight="1" x14ac:dyDescent="0.25">
      <c r="A485" s="1"/>
      <c r="B485" s="1"/>
      <c r="C485" s="15"/>
      <c r="D485" s="17"/>
      <c r="E485" s="1"/>
      <c r="F485" s="17"/>
      <c r="G485" s="1"/>
      <c r="H485" s="1"/>
      <c r="I485" s="17"/>
      <c r="J485" s="17"/>
      <c r="K485" s="1"/>
      <c r="L485" s="1"/>
      <c r="M485" s="1"/>
      <c r="N485" s="1"/>
      <c r="O485" s="1"/>
      <c r="P485" s="1"/>
      <c r="Q485" s="1"/>
      <c r="R485" s="1"/>
      <c r="S485" s="1"/>
      <c r="T485" s="1"/>
      <c r="U485" s="1"/>
      <c r="V485" s="1"/>
      <c r="W485" s="1"/>
      <c r="X485" s="1"/>
      <c r="Y485" s="1"/>
    </row>
    <row r="486" spans="1:25" ht="15.75" customHeight="1" x14ac:dyDescent="0.25">
      <c r="A486" s="1"/>
      <c r="B486" s="1"/>
      <c r="C486" s="15"/>
      <c r="D486" s="17"/>
      <c r="E486" s="1"/>
      <c r="F486" s="17"/>
      <c r="G486" s="1"/>
      <c r="H486" s="1"/>
      <c r="I486" s="17"/>
      <c r="J486" s="17"/>
      <c r="K486" s="1"/>
      <c r="L486" s="1"/>
      <c r="M486" s="1"/>
      <c r="N486" s="1"/>
      <c r="O486" s="1"/>
      <c r="P486" s="1"/>
      <c r="Q486" s="1"/>
      <c r="R486" s="1"/>
      <c r="S486" s="1"/>
      <c r="T486" s="1"/>
      <c r="U486" s="1"/>
      <c r="V486" s="1"/>
      <c r="W486" s="1"/>
      <c r="X486" s="1"/>
      <c r="Y486" s="1"/>
    </row>
    <row r="487" spans="1:25" ht="15.75" customHeight="1" x14ac:dyDescent="0.25">
      <c r="A487" s="1"/>
      <c r="B487" s="1"/>
      <c r="C487" s="15"/>
      <c r="D487" s="17"/>
      <c r="E487" s="1"/>
      <c r="F487" s="17"/>
      <c r="G487" s="1"/>
      <c r="H487" s="1"/>
      <c r="I487" s="17"/>
      <c r="J487" s="17"/>
      <c r="K487" s="1"/>
      <c r="L487" s="1"/>
      <c r="M487" s="1"/>
      <c r="N487" s="1"/>
      <c r="O487" s="1"/>
      <c r="P487" s="1"/>
      <c r="Q487" s="1"/>
      <c r="R487" s="1"/>
      <c r="S487" s="1"/>
      <c r="T487" s="1"/>
      <c r="U487" s="1"/>
      <c r="V487" s="1"/>
      <c r="W487" s="1"/>
      <c r="X487" s="1"/>
      <c r="Y487" s="1"/>
    </row>
    <row r="488" spans="1:25" ht="15.75" customHeight="1" x14ac:dyDescent="0.25">
      <c r="A488" s="1"/>
      <c r="B488" s="1"/>
      <c r="C488" s="15"/>
      <c r="D488" s="17"/>
      <c r="E488" s="1"/>
      <c r="F488" s="17"/>
      <c r="G488" s="1"/>
      <c r="H488" s="1"/>
      <c r="I488" s="17"/>
      <c r="J488" s="17"/>
      <c r="K488" s="1"/>
      <c r="L488" s="1"/>
      <c r="M488" s="1"/>
      <c r="N488" s="1"/>
      <c r="O488" s="1"/>
      <c r="P488" s="1"/>
      <c r="Q488" s="1"/>
      <c r="R488" s="1"/>
      <c r="S488" s="1"/>
      <c r="T488" s="1"/>
      <c r="U488" s="1"/>
      <c r="V488" s="1"/>
      <c r="W488" s="1"/>
      <c r="X488" s="1"/>
      <c r="Y488" s="1"/>
    </row>
    <row r="489" spans="1:25" ht="15.75" customHeight="1" x14ac:dyDescent="0.25">
      <c r="A489" s="1"/>
      <c r="B489" s="1"/>
      <c r="C489" s="15"/>
      <c r="D489" s="17"/>
      <c r="E489" s="1"/>
      <c r="F489" s="17"/>
      <c r="G489" s="1"/>
      <c r="H489" s="1"/>
      <c r="I489" s="17"/>
      <c r="J489" s="17"/>
      <c r="K489" s="1"/>
      <c r="L489" s="1"/>
      <c r="M489" s="1"/>
      <c r="N489" s="1"/>
      <c r="O489" s="1"/>
      <c r="P489" s="1"/>
      <c r="Q489" s="1"/>
      <c r="R489" s="1"/>
      <c r="S489" s="1"/>
      <c r="T489" s="1"/>
      <c r="U489" s="1"/>
      <c r="V489" s="1"/>
      <c r="W489" s="1"/>
      <c r="X489" s="1"/>
      <c r="Y489" s="1"/>
    </row>
    <row r="490" spans="1:25" ht="15.75" customHeight="1" x14ac:dyDescent="0.25">
      <c r="A490" s="1"/>
      <c r="B490" s="1"/>
      <c r="C490" s="15"/>
      <c r="D490" s="17"/>
      <c r="E490" s="1"/>
      <c r="F490" s="17"/>
      <c r="G490" s="1"/>
      <c r="H490" s="1"/>
      <c r="I490" s="17"/>
      <c r="J490" s="17"/>
      <c r="K490" s="1"/>
      <c r="L490" s="1"/>
      <c r="M490" s="1"/>
      <c r="N490" s="1"/>
      <c r="O490" s="1"/>
      <c r="P490" s="1"/>
      <c r="Q490" s="1"/>
      <c r="R490" s="1"/>
      <c r="S490" s="1"/>
      <c r="T490" s="1"/>
      <c r="U490" s="1"/>
      <c r="V490" s="1"/>
      <c r="W490" s="1"/>
      <c r="X490" s="1"/>
      <c r="Y490" s="1"/>
    </row>
    <row r="491" spans="1:25" ht="15.75" customHeight="1" x14ac:dyDescent="0.25">
      <c r="A491" s="1"/>
      <c r="B491" s="1"/>
      <c r="C491" s="15"/>
      <c r="D491" s="17"/>
      <c r="E491" s="1"/>
      <c r="F491" s="17"/>
      <c r="G491" s="1"/>
      <c r="H491" s="1"/>
      <c r="I491" s="17"/>
      <c r="J491" s="17"/>
      <c r="K491" s="1"/>
      <c r="L491" s="1"/>
      <c r="M491" s="1"/>
      <c r="N491" s="1"/>
      <c r="O491" s="1"/>
      <c r="P491" s="1"/>
      <c r="Q491" s="1"/>
      <c r="R491" s="1"/>
      <c r="S491" s="1"/>
      <c r="T491" s="1"/>
      <c r="U491" s="1"/>
      <c r="V491" s="1"/>
      <c r="W491" s="1"/>
      <c r="X491" s="1"/>
      <c r="Y491" s="1"/>
    </row>
    <row r="492" spans="1:25" ht="15.75" customHeight="1" x14ac:dyDescent="0.25">
      <c r="A492" s="1"/>
      <c r="B492" s="1"/>
      <c r="C492" s="15"/>
      <c r="D492" s="17"/>
      <c r="E492" s="1"/>
      <c r="F492" s="17"/>
      <c r="G492" s="1"/>
      <c r="H492" s="1"/>
      <c r="I492" s="17"/>
      <c r="J492" s="17"/>
      <c r="K492" s="1"/>
      <c r="L492" s="1"/>
      <c r="M492" s="1"/>
      <c r="N492" s="1"/>
      <c r="O492" s="1"/>
      <c r="P492" s="1"/>
      <c r="Q492" s="1"/>
      <c r="R492" s="1"/>
      <c r="S492" s="1"/>
      <c r="T492" s="1"/>
      <c r="U492" s="1"/>
      <c r="V492" s="1"/>
      <c r="W492" s="1"/>
      <c r="X492" s="1"/>
      <c r="Y492" s="1"/>
    </row>
    <row r="493" spans="1:25" ht="15.75" customHeight="1" x14ac:dyDescent="0.25">
      <c r="A493" s="1"/>
      <c r="B493" s="1"/>
      <c r="C493" s="15"/>
      <c r="D493" s="17"/>
      <c r="E493" s="1"/>
      <c r="F493" s="17"/>
      <c r="G493" s="1"/>
      <c r="H493" s="1"/>
      <c r="I493" s="17"/>
      <c r="J493" s="17"/>
      <c r="K493" s="1"/>
      <c r="L493" s="1"/>
      <c r="M493" s="1"/>
      <c r="N493" s="1"/>
      <c r="O493" s="1"/>
      <c r="P493" s="1"/>
      <c r="Q493" s="1"/>
      <c r="R493" s="1"/>
      <c r="S493" s="1"/>
      <c r="T493" s="1"/>
      <c r="U493" s="1"/>
      <c r="V493" s="1"/>
      <c r="W493" s="1"/>
      <c r="X493" s="1"/>
      <c r="Y493" s="1"/>
    </row>
    <row r="494" spans="1:25" ht="15.75" customHeight="1" x14ac:dyDescent="0.25">
      <c r="A494" s="1"/>
      <c r="B494" s="1"/>
      <c r="C494" s="15"/>
      <c r="D494" s="17"/>
      <c r="E494" s="1"/>
      <c r="F494" s="17"/>
      <c r="G494" s="1"/>
      <c r="H494" s="1"/>
      <c r="I494" s="17"/>
      <c r="J494" s="17"/>
      <c r="K494" s="1"/>
      <c r="L494" s="1"/>
      <c r="M494" s="1"/>
      <c r="N494" s="1"/>
      <c r="O494" s="1"/>
      <c r="P494" s="1"/>
      <c r="Q494" s="1"/>
      <c r="R494" s="1"/>
      <c r="S494" s="1"/>
      <c r="T494" s="1"/>
      <c r="U494" s="1"/>
      <c r="V494" s="1"/>
      <c r="W494" s="1"/>
      <c r="X494" s="1"/>
      <c r="Y494" s="1"/>
    </row>
    <row r="495" spans="1:25" ht="15.75" customHeight="1" x14ac:dyDescent="0.25">
      <c r="A495" s="1"/>
      <c r="B495" s="1"/>
      <c r="C495" s="15"/>
      <c r="D495" s="17"/>
      <c r="E495" s="1"/>
      <c r="F495" s="17"/>
      <c r="G495" s="1"/>
      <c r="H495" s="1"/>
      <c r="I495" s="17"/>
      <c r="J495" s="17"/>
      <c r="K495" s="1"/>
      <c r="L495" s="1"/>
      <c r="M495" s="1"/>
      <c r="N495" s="1"/>
      <c r="O495" s="1"/>
      <c r="P495" s="1"/>
      <c r="Q495" s="1"/>
      <c r="R495" s="1"/>
      <c r="S495" s="1"/>
      <c r="T495" s="1"/>
      <c r="U495" s="1"/>
      <c r="V495" s="1"/>
      <c r="W495" s="1"/>
      <c r="X495" s="1"/>
      <c r="Y495" s="1"/>
    </row>
    <row r="496" spans="1:25" ht="15.75" customHeight="1" x14ac:dyDescent="0.25">
      <c r="A496" s="1"/>
      <c r="B496" s="1"/>
      <c r="C496" s="15"/>
      <c r="D496" s="17"/>
      <c r="E496" s="1"/>
      <c r="F496" s="17"/>
      <c r="G496" s="1"/>
      <c r="H496" s="1"/>
      <c r="I496" s="17"/>
      <c r="J496" s="17"/>
      <c r="K496" s="1"/>
      <c r="L496" s="1"/>
      <c r="M496" s="1"/>
      <c r="N496" s="1"/>
      <c r="O496" s="1"/>
      <c r="P496" s="1"/>
      <c r="Q496" s="1"/>
      <c r="R496" s="1"/>
      <c r="S496" s="1"/>
      <c r="T496" s="1"/>
      <c r="U496" s="1"/>
      <c r="V496" s="1"/>
      <c r="W496" s="1"/>
      <c r="X496" s="1"/>
      <c r="Y496" s="1"/>
    </row>
    <row r="497" spans="1:25" ht="15.75" customHeight="1" x14ac:dyDescent="0.25">
      <c r="A497" s="1"/>
      <c r="B497" s="1"/>
      <c r="C497" s="15"/>
      <c r="D497" s="17"/>
      <c r="E497" s="1"/>
      <c r="F497" s="17"/>
      <c r="G497" s="1"/>
      <c r="H497" s="1"/>
      <c r="I497" s="17"/>
      <c r="J497" s="17"/>
      <c r="K497" s="1"/>
      <c r="L497" s="1"/>
      <c r="M497" s="1"/>
      <c r="N497" s="1"/>
      <c r="O497" s="1"/>
      <c r="P497" s="1"/>
      <c r="Q497" s="1"/>
      <c r="R497" s="1"/>
      <c r="S497" s="1"/>
      <c r="T497" s="1"/>
      <c r="U497" s="1"/>
      <c r="V497" s="1"/>
      <c r="W497" s="1"/>
      <c r="X497" s="1"/>
      <c r="Y497" s="1"/>
    </row>
    <row r="498" spans="1:25" ht="15.75" customHeight="1" x14ac:dyDescent="0.25">
      <c r="A498" s="1"/>
      <c r="B498" s="1"/>
      <c r="C498" s="15"/>
      <c r="D498" s="17"/>
      <c r="E498" s="1"/>
      <c r="F498" s="17"/>
      <c r="G498" s="1"/>
      <c r="H498" s="1"/>
      <c r="I498" s="17"/>
      <c r="J498" s="17"/>
      <c r="K498" s="1"/>
      <c r="L498" s="1"/>
      <c r="M498" s="1"/>
      <c r="N498" s="1"/>
      <c r="O498" s="1"/>
      <c r="P498" s="1"/>
      <c r="Q498" s="1"/>
      <c r="R498" s="1"/>
      <c r="S498" s="1"/>
      <c r="T498" s="1"/>
      <c r="U498" s="1"/>
      <c r="V498" s="1"/>
      <c r="W498" s="1"/>
      <c r="X498" s="1"/>
      <c r="Y498" s="1"/>
    </row>
    <row r="499" spans="1:25" ht="15.75" customHeight="1" x14ac:dyDescent="0.25">
      <c r="A499" s="1"/>
      <c r="B499" s="1"/>
      <c r="C499" s="15"/>
      <c r="D499" s="17"/>
      <c r="E499" s="1"/>
      <c r="F499" s="17"/>
      <c r="G499" s="1"/>
      <c r="H499" s="1"/>
      <c r="I499" s="17"/>
      <c r="J499" s="17"/>
      <c r="K499" s="1"/>
      <c r="L499" s="1"/>
      <c r="M499" s="1"/>
      <c r="N499" s="1"/>
      <c r="O499" s="1"/>
      <c r="P499" s="1"/>
      <c r="Q499" s="1"/>
      <c r="R499" s="1"/>
      <c r="S499" s="1"/>
      <c r="T499" s="1"/>
      <c r="U499" s="1"/>
      <c r="V499" s="1"/>
      <c r="W499" s="1"/>
      <c r="X499" s="1"/>
      <c r="Y499" s="1"/>
    </row>
    <row r="500" spans="1:25" ht="15.75" customHeight="1" x14ac:dyDescent="0.25">
      <c r="A500" s="1"/>
      <c r="B500" s="1"/>
      <c r="C500" s="15"/>
      <c r="D500" s="17"/>
      <c r="E500" s="1"/>
      <c r="F500" s="17"/>
      <c r="G500" s="1"/>
      <c r="H500" s="1"/>
      <c r="I500" s="17"/>
      <c r="J500" s="17"/>
      <c r="K500" s="1"/>
      <c r="L500" s="1"/>
      <c r="M500" s="1"/>
      <c r="N500" s="1"/>
      <c r="O500" s="1"/>
      <c r="P500" s="1"/>
      <c r="Q500" s="1"/>
      <c r="R500" s="1"/>
      <c r="S500" s="1"/>
      <c r="T500" s="1"/>
      <c r="U500" s="1"/>
      <c r="V500" s="1"/>
      <c r="W500" s="1"/>
      <c r="X500" s="1"/>
      <c r="Y500" s="1"/>
    </row>
    <row r="501" spans="1:25" ht="15.75" customHeight="1" x14ac:dyDescent="0.25">
      <c r="A501" s="1"/>
      <c r="B501" s="1"/>
      <c r="C501" s="15"/>
      <c r="D501" s="17"/>
      <c r="E501" s="1"/>
      <c r="F501" s="17"/>
      <c r="G501" s="1"/>
      <c r="H501" s="1"/>
      <c r="I501" s="17"/>
      <c r="J501" s="17"/>
      <c r="K501" s="1"/>
      <c r="L501" s="1"/>
      <c r="M501" s="1"/>
      <c r="N501" s="1"/>
      <c r="O501" s="1"/>
      <c r="P501" s="1"/>
      <c r="Q501" s="1"/>
      <c r="R501" s="1"/>
      <c r="S501" s="1"/>
      <c r="T501" s="1"/>
      <c r="U501" s="1"/>
      <c r="V501" s="1"/>
      <c r="W501" s="1"/>
      <c r="X501" s="1"/>
      <c r="Y501" s="1"/>
    </row>
    <row r="502" spans="1:25" ht="15.75" customHeight="1" x14ac:dyDescent="0.25">
      <c r="A502" s="1"/>
      <c r="B502" s="1"/>
      <c r="C502" s="15"/>
      <c r="D502" s="17"/>
      <c r="E502" s="1"/>
      <c r="F502" s="17"/>
      <c r="G502" s="1"/>
      <c r="H502" s="1"/>
      <c r="I502" s="17"/>
      <c r="J502" s="17"/>
      <c r="K502" s="1"/>
      <c r="L502" s="1"/>
      <c r="M502" s="1"/>
      <c r="N502" s="1"/>
      <c r="O502" s="1"/>
      <c r="P502" s="1"/>
      <c r="Q502" s="1"/>
      <c r="R502" s="1"/>
      <c r="S502" s="1"/>
      <c r="T502" s="1"/>
      <c r="U502" s="1"/>
      <c r="V502" s="1"/>
      <c r="W502" s="1"/>
      <c r="X502" s="1"/>
      <c r="Y502" s="1"/>
    </row>
    <row r="503" spans="1:25" ht="15.75" customHeight="1" x14ac:dyDescent="0.25">
      <c r="A503" s="1"/>
      <c r="B503" s="1"/>
      <c r="C503" s="15"/>
      <c r="D503" s="17"/>
      <c r="E503" s="1"/>
      <c r="F503" s="17"/>
      <c r="G503" s="1"/>
      <c r="H503" s="1"/>
      <c r="I503" s="17"/>
      <c r="J503" s="17"/>
      <c r="K503" s="1"/>
      <c r="L503" s="1"/>
      <c r="M503" s="1"/>
      <c r="N503" s="1"/>
      <c r="O503" s="1"/>
      <c r="P503" s="1"/>
      <c r="Q503" s="1"/>
      <c r="R503" s="1"/>
      <c r="S503" s="1"/>
      <c r="T503" s="1"/>
      <c r="U503" s="1"/>
      <c r="V503" s="1"/>
      <c r="W503" s="1"/>
      <c r="X503" s="1"/>
      <c r="Y503" s="1"/>
    </row>
    <row r="504" spans="1:25" ht="15.75" customHeight="1" x14ac:dyDescent="0.25">
      <c r="A504" s="1"/>
      <c r="B504" s="1"/>
      <c r="C504" s="15"/>
      <c r="D504" s="17"/>
      <c r="E504" s="1"/>
      <c r="F504" s="17"/>
      <c r="G504" s="1"/>
      <c r="H504" s="1"/>
      <c r="I504" s="17"/>
      <c r="J504" s="17"/>
      <c r="K504" s="1"/>
      <c r="L504" s="1"/>
      <c r="M504" s="1"/>
      <c r="N504" s="1"/>
      <c r="O504" s="1"/>
      <c r="P504" s="1"/>
      <c r="Q504" s="1"/>
      <c r="R504" s="1"/>
      <c r="S504" s="1"/>
      <c r="T504" s="1"/>
      <c r="U504" s="1"/>
      <c r="V504" s="1"/>
      <c r="W504" s="1"/>
      <c r="X504" s="1"/>
      <c r="Y504" s="1"/>
    </row>
    <row r="505" spans="1:25" ht="15.75" customHeight="1" x14ac:dyDescent="0.25">
      <c r="A505" s="1"/>
      <c r="B505" s="1"/>
      <c r="C505" s="15"/>
      <c r="D505" s="17"/>
      <c r="E505" s="1"/>
      <c r="F505" s="17"/>
      <c r="G505" s="1"/>
      <c r="H505" s="1"/>
      <c r="I505" s="17"/>
      <c r="J505" s="17"/>
      <c r="K505" s="1"/>
      <c r="L505" s="1"/>
      <c r="M505" s="1"/>
      <c r="N505" s="1"/>
      <c r="O505" s="1"/>
      <c r="P505" s="1"/>
      <c r="Q505" s="1"/>
      <c r="R505" s="1"/>
      <c r="S505" s="1"/>
      <c r="T505" s="1"/>
      <c r="U505" s="1"/>
      <c r="V505" s="1"/>
      <c r="W505" s="1"/>
      <c r="X505" s="1"/>
      <c r="Y505" s="1"/>
    </row>
    <row r="506" spans="1:25" ht="15.75" customHeight="1" x14ac:dyDescent="0.25">
      <c r="A506" s="1"/>
      <c r="B506" s="1"/>
      <c r="C506" s="15"/>
      <c r="D506" s="17"/>
      <c r="E506" s="1"/>
      <c r="F506" s="17"/>
      <c r="G506" s="1"/>
      <c r="H506" s="1"/>
      <c r="I506" s="17"/>
      <c r="J506" s="17"/>
      <c r="K506" s="1"/>
      <c r="L506" s="1"/>
      <c r="M506" s="1"/>
      <c r="N506" s="1"/>
      <c r="O506" s="1"/>
      <c r="P506" s="1"/>
      <c r="Q506" s="1"/>
      <c r="R506" s="1"/>
      <c r="S506" s="1"/>
      <c r="T506" s="1"/>
      <c r="U506" s="1"/>
      <c r="V506" s="1"/>
      <c r="W506" s="1"/>
      <c r="X506" s="1"/>
      <c r="Y506" s="1"/>
    </row>
    <row r="507" spans="1:25" ht="15.75" customHeight="1" x14ac:dyDescent="0.25">
      <c r="A507" s="1"/>
      <c r="B507" s="1"/>
      <c r="C507" s="15"/>
      <c r="D507" s="17"/>
      <c r="E507" s="1"/>
      <c r="F507" s="17"/>
      <c r="G507" s="1"/>
      <c r="H507" s="1"/>
      <c r="I507" s="17"/>
      <c r="J507" s="17"/>
      <c r="K507" s="1"/>
      <c r="L507" s="1"/>
      <c r="M507" s="1"/>
      <c r="N507" s="1"/>
      <c r="O507" s="1"/>
      <c r="P507" s="1"/>
      <c r="Q507" s="1"/>
      <c r="R507" s="1"/>
      <c r="S507" s="1"/>
      <c r="T507" s="1"/>
      <c r="U507" s="1"/>
      <c r="V507" s="1"/>
      <c r="W507" s="1"/>
      <c r="X507" s="1"/>
      <c r="Y507" s="1"/>
    </row>
    <row r="508" spans="1:25" ht="15.75" customHeight="1" x14ac:dyDescent="0.25">
      <c r="A508" s="1"/>
      <c r="B508" s="1"/>
      <c r="C508" s="15"/>
      <c r="D508" s="17"/>
      <c r="E508" s="1"/>
      <c r="F508" s="17"/>
      <c r="G508" s="1"/>
      <c r="H508" s="1"/>
      <c r="I508" s="17"/>
      <c r="J508" s="17"/>
      <c r="K508" s="1"/>
      <c r="L508" s="1"/>
      <c r="M508" s="1"/>
      <c r="N508" s="1"/>
      <c r="O508" s="1"/>
      <c r="P508" s="1"/>
      <c r="Q508" s="1"/>
      <c r="R508" s="1"/>
      <c r="S508" s="1"/>
      <c r="T508" s="1"/>
      <c r="U508" s="1"/>
      <c r="V508" s="1"/>
      <c r="W508" s="1"/>
      <c r="X508" s="1"/>
      <c r="Y508" s="1"/>
    </row>
    <row r="509" spans="1:25" ht="15.75" customHeight="1" x14ac:dyDescent="0.25">
      <c r="A509" s="1"/>
      <c r="B509" s="1"/>
      <c r="C509" s="15"/>
      <c r="D509" s="17"/>
      <c r="E509" s="1"/>
      <c r="F509" s="17"/>
      <c r="G509" s="1"/>
      <c r="H509" s="1"/>
      <c r="I509" s="17"/>
      <c r="J509" s="17"/>
      <c r="K509" s="1"/>
      <c r="L509" s="1"/>
      <c r="M509" s="1"/>
      <c r="N509" s="1"/>
      <c r="O509" s="1"/>
      <c r="P509" s="1"/>
      <c r="Q509" s="1"/>
      <c r="R509" s="1"/>
      <c r="S509" s="1"/>
      <c r="T509" s="1"/>
      <c r="U509" s="1"/>
      <c r="V509" s="1"/>
      <c r="W509" s="1"/>
      <c r="X509" s="1"/>
      <c r="Y509" s="1"/>
    </row>
    <row r="510" spans="1:25" ht="15.75" customHeight="1" x14ac:dyDescent="0.25">
      <c r="A510" s="1"/>
      <c r="B510" s="1"/>
      <c r="C510" s="15"/>
      <c r="D510" s="17"/>
      <c r="E510" s="1"/>
      <c r="F510" s="17"/>
      <c r="G510" s="1"/>
      <c r="H510" s="1"/>
      <c r="I510" s="17"/>
      <c r="J510" s="17"/>
      <c r="K510" s="1"/>
      <c r="L510" s="1"/>
      <c r="M510" s="1"/>
      <c r="N510" s="1"/>
      <c r="O510" s="1"/>
      <c r="P510" s="1"/>
      <c r="Q510" s="1"/>
      <c r="R510" s="1"/>
      <c r="S510" s="1"/>
      <c r="T510" s="1"/>
      <c r="U510" s="1"/>
      <c r="V510" s="1"/>
      <c r="W510" s="1"/>
      <c r="X510" s="1"/>
      <c r="Y510" s="1"/>
    </row>
    <row r="511" spans="1:25" ht="15.75" customHeight="1" x14ac:dyDescent="0.25">
      <c r="A511" s="1"/>
      <c r="B511" s="1"/>
      <c r="C511" s="15"/>
      <c r="D511" s="17"/>
      <c r="E511" s="1"/>
      <c r="F511" s="17"/>
      <c r="G511" s="1"/>
      <c r="H511" s="1"/>
      <c r="I511" s="17"/>
      <c r="J511" s="17"/>
      <c r="K511" s="1"/>
      <c r="L511" s="1"/>
      <c r="M511" s="1"/>
      <c r="N511" s="1"/>
      <c r="O511" s="1"/>
      <c r="P511" s="1"/>
      <c r="Q511" s="1"/>
      <c r="R511" s="1"/>
      <c r="S511" s="1"/>
      <c r="T511" s="1"/>
      <c r="U511" s="1"/>
      <c r="V511" s="1"/>
      <c r="W511" s="1"/>
      <c r="X511" s="1"/>
      <c r="Y511" s="1"/>
    </row>
    <row r="512" spans="1:25" ht="15.75" customHeight="1" x14ac:dyDescent="0.25">
      <c r="A512" s="1"/>
      <c r="B512" s="1"/>
      <c r="C512" s="15"/>
      <c r="D512" s="17"/>
      <c r="E512" s="1"/>
      <c r="F512" s="17"/>
      <c r="G512" s="1"/>
      <c r="H512" s="1"/>
      <c r="I512" s="17"/>
      <c r="J512" s="17"/>
      <c r="K512" s="1"/>
      <c r="L512" s="1"/>
      <c r="M512" s="1"/>
      <c r="N512" s="1"/>
      <c r="O512" s="1"/>
      <c r="P512" s="1"/>
      <c r="Q512" s="1"/>
      <c r="R512" s="1"/>
      <c r="S512" s="1"/>
      <c r="T512" s="1"/>
      <c r="U512" s="1"/>
      <c r="V512" s="1"/>
      <c r="W512" s="1"/>
      <c r="X512" s="1"/>
      <c r="Y512" s="1"/>
    </row>
    <row r="513" spans="1:25" ht="15.75" customHeight="1" x14ac:dyDescent="0.25">
      <c r="A513" s="1"/>
      <c r="B513" s="1"/>
      <c r="C513" s="15"/>
      <c r="D513" s="17"/>
      <c r="E513" s="1"/>
      <c r="F513" s="17"/>
      <c r="G513" s="1"/>
      <c r="H513" s="1"/>
      <c r="I513" s="17"/>
      <c r="J513" s="17"/>
      <c r="K513" s="1"/>
      <c r="L513" s="1"/>
      <c r="M513" s="1"/>
      <c r="N513" s="1"/>
      <c r="O513" s="1"/>
      <c r="P513" s="1"/>
      <c r="Q513" s="1"/>
      <c r="R513" s="1"/>
      <c r="S513" s="1"/>
      <c r="T513" s="1"/>
      <c r="U513" s="1"/>
      <c r="V513" s="1"/>
      <c r="W513" s="1"/>
      <c r="X513" s="1"/>
      <c r="Y513" s="1"/>
    </row>
    <row r="514" spans="1:25" ht="15.75" customHeight="1" x14ac:dyDescent="0.25">
      <c r="A514" s="1"/>
      <c r="B514" s="1"/>
      <c r="C514" s="15"/>
      <c r="D514" s="17"/>
      <c r="E514" s="1"/>
      <c r="F514" s="17"/>
      <c r="G514" s="1"/>
      <c r="H514" s="1"/>
      <c r="I514" s="17"/>
      <c r="J514" s="17"/>
      <c r="K514" s="1"/>
      <c r="L514" s="1"/>
      <c r="M514" s="1"/>
      <c r="N514" s="1"/>
      <c r="O514" s="1"/>
      <c r="P514" s="1"/>
      <c r="Q514" s="1"/>
      <c r="R514" s="1"/>
      <c r="S514" s="1"/>
      <c r="T514" s="1"/>
      <c r="U514" s="1"/>
      <c r="V514" s="1"/>
      <c r="W514" s="1"/>
      <c r="X514" s="1"/>
      <c r="Y514" s="1"/>
    </row>
    <row r="515" spans="1:25" ht="15.75" customHeight="1" x14ac:dyDescent="0.25">
      <c r="A515" s="1"/>
      <c r="B515" s="1"/>
      <c r="C515" s="15"/>
      <c r="D515" s="17"/>
      <c r="E515" s="1"/>
      <c r="F515" s="17"/>
      <c r="G515" s="1"/>
      <c r="H515" s="1"/>
      <c r="I515" s="17"/>
      <c r="J515" s="17"/>
      <c r="K515" s="1"/>
      <c r="L515" s="1"/>
      <c r="M515" s="1"/>
      <c r="N515" s="1"/>
      <c r="O515" s="1"/>
      <c r="P515" s="1"/>
      <c r="Q515" s="1"/>
      <c r="R515" s="1"/>
      <c r="S515" s="1"/>
      <c r="T515" s="1"/>
      <c r="U515" s="1"/>
      <c r="V515" s="1"/>
      <c r="W515" s="1"/>
      <c r="X515" s="1"/>
      <c r="Y515" s="1"/>
    </row>
    <row r="516" spans="1:25" ht="15.75" customHeight="1" x14ac:dyDescent="0.25">
      <c r="A516" s="1"/>
      <c r="B516" s="1"/>
      <c r="C516" s="15"/>
      <c r="D516" s="17"/>
      <c r="E516" s="1"/>
      <c r="F516" s="17"/>
      <c r="G516" s="1"/>
      <c r="H516" s="1"/>
      <c r="I516" s="17"/>
      <c r="J516" s="17"/>
      <c r="K516" s="1"/>
      <c r="L516" s="1"/>
      <c r="M516" s="1"/>
      <c r="N516" s="1"/>
      <c r="O516" s="1"/>
      <c r="P516" s="1"/>
      <c r="Q516" s="1"/>
      <c r="R516" s="1"/>
      <c r="S516" s="1"/>
      <c r="T516" s="1"/>
      <c r="U516" s="1"/>
      <c r="V516" s="1"/>
      <c r="W516" s="1"/>
      <c r="X516" s="1"/>
      <c r="Y516" s="1"/>
    </row>
    <row r="517" spans="1:25" ht="15.75" customHeight="1" x14ac:dyDescent="0.25">
      <c r="A517" s="1"/>
      <c r="B517" s="1"/>
      <c r="C517" s="15"/>
      <c r="D517" s="17"/>
      <c r="E517" s="1"/>
      <c r="F517" s="17"/>
      <c r="G517" s="1"/>
      <c r="H517" s="1"/>
      <c r="I517" s="17"/>
      <c r="J517" s="17"/>
      <c r="K517" s="1"/>
      <c r="L517" s="1"/>
      <c r="M517" s="1"/>
      <c r="N517" s="1"/>
      <c r="O517" s="1"/>
      <c r="P517" s="1"/>
      <c r="Q517" s="1"/>
      <c r="R517" s="1"/>
      <c r="S517" s="1"/>
      <c r="T517" s="1"/>
      <c r="U517" s="1"/>
      <c r="V517" s="1"/>
      <c r="W517" s="1"/>
      <c r="X517" s="1"/>
      <c r="Y517" s="1"/>
    </row>
    <row r="518" spans="1:25" ht="15.75" customHeight="1" x14ac:dyDescent="0.25">
      <c r="A518" s="1"/>
      <c r="B518" s="1"/>
      <c r="C518" s="15"/>
      <c r="D518" s="17"/>
      <c r="E518" s="1"/>
      <c r="F518" s="17"/>
      <c r="G518" s="1"/>
      <c r="H518" s="1"/>
      <c r="I518" s="17"/>
      <c r="J518" s="17"/>
      <c r="K518" s="1"/>
      <c r="L518" s="1"/>
      <c r="M518" s="1"/>
      <c r="N518" s="1"/>
      <c r="O518" s="1"/>
      <c r="P518" s="1"/>
      <c r="Q518" s="1"/>
      <c r="R518" s="1"/>
      <c r="S518" s="1"/>
      <c r="T518" s="1"/>
      <c r="U518" s="1"/>
      <c r="V518" s="1"/>
      <c r="W518" s="1"/>
      <c r="X518" s="1"/>
      <c r="Y518" s="1"/>
    </row>
    <row r="519" spans="1:25" ht="15.75" customHeight="1" x14ac:dyDescent="0.25">
      <c r="A519" s="1"/>
      <c r="B519" s="1"/>
      <c r="C519" s="15"/>
      <c r="D519" s="17"/>
      <c r="E519" s="1"/>
      <c r="F519" s="17"/>
      <c r="G519" s="1"/>
      <c r="H519" s="1"/>
      <c r="I519" s="17"/>
      <c r="J519" s="17"/>
      <c r="K519" s="1"/>
      <c r="L519" s="1"/>
      <c r="M519" s="1"/>
      <c r="N519" s="1"/>
      <c r="O519" s="1"/>
      <c r="P519" s="1"/>
      <c r="Q519" s="1"/>
      <c r="R519" s="1"/>
      <c r="S519" s="1"/>
      <c r="T519" s="1"/>
      <c r="U519" s="1"/>
      <c r="V519" s="1"/>
      <c r="W519" s="1"/>
      <c r="X519" s="1"/>
      <c r="Y519" s="1"/>
    </row>
    <row r="520" spans="1:25" ht="15.75" customHeight="1" x14ac:dyDescent="0.25">
      <c r="A520" s="1"/>
      <c r="B520" s="1"/>
      <c r="C520" s="15"/>
      <c r="D520" s="17"/>
      <c r="E520" s="1"/>
      <c r="F520" s="17"/>
      <c r="G520" s="1"/>
      <c r="H520" s="1"/>
      <c r="I520" s="17"/>
      <c r="J520" s="17"/>
      <c r="K520" s="1"/>
      <c r="L520" s="1"/>
      <c r="M520" s="1"/>
      <c r="N520" s="1"/>
      <c r="O520" s="1"/>
      <c r="P520" s="1"/>
      <c r="Q520" s="1"/>
      <c r="R520" s="1"/>
      <c r="S520" s="1"/>
      <c r="T520" s="1"/>
      <c r="U520" s="1"/>
      <c r="V520" s="1"/>
      <c r="W520" s="1"/>
      <c r="X520" s="1"/>
      <c r="Y520" s="1"/>
    </row>
    <row r="521" spans="1:25" ht="15.75" customHeight="1" x14ac:dyDescent="0.25">
      <c r="A521" s="1"/>
      <c r="B521" s="1"/>
      <c r="C521" s="15"/>
      <c r="D521" s="17"/>
      <c r="E521" s="1"/>
      <c r="F521" s="17"/>
      <c r="G521" s="1"/>
      <c r="H521" s="1"/>
      <c r="I521" s="17"/>
      <c r="J521" s="17"/>
      <c r="K521" s="1"/>
      <c r="L521" s="1"/>
      <c r="M521" s="1"/>
      <c r="N521" s="1"/>
      <c r="O521" s="1"/>
      <c r="P521" s="1"/>
      <c r="Q521" s="1"/>
      <c r="R521" s="1"/>
      <c r="S521" s="1"/>
      <c r="T521" s="1"/>
      <c r="U521" s="1"/>
      <c r="V521" s="1"/>
      <c r="W521" s="1"/>
      <c r="X521" s="1"/>
      <c r="Y521" s="1"/>
    </row>
    <row r="522" spans="1:25" ht="15.75" customHeight="1" x14ac:dyDescent="0.25">
      <c r="A522" s="1"/>
      <c r="B522" s="1"/>
      <c r="C522" s="15"/>
      <c r="D522" s="17"/>
      <c r="E522" s="1"/>
      <c r="F522" s="17"/>
      <c r="G522" s="1"/>
      <c r="H522" s="1"/>
      <c r="I522" s="17"/>
      <c r="J522" s="17"/>
      <c r="K522" s="1"/>
      <c r="L522" s="1"/>
      <c r="M522" s="1"/>
      <c r="N522" s="1"/>
      <c r="O522" s="1"/>
      <c r="P522" s="1"/>
      <c r="Q522" s="1"/>
      <c r="R522" s="1"/>
      <c r="S522" s="1"/>
      <c r="T522" s="1"/>
      <c r="U522" s="1"/>
      <c r="V522" s="1"/>
      <c r="W522" s="1"/>
      <c r="X522" s="1"/>
      <c r="Y522" s="1"/>
    </row>
    <row r="523" spans="1:25" ht="15.75" customHeight="1" x14ac:dyDescent="0.25">
      <c r="A523" s="1"/>
      <c r="B523" s="1"/>
      <c r="C523" s="15"/>
      <c r="D523" s="17"/>
      <c r="E523" s="1"/>
      <c r="F523" s="17"/>
      <c r="G523" s="1"/>
      <c r="H523" s="1"/>
      <c r="I523" s="17"/>
      <c r="J523" s="17"/>
      <c r="K523" s="1"/>
      <c r="L523" s="1"/>
      <c r="M523" s="1"/>
      <c r="N523" s="1"/>
      <c r="O523" s="1"/>
      <c r="P523" s="1"/>
      <c r="Q523" s="1"/>
      <c r="R523" s="1"/>
      <c r="S523" s="1"/>
      <c r="T523" s="1"/>
      <c r="U523" s="1"/>
      <c r="V523" s="1"/>
      <c r="W523" s="1"/>
      <c r="X523" s="1"/>
      <c r="Y523" s="1"/>
    </row>
    <row r="524" spans="1:25" ht="15.75" customHeight="1" x14ac:dyDescent="0.25">
      <c r="A524" s="1"/>
      <c r="B524" s="1"/>
      <c r="C524" s="15"/>
      <c r="D524" s="17"/>
      <c r="E524" s="1"/>
      <c r="F524" s="17"/>
      <c r="G524" s="1"/>
      <c r="H524" s="1"/>
      <c r="I524" s="17"/>
      <c r="J524" s="17"/>
      <c r="K524" s="1"/>
      <c r="L524" s="1"/>
      <c r="M524" s="1"/>
      <c r="N524" s="1"/>
      <c r="O524" s="1"/>
      <c r="P524" s="1"/>
      <c r="Q524" s="1"/>
      <c r="R524" s="1"/>
      <c r="S524" s="1"/>
      <c r="T524" s="1"/>
      <c r="U524" s="1"/>
      <c r="V524" s="1"/>
      <c r="W524" s="1"/>
      <c r="X524" s="1"/>
      <c r="Y524" s="1"/>
    </row>
    <row r="525" spans="1:25" ht="15.75" customHeight="1" x14ac:dyDescent="0.25">
      <c r="A525" s="1"/>
      <c r="B525" s="1"/>
      <c r="C525" s="15"/>
      <c r="D525" s="17"/>
      <c r="E525" s="1"/>
      <c r="F525" s="17"/>
      <c r="G525" s="1"/>
      <c r="H525" s="1"/>
      <c r="I525" s="17"/>
      <c r="J525" s="17"/>
      <c r="K525" s="1"/>
      <c r="L525" s="1"/>
      <c r="M525" s="1"/>
      <c r="N525" s="1"/>
      <c r="O525" s="1"/>
      <c r="P525" s="1"/>
      <c r="Q525" s="1"/>
      <c r="R525" s="1"/>
      <c r="S525" s="1"/>
      <c r="T525" s="1"/>
      <c r="U525" s="1"/>
      <c r="V525" s="1"/>
      <c r="W525" s="1"/>
      <c r="X525" s="1"/>
      <c r="Y525" s="1"/>
    </row>
    <row r="526" spans="1:25" ht="15.75" customHeight="1" x14ac:dyDescent="0.25">
      <c r="A526" s="1"/>
      <c r="B526" s="1"/>
      <c r="C526" s="15"/>
      <c r="D526" s="17"/>
      <c r="E526" s="1"/>
      <c r="F526" s="17"/>
      <c r="G526" s="1"/>
      <c r="H526" s="1"/>
      <c r="I526" s="17"/>
      <c r="J526" s="17"/>
      <c r="K526" s="1"/>
      <c r="L526" s="1"/>
      <c r="M526" s="1"/>
      <c r="N526" s="1"/>
      <c r="O526" s="1"/>
      <c r="P526" s="1"/>
      <c r="Q526" s="1"/>
      <c r="R526" s="1"/>
      <c r="S526" s="1"/>
      <c r="T526" s="1"/>
      <c r="U526" s="1"/>
      <c r="V526" s="1"/>
      <c r="W526" s="1"/>
      <c r="X526" s="1"/>
      <c r="Y526" s="1"/>
    </row>
    <row r="527" spans="1:25" ht="15.75" customHeight="1" x14ac:dyDescent="0.25">
      <c r="A527" s="1"/>
      <c r="B527" s="1"/>
      <c r="C527" s="15"/>
      <c r="D527" s="17"/>
      <c r="E527" s="1"/>
      <c r="F527" s="17"/>
      <c r="G527" s="1"/>
      <c r="H527" s="1"/>
      <c r="I527" s="17"/>
      <c r="J527" s="17"/>
      <c r="K527" s="1"/>
      <c r="L527" s="1"/>
      <c r="M527" s="1"/>
      <c r="N527" s="1"/>
      <c r="O527" s="1"/>
      <c r="P527" s="1"/>
      <c r="Q527" s="1"/>
      <c r="R527" s="1"/>
      <c r="S527" s="1"/>
      <c r="T527" s="1"/>
      <c r="U527" s="1"/>
      <c r="V527" s="1"/>
      <c r="W527" s="1"/>
      <c r="X527" s="1"/>
      <c r="Y527" s="1"/>
    </row>
    <row r="528" spans="1:25" ht="15.75" customHeight="1" x14ac:dyDescent="0.25">
      <c r="A528" s="1"/>
      <c r="B528" s="1"/>
      <c r="C528" s="15"/>
      <c r="D528" s="17"/>
      <c r="E528" s="1"/>
      <c r="F528" s="17"/>
      <c r="G528" s="1"/>
      <c r="H528" s="1"/>
      <c r="I528" s="17"/>
      <c r="J528" s="17"/>
      <c r="K528" s="1"/>
      <c r="L528" s="1"/>
      <c r="M528" s="1"/>
      <c r="N528" s="1"/>
      <c r="O528" s="1"/>
      <c r="P528" s="1"/>
      <c r="Q528" s="1"/>
      <c r="R528" s="1"/>
      <c r="S528" s="1"/>
      <c r="T528" s="1"/>
      <c r="U528" s="1"/>
      <c r="V528" s="1"/>
      <c r="W528" s="1"/>
      <c r="X528" s="1"/>
      <c r="Y528" s="1"/>
    </row>
    <row r="529" spans="1:25" ht="15.75" customHeight="1" x14ac:dyDescent="0.25">
      <c r="A529" s="1"/>
      <c r="B529" s="1"/>
      <c r="C529" s="15"/>
      <c r="D529" s="17"/>
      <c r="E529" s="1"/>
      <c r="F529" s="17"/>
      <c r="G529" s="1"/>
      <c r="H529" s="1"/>
      <c r="I529" s="17"/>
      <c r="J529" s="17"/>
      <c r="K529" s="1"/>
      <c r="L529" s="1"/>
      <c r="M529" s="1"/>
      <c r="N529" s="1"/>
      <c r="O529" s="1"/>
      <c r="P529" s="1"/>
      <c r="Q529" s="1"/>
      <c r="R529" s="1"/>
      <c r="S529" s="1"/>
      <c r="T529" s="1"/>
      <c r="U529" s="1"/>
      <c r="V529" s="1"/>
      <c r="W529" s="1"/>
      <c r="X529" s="1"/>
      <c r="Y529" s="1"/>
    </row>
    <row r="530" spans="1:25" ht="15.75" customHeight="1" x14ac:dyDescent="0.25">
      <c r="A530" s="1"/>
      <c r="B530" s="1"/>
      <c r="C530" s="15"/>
      <c r="D530" s="17"/>
      <c r="E530" s="1"/>
      <c r="F530" s="17"/>
      <c r="G530" s="1"/>
      <c r="H530" s="1"/>
      <c r="I530" s="17"/>
      <c r="J530" s="17"/>
      <c r="K530" s="1"/>
      <c r="L530" s="1"/>
      <c r="M530" s="1"/>
      <c r="N530" s="1"/>
      <c r="O530" s="1"/>
      <c r="P530" s="1"/>
      <c r="Q530" s="1"/>
      <c r="R530" s="1"/>
      <c r="S530" s="1"/>
      <c r="T530" s="1"/>
      <c r="U530" s="1"/>
      <c r="V530" s="1"/>
      <c r="W530" s="1"/>
      <c r="X530" s="1"/>
      <c r="Y530" s="1"/>
    </row>
    <row r="531" spans="1:25" ht="15.75" customHeight="1" x14ac:dyDescent="0.25">
      <c r="A531" s="1"/>
      <c r="B531" s="1"/>
      <c r="C531" s="15"/>
      <c r="D531" s="17"/>
      <c r="E531" s="1"/>
      <c r="F531" s="17"/>
      <c r="G531" s="1"/>
      <c r="H531" s="1"/>
      <c r="I531" s="17"/>
      <c r="J531" s="17"/>
      <c r="K531" s="1"/>
      <c r="L531" s="1"/>
      <c r="M531" s="1"/>
      <c r="N531" s="1"/>
      <c r="O531" s="1"/>
      <c r="P531" s="1"/>
      <c r="Q531" s="1"/>
      <c r="R531" s="1"/>
      <c r="S531" s="1"/>
      <c r="T531" s="1"/>
      <c r="U531" s="1"/>
      <c r="V531" s="1"/>
      <c r="W531" s="1"/>
      <c r="X531" s="1"/>
      <c r="Y531" s="1"/>
    </row>
    <row r="532" spans="1:25" ht="15.75" customHeight="1" x14ac:dyDescent="0.25">
      <c r="A532" s="1"/>
      <c r="B532" s="1"/>
      <c r="C532" s="15"/>
      <c r="D532" s="17"/>
      <c r="E532" s="1"/>
      <c r="F532" s="17"/>
      <c r="G532" s="1"/>
      <c r="H532" s="1"/>
      <c r="I532" s="17"/>
      <c r="J532" s="17"/>
      <c r="K532" s="1"/>
      <c r="L532" s="1"/>
      <c r="M532" s="1"/>
      <c r="N532" s="1"/>
      <c r="O532" s="1"/>
      <c r="P532" s="1"/>
      <c r="Q532" s="1"/>
      <c r="R532" s="1"/>
      <c r="S532" s="1"/>
      <c r="T532" s="1"/>
      <c r="U532" s="1"/>
      <c r="V532" s="1"/>
      <c r="W532" s="1"/>
      <c r="X532" s="1"/>
      <c r="Y532" s="1"/>
    </row>
    <row r="533" spans="1:25" ht="15.75" customHeight="1" x14ac:dyDescent="0.25">
      <c r="A533" s="1"/>
      <c r="B533" s="1"/>
      <c r="C533" s="15"/>
      <c r="D533" s="17"/>
      <c r="E533" s="1"/>
      <c r="F533" s="17"/>
      <c r="G533" s="1"/>
      <c r="H533" s="1"/>
      <c r="I533" s="17"/>
      <c r="J533" s="17"/>
      <c r="K533" s="1"/>
      <c r="L533" s="1"/>
      <c r="M533" s="1"/>
      <c r="N533" s="1"/>
      <c r="O533" s="1"/>
      <c r="P533" s="1"/>
      <c r="Q533" s="1"/>
      <c r="R533" s="1"/>
      <c r="S533" s="1"/>
      <c r="T533" s="1"/>
      <c r="U533" s="1"/>
      <c r="V533" s="1"/>
      <c r="W533" s="1"/>
      <c r="X533" s="1"/>
      <c r="Y533" s="1"/>
    </row>
    <row r="534" spans="1:25" ht="15.75" customHeight="1" x14ac:dyDescent="0.25">
      <c r="A534" s="1"/>
      <c r="B534" s="1"/>
      <c r="C534" s="15"/>
      <c r="D534" s="17"/>
      <c r="E534" s="1"/>
      <c r="F534" s="17"/>
      <c r="G534" s="1"/>
      <c r="H534" s="1"/>
      <c r="I534" s="17"/>
      <c r="J534" s="17"/>
      <c r="K534" s="1"/>
      <c r="L534" s="1"/>
      <c r="M534" s="1"/>
      <c r="N534" s="1"/>
      <c r="O534" s="1"/>
      <c r="P534" s="1"/>
      <c r="Q534" s="1"/>
      <c r="R534" s="1"/>
      <c r="S534" s="1"/>
      <c r="T534" s="1"/>
      <c r="U534" s="1"/>
      <c r="V534" s="1"/>
      <c r="W534" s="1"/>
      <c r="X534" s="1"/>
      <c r="Y534" s="1"/>
    </row>
    <row r="535" spans="1:25" ht="15.75" customHeight="1" x14ac:dyDescent="0.25">
      <c r="A535" s="1"/>
      <c r="B535" s="1"/>
      <c r="C535" s="15"/>
      <c r="D535" s="17"/>
      <c r="E535" s="1"/>
      <c r="F535" s="17"/>
      <c r="G535" s="1"/>
      <c r="H535" s="1"/>
      <c r="I535" s="17"/>
      <c r="J535" s="17"/>
      <c r="K535" s="1"/>
      <c r="L535" s="1"/>
      <c r="M535" s="1"/>
      <c r="N535" s="1"/>
      <c r="O535" s="1"/>
      <c r="P535" s="1"/>
      <c r="Q535" s="1"/>
      <c r="R535" s="1"/>
      <c r="S535" s="1"/>
      <c r="T535" s="1"/>
      <c r="U535" s="1"/>
      <c r="V535" s="1"/>
      <c r="W535" s="1"/>
      <c r="X535" s="1"/>
      <c r="Y535" s="1"/>
    </row>
    <row r="536" spans="1:25" ht="15.75" customHeight="1" x14ac:dyDescent="0.25">
      <c r="A536" s="1"/>
      <c r="B536" s="1"/>
      <c r="C536" s="15"/>
      <c r="D536" s="17"/>
      <c r="E536" s="1"/>
      <c r="F536" s="17"/>
      <c r="G536" s="1"/>
      <c r="H536" s="1"/>
      <c r="I536" s="17"/>
      <c r="J536" s="17"/>
      <c r="K536" s="1"/>
      <c r="L536" s="1"/>
      <c r="M536" s="1"/>
      <c r="N536" s="1"/>
      <c r="O536" s="1"/>
      <c r="P536" s="1"/>
      <c r="Q536" s="1"/>
      <c r="R536" s="1"/>
      <c r="S536" s="1"/>
      <c r="T536" s="1"/>
      <c r="U536" s="1"/>
      <c r="V536" s="1"/>
      <c r="W536" s="1"/>
      <c r="X536" s="1"/>
      <c r="Y536" s="1"/>
    </row>
    <row r="537" spans="1:25" ht="15.75" customHeight="1" x14ac:dyDescent="0.25">
      <c r="A537" s="1"/>
      <c r="B537" s="1"/>
      <c r="C537" s="15"/>
      <c r="D537" s="17"/>
      <c r="E537" s="1"/>
      <c r="F537" s="17"/>
      <c r="G537" s="1"/>
      <c r="H537" s="1"/>
      <c r="I537" s="17"/>
      <c r="J537" s="17"/>
      <c r="K537" s="1"/>
      <c r="L537" s="1"/>
      <c r="M537" s="1"/>
      <c r="N537" s="1"/>
      <c r="O537" s="1"/>
      <c r="P537" s="1"/>
      <c r="Q537" s="1"/>
      <c r="R537" s="1"/>
      <c r="S537" s="1"/>
      <c r="T537" s="1"/>
      <c r="U537" s="1"/>
      <c r="V537" s="1"/>
      <c r="W537" s="1"/>
      <c r="X537" s="1"/>
      <c r="Y537" s="1"/>
    </row>
    <row r="538" spans="1:25" ht="15.75" customHeight="1" x14ac:dyDescent="0.25">
      <c r="A538" s="1"/>
      <c r="B538" s="1"/>
      <c r="C538" s="15"/>
      <c r="D538" s="17"/>
      <c r="E538" s="1"/>
      <c r="F538" s="17"/>
      <c r="G538" s="1"/>
      <c r="H538" s="1"/>
      <c r="I538" s="17"/>
      <c r="J538" s="17"/>
      <c r="K538" s="1"/>
      <c r="L538" s="1"/>
      <c r="M538" s="1"/>
      <c r="N538" s="1"/>
      <c r="O538" s="1"/>
      <c r="P538" s="1"/>
      <c r="Q538" s="1"/>
      <c r="R538" s="1"/>
      <c r="S538" s="1"/>
      <c r="T538" s="1"/>
      <c r="U538" s="1"/>
      <c r="V538" s="1"/>
      <c r="W538" s="1"/>
      <c r="X538" s="1"/>
      <c r="Y538" s="1"/>
    </row>
    <row r="539" spans="1:25" ht="15.75" customHeight="1" x14ac:dyDescent="0.25">
      <c r="A539" s="1"/>
      <c r="B539" s="1"/>
      <c r="C539" s="15"/>
      <c r="D539" s="17"/>
      <c r="E539" s="1"/>
      <c r="F539" s="17"/>
      <c r="G539" s="1"/>
      <c r="H539" s="1"/>
      <c r="I539" s="17"/>
      <c r="J539" s="17"/>
      <c r="K539" s="1"/>
      <c r="L539" s="1"/>
      <c r="M539" s="1"/>
      <c r="N539" s="1"/>
      <c r="O539" s="1"/>
      <c r="P539" s="1"/>
      <c r="Q539" s="1"/>
      <c r="R539" s="1"/>
      <c r="S539" s="1"/>
      <c r="T539" s="1"/>
      <c r="U539" s="1"/>
      <c r="V539" s="1"/>
      <c r="W539" s="1"/>
      <c r="X539" s="1"/>
      <c r="Y539" s="1"/>
    </row>
    <row r="540" spans="1:25" ht="15.75" customHeight="1" x14ac:dyDescent="0.25">
      <c r="A540" s="1"/>
      <c r="B540" s="1"/>
      <c r="C540" s="15"/>
      <c r="D540" s="17"/>
      <c r="E540" s="1"/>
      <c r="F540" s="17"/>
      <c r="G540" s="1"/>
      <c r="H540" s="1"/>
      <c r="I540" s="17"/>
      <c r="J540" s="17"/>
      <c r="K540" s="1"/>
      <c r="L540" s="1"/>
      <c r="M540" s="1"/>
      <c r="N540" s="1"/>
      <c r="O540" s="1"/>
      <c r="P540" s="1"/>
      <c r="Q540" s="1"/>
      <c r="R540" s="1"/>
      <c r="S540" s="1"/>
      <c r="T540" s="1"/>
      <c r="U540" s="1"/>
      <c r="V540" s="1"/>
      <c r="W540" s="1"/>
      <c r="X540" s="1"/>
      <c r="Y540" s="1"/>
    </row>
    <row r="541" spans="1:25" ht="15.75" customHeight="1" x14ac:dyDescent="0.25">
      <c r="A541" s="1"/>
      <c r="B541" s="1"/>
      <c r="C541" s="15"/>
      <c r="D541" s="17"/>
      <c r="E541" s="1"/>
      <c r="F541" s="17"/>
      <c r="G541" s="1"/>
      <c r="H541" s="1"/>
      <c r="I541" s="17"/>
      <c r="J541" s="17"/>
      <c r="K541" s="1"/>
      <c r="L541" s="1"/>
      <c r="M541" s="1"/>
      <c r="N541" s="1"/>
      <c r="O541" s="1"/>
      <c r="P541" s="1"/>
      <c r="Q541" s="1"/>
      <c r="R541" s="1"/>
      <c r="S541" s="1"/>
      <c r="T541" s="1"/>
      <c r="U541" s="1"/>
      <c r="V541" s="1"/>
      <c r="W541" s="1"/>
      <c r="X541" s="1"/>
      <c r="Y541" s="1"/>
    </row>
    <row r="542" spans="1:25" ht="15.75" customHeight="1" x14ac:dyDescent="0.25">
      <c r="A542" s="1"/>
      <c r="B542" s="1"/>
      <c r="C542" s="15"/>
      <c r="D542" s="17"/>
      <c r="E542" s="1"/>
      <c r="F542" s="17"/>
      <c r="G542" s="1"/>
      <c r="H542" s="1"/>
      <c r="I542" s="17"/>
      <c r="J542" s="17"/>
      <c r="K542" s="1"/>
      <c r="L542" s="1"/>
      <c r="M542" s="1"/>
      <c r="N542" s="1"/>
      <c r="O542" s="1"/>
      <c r="P542" s="1"/>
      <c r="Q542" s="1"/>
      <c r="R542" s="1"/>
      <c r="S542" s="1"/>
      <c r="T542" s="1"/>
      <c r="U542" s="1"/>
      <c r="V542" s="1"/>
      <c r="W542" s="1"/>
      <c r="X542" s="1"/>
      <c r="Y542" s="1"/>
    </row>
    <row r="543" spans="1:25" ht="15.75" customHeight="1" x14ac:dyDescent="0.25">
      <c r="A543" s="1"/>
      <c r="B543" s="1"/>
      <c r="C543" s="15"/>
      <c r="D543" s="17"/>
      <c r="E543" s="1"/>
      <c r="F543" s="17"/>
      <c r="G543" s="1"/>
      <c r="H543" s="1"/>
      <c r="I543" s="17"/>
      <c r="J543" s="17"/>
      <c r="K543" s="1"/>
      <c r="L543" s="1"/>
      <c r="M543" s="1"/>
      <c r="N543" s="1"/>
      <c r="O543" s="1"/>
      <c r="P543" s="1"/>
      <c r="Q543" s="1"/>
      <c r="R543" s="1"/>
      <c r="S543" s="1"/>
      <c r="T543" s="1"/>
      <c r="U543" s="1"/>
      <c r="V543" s="1"/>
      <c r="W543" s="1"/>
      <c r="X543" s="1"/>
      <c r="Y543" s="1"/>
    </row>
    <row r="544" spans="1:25" ht="15.75" customHeight="1" x14ac:dyDescent="0.25">
      <c r="A544" s="1"/>
      <c r="B544" s="1"/>
      <c r="C544" s="15"/>
      <c r="D544" s="17"/>
      <c r="E544" s="1"/>
      <c r="F544" s="17"/>
      <c r="G544" s="1"/>
      <c r="H544" s="1"/>
      <c r="I544" s="17"/>
      <c r="J544" s="17"/>
      <c r="K544" s="1"/>
      <c r="L544" s="1"/>
      <c r="M544" s="1"/>
      <c r="N544" s="1"/>
      <c r="O544" s="1"/>
      <c r="P544" s="1"/>
      <c r="Q544" s="1"/>
      <c r="R544" s="1"/>
      <c r="S544" s="1"/>
      <c r="T544" s="1"/>
      <c r="U544" s="1"/>
      <c r="V544" s="1"/>
      <c r="W544" s="1"/>
      <c r="X544" s="1"/>
      <c r="Y544" s="1"/>
    </row>
    <row r="545" spans="1:25" ht="15.75" customHeight="1" x14ac:dyDescent="0.25">
      <c r="A545" s="1"/>
      <c r="B545" s="1"/>
      <c r="C545" s="15"/>
      <c r="D545" s="17"/>
      <c r="E545" s="1"/>
      <c r="F545" s="17"/>
      <c r="G545" s="1"/>
      <c r="H545" s="1"/>
      <c r="I545" s="17"/>
      <c r="J545" s="17"/>
      <c r="K545" s="1"/>
      <c r="L545" s="1"/>
      <c r="M545" s="1"/>
      <c r="N545" s="1"/>
      <c r="O545" s="1"/>
      <c r="P545" s="1"/>
      <c r="Q545" s="1"/>
      <c r="R545" s="1"/>
      <c r="S545" s="1"/>
      <c r="T545" s="1"/>
      <c r="U545" s="1"/>
      <c r="V545" s="1"/>
      <c r="W545" s="1"/>
      <c r="X545" s="1"/>
      <c r="Y545" s="1"/>
    </row>
    <row r="546" spans="1:25" ht="15.75" customHeight="1" x14ac:dyDescent="0.25">
      <c r="A546" s="1"/>
      <c r="B546" s="1"/>
      <c r="C546" s="15"/>
      <c r="D546" s="17"/>
      <c r="E546" s="1"/>
      <c r="F546" s="17"/>
      <c r="G546" s="1"/>
      <c r="H546" s="1"/>
      <c r="I546" s="17"/>
      <c r="J546" s="17"/>
      <c r="K546" s="1"/>
      <c r="L546" s="1"/>
      <c r="M546" s="1"/>
      <c r="N546" s="1"/>
      <c r="O546" s="1"/>
      <c r="P546" s="1"/>
      <c r="Q546" s="1"/>
      <c r="R546" s="1"/>
      <c r="S546" s="1"/>
      <c r="T546" s="1"/>
      <c r="U546" s="1"/>
      <c r="V546" s="1"/>
      <c r="W546" s="1"/>
      <c r="X546" s="1"/>
      <c r="Y546" s="1"/>
    </row>
    <row r="547" spans="1:25" ht="15.75" customHeight="1" x14ac:dyDescent="0.25">
      <c r="A547" s="1"/>
      <c r="B547" s="1"/>
      <c r="C547" s="15"/>
      <c r="D547" s="17"/>
      <c r="E547" s="1"/>
      <c r="F547" s="17"/>
      <c r="G547" s="1"/>
      <c r="H547" s="1"/>
      <c r="I547" s="17"/>
      <c r="J547" s="17"/>
      <c r="K547" s="1"/>
      <c r="L547" s="1"/>
      <c r="M547" s="1"/>
      <c r="N547" s="1"/>
      <c r="O547" s="1"/>
      <c r="P547" s="1"/>
      <c r="Q547" s="1"/>
      <c r="R547" s="1"/>
      <c r="S547" s="1"/>
      <c r="T547" s="1"/>
      <c r="U547" s="1"/>
      <c r="V547" s="1"/>
      <c r="W547" s="1"/>
      <c r="X547" s="1"/>
      <c r="Y547" s="1"/>
    </row>
    <row r="548" spans="1:25" ht="15.75" customHeight="1" x14ac:dyDescent="0.25">
      <c r="A548" s="1"/>
      <c r="B548" s="1"/>
      <c r="C548" s="15"/>
      <c r="D548" s="17"/>
      <c r="E548" s="1"/>
      <c r="F548" s="17"/>
      <c r="G548" s="1"/>
      <c r="H548" s="1"/>
      <c r="I548" s="17"/>
      <c r="J548" s="17"/>
      <c r="K548" s="1"/>
      <c r="L548" s="1"/>
      <c r="M548" s="1"/>
      <c r="N548" s="1"/>
      <c r="O548" s="1"/>
      <c r="P548" s="1"/>
      <c r="Q548" s="1"/>
      <c r="R548" s="1"/>
      <c r="S548" s="1"/>
      <c r="T548" s="1"/>
      <c r="U548" s="1"/>
      <c r="V548" s="1"/>
      <c r="W548" s="1"/>
      <c r="X548" s="1"/>
      <c r="Y548" s="1"/>
    </row>
    <row r="549" spans="1:25" ht="15.75" customHeight="1" x14ac:dyDescent="0.25">
      <c r="A549" s="1"/>
      <c r="B549" s="1"/>
      <c r="C549" s="15"/>
      <c r="D549" s="17"/>
      <c r="E549" s="1"/>
      <c r="F549" s="17"/>
      <c r="G549" s="1"/>
      <c r="H549" s="1"/>
      <c r="I549" s="17"/>
      <c r="J549" s="17"/>
      <c r="K549" s="1"/>
      <c r="L549" s="1"/>
      <c r="M549" s="1"/>
      <c r="N549" s="1"/>
      <c r="O549" s="1"/>
      <c r="P549" s="1"/>
      <c r="Q549" s="1"/>
      <c r="R549" s="1"/>
      <c r="S549" s="1"/>
      <c r="T549" s="1"/>
      <c r="U549" s="1"/>
      <c r="V549" s="1"/>
      <c r="W549" s="1"/>
      <c r="X549" s="1"/>
      <c r="Y549" s="1"/>
    </row>
    <row r="550" spans="1:25" ht="15.75" customHeight="1" x14ac:dyDescent="0.25">
      <c r="A550" s="1"/>
      <c r="B550" s="1"/>
      <c r="C550" s="15"/>
      <c r="D550" s="17"/>
      <c r="E550" s="1"/>
      <c r="F550" s="17"/>
      <c r="G550" s="1"/>
      <c r="H550" s="1"/>
      <c r="I550" s="17"/>
      <c r="J550" s="17"/>
      <c r="K550" s="1"/>
      <c r="L550" s="1"/>
      <c r="M550" s="1"/>
      <c r="N550" s="1"/>
      <c r="O550" s="1"/>
      <c r="P550" s="1"/>
      <c r="Q550" s="1"/>
      <c r="R550" s="1"/>
      <c r="S550" s="1"/>
      <c r="T550" s="1"/>
      <c r="U550" s="1"/>
      <c r="V550" s="1"/>
      <c r="W550" s="1"/>
      <c r="X550" s="1"/>
      <c r="Y550" s="1"/>
    </row>
    <row r="551" spans="1:25" ht="15.75" customHeight="1" x14ac:dyDescent="0.25">
      <c r="A551" s="1"/>
      <c r="B551" s="1"/>
      <c r="C551" s="15"/>
      <c r="D551" s="17"/>
      <c r="E551" s="1"/>
      <c r="F551" s="17"/>
      <c r="G551" s="1"/>
      <c r="H551" s="1"/>
      <c r="I551" s="17"/>
      <c r="J551" s="17"/>
      <c r="K551" s="1"/>
      <c r="L551" s="1"/>
      <c r="M551" s="1"/>
      <c r="N551" s="1"/>
      <c r="O551" s="1"/>
      <c r="P551" s="1"/>
      <c r="Q551" s="1"/>
      <c r="R551" s="1"/>
      <c r="S551" s="1"/>
      <c r="T551" s="1"/>
      <c r="U551" s="1"/>
      <c r="V551" s="1"/>
      <c r="W551" s="1"/>
      <c r="X551" s="1"/>
      <c r="Y551" s="1"/>
    </row>
    <row r="552" spans="1:25" ht="15.75" customHeight="1" x14ac:dyDescent="0.25">
      <c r="A552" s="1"/>
      <c r="B552" s="1"/>
      <c r="C552" s="15"/>
      <c r="D552" s="17"/>
      <c r="E552" s="1"/>
      <c r="F552" s="17"/>
      <c r="G552" s="1"/>
      <c r="H552" s="1"/>
      <c r="I552" s="17"/>
      <c r="J552" s="17"/>
      <c r="K552" s="1"/>
      <c r="L552" s="1"/>
      <c r="M552" s="1"/>
      <c r="N552" s="1"/>
      <c r="O552" s="1"/>
      <c r="P552" s="1"/>
      <c r="Q552" s="1"/>
      <c r="R552" s="1"/>
      <c r="S552" s="1"/>
      <c r="T552" s="1"/>
      <c r="U552" s="1"/>
      <c r="V552" s="1"/>
      <c r="W552" s="1"/>
      <c r="X552" s="1"/>
      <c r="Y552" s="1"/>
    </row>
    <row r="553" spans="1:25" ht="15.75" customHeight="1" x14ac:dyDescent="0.25">
      <c r="A553" s="1"/>
      <c r="B553" s="1"/>
      <c r="C553" s="15"/>
      <c r="D553" s="17"/>
      <c r="E553" s="1"/>
      <c r="F553" s="17"/>
      <c r="G553" s="1"/>
      <c r="H553" s="1"/>
      <c r="I553" s="17"/>
      <c r="J553" s="17"/>
      <c r="K553" s="1"/>
      <c r="L553" s="1"/>
      <c r="M553" s="1"/>
      <c r="N553" s="1"/>
      <c r="O553" s="1"/>
      <c r="P553" s="1"/>
      <c r="Q553" s="1"/>
      <c r="R553" s="1"/>
      <c r="S553" s="1"/>
      <c r="T553" s="1"/>
      <c r="U553" s="1"/>
      <c r="V553" s="1"/>
      <c r="W553" s="1"/>
      <c r="X553" s="1"/>
      <c r="Y553" s="1"/>
    </row>
    <row r="554" spans="1:25" ht="15.75" customHeight="1" x14ac:dyDescent="0.25">
      <c r="A554" s="1"/>
      <c r="B554" s="1"/>
      <c r="C554" s="15"/>
      <c r="D554" s="17"/>
      <c r="E554" s="1"/>
      <c r="F554" s="17"/>
      <c r="G554" s="1"/>
      <c r="H554" s="1"/>
      <c r="I554" s="17"/>
      <c r="J554" s="17"/>
      <c r="K554" s="1"/>
      <c r="L554" s="1"/>
      <c r="M554" s="1"/>
      <c r="N554" s="1"/>
      <c r="O554" s="1"/>
      <c r="P554" s="1"/>
      <c r="Q554" s="1"/>
      <c r="R554" s="1"/>
      <c r="S554" s="1"/>
      <c r="T554" s="1"/>
      <c r="U554" s="1"/>
      <c r="V554" s="1"/>
      <c r="W554" s="1"/>
      <c r="X554" s="1"/>
      <c r="Y554" s="1"/>
    </row>
    <row r="555" spans="1:25" ht="15.75" customHeight="1" x14ac:dyDescent="0.25">
      <c r="A555" s="1"/>
      <c r="B555" s="1"/>
      <c r="C555" s="15"/>
      <c r="D555" s="17"/>
      <c r="E555" s="1"/>
      <c r="F555" s="17"/>
      <c r="G555" s="1"/>
      <c r="H555" s="1"/>
      <c r="I555" s="17"/>
      <c r="J555" s="17"/>
      <c r="K555" s="1"/>
      <c r="L555" s="1"/>
      <c r="M555" s="1"/>
      <c r="N555" s="1"/>
      <c r="O555" s="1"/>
      <c r="P555" s="1"/>
      <c r="Q555" s="1"/>
      <c r="R555" s="1"/>
      <c r="S555" s="1"/>
      <c r="T555" s="1"/>
      <c r="U555" s="1"/>
      <c r="V555" s="1"/>
      <c r="W555" s="1"/>
      <c r="X555" s="1"/>
      <c r="Y555" s="1"/>
    </row>
    <row r="556" spans="1:25" ht="15.75" customHeight="1" x14ac:dyDescent="0.25">
      <c r="A556" s="1"/>
      <c r="B556" s="1"/>
      <c r="C556" s="15"/>
      <c r="D556" s="17"/>
      <c r="E556" s="1"/>
      <c r="F556" s="17"/>
      <c r="G556" s="1"/>
      <c r="H556" s="1"/>
      <c r="I556" s="17"/>
      <c r="J556" s="17"/>
      <c r="K556" s="1"/>
      <c r="L556" s="1"/>
      <c r="M556" s="1"/>
      <c r="N556" s="1"/>
      <c r="O556" s="1"/>
      <c r="P556" s="1"/>
      <c r="Q556" s="1"/>
      <c r="R556" s="1"/>
      <c r="S556" s="1"/>
      <c r="T556" s="1"/>
      <c r="U556" s="1"/>
      <c r="V556" s="1"/>
      <c r="W556" s="1"/>
      <c r="X556" s="1"/>
      <c r="Y556" s="1"/>
    </row>
    <row r="557" spans="1:25" ht="15.75" customHeight="1" x14ac:dyDescent="0.25">
      <c r="A557" s="1"/>
      <c r="B557" s="1"/>
      <c r="C557" s="15"/>
      <c r="D557" s="17"/>
      <c r="E557" s="1"/>
      <c r="F557" s="17"/>
      <c r="G557" s="1"/>
      <c r="H557" s="1"/>
      <c r="I557" s="17"/>
      <c r="J557" s="17"/>
      <c r="K557" s="1"/>
      <c r="L557" s="1"/>
      <c r="M557" s="1"/>
      <c r="N557" s="1"/>
      <c r="O557" s="1"/>
      <c r="P557" s="1"/>
      <c r="Q557" s="1"/>
      <c r="R557" s="1"/>
      <c r="S557" s="1"/>
      <c r="T557" s="1"/>
      <c r="U557" s="1"/>
      <c r="V557" s="1"/>
      <c r="W557" s="1"/>
      <c r="X557" s="1"/>
      <c r="Y557" s="1"/>
    </row>
    <row r="558" spans="1:25" ht="15.75" customHeight="1" x14ac:dyDescent="0.25">
      <c r="A558" s="1"/>
      <c r="B558" s="1"/>
      <c r="C558" s="15"/>
      <c r="D558" s="17"/>
      <c r="E558" s="1"/>
      <c r="F558" s="17"/>
      <c r="G558" s="1"/>
      <c r="H558" s="1"/>
      <c r="I558" s="17"/>
      <c r="J558" s="17"/>
      <c r="K558" s="1"/>
      <c r="L558" s="1"/>
      <c r="M558" s="1"/>
      <c r="N558" s="1"/>
      <c r="O558" s="1"/>
      <c r="P558" s="1"/>
      <c r="Q558" s="1"/>
      <c r="R558" s="1"/>
      <c r="S558" s="1"/>
      <c r="T558" s="1"/>
      <c r="U558" s="1"/>
      <c r="V558" s="1"/>
      <c r="W558" s="1"/>
      <c r="X558" s="1"/>
      <c r="Y558" s="1"/>
    </row>
    <row r="559" spans="1:25" ht="15.75" customHeight="1" x14ac:dyDescent="0.25">
      <c r="A559" s="1"/>
      <c r="B559" s="1"/>
      <c r="C559" s="15"/>
      <c r="D559" s="17"/>
      <c r="E559" s="1"/>
      <c r="F559" s="17"/>
      <c r="G559" s="1"/>
      <c r="H559" s="1"/>
      <c r="I559" s="17"/>
      <c r="J559" s="17"/>
      <c r="K559" s="1"/>
      <c r="L559" s="1"/>
      <c r="M559" s="1"/>
      <c r="N559" s="1"/>
      <c r="O559" s="1"/>
      <c r="P559" s="1"/>
      <c r="Q559" s="1"/>
      <c r="R559" s="1"/>
      <c r="S559" s="1"/>
      <c r="T559" s="1"/>
      <c r="U559" s="1"/>
      <c r="V559" s="1"/>
      <c r="W559" s="1"/>
      <c r="X559" s="1"/>
      <c r="Y559" s="1"/>
    </row>
    <row r="560" spans="1:25" ht="15.75" customHeight="1" x14ac:dyDescent="0.25">
      <c r="A560" s="1"/>
      <c r="B560" s="1"/>
      <c r="C560" s="15"/>
      <c r="D560" s="17"/>
      <c r="E560" s="1"/>
      <c r="F560" s="17"/>
      <c r="G560" s="1"/>
      <c r="H560" s="1"/>
      <c r="I560" s="17"/>
      <c r="J560" s="17"/>
      <c r="K560" s="1"/>
      <c r="L560" s="1"/>
      <c r="M560" s="1"/>
      <c r="N560" s="1"/>
      <c r="O560" s="1"/>
      <c r="P560" s="1"/>
      <c r="Q560" s="1"/>
      <c r="R560" s="1"/>
      <c r="S560" s="1"/>
      <c r="T560" s="1"/>
      <c r="U560" s="1"/>
      <c r="V560" s="1"/>
      <c r="W560" s="1"/>
      <c r="X560" s="1"/>
      <c r="Y560" s="1"/>
    </row>
    <row r="561" spans="1:25" ht="15.75" customHeight="1" x14ac:dyDescent="0.25">
      <c r="A561" s="1"/>
      <c r="B561" s="1"/>
      <c r="C561" s="15"/>
      <c r="D561" s="17"/>
      <c r="E561" s="1"/>
      <c r="F561" s="17"/>
      <c r="G561" s="1"/>
      <c r="H561" s="1"/>
      <c r="I561" s="17"/>
      <c r="J561" s="17"/>
      <c r="K561" s="1"/>
      <c r="L561" s="1"/>
      <c r="M561" s="1"/>
      <c r="N561" s="1"/>
      <c r="O561" s="1"/>
      <c r="P561" s="1"/>
      <c r="Q561" s="1"/>
      <c r="R561" s="1"/>
      <c r="S561" s="1"/>
      <c r="T561" s="1"/>
      <c r="U561" s="1"/>
      <c r="V561" s="1"/>
      <c r="W561" s="1"/>
      <c r="X561" s="1"/>
      <c r="Y561" s="1"/>
    </row>
    <row r="562" spans="1:25" ht="15.75" customHeight="1" x14ac:dyDescent="0.25">
      <c r="A562" s="1"/>
      <c r="B562" s="1"/>
      <c r="C562" s="15"/>
      <c r="D562" s="17"/>
      <c r="E562" s="1"/>
      <c r="F562" s="17"/>
      <c r="G562" s="1"/>
      <c r="H562" s="1"/>
      <c r="I562" s="17"/>
      <c r="J562" s="17"/>
      <c r="K562" s="1"/>
      <c r="L562" s="1"/>
      <c r="M562" s="1"/>
      <c r="N562" s="1"/>
      <c r="O562" s="1"/>
      <c r="P562" s="1"/>
      <c r="Q562" s="1"/>
      <c r="R562" s="1"/>
      <c r="S562" s="1"/>
      <c r="T562" s="1"/>
      <c r="U562" s="1"/>
      <c r="V562" s="1"/>
      <c r="W562" s="1"/>
      <c r="X562" s="1"/>
      <c r="Y562" s="1"/>
    </row>
    <row r="563" spans="1:25" ht="15.75" customHeight="1" x14ac:dyDescent="0.25">
      <c r="A563" s="1"/>
      <c r="B563" s="1"/>
      <c r="C563" s="15"/>
      <c r="D563" s="17"/>
      <c r="E563" s="1"/>
      <c r="F563" s="17"/>
      <c r="G563" s="1"/>
      <c r="H563" s="1"/>
      <c r="I563" s="17"/>
      <c r="J563" s="17"/>
      <c r="K563" s="1"/>
      <c r="L563" s="1"/>
      <c r="M563" s="1"/>
      <c r="N563" s="1"/>
      <c r="O563" s="1"/>
      <c r="P563" s="1"/>
      <c r="Q563" s="1"/>
      <c r="R563" s="1"/>
      <c r="S563" s="1"/>
      <c r="T563" s="1"/>
      <c r="U563" s="1"/>
      <c r="V563" s="1"/>
      <c r="W563" s="1"/>
      <c r="X563" s="1"/>
      <c r="Y563" s="1"/>
    </row>
    <row r="564" spans="1:25" ht="15.75" customHeight="1" x14ac:dyDescent="0.25">
      <c r="A564" s="1"/>
      <c r="B564" s="1"/>
      <c r="C564" s="15"/>
      <c r="D564" s="17"/>
      <c r="E564" s="1"/>
      <c r="F564" s="17"/>
      <c r="G564" s="1"/>
      <c r="H564" s="1"/>
      <c r="I564" s="17"/>
      <c r="J564" s="17"/>
      <c r="K564" s="1"/>
      <c r="L564" s="1"/>
      <c r="M564" s="1"/>
      <c r="N564" s="1"/>
      <c r="O564" s="1"/>
      <c r="P564" s="1"/>
      <c r="Q564" s="1"/>
      <c r="R564" s="1"/>
      <c r="S564" s="1"/>
      <c r="T564" s="1"/>
      <c r="U564" s="1"/>
      <c r="V564" s="1"/>
      <c r="W564" s="1"/>
      <c r="X564" s="1"/>
      <c r="Y564" s="1"/>
    </row>
    <row r="565" spans="1:25" ht="15.75" customHeight="1" x14ac:dyDescent="0.25">
      <c r="A565" s="1"/>
      <c r="B565" s="1"/>
      <c r="C565" s="15"/>
      <c r="D565" s="17"/>
      <c r="E565" s="1"/>
      <c r="F565" s="17"/>
      <c r="G565" s="1"/>
      <c r="H565" s="1"/>
      <c r="I565" s="17"/>
      <c r="J565" s="17"/>
      <c r="K565" s="1"/>
      <c r="L565" s="1"/>
      <c r="M565" s="1"/>
      <c r="N565" s="1"/>
      <c r="O565" s="1"/>
      <c r="P565" s="1"/>
      <c r="Q565" s="1"/>
      <c r="R565" s="1"/>
      <c r="S565" s="1"/>
      <c r="T565" s="1"/>
      <c r="U565" s="1"/>
      <c r="V565" s="1"/>
      <c r="W565" s="1"/>
      <c r="X565" s="1"/>
      <c r="Y565" s="1"/>
    </row>
    <row r="566" spans="1:25" ht="15.75" customHeight="1" x14ac:dyDescent="0.25">
      <c r="A566" s="1"/>
      <c r="B566" s="1"/>
      <c r="C566" s="15"/>
      <c r="D566" s="17"/>
      <c r="E566" s="1"/>
      <c r="F566" s="17"/>
      <c r="G566" s="1"/>
      <c r="H566" s="1"/>
      <c r="I566" s="17"/>
      <c r="J566" s="17"/>
      <c r="K566" s="1"/>
      <c r="L566" s="1"/>
      <c r="M566" s="1"/>
      <c r="N566" s="1"/>
      <c r="O566" s="1"/>
      <c r="P566" s="1"/>
      <c r="Q566" s="1"/>
      <c r="R566" s="1"/>
      <c r="S566" s="1"/>
      <c r="T566" s="1"/>
      <c r="U566" s="1"/>
      <c r="V566" s="1"/>
      <c r="W566" s="1"/>
      <c r="X566" s="1"/>
      <c r="Y566" s="1"/>
    </row>
    <row r="567" spans="1:25" ht="15.75" customHeight="1" x14ac:dyDescent="0.25">
      <c r="A567" s="1"/>
      <c r="B567" s="1"/>
      <c r="C567" s="15"/>
      <c r="D567" s="17"/>
      <c r="E567" s="1"/>
      <c r="F567" s="17"/>
      <c r="G567" s="1"/>
      <c r="H567" s="1"/>
      <c r="I567" s="17"/>
      <c r="J567" s="17"/>
      <c r="K567" s="1"/>
      <c r="L567" s="1"/>
      <c r="M567" s="1"/>
      <c r="N567" s="1"/>
      <c r="O567" s="1"/>
      <c r="P567" s="1"/>
      <c r="Q567" s="1"/>
      <c r="R567" s="1"/>
      <c r="S567" s="1"/>
      <c r="T567" s="1"/>
      <c r="U567" s="1"/>
      <c r="V567" s="1"/>
      <c r="W567" s="1"/>
      <c r="X567" s="1"/>
      <c r="Y567" s="1"/>
    </row>
    <row r="568" spans="1:25" ht="15.75" customHeight="1" x14ac:dyDescent="0.25">
      <c r="A568" s="1"/>
      <c r="B568" s="1"/>
      <c r="C568" s="15"/>
      <c r="D568" s="17"/>
      <c r="E568" s="1"/>
      <c r="F568" s="17"/>
      <c r="G568" s="1"/>
      <c r="H568" s="1"/>
      <c r="I568" s="17"/>
      <c r="J568" s="17"/>
      <c r="K568" s="1"/>
      <c r="L568" s="1"/>
      <c r="M568" s="1"/>
      <c r="N568" s="1"/>
      <c r="O568" s="1"/>
      <c r="P568" s="1"/>
      <c r="Q568" s="1"/>
      <c r="R568" s="1"/>
      <c r="S568" s="1"/>
      <c r="T568" s="1"/>
      <c r="U568" s="1"/>
      <c r="V568" s="1"/>
      <c r="W568" s="1"/>
      <c r="X568" s="1"/>
      <c r="Y568" s="1"/>
    </row>
    <row r="569" spans="1:25" ht="15.75" customHeight="1" x14ac:dyDescent="0.25">
      <c r="A569" s="1"/>
      <c r="B569" s="1"/>
      <c r="C569" s="15"/>
      <c r="D569" s="17"/>
      <c r="E569" s="1"/>
      <c r="F569" s="17"/>
      <c r="G569" s="1"/>
      <c r="H569" s="1"/>
      <c r="I569" s="17"/>
      <c r="J569" s="17"/>
      <c r="K569" s="1"/>
      <c r="L569" s="1"/>
      <c r="M569" s="1"/>
      <c r="N569" s="1"/>
      <c r="O569" s="1"/>
      <c r="P569" s="1"/>
      <c r="Q569" s="1"/>
      <c r="R569" s="1"/>
      <c r="S569" s="1"/>
      <c r="T569" s="1"/>
      <c r="U569" s="1"/>
      <c r="V569" s="1"/>
      <c r="W569" s="1"/>
      <c r="X569" s="1"/>
      <c r="Y569" s="1"/>
    </row>
    <row r="570" spans="1:25" ht="15.75" customHeight="1" x14ac:dyDescent="0.25">
      <c r="A570" s="1"/>
      <c r="B570" s="1"/>
      <c r="C570" s="15"/>
      <c r="D570" s="17"/>
      <c r="E570" s="1"/>
      <c r="F570" s="17"/>
      <c r="G570" s="1"/>
      <c r="H570" s="1"/>
      <c r="I570" s="17"/>
      <c r="J570" s="17"/>
      <c r="K570" s="1"/>
      <c r="L570" s="1"/>
      <c r="M570" s="1"/>
      <c r="N570" s="1"/>
      <c r="O570" s="1"/>
      <c r="P570" s="1"/>
      <c r="Q570" s="1"/>
      <c r="R570" s="1"/>
      <c r="S570" s="1"/>
      <c r="T570" s="1"/>
      <c r="U570" s="1"/>
      <c r="V570" s="1"/>
      <c r="W570" s="1"/>
      <c r="X570" s="1"/>
      <c r="Y570" s="1"/>
    </row>
    <row r="571" spans="1:25" ht="15.75" customHeight="1" x14ac:dyDescent="0.25">
      <c r="A571" s="1"/>
      <c r="B571" s="1"/>
      <c r="C571" s="15"/>
      <c r="D571" s="17"/>
      <c r="E571" s="1"/>
      <c r="F571" s="17"/>
      <c r="G571" s="1"/>
      <c r="H571" s="1"/>
      <c r="I571" s="17"/>
      <c r="J571" s="17"/>
      <c r="K571" s="1"/>
      <c r="L571" s="1"/>
      <c r="M571" s="1"/>
      <c r="N571" s="1"/>
      <c r="O571" s="1"/>
      <c r="P571" s="1"/>
      <c r="Q571" s="1"/>
      <c r="R571" s="1"/>
      <c r="S571" s="1"/>
      <c r="T571" s="1"/>
      <c r="U571" s="1"/>
      <c r="V571" s="1"/>
      <c r="W571" s="1"/>
      <c r="X571" s="1"/>
      <c r="Y571" s="1"/>
    </row>
    <row r="572" spans="1:25" ht="15.75" customHeight="1" x14ac:dyDescent="0.25">
      <c r="A572" s="1"/>
      <c r="B572" s="1"/>
      <c r="C572" s="15"/>
      <c r="D572" s="17"/>
      <c r="E572" s="1"/>
      <c r="F572" s="17"/>
      <c r="G572" s="1"/>
      <c r="H572" s="1"/>
      <c r="I572" s="17"/>
      <c r="J572" s="17"/>
      <c r="K572" s="1"/>
      <c r="L572" s="1"/>
      <c r="M572" s="1"/>
      <c r="N572" s="1"/>
      <c r="O572" s="1"/>
      <c r="P572" s="1"/>
      <c r="Q572" s="1"/>
      <c r="R572" s="1"/>
      <c r="S572" s="1"/>
      <c r="T572" s="1"/>
      <c r="U572" s="1"/>
      <c r="V572" s="1"/>
      <c r="W572" s="1"/>
      <c r="X572" s="1"/>
      <c r="Y572" s="1"/>
    </row>
    <row r="573" spans="1:25" ht="15.75" customHeight="1" x14ac:dyDescent="0.25">
      <c r="A573" s="1"/>
      <c r="B573" s="1"/>
      <c r="C573" s="15"/>
      <c r="D573" s="17"/>
      <c r="E573" s="1"/>
      <c r="F573" s="17"/>
      <c r="G573" s="1"/>
      <c r="H573" s="1"/>
      <c r="I573" s="17"/>
      <c r="J573" s="17"/>
      <c r="K573" s="1"/>
      <c r="L573" s="1"/>
      <c r="M573" s="1"/>
      <c r="N573" s="1"/>
      <c r="O573" s="1"/>
      <c r="P573" s="1"/>
      <c r="Q573" s="1"/>
      <c r="R573" s="1"/>
      <c r="S573" s="1"/>
      <c r="T573" s="1"/>
      <c r="U573" s="1"/>
      <c r="V573" s="1"/>
      <c r="W573" s="1"/>
      <c r="X573" s="1"/>
      <c r="Y573" s="1"/>
    </row>
    <row r="574" spans="1:25" ht="15.75" customHeight="1" x14ac:dyDescent="0.25">
      <c r="A574" s="1"/>
      <c r="B574" s="1"/>
      <c r="C574" s="15"/>
      <c r="D574" s="17"/>
      <c r="E574" s="1"/>
      <c r="F574" s="17"/>
      <c r="G574" s="1"/>
      <c r="H574" s="1"/>
      <c r="I574" s="17"/>
      <c r="J574" s="17"/>
      <c r="K574" s="1"/>
      <c r="L574" s="1"/>
      <c r="M574" s="1"/>
      <c r="N574" s="1"/>
      <c r="O574" s="1"/>
      <c r="P574" s="1"/>
      <c r="Q574" s="1"/>
      <c r="R574" s="1"/>
      <c r="S574" s="1"/>
      <c r="T574" s="1"/>
      <c r="U574" s="1"/>
      <c r="V574" s="1"/>
      <c r="W574" s="1"/>
      <c r="X574" s="1"/>
      <c r="Y574" s="1"/>
    </row>
    <row r="575" spans="1:25" ht="15.75" customHeight="1" x14ac:dyDescent="0.25">
      <c r="A575" s="1"/>
      <c r="B575" s="1"/>
      <c r="C575" s="15"/>
      <c r="D575" s="17"/>
      <c r="E575" s="1"/>
      <c r="F575" s="17"/>
      <c r="G575" s="1"/>
      <c r="H575" s="1"/>
      <c r="I575" s="17"/>
      <c r="J575" s="17"/>
      <c r="K575" s="1"/>
      <c r="L575" s="1"/>
      <c r="M575" s="1"/>
      <c r="N575" s="1"/>
      <c r="O575" s="1"/>
      <c r="P575" s="1"/>
      <c r="Q575" s="1"/>
      <c r="R575" s="1"/>
      <c r="S575" s="1"/>
      <c r="T575" s="1"/>
      <c r="U575" s="1"/>
      <c r="V575" s="1"/>
      <c r="W575" s="1"/>
      <c r="X575" s="1"/>
      <c r="Y575" s="1"/>
    </row>
    <row r="576" spans="1:25" ht="15.75" customHeight="1" x14ac:dyDescent="0.25">
      <c r="A576" s="1"/>
      <c r="B576" s="1"/>
      <c r="C576" s="15"/>
      <c r="D576" s="17"/>
      <c r="E576" s="1"/>
      <c r="F576" s="17"/>
      <c r="G576" s="1"/>
      <c r="H576" s="1"/>
      <c r="I576" s="17"/>
      <c r="J576" s="17"/>
      <c r="K576" s="1"/>
      <c r="L576" s="1"/>
      <c r="M576" s="1"/>
      <c r="N576" s="1"/>
      <c r="O576" s="1"/>
      <c r="P576" s="1"/>
      <c r="Q576" s="1"/>
      <c r="R576" s="1"/>
      <c r="S576" s="1"/>
      <c r="T576" s="1"/>
      <c r="U576" s="1"/>
      <c r="V576" s="1"/>
      <c r="W576" s="1"/>
      <c r="X576" s="1"/>
      <c r="Y576" s="1"/>
    </row>
    <row r="577" spans="1:25" ht="15.75" customHeight="1" x14ac:dyDescent="0.25">
      <c r="A577" s="1"/>
      <c r="B577" s="1"/>
      <c r="C577" s="15"/>
      <c r="D577" s="17"/>
      <c r="E577" s="1"/>
      <c r="F577" s="17"/>
      <c r="G577" s="1"/>
      <c r="H577" s="1"/>
      <c r="I577" s="17"/>
      <c r="J577" s="17"/>
      <c r="K577" s="1"/>
      <c r="L577" s="1"/>
      <c r="M577" s="1"/>
      <c r="N577" s="1"/>
      <c r="O577" s="1"/>
      <c r="P577" s="1"/>
      <c r="Q577" s="1"/>
      <c r="R577" s="1"/>
      <c r="S577" s="1"/>
      <c r="T577" s="1"/>
      <c r="U577" s="1"/>
      <c r="V577" s="1"/>
      <c r="W577" s="1"/>
      <c r="X577" s="1"/>
      <c r="Y577" s="1"/>
    </row>
    <row r="578" spans="1:25" ht="15.75" customHeight="1" x14ac:dyDescent="0.25">
      <c r="A578" s="1"/>
      <c r="B578" s="1"/>
      <c r="C578" s="15"/>
      <c r="D578" s="17"/>
      <c r="E578" s="1"/>
      <c r="F578" s="17"/>
      <c r="G578" s="1"/>
      <c r="H578" s="1"/>
      <c r="I578" s="17"/>
      <c r="J578" s="17"/>
      <c r="K578" s="1"/>
      <c r="L578" s="1"/>
      <c r="M578" s="1"/>
      <c r="N578" s="1"/>
      <c r="O578" s="1"/>
      <c r="P578" s="1"/>
      <c r="Q578" s="1"/>
      <c r="R578" s="1"/>
      <c r="S578" s="1"/>
      <c r="T578" s="1"/>
      <c r="U578" s="1"/>
      <c r="V578" s="1"/>
      <c r="W578" s="1"/>
      <c r="X578" s="1"/>
      <c r="Y578" s="1"/>
    </row>
    <row r="579" spans="1:25" ht="15.75" customHeight="1" x14ac:dyDescent="0.25">
      <c r="A579" s="1"/>
      <c r="B579" s="1"/>
      <c r="C579" s="15"/>
      <c r="D579" s="17"/>
      <c r="E579" s="1"/>
      <c r="F579" s="17"/>
      <c r="G579" s="1"/>
      <c r="H579" s="1"/>
      <c r="I579" s="17"/>
      <c r="J579" s="17"/>
      <c r="K579" s="1"/>
      <c r="L579" s="1"/>
      <c r="M579" s="1"/>
      <c r="N579" s="1"/>
      <c r="O579" s="1"/>
      <c r="P579" s="1"/>
      <c r="Q579" s="1"/>
      <c r="R579" s="1"/>
      <c r="S579" s="1"/>
      <c r="T579" s="1"/>
      <c r="U579" s="1"/>
      <c r="V579" s="1"/>
      <c r="W579" s="1"/>
      <c r="X579" s="1"/>
      <c r="Y579" s="1"/>
    </row>
    <row r="580" spans="1:25" ht="15.75" customHeight="1" x14ac:dyDescent="0.25">
      <c r="A580" s="1"/>
      <c r="B580" s="1"/>
      <c r="C580" s="15"/>
      <c r="D580" s="17"/>
      <c r="E580" s="1"/>
      <c r="F580" s="17"/>
      <c r="G580" s="1"/>
      <c r="H580" s="1"/>
      <c r="I580" s="17"/>
      <c r="J580" s="17"/>
      <c r="K580" s="1"/>
      <c r="L580" s="1"/>
      <c r="M580" s="1"/>
      <c r="N580" s="1"/>
      <c r="O580" s="1"/>
      <c r="P580" s="1"/>
      <c r="Q580" s="1"/>
      <c r="R580" s="1"/>
      <c r="S580" s="1"/>
      <c r="T580" s="1"/>
      <c r="U580" s="1"/>
      <c r="V580" s="1"/>
      <c r="W580" s="1"/>
      <c r="X580" s="1"/>
      <c r="Y580" s="1"/>
    </row>
    <row r="581" spans="1:25" ht="15.75" customHeight="1" x14ac:dyDescent="0.25">
      <c r="A581" s="1"/>
      <c r="B581" s="1"/>
      <c r="C581" s="15"/>
      <c r="D581" s="17"/>
      <c r="E581" s="1"/>
      <c r="F581" s="17"/>
      <c r="G581" s="1"/>
      <c r="H581" s="1"/>
      <c r="I581" s="17"/>
      <c r="J581" s="17"/>
      <c r="K581" s="1"/>
      <c r="L581" s="1"/>
      <c r="M581" s="1"/>
      <c r="N581" s="1"/>
      <c r="O581" s="1"/>
      <c r="P581" s="1"/>
      <c r="Q581" s="1"/>
      <c r="R581" s="1"/>
      <c r="S581" s="1"/>
      <c r="T581" s="1"/>
      <c r="U581" s="1"/>
      <c r="V581" s="1"/>
      <c r="W581" s="1"/>
      <c r="X581" s="1"/>
      <c r="Y581" s="1"/>
    </row>
    <row r="582" spans="1:25" ht="15.75" customHeight="1" x14ac:dyDescent="0.25">
      <c r="A582" s="1"/>
      <c r="B582" s="1"/>
      <c r="C582" s="15"/>
      <c r="D582" s="17"/>
      <c r="E582" s="1"/>
      <c r="F582" s="17"/>
      <c r="G582" s="1"/>
      <c r="H582" s="1"/>
      <c r="I582" s="17"/>
      <c r="J582" s="17"/>
      <c r="K582" s="1"/>
      <c r="L582" s="1"/>
      <c r="M582" s="1"/>
      <c r="N582" s="1"/>
      <c r="O582" s="1"/>
      <c r="P582" s="1"/>
      <c r="Q582" s="1"/>
      <c r="R582" s="1"/>
      <c r="S582" s="1"/>
      <c r="T582" s="1"/>
      <c r="U582" s="1"/>
      <c r="V582" s="1"/>
      <c r="W582" s="1"/>
      <c r="X582" s="1"/>
      <c r="Y582" s="1"/>
    </row>
    <row r="583" spans="1:25" ht="15.75" customHeight="1" x14ac:dyDescent="0.25">
      <c r="A583" s="1"/>
      <c r="B583" s="1"/>
      <c r="C583" s="15"/>
      <c r="D583" s="17"/>
      <c r="E583" s="1"/>
      <c r="F583" s="17"/>
      <c r="G583" s="1"/>
      <c r="H583" s="1"/>
      <c r="I583" s="17"/>
      <c r="J583" s="17"/>
      <c r="K583" s="1"/>
      <c r="L583" s="1"/>
      <c r="M583" s="1"/>
      <c r="N583" s="1"/>
      <c r="O583" s="1"/>
      <c r="P583" s="1"/>
      <c r="Q583" s="1"/>
      <c r="R583" s="1"/>
      <c r="S583" s="1"/>
      <c r="T583" s="1"/>
      <c r="U583" s="1"/>
      <c r="V583" s="1"/>
      <c r="W583" s="1"/>
      <c r="X583" s="1"/>
      <c r="Y583" s="1"/>
    </row>
    <row r="584" spans="1:25" ht="15.75" customHeight="1" x14ac:dyDescent="0.25">
      <c r="A584" s="1"/>
      <c r="B584" s="1"/>
      <c r="C584" s="15"/>
      <c r="D584" s="17"/>
      <c r="E584" s="1"/>
      <c r="F584" s="17"/>
      <c r="G584" s="1"/>
      <c r="H584" s="1"/>
      <c r="I584" s="17"/>
      <c r="J584" s="17"/>
      <c r="K584" s="1"/>
      <c r="L584" s="1"/>
      <c r="M584" s="1"/>
      <c r="N584" s="1"/>
      <c r="O584" s="1"/>
      <c r="P584" s="1"/>
      <c r="Q584" s="1"/>
      <c r="R584" s="1"/>
      <c r="S584" s="1"/>
      <c r="T584" s="1"/>
      <c r="U584" s="1"/>
      <c r="V584" s="1"/>
      <c r="W584" s="1"/>
      <c r="X584" s="1"/>
      <c r="Y584" s="1"/>
    </row>
    <row r="585" spans="1:25" ht="15.75" customHeight="1" x14ac:dyDescent="0.25">
      <c r="A585" s="1"/>
      <c r="B585" s="1"/>
      <c r="C585" s="15"/>
      <c r="D585" s="17"/>
      <c r="E585" s="1"/>
      <c r="F585" s="17"/>
      <c r="G585" s="1"/>
      <c r="H585" s="1"/>
      <c r="I585" s="17"/>
      <c r="J585" s="17"/>
      <c r="K585" s="1"/>
      <c r="L585" s="1"/>
      <c r="M585" s="1"/>
      <c r="N585" s="1"/>
      <c r="O585" s="1"/>
      <c r="P585" s="1"/>
      <c r="Q585" s="1"/>
      <c r="R585" s="1"/>
      <c r="S585" s="1"/>
      <c r="T585" s="1"/>
      <c r="U585" s="1"/>
      <c r="V585" s="1"/>
      <c r="W585" s="1"/>
      <c r="X585" s="1"/>
      <c r="Y585" s="1"/>
    </row>
    <row r="586" spans="1:25" ht="15.75" customHeight="1" x14ac:dyDescent="0.25">
      <c r="A586" s="1"/>
      <c r="B586" s="1"/>
      <c r="C586" s="15"/>
      <c r="D586" s="17"/>
      <c r="E586" s="1"/>
      <c r="F586" s="17"/>
      <c r="G586" s="1"/>
      <c r="H586" s="1"/>
      <c r="I586" s="17"/>
      <c r="J586" s="17"/>
      <c r="K586" s="1"/>
      <c r="L586" s="1"/>
      <c r="M586" s="1"/>
      <c r="N586" s="1"/>
      <c r="O586" s="1"/>
      <c r="P586" s="1"/>
      <c r="Q586" s="1"/>
      <c r="R586" s="1"/>
      <c r="S586" s="1"/>
      <c r="T586" s="1"/>
      <c r="U586" s="1"/>
      <c r="V586" s="1"/>
      <c r="W586" s="1"/>
      <c r="X586" s="1"/>
      <c r="Y586" s="1"/>
    </row>
    <row r="587" spans="1:25" ht="15.75" customHeight="1" x14ac:dyDescent="0.25">
      <c r="A587" s="1"/>
      <c r="B587" s="1"/>
      <c r="C587" s="15"/>
      <c r="D587" s="17"/>
      <c r="E587" s="1"/>
      <c r="F587" s="17"/>
      <c r="G587" s="1"/>
      <c r="H587" s="1"/>
      <c r="I587" s="17"/>
      <c r="J587" s="17"/>
      <c r="K587" s="1"/>
      <c r="L587" s="1"/>
      <c r="M587" s="1"/>
      <c r="N587" s="1"/>
      <c r="O587" s="1"/>
      <c r="P587" s="1"/>
      <c r="Q587" s="1"/>
      <c r="R587" s="1"/>
      <c r="S587" s="1"/>
      <c r="T587" s="1"/>
      <c r="U587" s="1"/>
      <c r="V587" s="1"/>
      <c r="W587" s="1"/>
      <c r="X587" s="1"/>
      <c r="Y587" s="1"/>
    </row>
    <row r="588" spans="1:25" ht="15.75" customHeight="1" x14ac:dyDescent="0.25">
      <c r="A588" s="1"/>
      <c r="B588" s="1"/>
      <c r="C588" s="15"/>
      <c r="D588" s="17"/>
      <c r="E588" s="1"/>
      <c r="F588" s="17"/>
      <c r="G588" s="1"/>
      <c r="H588" s="1"/>
      <c r="I588" s="17"/>
      <c r="J588" s="17"/>
      <c r="K588" s="1"/>
      <c r="L588" s="1"/>
      <c r="M588" s="1"/>
      <c r="N588" s="1"/>
      <c r="O588" s="1"/>
      <c r="P588" s="1"/>
      <c r="Q588" s="1"/>
      <c r="R588" s="1"/>
      <c r="S588" s="1"/>
      <c r="T588" s="1"/>
      <c r="U588" s="1"/>
      <c r="V588" s="1"/>
      <c r="W588" s="1"/>
      <c r="X588" s="1"/>
      <c r="Y588" s="1"/>
    </row>
    <row r="589" spans="1:25" ht="15.75" customHeight="1" x14ac:dyDescent="0.25">
      <c r="A589" s="1"/>
      <c r="B589" s="1"/>
      <c r="C589" s="15"/>
      <c r="D589" s="17"/>
      <c r="E589" s="1"/>
      <c r="F589" s="17"/>
      <c r="G589" s="1"/>
      <c r="H589" s="1"/>
      <c r="I589" s="17"/>
      <c r="J589" s="17"/>
      <c r="K589" s="1"/>
      <c r="L589" s="1"/>
      <c r="M589" s="1"/>
      <c r="N589" s="1"/>
      <c r="O589" s="1"/>
      <c r="P589" s="1"/>
      <c r="Q589" s="1"/>
      <c r="R589" s="1"/>
      <c r="S589" s="1"/>
      <c r="T589" s="1"/>
      <c r="U589" s="1"/>
      <c r="V589" s="1"/>
      <c r="W589" s="1"/>
      <c r="X589" s="1"/>
      <c r="Y589" s="1"/>
    </row>
    <row r="590" spans="1:25" ht="15.75" customHeight="1" x14ac:dyDescent="0.25">
      <c r="A590" s="1"/>
      <c r="B590" s="1"/>
      <c r="C590" s="15"/>
      <c r="D590" s="17"/>
      <c r="E590" s="1"/>
      <c r="F590" s="17"/>
      <c r="G590" s="1"/>
      <c r="H590" s="1"/>
      <c r="I590" s="17"/>
      <c r="J590" s="17"/>
      <c r="K590" s="1"/>
      <c r="L590" s="1"/>
      <c r="M590" s="1"/>
      <c r="N590" s="1"/>
      <c r="O590" s="1"/>
      <c r="P590" s="1"/>
      <c r="Q590" s="1"/>
      <c r="R590" s="1"/>
      <c r="S590" s="1"/>
      <c r="T590" s="1"/>
      <c r="U590" s="1"/>
      <c r="V590" s="1"/>
      <c r="W590" s="1"/>
      <c r="X590" s="1"/>
      <c r="Y590" s="1"/>
    </row>
    <row r="591" spans="1:25" ht="15.75" customHeight="1" x14ac:dyDescent="0.25">
      <c r="A591" s="1"/>
      <c r="B591" s="1"/>
      <c r="C591" s="15"/>
      <c r="D591" s="17"/>
      <c r="E591" s="1"/>
      <c r="F591" s="17"/>
      <c r="G591" s="1"/>
      <c r="H591" s="1"/>
      <c r="I591" s="17"/>
      <c r="J591" s="17"/>
      <c r="K591" s="1"/>
      <c r="L591" s="1"/>
      <c r="M591" s="1"/>
      <c r="N591" s="1"/>
      <c r="O591" s="1"/>
      <c r="P591" s="1"/>
      <c r="Q591" s="1"/>
      <c r="R591" s="1"/>
      <c r="S591" s="1"/>
      <c r="T591" s="1"/>
      <c r="U591" s="1"/>
      <c r="V591" s="1"/>
      <c r="W591" s="1"/>
      <c r="X591" s="1"/>
      <c r="Y591" s="1"/>
    </row>
    <row r="592" spans="1:25" ht="15.75" customHeight="1" x14ac:dyDescent="0.25">
      <c r="A592" s="1"/>
      <c r="B592" s="1"/>
      <c r="C592" s="15"/>
      <c r="D592" s="17"/>
      <c r="E592" s="1"/>
      <c r="F592" s="17"/>
      <c r="G592" s="1"/>
      <c r="H592" s="1"/>
      <c r="I592" s="17"/>
      <c r="J592" s="17"/>
      <c r="K592" s="1"/>
      <c r="L592" s="1"/>
      <c r="M592" s="1"/>
      <c r="N592" s="1"/>
      <c r="O592" s="1"/>
      <c r="P592" s="1"/>
      <c r="Q592" s="1"/>
      <c r="R592" s="1"/>
      <c r="S592" s="1"/>
      <c r="T592" s="1"/>
      <c r="U592" s="1"/>
      <c r="V592" s="1"/>
      <c r="W592" s="1"/>
      <c r="X592" s="1"/>
      <c r="Y592" s="1"/>
    </row>
    <row r="593" spans="1:25" ht="15.75" customHeight="1" x14ac:dyDescent="0.25">
      <c r="A593" s="1"/>
      <c r="B593" s="1"/>
      <c r="C593" s="15"/>
      <c r="D593" s="17"/>
      <c r="E593" s="1"/>
      <c r="F593" s="17"/>
      <c r="G593" s="1"/>
      <c r="H593" s="1"/>
      <c r="I593" s="17"/>
      <c r="J593" s="17"/>
      <c r="K593" s="1"/>
      <c r="L593" s="1"/>
      <c r="M593" s="1"/>
      <c r="N593" s="1"/>
      <c r="O593" s="1"/>
      <c r="P593" s="1"/>
      <c r="Q593" s="1"/>
      <c r="R593" s="1"/>
      <c r="S593" s="1"/>
      <c r="T593" s="1"/>
      <c r="U593" s="1"/>
      <c r="V593" s="1"/>
      <c r="W593" s="1"/>
      <c r="X593" s="1"/>
      <c r="Y593" s="1"/>
    </row>
    <row r="594" spans="1:25" ht="15.75" customHeight="1" x14ac:dyDescent="0.25">
      <c r="A594" s="1"/>
      <c r="B594" s="1"/>
      <c r="C594" s="15"/>
      <c r="D594" s="17"/>
      <c r="E594" s="1"/>
      <c r="F594" s="17"/>
      <c r="G594" s="1"/>
      <c r="H594" s="1"/>
      <c r="I594" s="17"/>
      <c r="J594" s="17"/>
      <c r="K594" s="1"/>
      <c r="L594" s="1"/>
      <c r="M594" s="1"/>
      <c r="N594" s="1"/>
      <c r="O594" s="1"/>
      <c r="P594" s="1"/>
      <c r="Q594" s="1"/>
      <c r="R594" s="1"/>
      <c r="S594" s="1"/>
      <c r="T594" s="1"/>
      <c r="U594" s="1"/>
      <c r="V594" s="1"/>
      <c r="W594" s="1"/>
      <c r="X594" s="1"/>
      <c r="Y594" s="1"/>
    </row>
    <row r="595" spans="1:25" ht="15.75" customHeight="1" x14ac:dyDescent="0.25">
      <c r="A595" s="1"/>
      <c r="B595" s="1"/>
      <c r="C595" s="15"/>
      <c r="D595" s="17"/>
      <c r="E595" s="1"/>
      <c r="F595" s="17"/>
      <c r="G595" s="1"/>
      <c r="H595" s="1"/>
      <c r="I595" s="17"/>
      <c r="J595" s="17"/>
      <c r="K595" s="1"/>
      <c r="L595" s="1"/>
      <c r="M595" s="1"/>
      <c r="N595" s="1"/>
      <c r="O595" s="1"/>
      <c r="P595" s="1"/>
      <c r="Q595" s="1"/>
      <c r="R595" s="1"/>
      <c r="S595" s="1"/>
      <c r="T595" s="1"/>
      <c r="U595" s="1"/>
      <c r="V595" s="1"/>
      <c r="W595" s="1"/>
      <c r="X595" s="1"/>
      <c r="Y595" s="1"/>
    </row>
    <row r="596" spans="1:25" ht="15.75" customHeight="1" x14ac:dyDescent="0.25">
      <c r="A596" s="1"/>
      <c r="B596" s="1"/>
      <c r="C596" s="15"/>
      <c r="D596" s="17"/>
      <c r="E596" s="1"/>
      <c r="F596" s="17"/>
      <c r="G596" s="1"/>
      <c r="H596" s="1"/>
      <c r="I596" s="17"/>
      <c r="J596" s="17"/>
      <c r="K596" s="1"/>
      <c r="L596" s="1"/>
      <c r="M596" s="1"/>
      <c r="N596" s="1"/>
      <c r="O596" s="1"/>
      <c r="P596" s="1"/>
      <c r="Q596" s="1"/>
      <c r="R596" s="1"/>
      <c r="S596" s="1"/>
      <c r="T596" s="1"/>
      <c r="U596" s="1"/>
      <c r="V596" s="1"/>
      <c r="W596" s="1"/>
      <c r="X596" s="1"/>
      <c r="Y596" s="1"/>
    </row>
    <row r="597" spans="1:25" ht="15.75" customHeight="1" x14ac:dyDescent="0.25">
      <c r="A597" s="1"/>
      <c r="B597" s="1"/>
      <c r="C597" s="15"/>
      <c r="D597" s="17"/>
      <c r="E597" s="1"/>
      <c r="F597" s="17"/>
      <c r="G597" s="1"/>
      <c r="H597" s="1"/>
      <c r="I597" s="17"/>
      <c r="J597" s="17"/>
      <c r="K597" s="1"/>
      <c r="L597" s="1"/>
      <c r="M597" s="1"/>
      <c r="N597" s="1"/>
      <c r="O597" s="1"/>
      <c r="P597" s="1"/>
      <c r="Q597" s="1"/>
      <c r="R597" s="1"/>
      <c r="S597" s="1"/>
      <c r="T597" s="1"/>
      <c r="U597" s="1"/>
      <c r="V597" s="1"/>
      <c r="W597" s="1"/>
      <c r="X597" s="1"/>
      <c r="Y597" s="1"/>
    </row>
    <row r="598" spans="1:25" ht="15.75" customHeight="1" x14ac:dyDescent="0.25">
      <c r="A598" s="1"/>
      <c r="B598" s="1"/>
      <c r="C598" s="15"/>
      <c r="D598" s="17"/>
      <c r="E598" s="1"/>
      <c r="F598" s="17"/>
      <c r="G598" s="1"/>
      <c r="H598" s="1"/>
      <c r="I598" s="17"/>
      <c r="J598" s="17"/>
      <c r="K598" s="1"/>
      <c r="L598" s="1"/>
      <c r="M598" s="1"/>
      <c r="N598" s="1"/>
      <c r="O598" s="1"/>
      <c r="P598" s="1"/>
      <c r="Q598" s="1"/>
      <c r="R598" s="1"/>
      <c r="S598" s="1"/>
      <c r="T598" s="1"/>
      <c r="U598" s="1"/>
      <c r="V598" s="1"/>
      <c r="W598" s="1"/>
      <c r="X598" s="1"/>
      <c r="Y598" s="1"/>
    </row>
    <row r="599" spans="1:25" ht="15.75" customHeight="1" x14ac:dyDescent="0.25">
      <c r="A599" s="1"/>
      <c r="B599" s="1"/>
      <c r="C599" s="15"/>
      <c r="D599" s="17"/>
      <c r="E599" s="1"/>
      <c r="F599" s="17"/>
      <c r="G599" s="1"/>
      <c r="H599" s="1"/>
      <c r="I599" s="17"/>
      <c r="J599" s="17"/>
      <c r="K599" s="1"/>
      <c r="L599" s="1"/>
      <c r="M599" s="1"/>
      <c r="N599" s="1"/>
      <c r="O599" s="1"/>
      <c r="P599" s="1"/>
      <c r="Q599" s="1"/>
      <c r="R599" s="1"/>
      <c r="S599" s="1"/>
      <c r="T599" s="1"/>
      <c r="U599" s="1"/>
      <c r="V599" s="1"/>
      <c r="W599" s="1"/>
      <c r="X599" s="1"/>
      <c r="Y599" s="1"/>
    </row>
    <row r="600" spans="1:25" ht="15.75" customHeight="1" x14ac:dyDescent="0.25">
      <c r="A600" s="1"/>
      <c r="B600" s="1"/>
      <c r="C600" s="15"/>
      <c r="D600" s="17"/>
      <c r="E600" s="1"/>
      <c r="F600" s="17"/>
      <c r="G600" s="1"/>
      <c r="H600" s="1"/>
      <c r="I600" s="17"/>
      <c r="J600" s="17"/>
      <c r="K600" s="1"/>
      <c r="L600" s="1"/>
      <c r="M600" s="1"/>
      <c r="N600" s="1"/>
      <c r="O600" s="1"/>
      <c r="P600" s="1"/>
      <c r="Q600" s="1"/>
      <c r="R600" s="1"/>
      <c r="S600" s="1"/>
      <c r="T600" s="1"/>
      <c r="U600" s="1"/>
      <c r="V600" s="1"/>
      <c r="W600" s="1"/>
      <c r="X600" s="1"/>
      <c r="Y600" s="1"/>
    </row>
    <row r="601" spans="1:25" ht="15.75" customHeight="1" x14ac:dyDescent="0.25">
      <c r="A601" s="1"/>
      <c r="B601" s="1"/>
      <c r="C601" s="15"/>
      <c r="D601" s="17"/>
      <c r="E601" s="1"/>
      <c r="F601" s="17"/>
      <c r="G601" s="1"/>
      <c r="H601" s="1"/>
      <c r="I601" s="17"/>
      <c r="J601" s="17"/>
      <c r="K601" s="1"/>
      <c r="L601" s="1"/>
      <c r="M601" s="1"/>
      <c r="N601" s="1"/>
      <c r="O601" s="1"/>
      <c r="P601" s="1"/>
      <c r="Q601" s="1"/>
      <c r="R601" s="1"/>
      <c r="S601" s="1"/>
      <c r="T601" s="1"/>
      <c r="U601" s="1"/>
      <c r="V601" s="1"/>
      <c r="W601" s="1"/>
      <c r="X601" s="1"/>
      <c r="Y601" s="1"/>
    </row>
    <row r="602" spans="1:25" ht="15.75" customHeight="1" x14ac:dyDescent="0.25">
      <c r="A602" s="1"/>
      <c r="B602" s="1"/>
      <c r="C602" s="15"/>
      <c r="D602" s="17"/>
      <c r="E602" s="1"/>
      <c r="F602" s="17"/>
      <c r="G602" s="1"/>
      <c r="H602" s="1"/>
      <c r="I602" s="17"/>
      <c r="J602" s="17"/>
      <c r="K602" s="1"/>
      <c r="L602" s="1"/>
      <c r="M602" s="1"/>
      <c r="N602" s="1"/>
      <c r="O602" s="1"/>
      <c r="P602" s="1"/>
      <c r="Q602" s="1"/>
      <c r="R602" s="1"/>
      <c r="S602" s="1"/>
      <c r="T602" s="1"/>
      <c r="U602" s="1"/>
      <c r="V602" s="1"/>
      <c r="W602" s="1"/>
      <c r="X602" s="1"/>
      <c r="Y602" s="1"/>
    </row>
    <row r="603" spans="1:25" ht="15.75" customHeight="1" x14ac:dyDescent="0.25">
      <c r="A603" s="1"/>
      <c r="B603" s="1"/>
      <c r="C603" s="15"/>
      <c r="D603" s="17"/>
      <c r="E603" s="1"/>
      <c r="F603" s="17"/>
      <c r="G603" s="1"/>
      <c r="H603" s="1"/>
      <c r="I603" s="17"/>
      <c r="J603" s="17"/>
      <c r="K603" s="1"/>
      <c r="L603" s="1"/>
      <c r="M603" s="1"/>
      <c r="N603" s="1"/>
      <c r="O603" s="1"/>
      <c r="P603" s="1"/>
      <c r="Q603" s="1"/>
      <c r="R603" s="1"/>
      <c r="S603" s="1"/>
      <c r="T603" s="1"/>
      <c r="U603" s="1"/>
      <c r="V603" s="1"/>
      <c r="W603" s="1"/>
      <c r="X603" s="1"/>
      <c r="Y603" s="1"/>
    </row>
    <row r="604" spans="1:25" ht="15.75" customHeight="1" x14ac:dyDescent="0.25">
      <c r="A604" s="1"/>
      <c r="B604" s="1"/>
      <c r="C604" s="15"/>
      <c r="D604" s="17"/>
      <c r="E604" s="1"/>
      <c r="F604" s="17"/>
      <c r="G604" s="1"/>
      <c r="H604" s="1"/>
      <c r="I604" s="17"/>
      <c r="J604" s="17"/>
      <c r="K604" s="1"/>
      <c r="L604" s="1"/>
      <c r="M604" s="1"/>
      <c r="N604" s="1"/>
      <c r="O604" s="1"/>
      <c r="P604" s="1"/>
      <c r="Q604" s="1"/>
      <c r="R604" s="1"/>
      <c r="S604" s="1"/>
      <c r="T604" s="1"/>
      <c r="U604" s="1"/>
      <c r="V604" s="1"/>
      <c r="W604" s="1"/>
      <c r="X604" s="1"/>
      <c r="Y604" s="1"/>
    </row>
    <row r="605" spans="1:25" ht="15.75" customHeight="1" x14ac:dyDescent="0.25">
      <c r="A605" s="1"/>
      <c r="B605" s="1"/>
      <c r="C605" s="15"/>
      <c r="D605" s="17"/>
      <c r="E605" s="1"/>
      <c r="F605" s="17"/>
      <c r="G605" s="1"/>
      <c r="H605" s="1"/>
      <c r="I605" s="17"/>
      <c r="J605" s="17"/>
      <c r="K605" s="1"/>
      <c r="L605" s="1"/>
      <c r="M605" s="1"/>
      <c r="N605" s="1"/>
      <c r="O605" s="1"/>
      <c r="P605" s="1"/>
      <c r="Q605" s="1"/>
      <c r="R605" s="1"/>
      <c r="S605" s="1"/>
      <c r="T605" s="1"/>
      <c r="U605" s="1"/>
      <c r="V605" s="1"/>
      <c r="W605" s="1"/>
      <c r="X605" s="1"/>
      <c r="Y605" s="1"/>
    </row>
    <row r="606" spans="1:25" ht="15.75" customHeight="1" x14ac:dyDescent="0.25">
      <c r="A606" s="1"/>
      <c r="B606" s="1"/>
      <c r="C606" s="15"/>
      <c r="D606" s="17"/>
      <c r="E606" s="1"/>
      <c r="F606" s="17"/>
      <c r="G606" s="1"/>
      <c r="H606" s="1"/>
      <c r="I606" s="17"/>
      <c r="J606" s="17"/>
      <c r="K606" s="1"/>
      <c r="L606" s="1"/>
      <c r="M606" s="1"/>
      <c r="N606" s="1"/>
      <c r="O606" s="1"/>
      <c r="P606" s="1"/>
      <c r="Q606" s="1"/>
      <c r="R606" s="1"/>
      <c r="S606" s="1"/>
      <c r="T606" s="1"/>
      <c r="U606" s="1"/>
      <c r="V606" s="1"/>
      <c r="W606" s="1"/>
      <c r="X606" s="1"/>
      <c r="Y606" s="1"/>
    </row>
    <row r="607" spans="1:25" ht="15.75" customHeight="1" x14ac:dyDescent="0.25">
      <c r="A607" s="1"/>
      <c r="B607" s="1"/>
      <c r="C607" s="15"/>
      <c r="D607" s="17"/>
      <c r="E607" s="1"/>
      <c r="F607" s="17"/>
      <c r="G607" s="1"/>
      <c r="H607" s="1"/>
      <c r="I607" s="17"/>
      <c r="J607" s="17"/>
      <c r="K607" s="1"/>
      <c r="L607" s="1"/>
      <c r="M607" s="1"/>
      <c r="N607" s="1"/>
      <c r="O607" s="1"/>
      <c r="P607" s="1"/>
      <c r="Q607" s="1"/>
      <c r="R607" s="1"/>
      <c r="S607" s="1"/>
      <c r="T607" s="1"/>
      <c r="U607" s="1"/>
      <c r="V607" s="1"/>
      <c r="W607" s="1"/>
      <c r="X607" s="1"/>
      <c r="Y607" s="1"/>
    </row>
    <row r="608" spans="1:25" ht="15.75" customHeight="1" x14ac:dyDescent="0.25">
      <c r="A608" s="1"/>
      <c r="B608" s="1"/>
      <c r="C608" s="15"/>
      <c r="D608" s="17"/>
      <c r="E608" s="1"/>
      <c r="F608" s="17"/>
      <c r="G608" s="1"/>
      <c r="H608" s="1"/>
      <c r="I608" s="17"/>
      <c r="J608" s="17"/>
      <c r="K608" s="1"/>
      <c r="L608" s="1"/>
      <c r="M608" s="1"/>
      <c r="N608" s="1"/>
      <c r="O608" s="1"/>
      <c r="P608" s="1"/>
      <c r="Q608" s="1"/>
      <c r="R608" s="1"/>
      <c r="S608" s="1"/>
      <c r="T608" s="1"/>
      <c r="U608" s="1"/>
      <c r="V608" s="1"/>
      <c r="W608" s="1"/>
      <c r="X608" s="1"/>
      <c r="Y608" s="1"/>
    </row>
    <row r="609" spans="1:25" ht="15.75" customHeight="1" x14ac:dyDescent="0.25">
      <c r="A609" s="1"/>
      <c r="B609" s="1"/>
      <c r="C609" s="15"/>
      <c r="D609" s="17"/>
      <c r="E609" s="1"/>
      <c r="F609" s="17"/>
      <c r="G609" s="1"/>
      <c r="H609" s="1"/>
      <c r="I609" s="17"/>
      <c r="J609" s="17"/>
      <c r="K609" s="1"/>
      <c r="L609" s="1"/>
      <c r="M609" s="1"/>
      <c r="N609" s="1"/>
      <c r="O609" s="1"/>
      <c r="P609" s="1"/>
      <c r="Q609" s="1"/>
      <c r="R609" s="1"/>
      <c r="S609" s="1"/>
      <c r="T609" s="1"/>
      <c r="U609" s="1"/>
      <c r="V609" s="1"/>
      <c r="W609" s="1"/>
      <c r="X609" s="1"/>
      <c r="Y609" s="1"/>
    </row>
    <row r="610" spans="1:25" ht="15.75" customHeight="1" x14ac:dyDescent="0.25">
      <c r="A610" s="1"/>
      <c r="B610" s="1"/>
      <c r="C610" s="15"/>
      <c r="D610" s="17"/>
      <c r="E610" s="1"/>
      <c r="F610" s="17"/>
      <c r="G610" s="1"/>
      <c r="H610" s="1"/>
      <c r="I610" s="17"/>
      <c r="J610" s="17"/>
      <c r="K610" s="1"/>
      <c r="L610" s="1"/>
      <c r="M610" s="1"/>
      <c r="N610" s="1"/>
      <c r="O610" s="1"/>
      <c r="P610" s="1"/>
      <c r="Q610" s="1"/>
      <c r="R610" s="1"/>
      <c r="S610" s="1"/>
      <c r="T610" s="1"/>
      <c r="U610" s="1"/>
      <c r="V610" s="1"/>
      <c r="W610" s="1"/>
      <c r="X610" s="1"/>
      <c r="Y610" s="1"/>
    </row>
    <row r="611" spans="1:25" ht="15.75" customHeight="1" x14ac:dyDescent="0.25">
      <c r="A611" s="1"/>
      <c r="B611" s="1"/>
      <c r="C611" s="15"/>
      <c r="D611" s="17"/>
      <c r="E611" s="1"/>
      <c r="F611" s="17"/>
      <c r="G611" s="1"/>
      <c r="H611" s="1"/>
      <c r="I611" s="17"/>
      <c r="J611" s="17"/>
      <c r="K611" s="1"/>
      <c r="L611" s="1"/>
      <c r="M611" s="1"/>
      <c r="N611" s="1"/>
      <c r="O611" s="1"/>
      <c r="P611" s="1"/>
      <c r="Q611" s="1"/>
      <c r="R611" s="1"/>
      <c r="S611" s="1"/>
      <c r="T611" s="1"/>
      <c r="U611" s="1"/>
      <c r="V611" s="1"/>
      <c r="W611" s="1"/>
      <c r="X611" s="1"/>
      <c r="Y611" s="1"/>
    </row>
    <row r="612" spans="1:25" ht="15.75" customHeight="1" x14ac:dyDescent="0.25">
      <c r="A612" s="1"/>
      <c r="B612" s="1"/>
      <c r="C612" s="15"/>
      <c r="D612" s="17"/>
      <c r="E612" s="1"/>
      <c r="F612" s="17"/>
      <c r="G612" s="1"/>
      <c r="H612" s="1"/>
      <c r="I612" s="17"/>
      <c r="J612" s="17"/>
      <c r="K612" s="1"/>
      <c r="L612" s="1"/>
      <c r="M612" s="1"/>
      <c r="N612" s="1"/>
      <c r="O612" s="1"/>
      <c r="P612" s="1"/>
      <c r="Q612" s="1"/>
      <c r="R612" s="1"/>
      <c r="S612" s="1"/>
      <c r="T612" s="1"/>
      <c r="U612" s="1"/>
      <c r="V612" s="1"/>
      <c r="W612" s="1"/>
      <c r="X612" s="1"/>
      <c r="Y612" s="1"/>
    </row>
    <row r="613" spans="1:25" ht="15.75" customHeight="1" x14ac:dyDescent="0.25">
      <c r="A613" s="1"/>
      <c r="B613" s="1"/>
      <c r="C613" s="15"/>
      <c r="D613" s="17"/>
      <c r="E613" s="1"/>
      <c r="F613" s="17"/>
      <c r="G613" s="1"/>
      <c r="H613" s="1"/>
      <c r="I613" s="17"/>
      <c r="J613" s="17"/>
      <c r="K613" s="1"/>
      <c r="L613" s="1"/>
      <c r="M613" s="1"/>
      <c r="N613" s="1"/>
      <c r="O613" s="1"/>
      <c r="P613" s="1"/>
      <c r="Q613" s="1"/>
      <c r="R613" s="1"/>
      <c r="S613" s="1"/>
      <c r="T613" s="1"/>
      <c r="U613" s="1"/>
      <c r="V613" s="1"/>
      <c r="W613" s="1"/>
      <c r="X613" s="1"/>
      <c r="Y613" s="1"/>
    </row>
    <row r="614" spans="1:25" ht="15.75" customHeight="1" x14ac:dyDescent="0.25">
      <c r="A614" s="1"/>
      <c r="B614" s="1"/>
      <c r="C614" s="15"/>
      <c r="D614" s="17"/>
      <c r="E614" s="1"/>
      <c r="F614" s="17"/>
      <c r="G614" s="1"/>
      <c r="H614" s="1"/>
      <c r="I614" s="17"/>
      <c r="J614" s="17"/>
      <c r="K614" s="1"/>
      <c r="L614" s="1"/>
      <c r="M614" s="1"/>
      <c r="N614" s="1"/>
      <c r="O614" s="1"/>
      <c r="P614" s="1"/>
      <c r="Q614" s="1"/>
      <c r="R614" s="1"/>
      <c r="S614" s="1"/>
      <c r="T614" s="1"/>
      <c r="U614" s="1"/>
      <c r="V614" s="1"/>
      <c r="W614" s="1"/>
      <c r="X614" s="1"/>
      <c r="Y614" s="1"/>
    </row>
    <row r="615" spans="1:25" ht="15.75" customHeight="1" x14ac:dyDescent="0.25">
      <c r="A615" s="1"/>
      <c r="B615" s="1"/>
      <c r="C615" s="15"/>
      <c r="D615" s="17"/>
      <c r="E615" s="1"/>
      <c r="F615" s="17"/>
      <c r="G615" s="1"/>
      <c r="H615" s="1"/>
      <c r="I615" s="17"/>
      <c r="J615" s="17"/>
      <c r="K615" s="1"/>
      <c r="L615" s="1"/>
      <c r="M615" s="1"/>
      <c r="N615" s="1"/>
      <c r="O615" s="1"/>
      <c r="P615" s="1"/>
      <c r="Q615" s="1"/>
      <c r="R615" s="1"/>
      <c r="S615" s="1"/>
      <c r="T615" s="1"/>
      <c r="U615" s="1"/>
      <c r="V615" s="1"/>
      <c r="W615" s="1"/>
      <c r="X615" s="1"/>
      <c r="Y615" s="1"/>
    </row>
    <row r="616" spans="1:25" ht="15.75" customHeight="1" x14ac:dyDescent="0.25">
      <c r="A616" s="1"/>
      <c r="B616" s="1"/>
      <c r="C616" s="15"/>
      <c r="D616" s="17"/>
      <c r="E616" s="1"/>
      <c r="F616" s="17"/>
      <c r="G616" s="1"/>
      <c r="H616" s="1"/>
      <c r="I616" s="17"/>
      <c r="J616" s="17"/>
      <c r="K616" s="1"/>
      <c r="L616" s="1"/>
      <c r="M616" s="1"/>
      <c r="N616" s="1"/>
      <c r="O616" s="1"/>
      <c r="P616" s="1"/>
      <c r="Q616" s="1"/>
      <c r="R616" s="1"/>
      <c r="S616" s="1"/>
      <c r="T616" s="1"/>
      <c r="U616" s="1"/>
      <c r="V616" s="1"/>
      <c r="W616" s="1"/>
      <c r="X616" s="1"/>
      <c r="Y616" s="1"/>
    </row>
    <row r="617" spans="1:25" ht="15.75" customHeight="1" x14ac:dyDescent="0.25">
      <c r="A617" s="1"/>
      <c r="B617" s="1"/>
      <c r="C617" s="15"/>
      <c r="D617" s="17"/>
      <c r="E617" s="1"/>
      <c r="F617" s="17"/>
      <c r="G617" s="1"/>
      <c r="H617" s="1"/>
      <c r="I617" s="17"/>
      <c r="J617" s="17"/>
      <c r="K617" s="1"/>
      <c r="L617" s="1"/>
      <c r="M617" s="1"/>
      <c r="N617" s="1"/>
      <c r="O617" s="1"/>
      <c r="P617" s="1"/>
      <c r="Q617" s="1"/>
      <c r="R617" s="1"/>
      <c r="S617" s="1"/>
      <c r="T617" s="1"/>
      <c r="U617" s="1"/>
      <c r="V617" s="1"/>
      <c r="W617" s="1"/>
      <c r="X617" s="1"/>
      <c r="Y617" s="1"/>
    </row>
    <row r="618" spans="1:25" ht="15.75" customHeight="1" x14ac:dyDescent="0.25">
      <c r="A618" s="1"/>
      <c r="B618" s="1"/>
      <c r="C618" s="15"/>
      <c r="D618" s="17"/>
      <c r="E618" s="1"/>
      <c r="F618" s="17"/>
      <c r="G618" s="1"/>
      <c r="H618" s="1"/>
      <c r="I618" s="17"/>
      <c r="J618" s="17"/>
      <c r="K618" s="1"/>
      <c r="L618" s="1"/>
      <c r="M618" s="1"/>
      <c r="N618" s="1"/>
      <c r="O618" s="1"/>
      <c r="P618" s="1"/>
      <c r="Q618" s="1"/>
      <c r="R618" s="1"/>
      <c r="S618" s="1"/>
      <c r="T618" s="1"/>
      <c r="U618" s="1"/>
      <c r="V618" s="1"/>
      <c r="W618" s="1"/>
      <c r="X618" s="1"/>
      <c r="Y618" s="1"/>
    </row>
    <row r="619" spans="1:25" ht="15.75" customHeight="1" x14ac:dyDescent="0.25">
      <c r="A619" s="1"/>
      <c r="B619" s="1"/>
      <c r="C619" s="15"/>
      <c r="D619" s="17"/>
      <c r="E619" s="1"/>
      <c r="F619" s="17"/>
      <c r="G619" s="1"/>
      <c r="H619" s="1"/>
      <c r="I619" s="17"/>
      <c r="J619" s="17"/>
      <c r="K619" s="1"/>
      <c r="L619" s="1"/>
      <c r="M619" s="1"/>
      <c r="N619" s="1"/>
      <c r="O619" s="1"/>
      <c r="P619" s="1"/>
      <c r="Q619" s="1"/>
      <c r="R619" s="1"/>
      <c r="S619" s="1"/>
      <c r="T619" s="1"/>
      <c r="U619" s="1"/>
      <c r="V619" s="1"/>
      <c r="W619" s="1"/>
      <c r="X619" s="1"/>
      <c r="Y619" s="1"/>
    </row>
    <row r="620" spans="1:25" ht="15.75" customHeight="1" x14ac:dyDescent="0.25">
      <c r="A620" s="1"/>
      <c r="B620" s="1"/>
      <c r="C620" s="15"/>
      <c r="D620" s="17"/>
      <c r="E620" s="1"/>
      <c r="F620" s="17"/>
      <c r="G620" s="1"/>
      <c r="H620" s="1"/>
      <c r="I620" s="17"/>
      <c r="J620" s="17"/>
      <c r="K620" s="1"/>
      <c r="L620" s="1"/>
      <c r="M620" s="1"/>
      <c r="N620" s="1"/>
      <c r="O620" s="1"/>
      <c r="P620" s="1"/>
      <c r="Q620" s="1"/>
      <c r="R620" s="1"/>
      <c r="S620" s="1"/>
      <c r="T620" s="1"/>
      <c r="U620" s="1"/>
      <c r="V620" s="1"/>
      <c r="W620" s="1"/>
      <c r="X620" s="1"/>
      <c r="Y620" s="1"/>
    </row>
    <row r="621" spans="1:25" ht="15.75" customHeight="1" x14ac:dyDescent="0.25">
      <c r="A621" s="1"/>
      <c r="B621" s="1"/>
      <c r="C621" s="15"/>
      <c r="D621" s="17"/>
      <c r="E621" s="1"/>
      <c r="F621" s="17"/>
      <c r="G621" s="1"/>
      <c r="H621" s="1"/>
      <c r="I621" s="17"/>
      <c r="J621" s="17"/>
      <c r="K621" s="1"/>
      <c r="L621" s="1"/>
      <c r="M621" s="1"/>
      <c r="N621" s="1"/>
      <c r="O621" s="1"/>
      <c r="P621" s="1"/>
      <c r="Q621" s="1"/>
      <c r="R621" s="1"/>
      <c r="S621" s="1"/>
      <c r="T621" s="1"/>
      <c r="U621" s="1"/>
      <c r="V621" s="1"/>
      <c r="W621" s="1"/>
      <c r="X621" s="1"/>
      <c r="Y621" s="1"/>
    </row>
    <row r="622" spans="1:25" ht="15.75" customHeight="1" x14ac:dyDescent="0.25">
      <c r="A622" s="1"/>
      <c r="B622" s="1"/>
      <c r="C622" s="15"/>
      <c r="D622" s="17"/>
      <c r="E622" s="1"/>
      <c r="F622" s="17"/>
      <c r="G622" s="1"/>
      <c r="H622" s="1"/>
      <c r="I622" s="17"/>
      <c r="J622" s="17"/>
      <c r="K622" s="1"/>
      <c r="L622" s="1"/>
      <c r="M622" s="1"/>
      <c r="N622" s="1"/>
      <c r="O622" s="1"/>
      <c r="P622" s="1"/>
      <c r="Q622" s="1"/>
      <c r="R622" s="1"/>
      <c r="S622" s="1"/>
      <c r="T622" s="1"/>
      <c r="U622" s="1"/>
      <c r="V622" s="1"/>
      <c r="W622" s="1"/>
      <c r="X622" s="1"/>
      <c r="Y622" s="1"/>
    </row>
    <row r="623" spans="1:25" ht="15.75" customHeight="1" x14ac:dyDescent="0.25">
      <c r="A623" s="1"/>
      <c r="B623" s="1"/>
      <c r="C623" s="15"/>
      <c r="D623" s="17"/>
      <c r="E623" s="1"/>
      <c r="F623" s="17"/>
      <c r="G623" s="1"/>
      <c r="H623" s="1"/>
      <c r="I623" s="17"/>
      <c r="J623" s="17"/>
      <c r="K623" s="1"/>
      <c r="L623" s="1"/>
      <c r="M623" s="1"/>
      <c r="N623" s="1"/>
      <c r="O623" s="1"/>
      <c r="P623" s="1"/>
      <c r="Q623" s="1"/>
      <c r="R623" s="1"/>
      <c r="S623" s="1"/>
      <c r="T623" s="1"/>
      <c r="U623" s="1"/>
      <c r="V623" s="1"/>
      <c r="W623" s="1"/>
      <c r="X623" s="1"/>
      <c r="Y623" s="1"/>
    </row>
    <row r="624" spans="1:25" ht="15.75" customHeight="1" x14ac:dyDescent="0.25">
      <c r="A624" s="1"/>
      <c r="B624" s="1"/>
      <c r="C624" s="15"/>
      <c r="D624" s="17"/>
      <c r="E624" s="1"/>
      <c r="F624" s="17"/>
      <c r="G624" s="1"/>
      <c r="H624" s="1"/>
      <c r="I624" s="17"/>
      <c r="J624" s="17"/>
      <c r="K624" s="1"/>
      <c r="L624" s="1"/>
      <c r="M624" s="1"/>
      <c r="N624" s="1"/>
      <c r="O624" s="1"/>
      <c r="P624" s="1"/>
      <c r="Q624" s="1"/>
      <c r="R624" s="1"/>
      <c r="S624" s="1"/>
      <c r="T624" s="1"/>
      <c r="U624" s="1"/>
      <c r="V624" s="1"/>
      <c r="W624" s="1"/>
      <c r="X624" s="1"/>
      <c r="Y624" s="1"/>
    </row>
    <row r="625" spans="1:25" ht="15.75" customHeight="1" x14ac:dyDescent="0.25">
      <c r="A625" s="1"/>
      <c r="B625" s="1"/>
      <c r="C625" s="15"/>
      <c r="D625" s="17"/>
      <c r="E625" s="1"/>
      <c r="F625" s="17"/>
      <c r="G625" s="1"/>
      <c r="H625" s="1"/>
      <c r="I625" s="17"/>
      <c r="J625" s="17"/>
      <c r="K625" s="1"/>
      <c r="L625" s="1"/>
      <c r="M625" s="1"/>
      <c r="N625" s="1"/>
      <c r="O625" s="1"/>
      <c r="P625" s="1"/>
      <c r="Q625" s="1"/>
      <c r="R625" s="1"/>
      <c r="S625" s="1"/>
      <c r="T625" s="1"/>
      <c r="U625" s="1"/>
      <c r="V625" s="1"/>
      <c r="W625" s="1"/>
      <c r="X625" s="1"/>
      <c r="Y625" s="1"/>
    </row>
    <row r="626" spans="1:25" ht="15.75" customHeight="1" x14ac:dyDescent="0.25">
      <c r="A626" s="1"/>
      <c r="B626" s="1"/>
      <c r="C626" s="15"/>
      <c r="D626" s="17"/>
      <c r="E626" s="1"/>
      <c r="F626" s="17"/>
      <c r="G626" s="1"/>
      <c r="H626" s="1"/>
      <c r="I626" s="17"/>
      <c r="J626" s="17"/>
      <c r="K626" s="1"/>
      <c r="L626" s="1"/>
      <c r="M626" s="1"/>
      <c r="N626" s="1"/>
      <c r="O626" s="1"/>
      <c r="P626" s="1"/>
      <c r="Q626" s="1"/>
      <c r="R626" s="1"/>
      <c r="S626" s="1"/>
      <c r="T626" s="1"/>
      <c r="U626" s="1"/>
      <c r="V626" s="1"/>
      <c r="W626" s="1"/>
      <c r="X626" s="1"/>
      <c r="Y626" s="1"/>
    </row>
    <row r="627" spans="1:25" ht="15.75" customHeight="1" x14ac:dyDescent="0.25">
      <c r="A627" s="1"/>
      <c r="B627" s="1"/>
      <c r="C627" s="15"/>
      <c r="D627" s="17"/>
      <c r="E627" s="1"/>
      <c r="F627" s="17"/>
      <c r="G627" s="1"/>
      <c r="H627" s="1"/>
      <c r="I627" s="17"/>
      <c r="J627" s="17"/>
      <c r="K627" s="1"/>
      <c r="L627" s="1"/>
      <c r="M627" s="1"/>
      <c r="N627" s="1"/>
      <c r="O627" s="1"/>
      <c r="P627" s="1"/>
      <c r="Q627" s="1"/>
      <c r="R627" s="1"/>
      <c r="S627" s="1"/>
      <c r="T627" s="1"/>
      <c r="U627" s="1"/>
      <c r="V627" s="1"/>
      <c r="W627" s="1"/>
      <c r="X627" s="1"/>
      <c r="Y627" s="1"/>
    </row>
    <row r="628" spans="1:25" ht="15.75" customHeight="1" x14ac:dyDescent="0.25">
      <c r="A628" s="1"/>
      <c r="B628" s="1"/>
      <c r="C628" s="15"/>
      <c r="D628" s="17"/>
      <c r="E628" s="1"/>
      <c r="F628" s="17"/>
      <c r="G628" s="1"/>
      <c r="H628" s="1"/>
      <c r="I628" s="17"/>
      <c r="J628" s="17"/>
      <c r="K628" s="1"/>
      <c r="L628" s="1"/>
      <c r="M628" s="1"/>
      <c r="N628" s="1"/>
      <c r="O628" s="1"/>
      <c r="P628" s="1"/>
      <c r="Q628" s="1"/>
      <c r="R628" s="1"/>
      <c r="S628" s="1"/>
      <c r="T628" s="1"/>
      <c r="U628" s="1"/>
      <c r="V628" s="1"/>
      <c r="W628" s="1"/>
      <c r="X628" s="1"/>
      <c r="Y628" s="1"/>
    </row>
    <row r="629" spans="1:25" ht="15.75" customHeight="1" x14ac:dyDescent="0.25">
      <c r="A629" s="1"/>
      <c r="B629" s="1"/>
      <c r="C629" s="15"/>
      <c r="D629" s="17"/>
      <c r="E629" s="1"/>
      <c r="F629" s="17"/>
      <c r="G629" s="1"/>
      <c r="H629" s="1"/>
      <c r="I629" s="17"/>
      <c r="J629" s="17"/>
      <c r="K629" s="1"/>
      <c r="L629" s="1"/>
      <c r="M629" s="1"/>
      <c r="N629" s="1"/>
      <c r="O629" s="1"/>
      <c r="P629" s="1"/>
      <c r="Q629" s="1"/>
      <c r="R629" s="1"/>
      <c r="S629" s="1"/>
      <c r="T629" s="1"/>
      <c r="U629" s="1"/>
      <c r="V629" s="1"/>
      <c r="W629" s="1"/>
      <c r="X629" s="1"/>
      <c r="Y629" s="1"/>
    </row>
    <row r="630" spans="1:25" ht="15.75" customHeight="1" x14ac:dyDescent="0.25">
      <c r="A630" s="1"/>
      <c r="B630" s="1"/>
      <c r="C630" s="15"/>
      <c r="D630" s="17"/>
      <c r="E630" s="1"/>
      <c r="F630" s="17"/>
      <c r="G630" s="1"/>
      <c r="H630" s="1"/>
      <c r="I630" s="17"/>
      <c r="J630" s="17"/>
      <c r="K630" s="1"/>
      <c r="L630" s="1"/>
      <c r="M630" s="1"/>
      <c r="N630" s="1"/>
      <c r="O630" s="1"/>
      <c r="P630" s="1"/>
      <c r="Q630" s="1"/>
      <c r="R630" s="1"/>
      <c r="S630" s="1"/>
      <c r="T630" s="1"/>
      <c r="U630" s="1"/>
      <c r="V630" s="1"/>
      <c r="W630" s="1"/>
      <c r="X630" s="1"/>
      <c r="Y630" s="1"/>
    </row>
    <row r="631" spans="1:25" ht="15.75" customHeight="1" x14ac:dyDescent="0.25">
      <c r="A631" s="1"/>
      <c r="B631" s="1"/>
      <c r="C631" s="15"/>
      <c r="D631" s="17"/>
      <c r="E631" s="1"/>
      <c r="F631" s="17"/>
      <c r="G631" s="1"/>
      <c r="H631" s="1"/>
      <c r="I631" s="17"/>
      <c r="J631" s="17"/>
      <c r="K631" s="1"/>
      <c r="L631" s="1"/>
      <c r="M631" s="1"/>
      <c r="N631" s="1"/>
      <c r="O631" s="1"/>
      <c r="P631" s="1"/>
      <c r="Q631" s="1"/>
      <c r="R631" s="1"/>
      <c r="S631" s="1"/>
      <c r="T631" s="1"/>
      <c r="U631" s="1"/>
      <c r="V631" s="1"/>
      <c r="W631" s="1"/>
      <c r="X631" s="1"/>
      <c r="Y631" s="1"/>
    </row>
    <row r="632" spans="1:25" ht="15.75" customHeight="1" x14ac:dyDescent="0.25">
      <c r="A632" s="1"/>
      <c r="B632" s="1"/>
      <c r="C632" s="15"/>
      <c r="D632" s="17"/>
      <c r="E632" s="1"/>
      <c r="F632" s="17"/>
      <c r="G632" s="1"/>
      <c r="H632" s="1"/>
      <c r="I632" s="17"/>
      <c r="J632" s="17"/>
      <c r="K632" s="1"/>
      <c r="L632" s="1"/>
      <c r="M632" s="1"/>
      <c r="N632" s="1"/>
      <c r="O632" s="1"/>
      <c r="P632" s="1"/>
      <c r="Q632" s="1"/>
      <c r="R632" s="1"/>
      <c r="S632" s="1"/>
      <c r="T632" s="1"/>
      <c r="U632" s="1"/>
      <c r="V632" s="1"/>
      <c r="W632" s="1"/>
      <c r="X632" s="1"/>
      <c r="Y632" s="1"/>
    </row>
    <row r="633" spans="1:25" ht="15.75" customHeight="1" x14ac:dyDescent="0.25">
      <c r="A633" s="1"/>
      <c r="B633" s="1"/>
      <c r="C633" s="15"/>
      <c r="D633" s="17"/>
      <c r="E633" s="1"/>
      <c r="F633" s="17"/>
      <c r="G633" s="1"/>
      <c r="H633" s="1"/>
      <c r="I633" s="17"/>
      <c r="J633" s="17"/>
      <c r="K633" s="1"/>
      <c r="L633" s="1"/>
      <c r="M633" s="1"/>
      <c r="N633" s="1"/>
      <c r="O633" s="1"/>
      <c r="P633" s="1"/>
      <c r="Q633" s="1"/>
      <c r="R633" s="1"/>
      <c r="S633" s="1"/>
      <c r="T633" s="1"/>
      <c r="U633" s="1"/>
      <c r="V633" s="1"/>
      <c r="W633" s="1"/>
      <c r="X633" s="1"/>
      <c r="Y633" s="1"/>
    </row>
    <row r="634" spans="1:25" ht="15.75" customHeight="1" x14ac:dyDescent="0.25">
      <c r="A634" s="1"/>
      <c r="B634" s="1"/>
      <c r="C634" s="15"/>
      <c r="D634" s="17"/>
      <c r="E634" s="1"/>
      <c r="F634" s="17"/>
      <c r="G634" s="1"/>
      <c r="H634" s="1"/>
      <c r="I634" s="17"/>
      <c r="J634" s="17"/>
      <c r="K634" s="1"/>
      <c r="L634" s="1"/>
      <c r="M634" s="1"/>
      <c r="N634" s="1"/>
      <c r="O634" s="1"/>
      <c r="P634" s="1"/>
      <c r="Q634" s="1"/>
      <c r="R634" s="1"/>
      <c r="S634" s="1"/>
      <c r="T634" s="1"/>
      <c r="U634" s="1"/>
      <c r="V634" s="1"/>
      <c r="W634" s="1"/>
      <c r="X634" s="1"/>
      <c r="Y634" s="1"/>
    </row>
    <row r="635" spans="1:25" ht="15.75" customHeight="1" x14ac:dyDescent="0.25">
      <c r="A635" s="1"/>
      <c r="B635" s="1"/>
      <c r="C635" s="15"/>
      <c r="D635" s="17"/>
      <c r="E635" s="1"/>
      <c r="F635" s="17"/>
      <c r="G635" s="1"/>
      <c r="H635" s="1"/>
      <c r="I635" s="17"/>
      <c r="J635" s="17"/>
      <c r="K635" s="1"/>
      <c r="L635" s="1"/>
      <c r="M635" s="1"/>
      <c r="N635" s="1"/>
      <c r="O635" s="1"/>
      <c r="P635" s="1"/>
      <c r="Q635" s="1"/>
      <c r="R635" s="1"/>
      <c r="S635" s="1"/>
      <c r="T635" s="1"/>
      <c r="U635" s="1"/>
      <c r="V635" s="1"/>
      <c r="W635" s="1"/>
      <c r="X635" s="1"/>
      <c r="Y635" s="1"/>
    </row>
    <row r="636" spans="1:25" ht="15.75" customHeight="1" x14ac:dyDescent="0.25">
      <c r="A636" s="1"/>
      <c r="B636" s="1"/>
      <c r="C636" s="15"/>
      <c r="D636" s="17"/>
      <c r="E636" s="1"/>
      <c r="F636" s="17"/>
      <c r="G636" s="1"/>
      <c r="H636" s="1"/>
      <c r="I636" s="17"/>
      <c r="J636" s="17"/>
      <c r="K636" s="1"/>
      <c r="L636" s="1"/>
      <c r="M636" s="1"/>
      <c r="N636" s="1"/>
      <c r="O636" s="1"/>
      <c r="P636" s="1"/>
      <c r="Q636" s="1"/>
      <c r="R636" s="1"/>
      <c r="S636" s="1"/>
      <c r="T636" s="1"/>
      <c r="U636" s="1"/>
      <c r="V636" s="1"/>
      <c r="W636" s="1"/>
      <c r="X636" s="1"/>
      <c r="Y636" s="1"/>
    </row>
    <row r="637" spans="1:25" ht="15.75" customHeight="1" x14ac:dyDescent="0.25">
      <c r="A637" s="1"/>
      <c r="B637" s="1"/>
      <c r="C637" s="15"/>
      <c r="D637" s="17"/>
      <c r="E637" s="1"/>
      <c r="F637" s="17"/>
      <c r="G637" s="1"/>
      <c r="H637" s="1"/>
      <c r="I637" s="17"/>
      <c r="J637" s="17"/>
      <c r="K637" s="1"/>
      <c r="L637" s="1"/>
      <c r="M637" s="1"/>
      <c r="N637" s="1"/>
      <c r="O637" s="1"/>
      <c r="P637" s="1"/>
      <c r="Q637" s="1"/>
      <c r="R637" s="1"/>
      <c r="S637" s="1"/>
      <c r="T637" s="1"/>
      <c r="U637" s="1"/>
      <c r="V637" s="1"/>
      <c r="W637" s="1"/>
      <c r="X637" s="1"/>
      <c r="Y637" s="1"/>
    </row>
    <row r="638" spans="1:25" ht="15.75" customHeight="1" x14ac:dyDescent="0.25">
      <c r="A638" s="1"/>
      <c r="B638" s="1"/>
      <c r="C638" s="15"/>
      <c r="D638" s="17"/>
      <c r="E638" s="1"/>
      <c r="F638" s="17"/>
      <c r="G638" s="1"/>
      <c r="H638" s="1"/>
      <c r="I638" s="17"/>
      <c r="J638" s="17"/>
      <c r="K638" s="1"/>
      <c r="L638" s="1"/>
      <c r="M638" s="1"/>
      <c r="N638" s="1"/>
      <c r="O638" s="1"/>
      <c r="P638" s="1"/>
      <c r="Q638" s="1"/>
      <c r="R638" s="1"/>
      <c r="S638" s="1"/>
      <c r="T638" s="1"/>
      <c r="U638" s="1"/>
      <c r="V638" s="1"/>
      <c r="W638" s="1"/>
      <c r="X638" s="1"/>
      <c r="Y638" s="1"/>
    </row>
    <row r="639" spans="1:25" ht="15.75" customHeight="1" x14ac:dyDescent="0.25">
      <c r="A639" s="1"/>
      <c r="B639" s="1"/>
      <c r="C639" s="15"/>
      <c r="D639" s="17"/>
      <c r="E639" s="1"/>
      <c r="F639" s="17"/>
      <c r="G639" s="1"/>
      <c r="H639" s="1"/>
      <c r="I639" s="17"/>
      <c r="J639" s="17"/>
      <c r="K639" s="1"/>
      <c r="L639" s="1"/>
      <c r="M639" s="1"/>
      <c r="N639" s="1"/>
      <c r="O639" s="1"/>
      <c r="P639" s="1"/>
      <c r="Q639" s="1"/>
      <c r="R639" s="1"/>
      <c r="S639" s="1"/>
      <c r="T639" s="1"/>
      <c r="U639" s="1"/>
      <c r="V639" s="1"/>
      <c r="W639" s="1"/>
      <c r="X639" s="1"/>
      <c r="Y639" s="1"/>
    </row>
    <row r="640" spans="1:25" ht="15.75" customHeight="1" x14ac:dyDescent="0.25">
      <c r="A640" s="1"/>
      <c r="B640" s="1"/>
      <c r="C640" s="15"/>
      <c r="D640" s="17"/>
      <c r="E640" s="1"/>
      <c r="F640" s="17"/>
      <c r="G640" s="1"/>
      <c r="H640" s="1"/>
      <c r="I640" s="17"/>
      <c r="J640" s="17"/>
      <c r="K640" s="1"/>
      <c r="L640" s="1"/>
      <c r="M640" s="1"/>
      <c r="N640" s="1"/>
      <c r="O640" s="1"/>
      <c r="P640" s="1"/>
      <c r="Q640" s="1"/>
      <c r="R640" s="1"/>
      <c r="S640" s="1"/>
      <c r="T640" s="1"/>
      <c r="U640" s="1"/>
      <c r="V640" s="1"/>
      <c r="W640" s="1"/>
      <c r="X640" s="1"/>
      <c r="Y640" s="1"/>
    </row>
    <row r="641" spans="1:25" ht="15.75" customHeight="1" x14ac:dyDescent="0.25">
      <c r="A641" s="1"/>
      <c r="B641" s="1"/>
      <c r="C641" s="15"/>
      <c r="D641" s="17"/>
      <c r="E641" s="1"/>
      <c r="F641" s="17"/>
      <c r="G641" s="1"/>
      <c r="H641" s="1"/>
      <c r="I641" s="17"/>
      <c r="J641" s="17"/>
      <c r="K641" s="1"/>
      <c r="L641" s="1"/>
      <c r="M641" s="1"/>
      <c r="N641" s="1"/>
      <c r="O641" s="1"/>
      <c r="P641" s="1"/>
      <c r="Q641" s="1"/>
      <c r="R641" s="1"/>
      <c r="S641" s="1"/>
      <c r="T641" s="1"/>
      <c r="U641" s="1"/>
      <c r="V641" s="1"/>
      <c r="W641" s="1"/>
      <c r="X641" s="1"/>
      <c r="Y641" s="1"/>
    </row>
    <row r="642" spans="1:25" ht="15.75" customHeight="1" x14ac:dyDescent="0.25">
      <c r="A642" s="1"/>
      <c r="B642" s="1"/>
      <c r="C642" s="15"/>
      <c r="D642" s="17"/>
      <c r="E642" s="1"/>
      <c r="F642" s="17"/>
      <c r="G642" s="1"/>
      <c r="H642" s="1"/>
      <c r="I642" s="17"/>
      <c r="J642" s="17"/>
      <c r="K642" s="1"/>
      <c r="L642" s="1"/>
      <c r="M642" s="1"/>
      <c r="N642" s="1"/>
      <c r="O642" s="1"/>
      <c r="P642" s="1"/>
      <c r="Q642" s="1"/>
      <c r="R642" s="1"/>
      <c r="S642" s="1"/>
      <c r="T642" s="1"/>
      <c r="U642" s="1"/>
      <c r="V642" s="1"/>
      <c r="W642" s="1"/>
      <c r="X642" s="1"/>
      <c r="Y642" s="1"/>
    </row>
    <row r="643" spans="1:25" ht="15.75" customHeight="1" x14ac:dyDescent="0.25">
      <c r="A643" s="1"/>
      <c r="B643" s="1"/>
      <c r="C643" s="15"/>
      <c r="D643" s="17"/>
      <c r="E643" s="1"/>
      <c r="F643" s="17"/>
      <c r="G643" s="1"/>
      <c r="H643" s="1"/>
      <c r="I643" s="17"/>
      <c r="J643" s="17"/>
      <c r="K643" s="1"/>
      <c r="L643" s="1"/>
      <c r="M643" s="1"/>
      <c r="N643" s="1"/>
      <c r="O643" s="1"/>
      <c r="P643" s="1"/>
      <c r="Q643" s="1"/>
      <c r="R643" s="1"/>
      <c r="S643" s="1"/>
      <c r="T643" s="1"/>
      <c r="U643" s="1"/>
      <c r="V643" s="1"/>
      <c r="W643" s="1"/>
      <c r="X643" s="1"/>
      <c r="Y643" s="1"/>
    </row>
    <row r="644" spans="1:25" ht="15.75" customHeight="1" x14ac:dyDescent="0.25">
      <c r="A644" s="1"/>
      <c r="B644" s="1"/>
      <c r="C644" s="15"/>
      <c r="D644" s="17"/>
      <c r="E644" s="1"/>
      <c r="F644" s="17"/>
      <c r="G644" s="1"/>
      <c r="H644" s="1"/>
      <c r="I644" s="17"/>
      <c r="J644" s="17"/>
      <c r="K644" s="1"/>
      <c r="L644" s="1"/>
      <c r="M644" s="1"/>
      <c r="N644" s="1"/>
      <c r="O644" s="1"/>
      <c r="P644" s="1"/>
      <c r="Q644" s="1"/>
      <c r="R644" s="1"/>
      <c r="S644" s="1"/>
      <c r="T644" s="1"/>
      <c r="U644" s="1"/>
      <c r="V644" s="1"/>
      <c r="W644" s="1"/>
      <c r="X644" s="1"/>
      <c r="Y644" s="1"/>
    </row>
    <row r="645" spans="1:25" ht="15.75" customHeight="1" x14ac:dyDescent="0.25">
      <c r="A645" s="1"/>
      <c r="B645" s="1"/>
      <c r="C645" s="15"/>
      <c r="D645" s="17"/>
      <c r="E645" s="1"/>
      <c r="F645" s="17"/>
      <c r="G645" s="1"/>
      <c r="H645" s="1"/>
      <c r="I645" s="17"/>
      <c r="J645" s="17"/>
      <c r="K645" s="1"/>
      <c r="L645" s="1"/>
      <c r="M645" s="1"/>
      <c r="N645" s="1"/>
      <c r="O645" s="1"/>
      <c r="P645" s="1"/>
      <c r="Q645" s="1"/>
      <c r="R645" s="1"/>
      <c r="S645" s="1"/>
      <c r="T645" s="1"/>
      <c r="U645" s="1"/>
      <c r="V645" s="1"/>
      <c r="W645" s="1"/>
      <c r="X645" s="1"/>
      <c r="Y645" s="1"/>
    </row>
    <row r="646" spans="1:25" ht="15.75" customHeight="1" x14ac:dyDescent="0.25">
      <c r="A646" s="1"/>
      <c r="B646" s="1"/>
      <c r="C646" s="15"/>
      <c r="D646" s="17"/>
      <c r="E646" s="1"/>
      <c r="F646" s="17"/>
      <c r="G646" s="1"/>
      <c r="H646" s="1"/>
      <c r="I646" s="17"/>
      <c r="J646" s="17"/>
      <c r="K646" s="1"/>
      <c r="L646" s="1"/>
      <c r="M646" s="1"/>
      <c r="N646" s="1"/>
      <c r="O646" s="1"/>
      <c r="P646" s="1"/>
      <c r="Q646" s="1"/>
      <c r="R646" s="1"/>
      <c r="S646" s="1"/>
      <c r="T646" s="1"/>
      <c r="U646" s="1"/>
      <c r="V646" s="1"/>
      <c r="W646" s="1"/>
      <c r="X646" s="1"/>
      <c r="Y646" s="1"/>
    </row>
    <row r="647" spans="1:25" ht="15.75" customHeight="1" x14ac:dyDescent="0.25">
      <c r="A647" s="1"/>
      <c r="B647" s="1"/>
      <c r="C647" s="15"/>
      <c r="D647" s="17"/>
      <c r="E647" s="1"/>
      <c r="F647" s="17"/>
      <c r="G647" s="1"/>
      <c r="H647" s="1"/>
      <c r="I647" s="17"/>
      <c r="J647" s="17"/>
      <c r="K647" s="1"/>
      <c r="L647" s="1"/>
      <c r="M647" s="1"/>
      <c r="N647" s="1"/>
      <c r="O647" s="1"/>
      <c r="P647" s="1"/>
      <c r="Q647" s="1"/>
      <c r="R647" s="1"/>
      <c r="S647" s="1"/>
      <c r="T647" s="1"/>
      <c r="U647" s="1"/>
      <c r="V647" s="1"/>
      <c r="W647" s="1"/>
      <c r="X647" s="1"/>
      <c r="Y647" s="1"/>
    </row>
    <row r="648" spans="1:25" ht="15.75" customHeight="1" x14ac:dyDescent="0.25">
      <c r="A648" s="1"/>
      <c r="B648" s="1"/>
      <c r="C648" s="15"/>
      <c r="D648" s="17"/>
      <c r="E648" s="1"/>
      <c r="F648" s="17"/>
      <c r="G648" s="1"/>
      <c r="H648" s="1"/>
      <c r="I648" s="17"/>
      <c r="J648" s="17"/>
      <c r="K648" s="1"/>
      <c r="L648" s="1"/>
      <c r="M648" s="1"/>
      <c r="N648" s="1"/>
      <c r="O648" s="1"/>
      <c r="P648" s="1"/>
      <c r="Q648" s="1"/>
      <c r="R648" s="1"/>
      <c r="S648" s="1"/>
      <c r="T648" s="1"/>
      <c r="U648" s="1"/>
      <c r="V648" s="1"/>
      <c r="W648" s="1"/>
      <c r="X648" s="1"/>
      <c r="Y648" s="1"/>
    </row>
    <row r="649" spans="1:25" ht="15.75" customHeight="1" x14ac:dyDescent="0.25">
      <c r="A649" s="1"/>
      <c r="B649" s="1"/>
      <c r="C649" s="15"/>
      <c r="D649" s="17"/>
      <c r="E649" s="1"/>
      <c r="F649" s="17"/>
      <c r="G649" s="1"/>
      <c r="H649" s="1"/>
      <c r="I649" s="17"/>
      <c r="J649" s="17"/>
      <c r="K649" s="1"/>
      <c r="L649" s="1"/>
      <c r="M649" s="1"/>
      <c r="N649" s="1"/>
      <c r="O649" s="1"/>
      <c r="P649" s="1"/>
      <c r="Q649" s="1"/>
      <c r="R649" s="1"/>
      <c r="S649" s="1"/>
      <c r="T649" s="1"/>
      <c r="U649" s="1"/>
      <c r="V649" s="1"/>
      <c r="W649" s="1"/>
      <c r="X649" s="1"/>
      <c r="Y649" s="1"/>
    </row>
    <row r="650" spans="1:25" ht="15.75" customHeight="1" x14ac:dyDescent="0.25">
      <c r="A650" s="1"/>
      <c r="B650" s="1"/>
      <c r="C650" s="15"/>
      <c r="D650" s="17"/>
      <c r="E650" s="1"/>
      <c r="F650" s="17"/>
      <c r="G650" s="1"/>
      <c r="H650" s="1"/>
      <c r="I650" s="17"/>
      <c r="J650" s="17"/>
      <c r="K650" s="1"/>
      <c r="L650" s="1"/>
      <c r="M650" s="1"/>
      <c r="N650" s="1"/>
      <c r="O650" s="1"/>
      <c r="P650" s="1"/>
      <c r="Q650" s="1"/>
      <c r="R650" s="1"/>
      <c r="S650" s="1"/>
      <c r="T650" s="1"/>
      <c r="U650" s="1"/>
      <c r="V650" s="1"/>
      <c r="W650" s="1"/>
      <c r="X650" s="1"/>
      <c r="Y650" s="1"/>
    </row>
    <row r="651" spans="1:25" ht="15.75" customHeight="1" x14ac:dyDescent="0.25">
      <c r="A651" s="1"/>
      <c r="B651" s="1"/>
      <c r="C651" s="15"/>
      <c r="D651" s="17"/>
      <c r="E651" s="1"/>
      <c r="F651" s="17"/>
      <c r="G651" s="1"/>
      <c r="H651" s="1"/>
      <c r="I651" s="17"/>
      <c r="J651" s="17"/>
      <c r="K651" s="1"/>
      <c r="L651" s="1"/>
      <c r="M651" s="1"/>
      <c r="N651" s="1"/>
      <c r="O651" s="1"/>
      <c r="P651" s="1"/>
      <c r="Q651" s="1"/>
      <c r="R651" s="1"/>
      <c r="S651" s="1"/>
      <c r="T651" s="1"/>
      <c r="U651" s="1"/>
      <c r="V651" s="1"/>
      <c r="W651" s="1"/>
      <c r="X651" s="1"/>
      <c r="Y651" s="1"/>
    </row>
    <row r="652" spans="1:25" ht="15.75" customHeight="1" x14ac:dyDescent="0.25">
      <c r="A652" s="1"/>
      <c r="B652" s="1"/>
      <c r="C652" s="15"/>
      <c r="D652" s="17"/>
      <c r="E652" s="1"/>
      <c r="F652" s="17"/>
      <c r="G652" s="1"/>
      <c r="H652" s="1"/>
      <c r="I652" s="17"/>
      <c r="J652" s="17"/>
      <c r="K652" s="1"/>
      <c r="L652" s="1"/>
      <c r="M652" s="1"/>
      <c r="N652" s="1"/>
      <c r="O652" s="1"/>
      <c r="P652" s="1"/>
      <c r="Q652" s="1"/>
      <c r="R652" s="1"/>
      <c r="S652" s="1"/>
      <c r="T652" s="1"/>
      <c r="U652" s="1"/>
      <c r="V652" s="1"/>
      <c r="W652" s="1"/>
      <c r="X652" s="1"/>
      <c r="Y652" s="1"/>
    </row>
    <row r="653" spans="1:25" ht="15.75" customHeight="1" x14ac:dyDescent="0.25">
      <c r="A653" s="1"/>
      <c r="B653" s="1"/>
      <c r="C653" s="15"/>
      <c r="D653" s="17"/>
      <c r="E653" s="1"/>
      <c r="F653" s="17"/>
      <c r="G653" s="1"/>
      <c r="H653" s="1"/>
      <c r="I653" s="17"/>
      <c r="J653" s="17"/>
      <c r="K653" s="1"/>
      <c r="L653" s="1"/>
      <c r="M653" s="1"/>
      <c r="N653" s="1"/>
      <c r="O653" s="1"/>
      <c r="P653" s="1"/>
      <c r="Q653" s="1"/>
      <c r="R653" s="1"/>
      <c r="S653" s="1"/>
      <c r="T653" s="1"/>
      <c r="U653" s="1"/>
      <c r="V653" s="1"/>
      <c r="W653" s="1"/>
      <c r="X653" s="1"/>
      <c r="Y653" s="1"/>
    </row>
    <row r="654" spans="1:25" ht="15.75" customHeight="1" x14ac:dyDescent="0.25">
      <c r="A654" s="1"/>
      <c r="B654" s="1"/>
      <c r="C654" s="15"/>
      <c r="D654" s="17"/>
      <c r="E654" s="1"/>
      <c r="F654" s="17"/>
      <c r="G654" s="1"/>
      <c r="H654" s="1"/>
      <c r="I654" s="17"/>
      <c r="J654" s="17"/>
      <c r="K654" s="1"/>
      <c r="L654" s="1"/>
      <c r="M654" s="1"/>
      <c r="N654" s="1"/>
      <c r="O654" s="1"/>
      <c r="P654" s="1"/>
      <c r="Q654" s="1"/>
      <c r="R654" s="1"/>
      <c r="S654" s="1"/>
      <c r="T654" s="1"/>
      <c r="U654" s="1"/>
      <c r="V654" s="1"/>
      <c r="W654" s="1"/>
      <c r="X654" s="1"/>
      <c r="Y654" s="1"/>
    </row>
    <row r="655" spans="1:25" ht="15.75" customHeight="1" x14ac:dyDescent="0.25">
      <c r="A655" s="1"/>
      <c r="B655" s="1"/>
      <c r="C655" s="15"/>
      <c r="D655" s="17"/>
      <c r="E655" s="1"/>
      <c r="F655" s="17"/>
      <c r="G655" s="1"/>
      <c r="H655" s="1"/>
      <c r="I655" s="17"/>
      <c r="J655" s="17"/>
      <c r="K655" s="1"/>
      <c r="L655" s="1"/>
      <c r="M655" s="1"/>
      <c r="N655" s="1"/>
      <c r="O655" s="1"/>
      <c r="P655" s="1"/>
      <c r="Q655" s="1"/>
      <c r="R655" s="1"/>
      <c r="S655" s="1"/>
      <c r="T655" s="1"/>
      <c r="U655" s="1"/>
      <c r="V655" s="1"/>
      <c r="W655" s="1"/>
      <c r="X655" s="1"/>
      <c r="Y655" s="1"/>
    </row>
    <row r="656" spans="1:25" ht="15.75" customHeight="1" x14ac:dyDescent="0.25">
      <c r="A656" s="1"/>
      <c r="B656" s="1"/>
      <c r="C656" s="15"/>
      <c r="D656" s="17"/>
      <c r="E656" s="1"/>
      <c r="F656" s="17"/>
      <c r="G656" s="1"/>
      <c r="H656" s="1"/>
      <c r="I656" s="17"/>
      <c r="J656" s="17"/>
      <c r="K656" s="1"/>
      <c r="L656" s="1"/>
      <c r="M656" s="1"/>
      <c r="N656" s="1"/>
      <c r="O656" s="1"/>
      <c r="P656" s="1"/>
      <c r="Q656" s="1"/>
      <c r="R656" s="1"/>
      <c r="S656" s="1"/>
      <c r="T656" s="1"/>
      <c r="U656" s="1"/>
      <c r="V656" s="1"/>
      <c r="W656" s="1"/>
      <c r="X656" s="1"/>
      <c r="Y656" s="1"/>
    </row>
    <row r="657" spans="1:25" ht="15.75" customHeight="1" x14ac:dyDescent="0.25">
      <c r="A657" s="1"/>
      <c r="B657" s="1"/>
      <c r="C657" s="15"/>
      <c r="D657" s="17"/>
      <c r="E657" s="1"/>
      <c r="F657" s="17"/>
      <c r="G657" s="1"/>
      <c r="H657" s="1"/>
      <c r="I657" s="17"/>
      <c r="J657" s="17"/>
      <c r="K657" s="1"/>
      <c r="L657" s="1"/>
      <c r="M657" s="1"/>
      <c r="N657" s="1"/>
      <c r="O657" s="1"/>
      <c r="P657" s="1"/>
      <c r="Q657" s="1"/>
      <c r="R657" s="1"/>
      <c r="S657" s="1"/>
      <c r="T657" s="1"/>
      <c r="U657" s="1"/>
      <c r="V657" s="1"/>
      <c r="W657" s="1"/>
      <c r="X657" s="1"/>
      <c r="Y657" s="1"/>
    </row>
    <row r="658" spans="1:25" ht="15.75" customHeight="1" x14ac:dyDescent="0.25">
      <c r="A658" s="1"/>
      <c r="B658" s="1"/>
      <c r="C658" s="15"/>
      <c r="D658" s="17"/>
      <c r="E658" s="1"/>
      <c r="F658" s="17"/>
      <c r="G658" s="1"/>
      <c r="H658" s="1"/>
      <c r="I658" s="17"/>
      <c r="J658" s="17"/>
      <c r="K658" s="1"/>
      <c r="L658" s="1"/>
      <c r="M658" s="1"/>
      <c r="N658" s="1"/>
      <c r="O658" s="1"/>
      <c r="P658" s="1"/>
      <c r="Q658" s="1"/>
      <c r="R658" s="1"/>
      <c r="S658" s="1"/>
      <c r="T658" s="1"/>
      <c r="U658" s="1"/>
      <c r="V658" s="1"/>
      <c r="W658" s="1"/>
      <c r="X658" s="1"/>
      <c r="Y658" s="1"/>
    </row>
    <row r="659" spans="1:25" ht="15.75" customHeight="1" x14ac:dyDescent="0.25">
      <c r="A659" s="1"/>
      <c r="B659" s="1"/>
      <c r="C659" s="15"/>
      <c r="D659" s="17"/>
      <c r="E659" s="1"/>
      <c r="F659" s="17"/>
      <c r="G659" s="1"/>
      <c r="H659" s="1"/>
      <c r="I659" s="17"/>
      <c r="J659" s="17"/>
      <c r="K659" s="1"/>
      <c r="L659" s="1"/>
      <c r="M659" s="1"/>
      <c r="N659" s="1"/>
      <c r="O659" s="1"/>
      <c r="P659" s="1"/>
      <c r="Q659" s="1"/>
      <c r="R659" s="1"/>
      <c r="S659" s="1"/>
      <c r="T659" s="1"/>
      <c r="U659" s="1"/>
      <c r="V659" s="1"/>
      <c r="W659" s="1"/>
      <c r="X659" s="1"/>
      <c r="Y659" s="1"/>
    </row>
    <row r="660" spans="1:25" ht="15.75" customHeight="1" x14ac:dyDescent="0.25">
      <c r="A660" s="1"/>
      <c r="B660" s="1"/>
      <c r="C660" s="15"/>
      <c r="D660" s="17"/>
      <c r="E660" s="1"/>
      <c r="F660" s="17"/>
      <c r="G660" s="1"/>
      <c r="H660" s="1"/>
      <c r="I660" s="17"/>
      <c r="J660" s="17"/>
      <c r="K660" s="1"/>
      <c r="L660" s="1"/>
      <c r="M660" s="1"/>
      <c r="N660" s="1"/>
      <c r="O660" s="1"/>
      <c r="P660" s="1"/>
      <c r="Q660" s="1"/>
      <c r="R660" s="1"/>
      <c r="S660" s="1"/>
      <c r="T660" s="1"/>
      <c r="U660" s="1"/>
      <c r="V660" s="1"/>
      <c r="W660" s="1"/>
      <c r="X660" s="1"/>
      <c r="Y660" s="1"/>
    </row>
    <row r="661" spans="1:25" ht="15.75" customHeight="1" x14ac:dyDescent="0.25">
      <c r="A661" s="1"/>
      <c r="B661" s="1"/>
      <c r="C661" s="15"/>
      <c r="D661" s="17"/>
      <c r="E661" s="1"/>
      <c r="F661" s="17"/>
      <c r="G661" s="1"/>
      <c r="H661" s="1"/>
      <c r="I661" s="17"/>
      <c r="J661" s="17"/>
      <c r="K661" s="1"/>
      <c r="L661" s="1"/>
      <c r="M661" s="1"/>
      <c r="N661" s="1"/>
      <c r="O661" s="1"/>
      <c r="P661" s="1"/>
      <c r="Q661" s="1"/>
      <c r="R661" s="1"/>
      <c r="S661" s="1"/>
      <c r="T661" s="1"/>
      <c r="U661" s="1"/>
      <c r="V661" s="1"/>
      <c r="W661" s="1"/>
      <c r="X661" s="1"/>
      <c r="Y661" s="1"/>
    </row>
    <row r="662" spans="1:25" ht="15.75" customHeight="1" x14ac:dyDescent="0.25">
      <c r="A662" s="1"/>
      <c r="B662" s="1"/>
      <c r="C662" s="15"/>
      <c r="D662" s="17"/>
      <c r="E662" s="1"/>
      <c r="F662" s="17"/>
      <c r="G662" s="1"/>
      <c r="H662" s="1"/>
      <c r="I662" s="17"/>
      <c r="J662" s="17"/>
      <c r="K662" s="1"/>
      <c r="L662" s="1"/>
      <c r="M662" s="1"/>
      <c r="N662" s="1"/>
      <c r="O662" s="1"/>
      <c r="P662" s="1"/>
      <c r="Q662" s="1"/>
      <c r="R662" s="1"/>
      <c r="S662" s="1"/>
      <c r="T662" s="1"/>
      <c r="U662" s="1"/>
      <c r="V662" s="1"/>
      <c r="W662" s="1"/>
      <c r="X662" s="1"/>
      <c r="Y662" s="1"/>
    </row>
    <row r="663" spans="1:25" ht="15.75" customHeight="1" x14ac:dyDescent="0.25">
      <c r="A663" s="1"/>
      <c r="B663" s="1"/>
      <c r="C663" s="15"/>
      <c r="D663" s="17"/>
      <c r="E663" s="1"/>
      <c r="F663" s="17"/>
      <c r="G663" s="1"/>
      <c r="H663" s="1"/>
      <c r="I663" s="17"/>
      <c r="J663" s="17"/>
      <c r="K663" s="1"/>
      <c r="L663" s="1"/>
      <c r="M663" s="1"/>
      <c r="N663" s="1"/>
      <c r="O663" s="1"/>
      <c r="P663" s="1"/>
      <c r="Q663" s="1"/>
      <c r="R663" s="1"/>
      <c r="S663" s="1"/>
      <c r="T663" s="1"/>
      <c r="U663" s="1"/>
      <c r="V663" s="1"/>
      <c r="W663" s="1"/>
      <c r="X663" s="1"/>
      <c r="Y663" s="1"/>
    </row>
    <row r="664" spans="1:25" ht="15.75" customHeight="1" x14ac:dyDescent="0.25">
      <c r="A664" s="1"/>
      <c r="B664" s="1"/>
      <c r="C664" s="15"/>
      <c r="D664" s="17"/>
      <c r="E664" s="1"/>
      <c r="F664" s="17"/>
      <c r="G664" s="1"/>
      <c r="H664" s="1"/>
      <c r="I664" s="17"/>
      <c r="J664" s="17"/>
      <c r="K664" s="1"/>
      <c r="L664" s="1"/>
      <c r="M664" s="1"/>
      <c r="N664" s="1"/>
      <c r="O664" s="1"/>
      <c r="P664" s="1"/>
      <c r="Q664" s="1"/>
      <c r="R664" s="1"/>
      <c r="S664" s="1"/>
      <c r="T664" s="1"/>
      <c r="U664" s="1"/>
      <c r="V664" s="1"/>
      <c r="W664" s="1"/>
      <c r="X664" s="1"/>
      <c r="Y664" s="1"/>
    </row>
    <row r="665" spans="1:25" ht="15.75" customHeight="1" x14ac:dyDescent="0.25">
      <c r="A665" s="1"/>
      <c r="B665" s="1"/>
      <c r="C665" s="15"/>
      <c r="D665" s="17"/>
      <c r="E665" s="1"/>
      <c r="F665" s="17"/>
      <c r="G665" s="1"/>
      <c r="H665" s="1"/>
      <c r="I665" s="17"/>
      <c r="J665" s="17"/>
      <c r="K665" s="1"/>
      <c r="L665" s="1"/>
      <c r="M665" s="1"/>
      <c r="N665" s="1"/>
      <c r="O665" s="1"/>
      <c r="P665" s="1"/>
      <c r="Q665" s="1"/>
      <c r="R665" s="1"/>
      <c r="S665" s="1"/>
      <c r="T665" s="1"/>
      <c r="U665" s="1"/>
      <c r="V665" s="1"/>
      <c r="W665" s="1"/>
      <c r="X665" s="1"/>
      <c r="Y665" s="1"/>
    </row>
    <row r="666" spans="1:25" ht="15.75" customHeight="1" x14ac:dyDescent="0.25">
      <c r="A666" s="1"/>
      <c r="B666" s="1"/>
      <c r="C666" s="15"/>
      <c r="D666" s="17"/>
      <c r="E666" s="1"/>
      <c r="F666" s="17"/>
      <c r="G666" s="1"/>
      <c r="H666" s="1"/>
      <c r="I666" s="17"/>
      <c r="J666" s="17"/>
      <c r="K666" s="1"/>
      <c r="L666" s="1"/>
      <c r="M666" s="1"/>
      <c r="N666" s="1"/>
      <c r="O666" s="1"/>
      <c r="P666" s="1"/>
      <c r="Q666" s="1"/>
      <c r="R666" s="1"/>
      <c r="S666" s="1"/>
      <c r="T666" s="1"/>
      <c r="U666" s="1"/>
      <c r="V666" s="1"/>
      <c r="W666" s="1"/>
      <c r="X666" s="1"/>
      <c r="Y666" s="1"/>
    </row>
    <row r="667" spans="1:25" ht="15.75" customHeight="1" x14ac:dyDescent="0.25">
      <c r="A667" s="1"/>
      <c r="B667" s="1"/>
      <c r="C667" s="15"/>
      <c r="D667" s="17"/>
      <c r="E667" s="1"/>
      <c r="F667" s="17"/>
      <c r="G667" s="1"/>
      <c r="H667" s="1"/>
      <c r="I667" s="17"/>
      <c r="J667" s="17"/>
      <c r="K667" s="1"/>
      <c r="L667" s="1"/>
      <c r="M667" s="1"/>
      <c r="N667" s="1"/>
      <c r="O667" s="1"/>
      <c r="P667" s="1"/>
      <c r="Q667" s="1"/>
      <c r="R667" s="1"/>
      <c r="S667" s="1"/>
      <c r="T667" s="1"/>
      <c r="U667" s="1"/>
      <c r="V667" s="1"/>
      <c r="W667" s="1"/>
      <c r="X667" s="1"/>
      <c r="Y667" s="1"/>
    </row>
    <row r="668" spans="1:25" ht="15.75" customHeight="1" x14ac:dyDescent="0.25">
      <c r="A668" s="1"/>
      <c r="B668" s="1"/>
      <c r="C668" s="15"/>
      <c r="D668" s="17"/>
      <c r="E668" s="1"/>
      <c r="F668" s="17"/>
      <c r="G668" s="1"/>
      <c r="H668" s="1"/>
      <c r="I668" s="17"/>
      <c r="J668" s="17"/>
      <c r="K668" s="1"/>
      <c r="L668" s="1"/>
      <c r="M668" s="1"/>
      <c r="N668" s="1"/>
      <c r="O668" s="1"/>
      <c r="P668" s="1"/>
      <c r="Q668" s="1"/>
      <c r="R668" s="1"/>
      <c r="S668" s="1"/>
      <c r="T668" s="1"/>
      <c r="U668" s="1"/>
      <c r="V668" s="1"/>
      <c r="W668" s="1"/>
      <c r="X668" s="1"/>
      <c r="Y668" s="1"/>
    </row>
    <row r="669" spans="1:25" ht="15.75" customHeight="1" x14ac:dyDescent="0.25">
      <c r="A669" s="1"/>
      <c r="B669" s="1"/>
      <c r="C669" s="15"/>
      <c r="D669" s="17"/>
      <c r="E669" s="1"/>
      <c r="F669" s="17"/>
      <c r="G669" s="1"/>
      <c r="H669" s="1"/>
      <c r="I669" s="17"/>
      <c r="J669" s="17"/>
      <c r="K669" s="1"/>
      <c r="L669" s="1"/>
      <c r="M669" s="1"/>
      <c r="N669" s="1"/>
      <c r="O669" s="1"/>
      <c r="P669" s="1"/>
      <c r="Q669" s="1"/>
      <c r="R669" s="1"/>
      <c r="S669" s="1"/>
      <c r="T669" s="1"/>
      <c r="U669" s="1"/>
      <c r="V669" s="1"/>
      <c r="W669" s="1"/>
      <c r="X669" s="1"/>
      <c r="Y669" s="1"/>
    </row>
    <row r="670" spans="1:25" ht="15.75" customHeight="1" x14ac:dyDescent="0.25">
      <c r="A670" s="1"/>
      <c r="B670" s="1"/>
      <c r="C670" s="15"/>
      <c r="D670" s="17"/>
      <c r="E670" s="1"/>
      <c r="F670" s="17"/>
      <c r="G670" s="1"/>
      <c r="H670" s="1"/>
      <c r="I670" s="17"/>
      <c r="J670" s="17"/>
      <c r="K670" s="1"/>
      <c r="L670" s="1"/>
      <c r="M670" s="1"/>
      <c r="N670" s="1"/>
      <c r="O670" s="1"/>
      <c r="P670" s="1"/>
      <c r="Q670" s="1"/>
      <c r="R670" s="1"/>
      <c r="S670" s="1"/>
      <c r="T670" s="1"/>
      <c r="U670" s="1"/>
      <c r="V670" s="1"/>
      <c r="W670" s="1"/>
      <c r="X670" s="1"/>
      <c r="Y670" s="1"/>
    </row>
    <row r="671" spans="1:25" ht="15.75" customHeight="1" x14ac:dyDescent="0.25">
      <c r="A671" s="1"/>
      <c r="B671" s="1"/>
      <c r="C671" s="15"/>
      <c r="D671" s="17"/>
      <c r="E671" s="1"/>
      <c r="F671" s="17"/>
      <c r="G671" s="1"/>
      <c r="H671" s="1"/>
      <c r="I671" s="17"/>
      <c r="J671" s="17"/>
      <c r="K671" s="1"/>
      <c r="L671" s="1"/>
      <c r="M671" s="1"/>
      <c r="N671" s="1"/>
      <c r="O671" s="1"/>
      <c r="P671" s="1"/>
      <c r="Q671" s="1"/>
      <c r="R671" s="1"/>
      <c r="S671" s="1"/>
      <c r="T671" s="1"/>
      <c r="U671" s="1"/>
      <c r="V671" s="1"/>
      <c r="W671" s="1"/>
      <c r="X671" s="1"/>
      <c r="Y671" s="1"/>
    </row>
    <row r="672" spans="1:25" ht="15.75" customHeight="1" x14ac:dyDescent="0.25">
      <c r="A672" s="1"/>
      <c r="B672" s="1"/>
      <c r="C672" s="15"/>
      <c r="D672" s="17"/>
      <c r="E672" s="1"/>
      <c r="F672" s="17"/>
      <c r="G672" s="1"/>
      <c r="H672" s="1"/>
      <c r="I672" s="17"/>
      <c r="J672" s="17"/>
      <c r="K672" s="1"/>
      <c r="L672" s="1"/>
      <c r="M672" s="1"/>
      <c r="N672" s="1"/>
      <c r="O672" s="1"/>
      <c r="P672" s="1"/>
      <c r="Q672" s="1"/>
      <c r="R672" s="1"/>
      <c r="S672" s="1"/>
      <c r="T672" s="1"/>
      <c r="U672" s="1"/>
      <c r="V672" s="1"/>
      <c r="W672" s="1"/>
      <c r="X672" s="1"/>
      <c r="Y672" s="1"/>
    </row>
    <row r="673" spans="1:25" ht="15.75" customHeight="1" x14ac:dyDescent="0.25">
      <c r="A673" s="1"/>
      <c r="B673" s="1"/>
      <c r="C673" s="15"/>
      <c r="D673" s="17"/>
      <c r="E673" s="1"/>
      <c r="F673" s="17"/>
      <c r="G673" s="1"/>
      <c r="H673" s="1"/>
      <c r="I673" s="17"/>
      <c r="J673" s="17"/>
      <c r="K673" s="1"/>
      <c r="L673" s="1"/>
      <c r="M673" s="1"/>
      <c r="N673" s="1"/>
      <c r="O673" s="1"/>
      <c r="P673" s="1"/>
      <c r="Q673" s="1"/>
      <c r="R673" s="1"/>
      <c r="S673" s="1"/>
      <c r="T673" s="1"/>
      <c r="U673" s="1"/>
      <c r="V673" s="1"/>
      <c r="W673" s="1"/>
      <c r="X673" s="1"/>
      <c r="Y673" s="1"/>
    </row>
    <row r="674" spans="1:25" ht="15.75" customHeight="1" x14ac:dyDescent="0.25">
      <c r="A674" s="1"/>
      <c r="B674" s="1"/>
      <c r="C674" s="15"/>
      <c r="D674" s="17"/>
      <c r="E674" s="1"/>
      <c r="F674" s="17"/>
      <c r="G674" s="1"/>
      <c r="H674" s="1"/>
      <c r="I674" s="17"/>
      <c r="J674" s="17"/>
      <c r="K674" s="1"/>
      <c r="L674" s="1"/>
      <c r="M674" s="1"/>
      <c r="N674" s="1"/>
      <c r="O674" s="1"/>
      <c r="P674" s="1"/>
      <c r="Q674" s="1"/>
      <c r="R674" s="1"/>
      <c r="S674" s="1"/>
      <c r="T674" s="1"/>
      <c r="U674" s="1"/>
      <c r="V674" s="1"/>
      <c r="W674" s="1"/>
      <c r="X674" s="1"/>
      <c r="Y674" s="1"/>
    </row>
    <row r="675" spans="1:25" ht="15.75" customHeight="1" x14ac:dyDescent="0.25">
      <c r="A675" s="1"/>
      <c r="B675" s="1"/>
      <c r="C675" s="15"/>
      <c r="D675" s="17"/>
      <c r="E675" s="1"/>
      <c r="F675" s="17"/>
      <c r="G675" s="1"/>
      <c r="H675" s="1"/>
      <c r="I675" s="17"/>
      <c r="J675" s="17"/>
      <c r="K675" s="1"/>
      <c r="L675" s="1"/>
      <c r="M675" s="1"/>
      <c r="N675" s="1"/>
      <c r="O675" s="1"/>
      <c r="P675" s="1"/>
      <c r="Q675" s="1"/>
      <c r="R675" s="1"/>
      <c r="S675" s="1"/>
      <c r="T675" s="1"/>
      <c r="U675" s="1"/>
      <c r="V675" s="1"/>
      <c r="W675" s="1"/>
      <c r="X675" s="1"/>
      <c r="Y675" s="1"/>
    </row>
    <row r="676" spans="1:25" ht="15.75" customHeight="1" x14ac:dyDescent="0.25">
      <c r="A676" s="1"/>
      <c r="B676" s="1"/>
      <c r="C676" s="15"/>
      <c r="D676" s="17"/>
      <c r="E676" s="1"/>
      <c r="F676" s="17"/>
      <c r="G676" s="1"/>
      <c r="H676" s="1"/>
      <c r="I676" s="17"/>
      <c r="J676" s="17"/>
      <c r="K676" s="1"/>
      <c r="L676" s="1"/>
      <c r="M676" s="1"/>
      <c r="N676" s="1"/>
      <c r="O676" s="1"/>
      <c r="P676" s="1"/>
      <c r="Q676" s="1"/>
      <c r="R676" s="1"/>
      <c r="S676" s="1"/>
      <c r="T676" s="1"/>
      <c r="U676" s="1"/>
      <c r="V676" s="1"/>
      <c r="W676" s="1"/>
      <c r="X676" s="1"/>
      <c r="Y676" s="1"/>
    </row>
    <row r="677" spans="1:25" ht="15.75" customHeight="1" x14ac:dyDescent="0.25">
      <c r="A677" s="1"/>
      <c r="B677" s="1"/>
      <c r="C677" s="15"/>
      <c r="D677" s="17"/>
      <c r="E677" s="1"/>
      <c r="F677" s="17"/>
      <c r="G677" s="1"/>
      <c r="H677" s="1"/>
      <c r="I677" s="17"/>
      <c r="J677" s="17"/>
      <c r="K677" s="1"/>
      <c r="L677" s="1"/>
      <c r="M677" s="1"/>
      <c r="N677" s="1"/>
      <c r="O677" s="1"/>
      <c r="P677" s="1"/>
      <c r="Q677" s="1"/>
      <c r="R677" s="1"/>
      <c r="S677" s="1"/>
      <c r="T677" s="1"/>
      <c r="U677" s="1"/>
      <c r="V677" s="1"/>
      <c r="W677" s="1"/>
      <c r="X677" s="1"/>
      <c r="Y677" s="1"/>
    </row>
    <row r="678" spans="1:25" ht="15.75" customHeight="1" x14ac:dyDescent="0.25">
      <c r="A678" s="1"/>
      <c r="B678" s="1"/>
      <c r="C678" s="15"/>
      <c r="D678" s="17"/>
      <c r="E678" s="1"/>
      <c r="F678" s="17"/>
      <c r="G678" s="1"/>
      <c r="H678" s="1"/>
      <c r="I678" s="17"/>
      <c r="J678" s="17"/>
      <c r="K678" s="1"/>
      <c r="L678" s="1"/>
      <c r="M678" s="1"/>
      <c r="N678" s="1"/>
      <c r="O678" s="1"/>
      <c r="P678" s="1"/>
      <c r="Q678" s="1"/>
      <c r="R678" s="1"/>
      <c r="S678" s="1"/>
      <c r="T678" s="1"/>
      <c r="U678" s="1"/>
      <c r="V678" s="1"/>
      <c r="W678" s="1"/>
      <c r="X678" s="1"/>
      <c r="Y678" s="1"/>
    </row>
    <row r="679" spans="1:25" ht="15.75" customHeight="1" x14ac:dyDescent="0.25">
      <c r="A679" s="1"/>
      <c r="B679" s="1"/>
      <c r="C679" s="15"/>
      <c r="D679" s="17"/>
      <c r="E679" s="1"/>
      <c r="F679" s="17"/>
      <c r="G679" s="1"/>
      <c r="H679" s="1"/>
      <c r="I679" s="17"/>
      <c r="J679" s="17"/>
      <c r="K679" s="1"/>
      <c r="L679" s="1"/>
      <c r="M679" s="1"/>
      <c r="N679" s="1"/>
      <c r="O679" s="1"/>
      <c r="P679" s="1"/>
      <c r="Q679" s="1"/>
      <c r="R679" s="1"/>
      <c r="S679" s="1"/>
      <c r="T679" s="1"/>
      <c r="U679" s="1"/>
      <c r="V679" s="1"/>
      <c r="W679" s="1"/>
      <c r="X679" s="1"/>
      <c r="Y679" s="1"/>
    </row>
    <row r="680" spans="1:25" ht="15.75" customHeight="1" x14ac:dyDescent="0.25">
      <c r="A680" s="1"/>
      <c r="B680" s="1"/>
      <c r="C680" s="15"/>
      <c r="D680" s="17"/>
      <c r="E680" s="1"/>
      <c r="F680" s="17"/>
      <c r="G680" s="1"/>
      <c r="H680" s="1"/>
      <c r="I680" s="17"/>
      <c r="J680" s="17"/>
      <c r="K680" s="1"/>
      <c r="L680" s="1"/>
      <c r="M680" s="1"/>
      <c r="N680" s="1"/>
      <c r="O680" s="1"/>
      <c r="P680" s="1"/>
      <c r="Q680" s="1"/>
      <c r="R680" s="1"/>
      <c r="S680" s="1"/>
      <c r="T680" s="1"/>
      <c r="U680" s="1"/>
      <c r="V680" s="1"/>
      <c r="W680" s="1"/>
      <c r="X680" s="1"/>
      <c r="Y680" s="1"/>
    </row>
    <row r="681" spans="1:25" ht="15.75" customHeight="1" x14ac:dyDescent="0.25">
      <c r="A681" s="1"/>
      <c r="B681" s="1"/>
      <c r="C681" s="15"/>
      <c r="D681" s="17"/>
      <c r="E681" s="1"/>
      <c r="F681" s="17"/>
      <c r="G681" s="1"/>
      <c r="H681" s="1"/>
      <c r="I681" s="17"/>
      <c r="J681" s="17"/>
      <c r="K681" s="1"/>
      <c r="L681" s="1"/>
      <c r="M681" s="1"/>
      <c r="N681" s="1"/>
      <c r="O681" s="1"/>
      <c r="P681" s="1"/>
      <c r="Q681" s="1"/>
      <c r="R681" s="1"/>
      <c r="S681" s="1"/>
      <c r="T681" s="1"/>
      <c r="U681" s="1"/>
      <c r="V681" s="1"/>
      <c r="W681" s="1"/>
      <c r="X681" s="1"/>
      <c r="Y681" s="1"/>
    </row>
    <row r="682" spans="1:25" ht="15.75" customHeight="1" x14ac:dyDescent="0.25">
      <c r="A682" s="1"/>
      <c r="B682" s="1"/>
      <c r="C682" s="15"/>
      <c r="D682" s="17"/>
      <c r="E682" s="1"/>
      <c r="F682" s="17"/>
      <c r="G682" s="1"/>
      <c r="H682" s="1"/>
      <c r="I682" s="17"/>
      <c r="J682" s="17"/>
      <c r="K682" s="1"/>
      <c r="L682" s="1"/>
      <c r="M682" s="1"/>
      <c r="N682" s="1"/>
      <c r="O682" s="1"/>
      <c r="P682" s="1"/>
      <c r="Q682" s="1"/>
      <c r="R682" s="1"/>
      <c r="S682" s="1"/>
      <c r="T682" s="1"/>
      <c r="U682" s="1"/>
      <c r="V682" s="1"/>
      <c r="W682" s="1"/>
      <c r="X682" s="1"/>
      <c r="Y682" s="1"/>
    </row>
    <row r="683" spans="1:25" ht="15.75" customHeight="1" x14ac:dyDescent="0.25">
      <c r="A683" s="1"/>
      <c r="B683" s="1"/>
      <c r="C683" s="15"/>
      <c r="D683" s="17"/>
      <c r="E683" s="1"/>
      <c r="F683" s="17"/>
      <c r="G683" s="1"/>
      <c r="H683" s="1"/>
      <c r="I683" s="17"/>
      <c r="J683" s="17"/>
      <c r="K683" s="1"/>
      <c r="L683" s="1"/>
      <c r="M683" s="1"/>
      <c r="N683" s="1"/>
      <c r="O683" s="1"/>
      <c r="P683" s="1"/>
      <c r="Q683" s="1"/>
      <c r="R683" s="1"/>
      <c r="S683" s="1"/>
      <c r="T683" s="1"/>
      <c r="U683" s="1"/>
      <c r="V683" s="1"/>
      <c r="W683" s="1"/>
      <c r="X683" s="1"/>
      <c r="Y683" s="1"/>
    </row>
    <row r="684" spans="1:25" ht="15.75" customHeight="1" x14ac:dyDescent="0.25">
      <c r="A684" s="1"/>
      <c r="B684" s="1"/>
      <c r="C684" s="15"/>
      <c r="D684" s="17"/>
      <c r="E684" s="1"/>
      <c r="F684" s="17"/>
      <c r="G684" s="1"/>
      <c r="H684" s="1"/>
      <c r="I684" s="17"/>
      <c r="J684" s="17"/>
      <c r="K684" s="1"/>
      <c r="L684" s="1"/>
      <c r="M684" s="1"/>
      <c r="N684" s="1"/>
      <c r="O684" s="1"/>
      <c r="P684" s="1"/>
      <c r="Q684" s="1"/>
      <c r="R684" s="1"/>
      <c r="S684" s="1"/>
      <c r="T684" s="1"/>
      <c r="U684" s="1"/>
      <c r="V684" s="1"/>
      <c r="W684" s="1"/>
      <c r="X684" s="1"/>
      <c r="Y684" s="1"/>
    </row>
    <row r="685" spans="1:25" ht="15.75" customHeight="1" x14ac:dyDescent="0.25">
      <c r="A685" s="1"/>
      <c r="B685" s="1"/>
      <c r="C685" s="15"/>
      <c r="D685" s="17"/>
      <c r="E685" s="1"/>
      <c r="F685" s="17"/>
      <c r="G685" s="1"/>
      <c r="H685" s="1"/>
      <c r="I685" s="17"/>
      <c r="J685" s="17"/>
      <c r="K685" s="1"/>
      <c r="L685" s="1"/>
      <c r="M685" s="1"/>
      <c r="N685" s="1"/>
      <c r="O685" s="1"/>
      <c r="P685" s="1"/>
      <c r="Q685" s="1"/>
      <c r="R685" s="1"/>
      <c r="S685" s="1"/>
      <c r="T685" s="1"/>
      <c r="U685" s="1"/>
      <c r="V685" s="1"/>
      <c r="W685" s="1"/>
      <c r="X685" s="1"/>
      <c r="Y685" s="1"/>
    </row>
    <row r="686" spans="1:25" ht="15.75" customHeight="1" x14ac:dyDescent="0.25">
      <c r="A686" s="1"/>
      <c r="B686" s="1"/>
      <c r="C686" s="15"/>
      <c r="D686" s="17"/>
      <c r="E686" s="1"/>
      <c r="F686" s="17"/>
      <c r="G686" s="1"/>
      <c r="H686" s="1"/>
      <c r="I686" s="17"/>
      <c r="J686" s="17"/>
      <c r="K686" s="1"/>
      <c r="L686" s="1"/>
      <c r="M686" s="1"/>
      <c r="N686" s="1"/>
      <c r="O686" s="1"/>
      <c r="P686" s="1"/>
      <c r="Q686" s="1"/>
      <c r="R686" s="1"/>
      <c r="S686" s="1"/>
      <c r="T686" s="1"/>
      <c r="U686" s="1"/>
      <c r="V686" s="1"/>
      <c r="W686" s="1"/>
      <c r="X686" s="1"/>
      <c r="Y686" s="1"/>
    </row>
    <row r="687" spans="1:25" ht="15.75" customHeight="1" x14ac:dyDescent="0.25">
      <c r="A687" s="1"/>
      <c r="B687" s="1"/>
      <c r="C687" s="15"/>
      <c r="D687" s="17"/>
      <c r="E687" s="1"/>
      <c r="F687" s="17"/>
      <c r="G687" s="1"/>
      <c r="H687" s="1"/>
      <c r="I687" s="17"/>
      <c r="J687" s="17"/>
      <c r="K687" s="1"/>
      <c r="L687" s="1"/>
      <c r="M687" s="1"/>
      <c r="N687" s="1"/>
      <c r="O687" s="1"/>
      <c r="P687" s="1"/>
      <c r="Q687" s="1"/>
      <c r="R687" s="1"/>
      <c r="S687" s="1"/>
      <c r="T687" s="1"/>
      <c r="U687" s="1"/>
      <c r="V687" s="1"/>
      <c r="W687" s="1"/>
      <c r="X687" s="1"/>
      <c r="Y687" s="1"/>
    </row>
    <row r="688" spans="1:25" ht="15.75" customHeight="1" x14ac:dyDescent="0.25">
      <c r="A688" s="1"/>
      <c r="B688" s="1"/>
      <c r="C688" s="15"/>
      <c r="D688" s="17"/>
      <c r="E688" s="1"/>
      <c r="F688" s="17"/>
      <c r="G688" s="1"/>
      <c r="H688" s="1"/>
      <c r="I688" s="17"/>
      <c r="J688" s="17"/>
      <c r="K688" s="1"/>
      <c r="L688" s="1"/>
      <c r="M688" s="1"/>
      <c r="N688" s="1"/>
      <c r="O688" s="1"/>
      <c r="P688" s="1"/>
      <c r="Q688" s="1"/>
      <c r="R688" s="1"/>
      <c r="S688" s="1"/>
      <c r="T688" s="1"/>
      <c r="U688" s="1"/>
      <c r="V688" s="1"/>
      <c r="W688" s="1"/>
      <c r="X688" s="1"/>
      <c r="Y688" s="1"/>
    </row>
    <row r="689" spans="1:25" ht="15.75" customHeight="1" x14ac:dyDescent="0.25">
      <c r="A689" s="1"/>
      <c r="B689" s="1"/>
      <c r="C689" s="15"/>
      <c r="D689" s="17"/>
      <c r="E689" s="1"/>
      <c r="F689" s="17"/>
      <c r="G689" s="1"/>
      <c r="H689" s="1"/>
      <c r="I689" s="17"/>
      <c r="J689" s="17"/>
      <c r="K689" s="1"/>
      <c r="L689" s="1"/>
      <c r="M689" s="1"/>
      <c r="N689" s="1"/>
      <c r="O689" s="1"/>
      <c r="P689" s="1"/>
      <c r="Q689" s="1"/>
      <c r="R689" s="1"/>
      <c r="S689" s="1"/>
      <c r="T689" s="1"/>
      <c r="U689" s="1"/>
      <c r="V689" s="1"/>
      <c r="W689" s="1"/>
      <c r="X689" s="1"/>
      <c r="Y689" s="1"/>
    </row>
    <row r="690" spans="1:25" ht="15.75" customHeight="1" x14ac:dyDescent="0.25">
      <c r="A690" s="1"/>
      <c r="B690" s="1"/>
      <c r="C690" s="15"/>
      <c r="D690" s="17"/>
      <c r="E690" s="1"/>
      <c r="F690" s="17"/>
      <c r="G690" s="1"/>
      <c r="H690" s="1"/>
      <c r="I690" s="17"/>
      <c r="J690" s="17"/>
      <c r="K690" s="1"/>
      <c r="L690" s="1"/>
      <c r="M690" s="1"/>
      <c r="N690" s="1"/>
      <c r="O690" s="1"/>
      <c r="P690" s="1"/>
      <c r="Q690" s="1"/>
      <c r="R690" s="1"/>
      <c r="S690" s="1"/>
      <c r="T690" s="1"/>
      <c r="U690" s="1"/>
      <c r="V690" s="1"/>
      <c r="W690" s="1"/>
      <c r="X690" s="1"/>
      <c r="Y690" s="1"/>
    </row>
    <row r="691" spans="1:25" ht="15.75" customHeight="1" x14ac:dyDescent="0.25">
      <c r="A691" s="1"/>
      <c r="B691" s="1"/>
      <c r="C691" s="15"/>
      <c r="D691" s="17"/>
      <c r="E691" s="1"/>
      <c r="F691" s="17"/>
      <c r="G691" s="1"/>
      <c r="H691" s="1"/>
      <c r="I691" s="17"/>
      <c r="J691" s="17"/>
      <c r="K691" s="1"/>
      <c r="L691" s="1"/>
      <c r="M691" s="1"/>
      <c r="N691" s="1"/>
      <c r="O691" s="1"/>
      <c r="P691" s="1"/>
      <c r="Q691" s="1"/>
      <c r="R691" s="1"/>
      <c r="S691" s="1"/>
      <c r="T691" s="1"/>
      <c r="U691" s="1"/>
      <c r="V691" s="1"/>
      <c r="W691" s="1"/>
      <c r="X691" s="1"/>
      <c r="Y691" s="1"/>
    </row>
    <row r="692" spans="1:25" ht="15.75" customHeight="1" x14ac:dyDescent="0.25">
      <c r="A692" s="1"/>
      <c r="B692" s="1"/>
      <c r="C692" s="15"/>
      <c r="D692" s="17"/>
      <c r="E692" s="1"/>
      <c r="F692" s="17"/>
      <c r="G692" s="1"/>
      <c r="H692" s="1"/>
      <c r="I692" s="17"/>
      <c r="J692" s="17"/>
      <c r="K692" s="1"/>
      <c r="L692" s="1"/>
      <c r="M692" s="1"/>
      <c r="N692" s="1"/>
      <c r="O692" s="1"/>
      <c r="P692" s="1"/>
      <c r="Q692" s="1"/>
      <c r="R692" s="1"/>
      <c r="S692" s="1"/>
      <c r="T692" s="1"/>
      <c r="U692" s="1"/>
      <c r="V692" s="1"/>
      <c r="W692" s="1"/>
      <c r="X692" s="1"/>
      <c r="Y692" s="1"/>
    </row>
    <row r="693" spans="1:25" ht="15.75" customHeight="1" x14ac:dyDescent="0.25">
      <c r="A693" s="1"/>
      <c r="B693" s="1"/>
      <c r="C693" s="15"/>
      <c r="D693" s="17"/>
      <c r="E693" s="1"/>
      <c r="F693" s="17"/>
      <c r="G693" s="1"/>
      <c r="H693" s="1"/>
      <c r="I693" s="17"/>
      <c r="J693" s="17"/>
      <c r="K693" s="1"/>
      <c r="L693" s="1"/>
      <c r="M693" s="1"/>
      <c r="N693" s="1"/>
      <c r="O693" s="1"/>
      <c r="P693" s="1"/>
      <c r="Q693" s="1"/>
      <c r="R693" s="1"/>
      <c r="S693" s="1"/>
      <c r="T693" s="1"/>
      <c r="U693" s="1"/>
      <c r="V693" s="1"/>
      <c r="W693" s="1"/>
      <c r="X693" s="1"/>
      <c r="Y693" s="1"/>
    </row>
    <row r="694" spans="1:25" ht="15.75" customHeight="1" x14ac:dyDescent="0.25">
      <c r="A694" s="1"/>
      <c r="B694" s="1"/>
      <c r="C694" s="15"/>
      <c r="D694" s="17"/>
      <c r="E694" s="1"/>
      <c r="F694" s="17"/>
      <c r="G694" s="1"/>
      <c r="H694" s="1"/>
      <c r="I694" s="17"/>
      <c r="J694" s="17"/>
      <c r="K694" s="1"/>
      <c r="L694" s="1"/>
      <c r="M694" s="1"/>
      <c r="N694" s="1"/>
      <c r="O694" s="1"/>
      <c r="P694" s="1"/>
      <c r="Q694" s="1"/>
      <c r="R694" s="1"/>
      <c r="S694" s="1"/>
      <c r="T694" s="1"/>
      <c r="U694" s="1"/>
      <c r="V694" s="1"/>
      <c r="W694" s="1"/>
      <c r="X694" s="1"/>
      <c r="Y694" s="1"/>
    </row>
    <row r="695" spans="1:25" ht="15.75" customHeight="1" x14ac:dyDescent="0.25">
      <c r="A695" s="1"/>
      <c r="B695" s="1"/>
      <c r="C695" s="15"/>
      <c r="D695" s="17"/>
      <c r="E695" s="1"/>
      <c r="F695" s="17"/>
      <c r="G695" s="1"/>
      <c r="H695" s="1"/>
      <c r="I695" s="17"/>
      <c r="J695" s="17"/>
      <c r="K695" s="1"/>
      <c r="L695" s="1"/>
      <c r="M695" s="1"/>
      <c r="N695" s="1"/>
      <c r="O695" s="1"/>
      <c r="P695" s="1"/>
      <c r="Q695" s="1"/>
      <c r="R695" s="1"/>
      <c r="S695" s="1"/>
      <c r="T695" s="1"/>
      <c r="U695" s="1"/>
      <c r="V695" s="1"/>
      <c r="W695" s="1"/>
      <c r="X695" s="1"/>
      <c r="Y695" s="1"/>
    </row>
    <row r="696" spans="1:25" ht="15.75" customHeight="1" x14ac:dyDescent="0.25">
      <c r="A696" s="1"/>
      <c r="B696" s="1"/>
      <c r="C696" s="15"/>
      <c r="D696" s="17"/>
      <c r="E696" s="1"/>
      <c r="F696" s="17"/>
      <c r="G696" s="1"/>
      <c r="H696" s="1"/>
      <c r="I696" s="17"/>
      <c r="J696" s="17"/>
      <c r="K696" s="1"/>
      <c r="L696" s="1"/>
      <c r="M696" s="1"/>
      <c r="N696" s="1"/>
      <c r="O696" s="1"/>
      <c r="P696" s="1"/>
      <c r="Q696" s="1"/>
      <c r="R696" s="1"/>
      <c r="S696" s="1"/>
      <c r="T696" s="1"/>
      <c r="U696" s="1"/>
      <c r="V696" s="1"/>
      <c r="W696" s="1"/>
      <c r="X696" s="1"/>
      <c r="Y696" s="1"/>
    </row>
    <row r="697" spans="1:25" ht="15.75" customHeight="1" x14ac:dyDescent="0.25">
      <c r="A697" s="1"/>
      <c r="B697" s="1"/>
      <c r="C697" s="15"/>
      <c r="D697" s="17"/>
      <c r="E697" s="1"/>
      <c r="F697" s="17"/>
      <c r="G697" s="1"/>
      <c r="H697" s="1"/>
      <c r="I697" s="17"/>
      <c r="J697" s="17"/>
      <c r="K697" s="1"/>
      <c r="L697" s="1"/>
      <c r="M697" s="1"/>
      <c r="N697" s="1"/>
      <c r="O697" s="1"/>
      <c r="P697" s="1"/>
      <c r="Q697" s="1"/>
      <c r="R697" s="1"/>
      <c r="S697" s="1"/>
      <c r="T697" s="1"/>
      <c r="U697" s="1"/>
      <c r="V697" s="1"/>
      <c r="W697" s="1"/>
      <c r="X697" s="1"/>
      <c r="Y697" s="1"/>
    </row>
    <row r="698" spans="1:25" ht="15.75" customHeight="1" x14ac:dyDescent="0.25">
      <c r="A698" s="1"/>
      <c r="B698" s="1"/>
      <c r="C698" s="15"/>
      <c r="D698" s="17"/>
      <c r="E698" s="1"/>
      <c r="F698" s="17"/>
      <c r="G698" s="1"/>
      <c r="H698" s="1"/>
      <c r="I698" s="17"/>
      <c r="J698" s="17"/>
      <c r="K698" s="1"/>
      <c r="L698" s="1"/>
      <c r="M698" s="1"/>
      <c r="N698" s="1"/>
      <c r="O698" s="1"/>
      <c r="P698" s="1"/>
      <c r="Q698" s="1"/>
      <c r="R698" s="1"/>
      <c r="S698" s="1"/>
      <c r="T698" s="1"/>
      <c r="U698" s="1"/>
      <c r="V698" s="1"/>
      <c r="W698" s="1"/>
      <c r="X698" s="1"/>
      <c r="Y698" s="1"/>
    </row>
    <row r="699" spans="1:25" ht="15.75" customHeight="1" x14ac:dyDescent="0.25">
      <c r="A699" s="1"/>
      <c r="B699" s="1"/>
      <c r="C699" s="15"/>
      <c r="D699" s="17"/>
      <c r="E699" s="1"/>
      <c r="F699" s="17"/>
      <c r="G699" s="1"/>
      <c r="H699" s="1"/>
      <c r="I699" s="17"/>
      <c r="J699" s="17"/>
      <c r="K699" s="1"/>
      <c r="L699" s="1"/>
      <c r="M699" s="1"/>
      <c r="N699" s="1"/>
      <c r="O699" s="1"/>
      <c r="P699" s="1"/>
      <c r="Q699" s="1"/>
      <c r="R699" s="1"/>
      <c r="S699" s="1"/>
      <c r="T699" s="1"/>
      <c r="U699" s="1"/>
      <c r="V699" s="1"/>
      <c r="W699" s="1"/>
      <c r="X699" s="1"/>
      <c r="Y699" s="1"/>
    </row>
    <row r="700" spans="1:25" ht="15.75" customHeight="1" x14ac:dyDescent="0.25">
      <c r="A700" s="1"/>
      <c r="B700" s="1"/>
      <c r="C700" s="15"/>
      <c r="D700" s="17"/>
      <c r="E700" s="1"/>
      <c r="F700" s="17"/>
      <c r="G700" s="1"/>
      <c r="H700" s="1"/>
      <c r="I700" s="17"/>
      <c r="J700" s="17"/>
      <c r="K700" s="1"/>
      <c r="L700" s="1"/>
      <c r="M700" s="1"/>
      <c r="N700" s="1"/>
      <c r="O700" s="1"/>
      <c r="P700" s="1"/>
      <c r="Q700" s="1"/>
      <c r="R700" s="1"/>
      <c r="S700" s="1"/>
      <c r="T700" s="1"/>
      <c r="U700" s="1"/>
      <c r="V700" s="1"/>
      <c r="W700" s="1"/>
      <c r="X700" s="1"/>
      <c r="Y700" s="1"/>
    </row>
    <row r="701" spans="1:25" ht="15.75" customHeight="1" x14ac:dyDescent="0.25">
      <c r="A701" s="1"/>
      <c r="B701" s="1"/>
      <c r="C701" s="15"/>
      <c r="D701" s="17"/>
      <c r="E701" s="1"/>
      <c r="F701" s="17"/>
      <c r="G701" s="1"/>
      <c r="H701" s="1"/>
      <c r="I701" s="17"/>
      <c r="J701" s="17"/>
      <c r="K701" s="1"/>
      <c r="L701" s="1"/>
      <c r="M701" s="1"/>
      <c r="N701" s="1"/>
      <c r="O701" s="1"/>
      <c r="P701" s="1"/>
      <c r="Q701" s="1"/>
      <c r="R701" s="1"/>
      <c r="S701" s="1"/>
      <c r="T701" s="1"/>
      <c r="U701" s="1"/>
      <c r="V701" s="1"/>
      <c r="W701" s="1"/>
      <c r="X701" s="1"/>
      <c r="Y701" s="1"/>
    </row>
    <row r="702" spans="1:25" ht="15.75" customHeight="1" x14ac:dyDescent="0.25">
      <c r="A702" s="1"/>
      <c r="B702" s="1"/>
      <c r="C702" s="15"/>
      <c r="D702" s="17"/>
      <c r="E702" s="1"/>
      <c r="F702" s="17"/>
      <c r="G702" s="1"/>
      <c r="H702" s="1"/>
      <c r="I702" s="17"/>
      <c r="J702" s="17"/>
      <c r="K702" s="1"/>
      <c r="L702" s="1"/>
      <c r="M702" s="1"/>
      <c r="N702" s="1"/>
      <c r="O702" s="1"/>
      <c r="P702" s="1"/>
      <c r="Q702" s="1"/>
      <c r="R702" s="1"/>
      <c r="S702" s="1"/>
      <c r="T702" s="1"/>
      <c r="U702" s="1"/>
      <c r="V702" s="1"/>
      <c r="W702" s="1"/>
      <c r="X702" s="1"/>
      <c r="Y702" s="1"/>
    </row>
    <row r="703" spans="1:25" ht="15.75" customHeight="1" x14ac:dyDescent="0.25">
      <c r="A703" s="1"/>
      <c r="B703" s="1"/>
      <c r="C703" s="15"/>
      <c r="D703" s="17"/>
      <c r="E703" s="1"/>
      <c r="F703" s="17"/>
      <c r="G703" s="1"/>
      <c r="H703" s="1"/>
      <c r="I703" s="17"/>
      <c r="J703" s="17"/>
      <c r="K703" s="1"/>
      <c r="L703" s="1"/>
      <c r="M703" s="1"/>
      <c r="N703" s="1"/>
      <c r="O703" s="1"/>
      <c r="P703" s="1"/>
      <c r="Q703" s="1"/>
      <c r="R703" s="1"/>
      <c r="S703" s="1"/>
      <c r="T703" s="1"/>
      <c r="U703" s="1"/>
      <c r="V703" s="1"/>
      <c r="W703" s="1"/>
      <c r="X703" s="1"/>
      <c r="Y703" s="1"/>
    </row>
    <row r="704" spans="1:25" ht="15.75" customHeight="1" x14ac:dyDescent="0.25">
      <c r="A704" s="1"/>
      <c r="B704" s="1"/>
      <c r="C704" s="15"/>
      <c r="D704" s="17"/>
      <c r="E704" s="1"/>
      <c r="F704" s="17"/>
      <c r="G704" s="1"/>
      <c r="H704" s="1"/>
      <c r="I704" s="17"/>
      <c r="J704" s="17"/>
      <c r="K704" s="1"/>
      <c r="L704" s="1"/>
      <c r="M704" s="1"/>
      <c r="N704" s="1"/>
      <c r="O704" s="1"/>
      <c r="P704" s="1"/>
      <c r="Q704" s="1"/>
      <c r="R704" s="1"/>
      <c r="S704" s="1"/>
      <c r="T704" s="1"/>
      <c r="U704" s="1"/>
      <c r="V704" s="1"/>
      <c r="W704" s="1"/>
      <c r="X704" s="1"/>
      <c r="Y704" s="1"/>
    </row>
    <row r="705" spans="1:25" ht="15.75" customHeight="1" x14ac:dyDescent="0.25">
      <c r="A705" s="1"/>
      <c r="B705" s="1"/>
      <c r="C705" s="15"/>
      <c r="D705" s="17"/>
      <c r="E705" s="1"/>
      <c r="F705" s="17"/>
      <c r="G705" s="1"/>
      <c r="H705" s="1"/>
      <c r="I705" s="17"/>
      <c r="J705" s="17"/>
      <c r="K705" s="1"/>
      <c r="L705" s="1"/>
      <c r="M705" s="1"/>
      <c r="N705" s="1"/>
      <c r="O705" s="1"/>
      <c r="P705" s="1"/>
      <c r="Q705" s="1"/>
      <c r="R705" s="1"/>
      <c r="S705" s="1"/>
      <c r="T705" s="1"/>
      <c r="U705" s="1"/>
      <c r="V705" s="1"/>
      <c r="W705" s="1"/>
      <c r="X705" s="1"/>
      <c r="Y705" s="1"/>
    </row>
    <row r="706" spans="1:25" ht="15.75" customHeight="1" x14ac:dyDescent="0.25">
      <c r="A706" s="1"/>
      <c r="B706" s="1"/>
      <c r="C706" s="15"/>
      <c r="D706" s="17"/>
      <c r="E706" s="1"/>
      <c r="F706" s="17"/>
      <c r="G706" s="1"/>
      <c r="H706" s="1"/>
      <c r="I706" s="17"/>
      <c r="J706" s="17"/>
      <c r="K706" s="1"/>
      <c r="L706" s="1"/>
      <c r="M706" s="1"/>
      <c r="N706" s="1"/>
      <c r="O706" s="1"/>
      <c r="P706" s="1"/>
      <c r="Q706" s="1"/>
      <c r="R706" s="1"/>
      <c r="S706" s="1"/>
      <c r="T706" s="1"/>
      <c r="U706" s="1"/>
      <c r="V706" s="1"/>
      <c r="W706" s="1"/>
      <c r="X706" s="1"/>
      <c r="Y706" s="1"/>
    </row>
    <row r="707" spans="1:25" ht="15.75" customHeight="1" x14ac:dyDescent="0.25">
      <c r="A707" s="1"/>
      <c r="B707" s="1"/>
      <c r="C707" s="15"/>
      <c r="D707" s="17"/>
      <c r="E707" s="1"/>
      <c r="F707" s="17"/>
      <c r="G707" s="1"/>
      <c r="H707" s="1"/>
      <c r="I707" s="17"/>
      <c r="J707" s="17"/>
      <c r="K707" s="1"/>
      <c r="L707" s="1"/>
      <c r="M707" s="1"/>
      <c r="N707" s="1"/>
      <c r="O707" s="1"/>
      <c r="P707" s="1"/>
      <c r="Q707" s="1"/>
      <c r="R707" s="1"/>
      <c r="S707" s="1"/>
      <c r="T707" s="1"/>
      <c r="U707" s="1"/>
      <c r="V707" s="1"/>
      <c r="W707" s="1"/>
      <c r="X707" s="1"/>
      <c r="Y707" s="1"/>
    </row>
    <row r="708" spans="1:25" ht="15.75" customHeight="1" x14ac:dyDescent="0.25">
      <c r="A708" s="1"/>
      <c r="B708" s="1"/>
      <c r="C708" s="15"/>
      <c r="D708" s="17"/>
      <c r="E708" s="1"/>
      <c r="F708" s="17"/>
      <c r="G708" s="1"/>
      <c r="H708" s="1"/>
      <c r="I708" s="17"/>
      <c r="J708" s="17"/>
      <c r="K708" s="1"/>
      <c r="L708" s="1"/>
      <c r="M708" s="1"/>
      <c r="N708" s="1"/>
      <c r="O708" s="1"/>
      <c r="P708" s="1"/>
      <c r="Q708" s="1"/>
      <c r="R708" s="1"/>
      <c r="S708" s="1"/>
      <c r="T708" s="1"/>
      <c r="U708" s="1"/>
      <c r="V708" s="1"/>
      <c r="W708" s="1"/>
      <c r="X708" s="1"/>
      <c r="Y708" s="1"/>
    </row>
    <row r="709" spans="1:25" ht="15.75" customHeight="1" x14ac:dyDescent="0.25">
      <c r="A709" s="1"/>
      <c r="B709" s="1"/>
      <c r="C709" s="15"/>
      <c r="D709" s="17"/>
      <c r="E709" s="1"/>
      <c r="F709" s="17"/>
      <c r="G709" s="1"/>
      <c r="H709" s="1"/>
      <c r="I709" s="17"/>
      <c r="J709" s="17"/>
      <c r="K709" s="1"/>
      <c r="L709" s="1"/>
      <c r="M709" s="1"/>
      <c r="N709" s="1"/>
      <c r="O709" s="1"/>
      <c r="P709" s="1"/>
      <c r="Q709" s="1"/>
      <c r="R709" s="1"/>
      <c r="S709" s="1"/>
      <c r="T709" s="1"/>
      <c r="U709" s="1"/>
      <c r="V709" s="1"/>
      <c r="W709" s="1"/>
      <c r="X709" s="1"/>
      <c r="Y709" s="1"/>
    </row>
    <row r="710" spans="1:25" ht="15.75" customHeight="1" x14ac:dyDescent="0.25">
      <c r="A710" s="1"/>
      <c r="B710" s="1"/>
      <c r="C710" s="15"/>
      <c r="D710" s="17"/>
      <c r="E710" s="1"/>
      <c r="F710" s="17"/>
      <c r="G710" s="1"/>
      <c r="H710" s="1"/>
      <c r="I710" s="17"/>
      <c r="J710" s="17"/>
      <c r="K710" s="1"/>
      <c r="L710" s="1"/>
      <c r="M710" s="1"/>
      <c r="N710" s="1"/>
      <c r="O710" s="1"/>
      <c r="P710" s="1"/>
      <c r="Q710" s="1"/>
      <c r="R710" s="1"/>
      <c r="S710" s="1"/>
      <c r="T710" s="1"/>
      <c r="U710" s="1"/>
      <c r="V710" s="1"/>
      <c r="W710" s="1"/>
      <c r="X710" s="1"/>
      <c r="Y710" s="1"/>
    </row>
    <row r="711" spans="1:25" ht="15.75" customHeight="1" x14ac:dyDescent="0.25">
      <c r="A711" s="1"/>
      <c r="B711" s="1"/>
      <c r="C711" s="15"/>
      <c r="D711" s="17"/>
      <c r="E711" s="1"/>
      <c r="F711" s="17"/>
      <c r="G711" s="1"/>
      <c r="H711" s="1"/>
      <c r="I711" s="17"/>
      <c r="J711" s="17"/>
      <c r="K711" s="1"/>
      <c r="L711" s="1"/>
      <c r="M711" s="1"/>
      <c r="N711" s="1"/>
      <c r="O711" s="1"/>
      <c r="P711" s="1"/>
      <c r="Q711" s="1"/>
      <c r="R711" s="1"/>
      <c r="S711" s="1"/>
      <c r="T711" s="1"/>
      <c r="U711" s="1"/>
      <c r="V711" s="1"/>
      <c r="W711" s="1"/>
      <c r="X711" s="1"/>
      <c r="Y711" s="1"/>
    </row>
    <row r="712" spans="1:25" ht="15.75" customHeight="1" x14ac:dyDescent="0.25">
      <c r="A712" s="1"/>
      <c r="B712" s="1"/>
      <c r="C712" s="15"/>
      <c r="D712" s="17"/>
      <c r="E712" s="1"/>
      <c r="F712" s="17"/>
      <c r="G712" s="1"/>
      <c r="H712" s="1"/>
      <c r="I712" s="17"/>
      <c r="J712" s="17"/>
      <c r="K712" s="1"/>
      <c r="L712" s="1"/>
      <c r="M712" s="1"/>
      <c r="N712" s="1"/>
      <c r="O712" s="1"/>
      <c r="P712" s="1"/>
      <c r="Q712" s="1"/>
      <c r="R712" s="1"/>
      <c r="S712" s="1"/>
      <c r="T712" s="1"/>
      <c r="U712" s="1"/>
      <c r="V712" s="1"/>
      <c r="W712" s="1"/>
      <c r="X712" s="1"/>
      <c r="Y712" s="1"/>
    </row>
    <row r="713" spans="1:25" ht="15.75" customHeight="1" x14ac:dyDescent="0.25">
      <c r="A713" s="1"/>
      <c r="B713" s="1"/>
      <c r="C713" s="15"/>
      <c r="D713" s="17"/>
      <c r="E713" s="1"/>
      <c r="F713" s="17"/>
      <c r="G713" s="1"/>
      <c r="H713" s="1"/>
      <c r="I713" s="17"/>
      <c r="J713" s="17"/>
      <c r="K713" s="1"/>
      <c r="L713" s="1"/>
      <c r="M713" s="1"/>
      <c r="N713" s="1"/>
      <c r="O713" s="1"/>
      <c r="P713" s="1"/>
      <c r="Q713" s="1"/>
      <c r="R713" s="1"/>
      <c r="S713" s="1"/>
      <c r="T713" s="1"/>
      <c r="U713" s="1"/>
      <c r="V713" s="1"/>
      <c r="W713" s="1"/>
      <c r="X713" s="1"/>
      <c r="Y713" s="1"/>
    </row>
    <row r="714" spans="1:25" ht="15.75" customHeight="1" x14ac:dyDescent="0.25">
      <c r="A714" s="1"/>
      <c r="B714" s="1"/>
      <c r="C714" s="15"/>
      <c r="D714" s="17"/>
      <c r="E714" s="1"/>
      <c r="F714" s="17"/>
      <c r="G714" s="1"/>
      <c r="H714" s="1"/>
      <c r="I714" s="17"/>
      <c r="J714" s="17"/>
      <c r="K714" s="1"/>
      <c r="L714" s="1"/>
      <c r="M714" s="1"/>
      <c r="N714" s="1"/>
      <c r="O714" s="1"/>
      <c r="P714" s="1"/>
      <c r="Q714" s="1"/>
      <c r="R714" s="1"/>
      <c r="S714" s="1"/>
      <c r="T714" s="1"/>
      <c r="U714" s="1"/>
      <c r="V714" s="1"/>
      <c r="W714" s="1"/>
      <c r="X714" s="1"/>
      <c r="Y714" s="1"/>
    </row>
    <row r="715" spans="1:25" ht="15.75" customHeight="1" x14ac:dyDescent="0.25">
      <c r="A715" s="1"/>
      <c r="B715" s="1"/>
      <c r="C715" s="15"/>
      <c r="D715" s="17"/>
      <c r="E715" s="1"/>
      <c r="F715" s="17"/>
      <c r="G715" s="1"/>
      <c r="H715" s="1"/>
      <c r="I715" s="17"/>
      <c r="J715" s="17"/>
      <c r="K715" s="1"/>
      <c r="L715" s="1"/>
      <c r="M715" s="1"/>
      <c r="N715" s="1"/>
      <c r="O715" s="1"/>
      <c r="P715" s="1"/>
      <c r="Q715" s="1"/>
      <c r="R715" s="1"/>
      <c r="S715" s="1"/>
      <c r="T715" s="1"/>
      <c r="U715" s="1"/>
      <c r="V715" s="1"/>
      <c r="W715" s="1"/>
      <c r="X715" s="1"/>
      <c r="Y715" s="1"/>
    </row>
    <row r="716" spans="1:25" ht="15.75" customHeight="1" x14ac:dyDescent="0.25">
      <c r="A716" s="1"/>
      <c r="B716" s="1"/>
      <c r="C716" s="15"/>
      <c r="D716" s="17"/>
      <c r="E716" s="1"/>
      <c r="F716" s="17"/>
      <c r="G716" s="1"/>
      <c r="H716" s="1"/>
      <c r="I716" s="17"/>
      <c r="J716" s="17"/>
      <c r="K716" s="1"/>
      <c r="L716" s="1"/>
      <c r="M716" s="1"/>
      <c r="N716" s="1"/>
      <c r="O716" s="1"/>
      <c r="P716" s="1"/>
      <c r="Q716" s="1"/>
      <c r="R716" s="1"/>
      <c r="S716" s="1"/>
      <c r="T716" s="1"/>
      <c r="U716" s="1"/>
      <c r="V716" s="1"/>
      <c r="W716" s="1"/>
      <c r="X716" s="1"/>
      <c r="Y716" s="1"/>
    </row>
    <row r="717" spans="1:25" ht="15.75" customHeight="1" x14ac:dyDescent="0.25">
      <c r="A717" s="1"/>
      <c r="B717" s="1"/>
      <c r="C717" s="15"/>
      <c r="D717" s="17"/>
      <c r="E717" s="1"/>
      <c r="F717" s="17"/>
      <c r="G717" s="1"/>
      <c r="H717" s="1"/>
      <c r="I717" s="17"/>
      <c r="J717" s="17"/>
      <c r="K717" s="1"/>
      <c r="L717" s="1"/>
      <c r="M717" s="1"/>
      <c r="N717" s="1"/>
      <c r="O717" s="1"/>
      <c r="P717" s="1"/>
      <c r="Q717" s="1"/>
      <c r="R717" s="1"/>
      <c r="S717" s="1"/>
      <c r="T717" s="1"/>
      <c r="U717" s="1"/>
      <c r="V717" s="1"/>
      <c r="W717" s="1"/>
      <c r="X717" s="1"/>
      <c r="Y717" s="1"/>
    </row>
    <row r="718" spans="1:25" ht="15.75" customHeight="1" x14ac:dyDescent="0.25">
      <c r="A718" s="1"/>
      <c r="B718" s="1"/>
      <c r="C718" s="15"/>
      <c r="D718" s="17"/>
      <c r="E718" s="1"/>
      <c r="F718" s="17"/>
      <c r="G718" s="1"/>
      <c r="H718" s="1"/>
      <c r="I718" s="17"/>
      <c r="J718" s="17"/>
      <c r="K718" s="1"/>
      <c r="L718" s="1"/>
      <c r="M718" s="1"/>
      <c r="N718" s="1"/>
      <c r="O718" s="1"/>
      <c r="P718" s="1"/>
      <c r="Q718" s="1"/>
      <c r="R718" s="1"/>
      <c r="S718" s="1"/>
      <c r="T718" s="1"/>
      <c r="U718" s="1"/>
      <c r="V718" s="1"/>
      <c r="W718" s="1"/>
      <c r="X718" s="1"/>
      <c r="Y718" s="1"/>
    </row>
    <row r="719" spans="1:25" ht="15.75" customHeight="1" x14ac:dyDescent="0.25">
      <c r="A719" s="1"/>
      <c r="B719" s="1"/>
      <c r="C719" s="15"/>
      <c r="D719" s="17"/>
      <c r="E719" s="1"/>
      <c r="F719" s="17"/>
      <c r="G719" s="1"/>
      <c r="H719" s="1"/>
      <c r="I719" s="17"/>
      <c r="J719" s="17"/>
      <c r="K719" s="1"/>
      <c r="L719" s="1"/>
      <c r="M719" s="1"/>
      <c r="N719" s="1"/>
      <c r="O719" s="1"/>
      <c r="P719" s="1"/>
      <c r="Q719" s="1"/>
      <c r="R719" s="1"/>
      <c r="S719" s="1"/>
      <c r="T719" s="1"/>
      <c r="U719" s="1"/>
      <c r="V719" s="1"/>
      <c r="W719" s="1"/>
      <c r="X719" s="1"/>
      <c r="Y719" s="1"/>
    </row>
    <row r="720" spans="1:25" ht="15.75" customHeight="1" x14ac:dyDescent="0.25">
      <c r="A720" s="1"/>
      <c r="B720" s="1"/>
      <c r="C720" s="15"/>
      <c r="D720" s="17"/>
      <c r="E720" s="1"/>
      <c r="F720" s="17"/>
      <c r="G720" s="1"/>
      <c r="H720" s="1"/>
      <c r="I720" s="17"/>
      <c r="J720" s="17"/>
      <c r="K720" s="1"/>
      <c r="L720" s="1"/>
      <c r="M720" s="1"/>
      <c r="N720" s="1"/>
      <c r="O720" s="1"/>
      <c r="P720" s="1"/>
      <c r="Q720" s="1"/>
      <c r="R720" s="1"/>
      <c r="S720" s="1"/>
      <c r="T720" s="1"/>
      <c r="U720" s="1"/>
      <c r="V720" s="1"/>
      <c r="W720" s="1"/>
      <c r="X720" s="1"/>
      <c r="Y720" s="1"/>
    </row>
    <row r="721" spans="1:25" ht="15.75" customHeight="1" x14ac:dyDescent="0.25">
      <c r="A721" s="1"/>
      <c r="B721" s="1"/>
      <c r="C721" s="15"/>
      <c r="D721" s="17"/>
      <c r="E721" s="1"/>
      <c r="F721" s="17"/>
      <c r="G721" s="1"/>
      <c r="H721" s="1"/>
      <c r="I721" s="17"/>
      <c r="J721" s="17"/>
      <c r="K721" s="1"/>
      <c r="L721" s="1"/>
      <c r="M721" s="1"/>
      <c r="N721" s="1"/>
      <c r="O721" s="1"/>
      <c r="P721" s="1"/>
      <c r="Q721" s="1"/>
      <c r="R721" s="1"/>
      <c r="S721" s="1"/>
      <c r="T721" s="1"/>
      <c r="U721" s="1"/>
      <c r="V721" s="1"/>
      <c r="W721" s="1"/>
      <c r="X721" s="1"/>
      <c r="Y721" s="1"/>
    </row>
    <row r="722" spans="1:25" ht="15.75" customHeight="1" x14ac:dyDescent="0.25">
      <c r="A722" s="1"/>
      <c r="B722" s="1"/>
      <c r="C722" s="15"/>
      <c r="D722" s="17"/>
      <c r="E722" s="1"/>
      <c r="F722" s="17"/>
      <c r="G722" s="1"/>
      <c r="H722" s="1"/>
      <c r="I722" s="17"/>
      <c r="J722" s="17"/>
      <c r="K722" s="1"/>
      <c r="L722" s="1"/>
      <c r="M722" s="1"/>
      <c r="N722" s="1"/>
      <c r="O722" s="1"/>
      <c r="P722" s="1"/>
      <c r="Q722" s="1"/>
      <c r="R722" s="1"/>
      <c r="S722" s="1"/>
      <c r="T722" s="1"/>
      <c r="U722" s="1"/>
      <c r="V722" s="1"/>
      <c r="W722" s="1"/>
      <c r="X722" s="1"/>
      <c r="Y722" s="1"/>
    </row>
    <row r="723" spans="1:25" ht="15.75" customHeight="1" x14ac:dyDescent="0.25">
      <c r="A723" s="1"/>
      <c r="B723" s="1"/>
      <c r="C723" s="15"/>
      <c r="D723" s="17"/>
      <c r="E723" s="1"/>
      <c r="F723" s="17"/>
      <c r="G723" s="1"/>
      <c r="H723" s="1"/>
      <c r="I723" s="17"/>
      <c r="J723" s="17"/>
      <c r="K723" s="1"/>
      <c r="L723" s="1"/>
      <c r="M723" s="1"/>
      <c r="N723" s="1"/>
      <c r="O723" s="1"/>
      <c r="P723" s="1"/>
      <c r="Q723" s="1"/>
      <c r="R723" s="1"/>
      <c r="S723" s="1"/>
      <c r="T723" s="1"/>
      <c r="U723" s="1"/>
      <c r="V723" s="1"/>
      <c r="W723" s="1"/>
      <c r="X723" s="1"/>
      <c r="Y723" s="1"/>
    </row>
    <row r="724" spans="1:25" ht="15.75" customHeight="1" x14ac:dyDescent="0.25">
      <c r="A724" s="1"/>
      <c r="B724" s="1"/>
      <c r="C724" s="15"/>
      <c r="D724" s="17"/>
      <c r="E724" s="1"/>
      <c r="F724" s="17"/>
      <c r="G724" s="1"/>
      <c r="H724" s="1"/>
      <c r="I724" s="17"/>
      <c r="J724" s="17"/>
      <c r="K724" s="1"/>
      <c r="L724" s="1"/>
      <c r="M724" s="1"/>
      <c r="N724" s="1"/>
      <c r="O724" s="1"/>
      <c r="P724" s="1"/>
      <c r="Q724" s="1"/>
      <c r="R724" s="1"/>
      <c r="S724" s="1"/>
      <c r="T724" s="1"/>
      <c r="U724" s="1"/>
      <c r="V724" s="1"/>
      <c r="W724" s="1"/>
      <c r="X724" s="1"/>
      <c r="Y724" s="1"/>
    </row>
    <row r="725" spans="1:25" ht="15.75" customHeight="1" x14ac:dyDescent="0.25">
      <c r="A725" s="1"/>
      <c r="B725" s="1"/>
      <c r="C725" s="15"/>
      <c r="D725" s="17"/>
      <c r="E725" s="1"/>
      <c r="F725" s="17"/>
      <c r="G725" s="1"/>
      <c r="H725" s="1"/>
      <c r="I725" s="17"/>
      <c r="J725" s="17"/>
      <c r="K725" s="1"/>
      <c r="L725" s="1"/>
      <c r="M725" s="1"/>
      <c r="N725" s="1"/>
      <c r="O725" s="1"/>
      <c r="P725" s="1"/>
      <c r="Q725" s="1"/>
      <c r="R725" s="1"/>
      <c r="S725" s="1"/>
      <c r="T725" s="1"/>
      <c r="U725" s="1"/>
      <c r="V725" s="1"/>
      <c r="W725" s="1"/>
      <c r="X725" s="1"/>
      <c r="Y725" s="1"/>
    </row>
    <row r="726" spans="1:25" ht="15.75" customHeight="1" x14ac:dyDescent="0.25">
      <c r="A726" s="1"/>
      <c r="B726" s="1"/>
      <c r="C726" s="15"/>
      <c r="D726" s="17"/>
      <c r="E726" s="1"/>
      <c r="F726" s="17"/>
      <c r="G726" s="1"/>
      <c r="H726" s="1"/>
      <c r="I726" s="17"/>
      <c r="J726" s="17"/>
      <c r="K726" s="1"/>
      <c r="L726" s="1"/>
      <c r="M726" s="1"/>
      <c r="N726" s="1"/>
      <c r="O726" s="1"/>
      <c r="P726" s="1"/>
      <c r="Q726" s="1"/>
      <c r="R726" s="1"/>
      <c r="S726" s="1"/>
      <c r="T726" s="1"/>
      <c r="U726" s="1"/>
      <c r="V726" s="1"/>
      <c r="W726" s="1"/>
      <c r="X726" s="1"/>
      <c r="Y726" s="1"/>
    </row>
    <row r="727" spans="1:25" ht="15.75" customHeight="1" x14ac:dyDescent="0.25">
      <c r="A727" s="1"/>
      <c r="B727" s="1"/>
      <c r="C727" s="15"/>
      <c r="D727" s="17"/>
      <c r="E727" s="1"/>
      <c r="F727" s="17"/>
      <c r="G727" s="1"/>
      <c r="H727" s="1"/>
      <c r="I727" s="17"/>
      <c r="J727" s="17"/>
      <c r="K727" s="1"/>
      <c r="L727" s="1"/>
      <c r="M727" s="1"/>
      <c r="N727" s="1"/>
      <c r="O727" s="1"/>
      <c r="P727" s="1"/>
      <c r="Q727" s="1"/>
      <c r="R727" s="1"/>
      <c r="S727" s="1"/>
      <c r="T727" s="1"/>
      <c r="U727" s="1"/>
      <c r="V727" s="1"/>
      <c r="W727" s="1"/>
      <c r="X727" s="1"/>
      <c r="Y727" s="1"/>
    </row>
    <row r="728" spans="1:25" ht="15.75" customHeight="1" x14ac:dyDescent="0.25">
      <c r="A728" s="1"/>
      <c r="B728" s="1"/>
      <c r="C728" s="15"/>
      <c r="D728" s="17"/>
      <c r="E728" s="1"/>
      <c r="F728" s="17"/>
      <c r="G728" s="1"/>
      <c r="H728" s="1"/>
      <c r="I728" s="17"/>
      <c r="J728" s="17"/>
      <c r="K728" s="1"/>
      <c r="L728" s="1"/>
      <c r="M728" s="1"/>
      <c r="N728" s="1"/>
      <c r="O728" s="1"/>
      <c r="P728" s="1"/>
      <c r="Q728" s="1"/>
      <c r="R728" s="1"/>
      <c r="S728" s="1"/>
      <c r="T728" s="1"/>
      <c r="U728" s="1"/>
      <c r="V728" s="1"/>
      <c r="W728" s="1"/>
      <c r="X728" s="1"/>
      <c r="Y728" s="1"/>
    </row>
    <row r="729" spans="1:25" ht="15.75" customHeight="1" x14ac:dyDescent="0.25">
      <c r="A729" s="1"/>
      <c r="B729" s="1"/>
      <c r="C729" s="15"/>
      <c r="D729" s="17"/>
      <c r="E729" s="1"/>
      <c r="F729" s="17"/>
      <c r="G729" s="1"/>
      <c r="H729" s="1"/>
      <c r="I729" s="17"/>
      <c r="J729" s="17"/>
      <c r="K729" s="1"/>
      <c r="L729" s="1"/>
      <c r="M729" s="1"/>
      <c r="N729" s="1"/>
      <c r="O729" s="1"/>
      <c r="P729" s="1"/>
      <c r="Q729" s="1"/>
      <c r="R729" s="1"/>
      <c r="S729" s="1"/>
      <c r="T729" s="1"/>
      <c r="U729" s="1"/>
      <c r="V729" s="1"/>
      <c r="W729" s="1"/>
      <c r="X729" s="1"/>
      <c r="Y729" s="1"/>
    </row>
    <row r="730" spans="1:25" ht="15.75" customHeight="1" x14ac:dyDescent="0.25">
      <c r="A730" s="1"/>
      <c r="B730" s="1"/>
      <c r="C730" s="15"/>
      <c r="D730" s="17"/>
      <c r="E730" s="1"/>
      <c r="F730" s="17"/>
      <c r="G730" s="1"/>
      <c r="H730" s="1"/>
      <c r="I730" s="17"/>
      <c r="J730" s="17"/>
      <c r="K730" s="1"/>
      <c r="L730" s="1"/>
      <c r="M730" s="1"/>
      <c r="N730" s="1"/>
      <c r="O730" s="1"/>
      <c r="P730" s="1"/>
      <c r="Q730" s="1"/>
      <c r="R730" s="1"/>
      <c r="S730" s="1"/>
      <c r="T730" s="1"/>
      <c r="U730" s="1"/>
      <c r="V730" s="1"/>
      <c r="W730" s="1"/>
      <c r="X730" s="1"/>
      <c r="Y730" s="1"/>
    </row>
    <row r="731" spans="1:25" ht="15.75" customHeight="1" x14ac:dyDescent="0.25">
      <c r="A731" s="1"/>
      <c r="B731" s="1"/>
      <c r="C731" s="15"/>
      <c r="D731" s="17"/>
      <c r="E731" s="1"/>
      <c r="F731" s="17"/>
      <c r="G731" s="1"/>
      <c r="H731" s="1"/>
      <c r="I731" s="17"/>
      <c r="J731" s="17"/>
      <c r="K731" s="1"/>
      <c r="L731" s="1"/>
      <c r="M731" s="1"/>
      <c r="N731" s="1"/>
      <c r="O731" s="1"/>
      <c r="P731" s="1"/>
      <c r="Q731" s="1"/>
      <c r="R731" s="1"/>
      <c r="S731" s="1"/>
      <c r="T731" s="1"/>
      <c r="U731" s="1"/>
      <c r="V731" s="1"/>
      <c r="W731" s="1"/>
      <c r="X731" s="1"/>
      <c r="Y731" s="1"/>
    </row>
    <row r="732" spans="1:25" ht="15.75" customHeight="1" x14ac:dyDescent="0.25">
      <c r="A732" s="1"/>
      <c r="B732" s="1"/>
      <c r="C732" s="15"/>
      <c r="D732" s="17"/>
      <c r="E732" s="1"/>
      <c r="F732" s="17"/>
      <c r="G732" s="1"/>
      <c r="H732" s="1"/>
      <c r="I732" s="17"/>
      <c r="J732" s="17"/>
      <c r="K732" s="1"/>
      <c r="L732" s="1"/>
      <c r="M732" s="1"/>
      <c r="N732" s="1"/>
      <c r="O732" s="1"/>
      <c r="P732" s="1"/>
      <c r="Q732" s="1"/>
      <c r="R732" s="1"/>
      <c r="S732" s="1"/>
      <c r="T732" s="1"/>
      <c r="U732" s="1"/>
      <c r="V732" s="1"/>
      <c r="W732" s="1"/>
      <c r="X732" s="1"/>
      <c r="Y732" s="1"/>
    </row>
    <row r="733" spans="1:25" ht="15.75" customHeight="1" x14ac:dyDescent="0.25">
      <c r="A733" s="1"/>
      <c r="B733" s="1"/>
      <c r="C733" s="15"/>
      <c r="D733" s="17"/>
      <c r="E733" s="1"/>
      <c r="F733" s="17"/>
      <c r="G733" s="1"/>
      <c r="H733" s="1"/>
      <c r="I733" s="17"/>
      <c r="J733" s="17"/>
      <c r="K733" s="1"/>
      <c r="L733" s="1"/>
      <c r="M733" s="1"/>
      <c r="N733" s="1"/>
      <c r="O733" s="1"/>
      <c r="P733" s="1"/>
      <c r="Q733" s="1"/>
      <c r="R733" s="1"/>
      <c r="S733" s="1"/>
      <c r="T733" s="1"/>
      <c r="U733" s="1"/>
      <c r="V733" s="1"/>
      <c r="W733" s="1"/>
      <c r="X733" s="1"/>
      <c r="Y733" s="1"/>
    </row>
    <row r="734" spans="1:25" ht="15.75" customHeight="1" x14ac:dyDescent="0.25">
      <c r="A734" s="1"/>
      <c r="B734" s="1"/>
      <c r="C734" s="15"/>
      <c r="D734" s="17"/>
      <c r="E734" s="1"/>
      <c r="F734" s="17"/>
      <c r="G734" s="1"/>
      <c r="H734" s="1"/>
      <c r="I734" s="17"/>
      <c r="J734" s="17"/>
      <c r="K734" s="1"/>
      <c r="L734" s="1"/>
      <c r="M734" s="1"/>
      <c r="N734" s="1"/>
      <c r="O734" s="1"/>
      <c r="P734" s="1"/>
      <c r="Q734" s="1"/>
      <c r="R734" s="1"/>
      <c r="S734" s="1"/>
      <c r="T734" s="1"/>
      <c r="U734" s="1"/>
      <c r="V734" s="1"/>
      <c r="W734" s="1"/>
      <c r="X734" s="1"/>
      <c r="Y734" s="1"/>
    </row>
    <row r="735" spans="1:25" ht="15.75" customHeight="1" x14ac:dyDescent="0.25">
      <c r="A735" s="1"/>
      <c r="B735" s="1"/>
      <c r="C735" s="15"/>
      <c r="D735" s="17"/>
      <c r="E735" s="1"/>
      <c r="F735" s="17"/>
      <c r="G735" s="1"/>
      <c r="H735" s="1"/>
      <c r="I735" s="17"/>
      <c r="J735" s="17"/>
      <c r="K735" s="1"/>
      <c r="L735" s="1"/>
      <c r="M735" s="1"/>
      <c r="N735" s="1"/>
      <c r="O735" s="1"/>
      <c r="P735" s="1"/>
      <c r="Q735" s="1"/>
      <c r="R735" s="1"/>
      <c r="S735" s="1"/>
      <c r="T735" s="1"/>
      <c r="U735" s="1"/>
      <c r="V735" s="1"/>
      <c r="W735" s="1"/>
      <c r="X735" s="1"/>
      <c r="Y735" s="1"/>
    </row>
    <row r="736" spans="1:25" ht="15.75" customHeight="1" x14ac:dyDescent="0.25">
      <c r="A736" s="1"/>
      <c r="B736" s="1"/>
      <c r="C736" s="15"/>
      <c r="D736" s="17"/>
      <c r="E736" s="1"/>
      <c r="F736" s="17"/>
      <c r="G736" s="1"/>
      <c r="H736" s="1"/>
      <c r="I736" s="17"/>
      <c r="J736" s="17"/>
      <c r="K736" s="1"/>
      <c r="L736" s="1"/>
      <c r="M736" s="1"/>
      <c r="N736" s="1"/>
      <c r="O736" s="1"/>
      <c r="P736" s="1"/>
      <c r="Q736" s="1"/>
      <c r="R736" s="1"/>
      <c r="S736" s="1"/>
      <c r="T736" s="1"/>
      <c r="U736" s="1"/>
      <c r="V736" s="1"/>
      <c r="W736" s="1"/>
      <c r="X736" s="1"/>
      <c r="Y736" s="1"/>
    </row>
    <row r="737" spans="1:25" ht="15.75" customHeight="1" x14ac:dyDescent="0.25">
      <c r="A737" s="1"/>
      <c r="B737" s="1"/>
      <c r="C737" s="15"/>
      <c r="D737" s="17"/>
      <c r="E737" s="1"/>
      <c r="F737" s="17"/>
      <c r="G737" s="1"/>
      <c r="H737" s="1"/>
      <c r="I737" s="17"/>
      <c r="J737" s="17"/>
      <c r="K737" s="1"/>
      <c r="L737" s="1"/>
      <c r="M737" s="1"/>
      <c r="N737" s="1"/>
      <c r="O737" s="1"/>
      <c r="P737" s="1"/>
      <c r="Q737" s="1"/>
      <c r="R737" s="1"/>
      <c r="S737" s="1"/>
      <c r="T737" s="1"/>
      <c r="U737" s="1"/>
      <c r="V737" s="1"/>
      <c r="W737" s="1"/>
      <c r="X737" s="1"/>
      <c r="Y737" s="1"/>
    </row>
    <row r="738" spans="1:25" ht="15.75" customHeight="1" x14ac:dyDescent="0.25">
      <c r="A738" s="1"/>
      <c r="B738" s="1"/>
      <c r="C738" s="15"/>
      <c r="D738" s="17"/>
      <c r="E738" s="1"/>
      <c r="F738" s="17"/>
      <c r="G738" s="1"/>
      <c r="H738" s="1"/>
      <c r="I738" s="17"/>
      <c r="J738" s="17"/>
      <c r="K738" s="1"/>
      <c r="L738" s="1"/>
      <c r="M738" s="1"/>
      <c r="N738" s="1"/>
      <c r="O738" s="1"/>
      <c r="P738" s="1"/>
      <c r="Q738" s="1"/>
      <c r="R738" s="1"/>
      <c r="S738" s="1"/>
      <c r="T738" s="1"/>
      <c r="U738" s="1"/>
      <c r="V738" s="1"/>
      <c r="W738" s="1"/>
      <c r="X738" s="1"/>
      <c r="Y738" s="1"/>
    </row>
    <row r="739" spans="1:25" ht="15.75" customHeight="1" x14ac:dyDescent="0.25">
      <c r="A739" s="1"/>
      <c r="B739" s="1"/>
      <c r="C739" s="15"/>
      <c r="D739" s="17"/>
      <c r="E739" s="1"/>
      <c r="F739" s="17"/>
      <c r="G739" s="1"/>
      <c r="H739" s="1"/>
      <c r="I739" s="17"/>
      <c r="J739" s="17"/>
      <c r="K739" s="1"/>
      <c r="L739" s="1"/>
      <c r="M739" s="1"/>
      <c r="N739" s="1"/>
      <c r="O739" s="1"/>
      <c r="P739" s="1"/>
      <c r="Q739" s="1"/>
      <c r="R739" s="1"/>
      <c r="S739" s="1"/>
      <c r="T739" s="1"/>
      <c r="U739" s="1"/>
      <c r="V739" s="1"/>
      <c r="W739" s="1"/>
      <c r="X739" s="1"/>
      <c r="Y739" s="1"/>
    </row>
    <row r="740" spans="1:25" ht="15.75" customHeight="1" x14ac:dyDescent="0.25">
      <c r="A740" s="1"/>
      <c r="B740" s="1"/>
      <c r="C740" s="15"/>
      <c r="D740" s="17"/>
      <c r="E740" s="1"/>
      <c r="F740" s="17"/>
      <c r="G740" s="1"/>
      <c r="H740" s="1"/>
      <c r="I740" s="17"/>
      <c r="J740" s="17"/>
      <c r="K740" s="1"/>
      <c r="L740" s="1"/>
      <c r="M740" s="1"/>
      <c r="N740" s="1"/>
      <c r="O740" s="1"/>
      <c r="P740" s="1"/>
      <c r="Q740" s="1"/>
      <c r="R740" s="1"/>
      <c r="S740" s="1"/>
      <c r="T740" s="1"/>
      <c r="U740" s="1"/>
      <c r="V740" s="1"/>
      <c r="W740" s="1"/>
      <c r="X740" s="1"/>
      <c r="Y740" s="1"/>
    </row>
    <row r="741" spans="1:25" ht="15.75" customHeight="1" x14ac:dyDescent="0.25">
      <c r="A741" s="1"/>
      <c r="B741" s="1"/>
      <c r="C741" s="15"/>
      <c r="D741" s="17"/>
      <c r="E741" s="1"/>
      <c r="F741" s="17"/>
      <c r="G741" s="1"/>
      <c r="H741" s="1"/>
      <c r="I741" s="17"/>
      <c r="J741" s="17"/>
      <c r="K741" s="1"/>
      <c r="L741" s="1"/>
      <c r="M741" s="1"/>
      <c r="N741" s="1"/>
      <c r="O741" s="1"/>
      <c r="P741" s="1"/>
      <c r="Q741" s="1"/>
      <c r="R741" s="1"/>
      <c r="S741" s="1"/>
      <c r="T741" s="1"/>
      <c r="U741" s="1"/>
      <c r="V741" s="1"/>
      <c r="W741" s="1"/>
      <c r="X741" s="1"/>
      <c r="Y741" s="1"/>
    </row>
    <row r="742" spans="1:25" ht="15.75" customHeight="1" x14ac:dyDescent="0.25">
      <c r="A742" s="1"/>
      <c r="B742" s="1"/>
      <c r="C742" s="15"/>
      <c r="D742" s="17"/>
      <c r="E742" s="1"/>
      <c r="F742" s="17"/>
      <c r="G742" s="1"/>
      <c r="H742" s="1"/>
      <c r="I742" s="17"/>
      <c r="J742" s="17"/>
      <c r="K742" s="1"/>
      <c r="L742" s="1"/>
      <c r="M742" s="1"/>
      <c r="N742" s="1"/>
      <c r="O742" s="1"/>
      <c r="P742" s="1"/>
      <c r="Q742" s="1"/>
      <c r="R742" s="1"/>
      <c r="S742" s="1"/>
      <c r="T742" s="1"/>
      <c r="U742" s="1"/>
      <c r="V742" s="1"/>
      <c r="W742" s="1"/>
      <c r="X742" s="1"/>
      <c r="Y742" s="1"/>
    </row>
    <row r="743" spans="1:25" ht="15.75" customHeight="1" x14ac:dyDescent="0.25">
      <c r="A743" s="1"/>
      <c r="B743" s="1"/>
      <c r="C743" s="15"/>
      <c r="D743" s="17"/>
      <c r="E743" s="1"/>
      <c r="F743" s="17"/>
      <c r="G743" s="1"/>
      <c r="H743" s="1"/>
      <c r="I743" s="17"/>
      <c r="J743" s="17"/>
      <c r="K743" s="1"/>
      <c r="L743" s="1"/>
      <c r="M743" s="1"/>
      <c r="N743" s="1"/>
      <c r="O743" s="1"/>
      <c r="P743" s="1"/>
      <c r="Q743" s="1"/>
      <c r="R743" s="1"/>
      <c r="S743" s="1"/>
      <c r="T743" s="1"/>
      <c r="U743" s="1"/>
      <c r="V743" s="1"/>
      <c r="W743" s="1"/>
      <c r="X743" s="1"/>
      <c r="Y743" s="1"/>
    </row>
    <row r="744" spans="1:25" ht="15.75" customHeight="1" x14ac:dyDescent="0.25">
      <c r="A744" s="1"/>
      <c r="B744" s="1"/>
      <c r="C744" s="15"/>
      <c r="D744" s="17"/>
      <c r="E744" s="1"/>
      <c r="F744" s="17"/>
      <c r="G744" s="1"/>
      <c r="H744" s="1"/>
      <c r="I744" s="17"/>
      <c r="J744" s="17"/>
      <c r="K744" s="1"/>
      <c r="L744" s="1"/>
      <c r="M744" s="1"/>
      <c r="N744" s="1"/>
      <c r="O744" s="1"/>
      <c r="P744" s="1"/>
      <c r="Q744" s="1"/>
      <c r="R744" s="1"/>
      <c r="S744" s="1"/>
      <c r="T744" s="1"/>
      <c r="U744" s="1"/>
      <c r="V744" s="1"/>
      <c r="W744" s="1"/>
      <c r="X744" s="1"/>
      <c r="Y744" s="1"/>
    </row>
    <row r="745" spans="1:25" ht="15.75" customHeight="1" x14ac:dyDescent="0.25">
      <c r="A745" s="1"/>
      <c r="B745" s="1"/>
      <c r="C745" s="15"/>
      <c r="D745" s="17"/>
      <c r="E745" s="1"/>
      <c r="F745" s="17"/>
      <c r="G745" s="1"/>
      <c r="H745" s="1"/>
      <c r="I745" s="17"/>
      <c r="J745" s="17"/>
      <c r="K745" s="1"/>
      <c r="L745" s="1"/>
      <c r="M745" s="1"/>
      <c r="N745" s="1"/>
      <c r="O745" s="1"/>
      <c r="P745" s="1"/>
      <c r="Q745" s="1"/>
      <c r="R745" s="1"/>
      <c r="S745" s="1"/>
      <c r="T745" s="1"/>
      <c r="U745" s="1"/>
      <c r="V745" s="1"/>
      <c r="W745" s="1"/>
      <c r="X745" s="1"/>
      <c r="Y745" s="1"/>
    </row>
    <row r="746" spans="1:25" ht="15.75" customHeight="1" x14ac:dyDescent="0.25">
      <c r="A746" s="1"/>
      <c r="B746" s="1"/>
      <c r="C746" s="15"/>
      <c r="D746" s="17"/>
      <c r="E746" s="1"/>
      <c r="F746" s="17"/>
      <c r="G746" s="1"/>
      <c r="H746" s="1"/>
      <c r="I746" s="17"/>
      <c r="J746" s="17"/>
      <c r="K746" s="1"/>
      <c r="L746" s="1"/>
      <c r="M746" s="1"/>
      <c r="N746" s="1"/>
      <c r="O746" s="1"/>
      <c r="P746" s="1"/>
      <c r="Q746" s="1"/>
      <c r="R746" s="1"/>
      <c r="S746" s="1"/>
      <c r="T746" s="1"/>
      <c r="U746" s="1"/>
      <c r="V746" s="1"/>
      <c r="W746" s="1"/>
      <c r="X746" s="1"/>
      <c r="Y746" s="1"/>
    </row>
    <row r="747" spans="1:25" ht="15.75" customHeight="1" x14ac:dyDescent="0.25">
      <c r="A747" s="1"/>
      <c r="B747" s="1"/>
      <c r="C747" s="15"/>
      <c r="D747" s="17"/>
      <c r="E747" s="1"/>
      <c r="F747" s="17"/>
      <c r="G747" s="1"/>
      <c r="H747" s="1"/>
      <c r="I747" s="17"/>
      <c r="J747" s="17"/>
      <c r="K747" s="1"/>
      <c r="L747" s="1"/>
      <c r="M747" s="1"/>
      <c r="N747" s="1"/>
      <c r="O747" s="1"/>
      <c r="P747" s="1"/>
      <c r="Q747" s="1"/>
      <c r="R747" s="1"/>
      <c r="S747" s="1"/>
      <c r="T747" s="1"/>
      <c r="U747" s="1"/>
      <c r="V747" s="1"/>
      <c r="W747" s="1"/>
      <c r="X747" s="1"/>
      <c r="Y747" s="1"/>
    </row>
    <row r="748" spans="1:25" ht="15.75" customHeight="1" x14ac:dyDescent="0.25">
      <c r="A748" s="1"/>
      <c r="B748" s="1"/>
      <c r="C748" s="15"/>
      <c r="D748" s="17"/>
      <c r="E748" s="1"/>
      <c r="F748" s="17"/>
      <c r="G748" s="1"/>
      <c r="H748" s="1"/>
      <c r="I748" s="17"/>
      <c r="J748" s="17"/>
      <c r="K748" s="1"/>
      <c r="L748" s="1"/>
      <c r="M748" s="1"/>
      <c r="N748" s="1"/>
      <c r="O748" s="1"/>
      <c r="P748" s="1"/>
      <c r="Q748" s="1"/>
      <c r="R748" s="1"/>
      <c r="S748" s="1"/>
      <c r="T748" s="1"/>
      <c r="U748" s="1"/>
      <c r="V748" s="1"/>
      <c r="W748" s="1"/>
      <c r="X748" s="1"/>
      <c r="Y748" s="1"/>
    </row>
    <row r="749" spans="1:25" ht="15.75" customHeight="1" x14ac:dyDescent="0.25">
      <c r="A749" s="1"/>
      <c r="B749" s="1"/>
      <c r="C749" s="15"/>
      <c r="D749" s="17"/>
      <c r="E749" s="1"/>
      <c r="F749" s="17"/>
      <c r="G749" s="1"/>
      <c r="H749" s="1"/>
      <c r="I749" s="17"/>
      <c r="J749" s="17"/>
      <c r="K749" s="1"/>
      <c r="L749" s="1"/>
      <c r="M749" s="1"/>
      <c r="N749" s="1"/>
      <c r="O749" s="1"/>
      <c r="P749" s="1"/>
      <c r="Q749" s="1"/>
      <c r="R749" s="1"/>
      <c r="S749" s="1"/>
      <c r="T749" s="1"/>
      <c r="U749" s="1"/>
      <c r="V749" s="1"/>
      <c r="W749" s="1"/>
      <c r="X749" s="1"/>
      <c r="Y749" s="1"/>
    </row>
    <row r="750" spans="1:25" ht="15.75" customHeight="1" x14ac:dyDescent="0.25">
      <c r="A750" s="1"/>
      <c r="B750" s="1"/>
      <c r="C750" s="15"/>
      <c r="D750" s="17"/>
      <c r="E750" s="1"/>
      <c r="F750" s="17"/>
      <c r="G750" s="1"/>
      <c r="H750" s="1"/>
      <c r="I750" s="17"/>
      <c r="J750" s="17"/>
      <c r="K750" s="1"/>
      <c r="L750" s="1"/>
      <c r="M750" s="1"/>
      <c r="N750" s="1"/>
      <c r="O750" s="1"/>
      <c r="P750" s="1"/>
      <c r="Q750" s="1"/>
      <c r="R750" s="1"/>
      <c r="S750" s="1"/>
      <c r="T750" s="1"/>
      <c r="U750" s="1"/>
      <c r="V750" s="1"/>
      <c r="W750" s="1"/>
      <c r="X750" s="1"/>
      <c r="Y750" s="1"/>
    </row>
    <row r="751" spans="1:25" ht="15.75" customHeight="1" x14ac:dyDescent="0.25">
      <c r="A751" s="1"/>
      <c r="B751" s="1"/>
      <c r="C751" s="15"/>
      <c r="D751" s="17"/>
      <c r="E751" s="1"/>
      <c r="F751" s="17"/>
      <c r="G751" s="1"/>
      <c r="H751" s="1"/>
      <c r="I751" s="17"/>
      <c r="J751" s="17"/>
      <c r="K751" s="1"/>
      <c r="L751" s="1"/>
      <c r="M751" s="1"/>
      <c r="N751" s="1"/>
      <c r="O751" s="1"/>
      <c r="P751" s="1"/>
      <c r="Q751" s="1"/>
      <c r="R751" s="1"/>
      <c r="S751" s="1"/>
      <c r="T751" s="1"/>
      <c r="U751" s="1"/>
      <c r="V751" s="1"/>
      <c r="W751" s="1"/>
      <c r="X751" s="1"/>
      <c r="Y751" s="1"/>
    </row>
    <row r="752" spans="1:25" ht="15.75" customHeight="1" x14ac:dyDescent="0.25">
      <c r="A752" s="1"/>
      <c r="B752" s="1"/>
      <c r="C752" s="15"/>
      <c r="D752" s="17"/>
      <c r="E752" s="1"/>
      <c r="F752" s="17"/>
      <c r="G752" s="1"/>
      <c r="H752" s="1"/>
      <c r="I752" s="17"/>
      <c r="J752" s="17"/>
      <c r="K752" s="1"/>
      <c r="L752" s="1"/>
      <c r="M752" s="1"/>
      <c r="N752" s="1"/>
      <c r="O752" s="1"/>
      <c r="P752" s="1"/>
      <c r="Q752" s="1"/>
      <c r="R752" s="1"/>
      <c r="S752" s="1"/>
      <c r="T752" s="1"/>
      <c r="U752" s="1"/>
      <c r="V752" s="1"/>
      <c r="W752" s="1"/>
      <c r="X752" s="1"/>
      <c r="Y752" s="1"/>
    </row>
    <row r="753" spans="1:25" ht="15.75" customHeight="1" x14ac:dyDescent="0.25">
      <c r="A753" s="1"/>
      <c r="B753" s="1"/>
      <c r="C753" s="15"/>
      <c r="D753" s="17"/>
      <c r="E753" s="1"/>
      <c r="F753" s="17"/>
      <c r="G753" s="1"/>
      <c r="H753" s="1"/>
      <c r="I753" s="17"/>
      <c r="J753" s="17"/>
      <c r="K753" s="1"/>
      <c r="L753" s="1"/>
      <c r="M753" s="1"/>
      <c r="N753" s="1"/>
      <c r="O753" s="1"/>
      <c r="P753" s="1"/>
      <c r="Q753" s="1"/>
      <c r="R753" s="1"/>
      <c r="S753" s="1"/>
      <c r="T753" s="1"/>
      <c r="U753" s="1"/>
      <c r="V753" s="1"/>
      <c r="W753" s="1"/>
      <c r="X753" s="1"/>
      <c r="Y753" s="1"/>
    </row>
    <row r="754" spans="1:25" ht="15.75" customHeight="1" x14ac:dyDescent="0.25">
      <c r="A754" s="1"/>
      <c r="B754" s="1"/>
      <c r="C754" s="15"/>
      <c r="D754" s="17"/>
      <c r="E754" s="1"/>
      <c r="F754" s="17"/>
      <c r="G754" s="1"/>
      <c r="H754" s="1"/>
      <c r="I754" s="17"/>
      <c r="J754" s="17"/>
      <c r="K754" s="1"/>
      <c r="L754" s="1"/>
      <c r="M754" s="1"/>
      <c r="N754" s="1"/>
      <c r="O754" s="1"/>
      <c r="P754" s="1"/>
      <c r="Q754" s="1"/>
      <c r="R754" s="1"/>
      <c r="S754" s="1"/>
      <c r="T754" s="1"/>
      <c r="U754" s="1"/>
      <c r="V754" s="1"/>
      <c r="W754" s="1"/>
      <c r="X754" s="1"/>
      <c r="Y754" s="1"/>
    </row>
    <row r="755" spans="1:25" ht="15.75" customHeight="1" x14ac:dyDescent="0.25">
      <c r="A755" s="1"/>
      <c r="B755" s="1"/>
      <c r="C755" s="15"/>
      <c r="D755" s="17"/>
      <c r="E755" s="1"/>
      <c r="F755" s="17"/>
      <c r="G755" s="1"/>
      <c r="H755" s="1"/>
      <c r="I755" s="17"/>
      <c r="J755" s="17"/>
      <c r="K755" s="1"/>
      <c r="L755" s="1"/>
      <c r="M755" s="1"/>
      <c r="N755" s="1"/>
      <c r="O755" s="1"/>
      <c r="P755" s="1"/>
      <c r="Q755" s="1"/>
      <c r="R755" s="1"/>
      <c r="S755" s="1"/>
      <c r="T755" s="1"/>
      <c r="U755" s="1"/>
      <c r="V755" s="1"/>
      <c r="W755" s="1"/>
      <c r="X755" s="1"/>
      <c r="Y755" s="1"/>
    </row>
    <row r="756" spans="1:25" ht="15.75" customHeight="1" x14ac:dyDescent="0.25">
      <c r="A756" s="1"/>
      <c r="B756" s="1"/>
      <c r="C756" s="15"/>
      <c r="D756" s="17"/>
      <c r="E756" s="1"/>
      <c r="F756" s="17"/>
      <c r="G756" s="1"/>
      <c r="H756" s="1"/>
      <c r="I756" s="17"/>
      <c r="J756" s="17"/>
      <c r="K756" s="1"/>
      <c r="L756" s="1"/>
      <c r="M756" s="1"/>
      <c r="N756" s="1"/>
      <c r="O756" s="1"/>
      <c r="P756" s="1"/>
      <c r="Q756" s="1"/>
      <c r="R756" s="1"/>
      <c r="S756" s="1"/>
      <c r="T756" s="1"/>
      <c r="U756" s="1"/>
      <c r="V756" s="1"/>
      <c r="W756" s="1"/>
      <c r="X756" s="1"/>
      <c r="Y756" s="1"/>
    </row>
    <row r="757" spans="1:25" ht="15.75" customHeight="1" x14ac:dyDescent="0.25">
      <c r="A757" s="1"/>
      <c r="B757" s="1"/>
      <c r="C757" s="15"/>
      <c r="D757" s="17"/>
      <c r="E757" s="1"/>
      <c r="F757" s="17"/>
      <c r="G757" s="1"/>
      <c r="H757" s="1"/>
      <c r="I757" s="17"/>
      <c r="J757" s="17"/>
      <c r="K757" s="1"/>
      <c r="L757" s="1"/>
      <c r="M757" s="1"/>
      <c r="N757" s="1"/>
      <c r="O757" s="1"/>
      <c r="P757" s="1"/>
      <c r="Q757" s="1"/>
      <c r="R757" s="1"/>
      <c r="S757" s="1"/>
      <c r="T757" s="1"/>
      <c r="U757" s="1"/>
      <c r="V757" s="1"/>
      <c r="W757" s="1"/>
      <c r="X757" s="1"/>
      <c r="Y757" s="1"/>
    </row>
    <row r="758" spans="1:25" ht="15.75" customHeight="1" x14ac:dyDescent="0.25">
      <c r="A758" s="1"/>
      <c r="B758" s="1"/>
      <c r="C758" s="15"/>
      <c r="D758" s="17"/>
      <c r="E758" s="1"/>
      <c r="F758" s="17"/>
      <c r="G758" s="1"/>
      <c r="H758" s="1"/>
      <c r="I758" s="17"/>
      <c r="J758" s="17"/>
      <c r="K758" s="1"/>
      <c r="L758" s="1"/>
      <c r="M758" s="1"/>
      <c r="N758" s="1"/>
      <c r="O758" s="1"/>
      <c r="P758" s="1"/>
      <c r="Q758" s="1"/>
      <c r="R758" s="1"/>
      <c r="S758" s="1"/>
      <c r="T758" s="1"/>
      <c r="U758" s="1"/>
      <c r="V758" s="1"/>
      <c r="W758" s="1"/>
      <c r="X758" s="1"/>
      <c r="Y758" s="1"/>
    </row>
    <row r="759" spans="1:25" ht="15.75" customHeight="1" x14ac:dyDescent="0.25">
      <c r="A759" s="1"/>
      <c r="B759" s="1"/>
      <c r="C759" s="15"/>
      <c r="D759" s="17"/>
      <c r="E759" s="1"/>
      <c r="F759" s="17"/>
      <c r="G759" s="1"/>
      <c r="H759" s="1"/>
      <c r="I759" s="17"/>
      <c r="J759" s="17"/>
      <c r="K759" s="1"/>
      <c r="L759" s="1"/>
      <c r="M759" s="1"/>
      <c r="N759" s="1"/>
      <c r="O759" s="1"/>
      <c r="P759" s="1"/>
      <c r="Q759" s="1"/>
      <c r="R759" s="1"/>
      <c r="S759" s="1"/>
      <c r="T759" s="1"/>
      <c r="U759" s="1"/>
      <c r="V759" s="1"/>
      <c r="W759" s="1"/>
      <c r="X759" s="1"/>
      <c r="Y759" s="1"/>
    </row>
    <row r="760" spans="1:25" ht="15.75" customHeight="1" x14ac:dyDescent="0.25">
      <c r="A760" s="1"/>
      <c r="B760" s="1"/>
      <c r="C760" s="15"/>
      <c r="D760" s="17"/>
      <c r="E760" s="1"/>
      <c r="F760" s="17"/>
      <c r="G760" s="1"/>
      <c r="H760" s="1"/>
      <c r="I760" s="17"/>
      <c r="J760" s="17"/>
      <c r="K760" s="1"/>
      <c r="L760" s="1"/>
      <c r="M760" s="1"/>
      <c r="N760" s="1"/>
      <c r="O760" s="1"/>
      <c r="P760" s="1"/>
      <c r="Q760" s="1"/>
      <c r="R760" s="1"/>
      <c r="S760" s="1"/>
      <c r="T760" s="1"/>
      <c r="U760" s="1"/>
      <c r="V760" s="1"/>
      <c r="W760" s="1"/>
      <c r="X760" s="1"/>
      <c r="Y760" s="1"/>
    </row>
    <row r="761" spans="1:25" ht="15.75" customHeight="1" x14ac:dyDescent="0.25">
      <c r="A761" s="1"/>
      <c r="B761" s="1"/>
      <c r="C761" s="15"/>
      <c r="D761" s="17"/>
      <c r="E761" s="1"/>
      <c r="F761" s="17"/>
      <c r="G761" s="1"/>
      <c r="H761" s="1"/>
      <c r="I761" s="17"/>
      <c r="J761" s="17"/>
      <c r="K761" s="1"/>
      <c r="L761" s="1"/>
      <c r="M761" s="1"/>
      <c r="N761" s="1"/>
      <c r="O761" s="1"/>
      <c r="P761" s="1"/>
      <c r="Q761" s="1"/>
      <c r="R761" s="1"/>
      <c r="S761" s="1"/>
      <c r="T761" s="1"/>
      <c r="U761" s="1"/>
      <c r="V761" s="1"/>
      <c r="W761" s="1"/>
      <c r="X761" s="1"/>
      <c r="Y761" s="1"/>
    </row>
    <row r="762" spans="1:25" ht="15.75" customHeight="1" x14ac:dyDescent="0.25">
      <c r="A762" s="1"/>
      <c r="B762" s="1"/>
      <c r="C762" s="15"/>
      <c r="D762" s="17"/>
      <c r="E762" s="1"/>
      <c r="F762" s="17"/>
      <c r="G762" s="1"/>
      <c r="H762" s="1"/>
      <c r="I762" s="17"/>
      <c r="J762" s="17"/>
      <c r="K762" s="1"/>
      <c r="L762" s="1"/>
      <c r="M762" s="1"/>
      <c r="N762" s="1"/>
      <c r="O762" s="1"/>
      <c r="P762" s="1"/>
      <c r="Q762" s="1"/>
      <c r="R762" s="1"/>
      <c r="S762" s="1"/>
      <c r="T762" s="1"/>
      <c r="U762" s="1"/>
      <c r="V762" s="1"/>
      <c r="W762" s="1"/>
      <c r="X762" s="1"/>
      <c r="Y762" s="1"/>
    </row>
    <row r="763" spans="1:25" ht="15.75" customHeight="1" x14ac:dyDescent="0.25">
      <c r="A763" s="1"/>
      <c r="B763" s="1"/>
      <c r="C763" s="15"/>
      <c r="D763" s="17"/>
      <c r="E763" s="1"/>
      <c r="F763" s="17"/>
      <c r="G763" s="1"/>
      <c r="H763" s="1"/>
      <c r="I763" s="17"/>
      <c r="J763" s="17"/>
      <c r="K763" s="1"/>
      <c r="L763" s="1"/>
      <c r="M763" s="1"/>
      <c r="N763" s="1"/>
      <c r="O763" s="1"/>
      <c r="P763" s="1"/>
      <c r="Q763" s="1"/>
      <c r="R763" s="1"/>
      <c r="S763" s="1"/>
      <c r="T763" s="1"/>
      <c r="U763" s="1"/>
      <c r="V763" s="1"/>
      <c r="W763" s="1"/>
      <c r="X763" s="1"/>
      <c r="Y763" s="1"/>
    </row>
    <row r="764" spans="1:25" ht="15.75" customHeight="1" x14ac:dyDescent="0.25">
      <c r="A764" s="1"/>
      <c r="B764" s="1"/>
      <c r="C764" s="15"/>
      <c r="D764" s="17"/>
      <c r="E764" s="1"/>
      <c r="F764" s="17"/>
      <c r="G764" s="1"/>
      <c r="H764" s="1"/>
      <c r="I764" s="17"/>
      <c r="J764" s="17"/>
      <c r="K764" s="1"/>
      <c r="L764" s="1"/>
      <c r="M764" s="1"/>
      <c r="N764" s="1"/>
      <c r="O764" s="1"/>
      <c r="P764" s="1"/>
      <c r="Q764" s="1"/>
      <c r="R764" s="1"/>
      <c r="S764" s="1"/>
      <c r="T764" s="1"/>
      <c r="U764" s="1"/>
      <c r="V764" s="1"/>
      <c r="W764" s="1"/>
      <c r="X764" s="1"/>
      <c r="Y764" s="1"/>
    </row>
    <row r="765" spans="1:25" ht="15.75" customHeight="1" x14ac:dyDescent="0.25">
      <c r="A765" s="1"/>
      <c r="B765" s="1"/>
      <c r="C765" s="15"/>
      <c r="D765" s="17"/>
      <c r="E765" s="1"/>
      <c r="F765" s="17"/>
      <c r="G765" s="1"/>
      <c r="H765" s="1"/>
      <c r="I765" s="17"/>
      <c r="J765" s="17"/>
      <c r="K765" s="1"/>
      <c r="L765" s="1"/>
      <c r="M765" s="1"/>
      <c r="N765" s="1"/>
      <c r="O765" s="1"/>
      <c r="P765" s="1"/>
      <c r="Q765" s="1"/>
      <c r="R765" s="1"/>
      <c r="S765" s="1"/>
      <c r="T765" s="1"/>
      <c r="U765" s="1"/>
      <c r="V765" s="1"/>
      <c r="W765" s="1"/>
      <c r="X765" s="1"/>
      <c r="Y765" s="1"/>
    </row>
    <row r="766" spans="1:25" ht="15.75" customHeight="1" x14ac:dyDescent="0.25">
      <c r="A766" s="1"/>
      <c r="B766" s="1"/>
      <c r="C766" s="15"/>
      <c r="D766" s="17"/>
      <c r="E766" s="1"/>
      <c r="F766" s="17"/>
      <c r="G766" s="1"/>
      <c r="H766" s="1"/>
      <c r="I766" s="17"/>
      <c r="J766" s="17"/>
      <c r="K766" s="1"/>
      <c r="L766" s="1"/>
      <c r="M766" s="1"/>
      <c r="N766" s="1"/>
      <c r="O766" s="1"/>
      <c r="P766" s="1"/>
      <c r="Q766" s="1"/>
      <c r="R766" s="1"/>
      <c r="S766" s="1"/>
      <c r="T766" s="1"/>
      <c r="U766" s="1"/>
      <c r="V766" s="1"/>
      <c r="W766" s="1"/>
      <c r="X766" s="1"/>
      <c r="Y766" s="1"/>
    </row>
    <row r="767" spans="1:25" ht="15.75" customHeight="1" x14ac:dyDescent="0.25">
      <c r="A767" s="1"/>
      <c r="B767" s="1"/>
      <c r="C767" s="15"/>
      <c r="D767" s="17"/>
      <c r="E767" s="1"/>
      <c r="F767" s="17"/>
      <c r="G767" s="1"/>
      <c r="H767" s="1"/>
      <c r="I767" s="17"/>
      <c r="J767" s="17"/>
      <c r="K767" s="1"/>
      <c r="L767" s="1"/>
      <c r="M767" s="1"/>
      <c r="N767" s="1"/>
      <c r="O767" s="1"/>
      <c r="P767" s="1"/>
      <c r="Q767" s="1"/>
      <c r="R767" s="1"/>
      <c r="S767" s="1"/>
      <c r="T767" s="1"/>
      <c r="U767" s="1"/>
      <c r="V767" s="1"/>
      <c r="W767" s="1"/>
      <c r="X767" s="1"/>
      <c r="Y767" s="1"/>
    </row>
    <row r="768" spans="1:25" ht="15.75" customHeight="1" x14ac:dyDescent="0.25">
      <c r="A768" s="1"/>
      <c r="B768" s="1"/>
      <c r="C768" s="15"/>
      <c r="D768" s="17"/>
      <c r="E768" s="1"/>
      <c r="F768" s="17"/>
      <c r="G768" s="1"/>
      <c r="H768" s="1"/>
      <c r="I768" s="17"/>
      <c r="J768" s="17"/>
      <c r="K768" s="1"/>
      <c r="L768" s="1"/>
      <c r="M768" s="1"/>
      <c r="N768" s="1"/>
      <c r="O768" s="1"/>
      <c r="P768" s="1"/>
      <c r="Q768" s="1"/>
      <c r="R768" s="1"/>
      <c r="S768" s="1"/>
      <c r="T768" s="1"/>
      <c r="U768" s="1"/>
      <c r="V768" s="1"/>
      <c r="W768" s="1"/>
      <c r="X768" s="1"/>
      <c r="Y768" s="1"/>
    </row>
    <row r="769" spans="1:25" ht="15.75" customHeight="1" x14ac:dyDescent="0.25">
      <c r="A769" s="1"/>
      <c r="B769" s="1"/>
      <c r="C769" s="15"/>
      <c r="D769" s="17"/>
      <c r="E769" s="1"/>
      <c r="F769" s="17"/>
      <c r="G769" s="1"/>
      <c r="H769" s="1"/>
      <c r="I769" s="17"/>
      <c r="J769" s="17"/>
      <c r="K769" s="1"/>
      <c r="L769" s="1"/>
      <c r="M769" s="1"/>
      <c r="N769" s="1"/>
      <c r="O769" s="1"/>
      <c r="P769" s="1"/>
      <c r="Q769" s="1"/>
      <c r="R769" s="1"/>
      <c r="S769" s="1"/>
      <c r="T769" s="1"/>
      <c r="U769" s="1"/>
      <c r="V769" s="1"/>
      <c r="W769" s="1"/>
      <c r="X769" s="1"/>
      <c r="Y769" s="1"/>
    </row>
    <row r="770" spans="1:25" ht="15.75" customHeight="1" x14ac:dyDescent="0.25">
      <c r="A770" s="1"/>
      <c r="B770" s="1"/>
      <c r="C770" s="15"/>
      <c r="D770" s="17"/>
      <c r="E770" s="1"/>
      <c r="F770" s="17"/>
      <c r="G770" s="1"/>
      <c r="H770" s="1"/>
      <c r="I770" s="17"/>
      <c r="J770" s="17"/>
      <c r="K770" s="1"/>
      <c r="L770" s="1"/>
      <c r="M770" s="1"/>
      <c r="N770" s="1"/>
      <c r="O770" s="1"/>
      <c r="P770" s="1"/>
      <c r="Q770" s="1"/>
      <c r="R770" s="1"/>
      <c r="S770" s="1"/>
      <c r="T770" s="1"/>
      <c r="U770" s="1"/>
      <c r="V770" s="1"/>
      <c r="W770" s="1"/>
      <c r="X770" s="1"/>
      <c r="Y770" s="1"/>
    </row>
    <row r="771" spans="1:25" ht="15.75" customHeight="1" x14ac:dyDescent="0.25">
      <c r="A771" s="1"/>
      <c r="B771" s="1"/>
      <c r="C771" s="15"/>
      <c r="D771" s="17"/>
      <c r="E771" s="1"/>
      <c r="F771" s="17"/>
      <c r="G771" s="1"/>
      <c r="H771" s="1"/>
      <c r="I771" s="17"/>
      <c r="J771" s="17"/>
      <c r="K771" s="1"/>
      <c r="L771" s="1"/>
      <c r="M771" s="1"/>
      <c r="N771" s="1"/>
      <c r="O771" s="1"/>
      <c r="P771" s="1"/>
      <c r="Q771" s="1"/>
      <c r="R771" s="1"/>
      <c r="S771" s="1"/>
      <c r="T771" s="1"/>
      <c r="U771" s="1"/>
      <c r="V771" s="1"/>
      <c r="W771" s="1"/>
      <c r="X771" s="1"/>
      <c r="Y771" s="1"/>
    </row>
    <row r="772" spans="1:25" ht="15.75" customHeight="1" x14ac:dyDescent="0.25">
      <c r="A772" s="1"/>
      <c r="B772" s="1"/>
      <c r="C772" s="15"/>
      <c r="D772" s="17"/>
      <c r="E772" s="1"/>
      <c r="F772" s="17"/>
      <c r="G772" s="1"/>
      <c r="H772" s="1"/>
      <c r="I772" s="17"/>
      <c r="J772" s="17"/>
      <c r="K772" s="1"/>
      <c r="L772" s="1"/>
      <c r="M772" s="1"/>
      <c r="N772" s="1"/>
      <c r="O772" s="1"/>
      <c r="P772" s="1"/>
      <c r="Q772" s="1"/>
      <c r="R772" s="1"/>
      <c r="S772" s="1"/>
      <c r="T772" s="1"/>
      <c r="U772" s="1"/>
      <c r="V772" s="1"/>
      <c r="W772" s="1"/>
      <c r="X772" s="1"/>
      <c r="Y772" s="1"/>
    </row>
    <row r="773" spans="1:25" ht="15.75" customHeight="1" x14ac:dyDescent="0.25">
      <c r="A773" s="1"/>
      <c r="B773" s="1"/>
      <c r="C773" s="15"/>
      <c r="D773" s="17"/>
      <c r="E773" s="1"/>
      <c r="F773" s="17"/>
      <c r="G773" s="1"/>
      <c r="H773" s="1"/>
      <c r="I773" s="17"/>
      <c r="J773" s="17"/>
      <c r="K773" s="1"/>
      <c r="L773" s="1"/>
      <c r="M773" s="1"/>
      <c r="N773" s="1"/>
      <c r="O773" s="1"/>
      <c r="P773" s="1"/>
      <c r="Q773" s="1"/>
      <c r="R773" s="1"/>
      <c r="S773" s="1"/>
      <c r="T773" s="1"/>
      <c r="U773" s="1"/>
      <c r="V773" s="1"/>
      <c r="W773" s="1"/>
      <c r="X773" s="1"/>
      <c r="Y773" s="1"/>
    </row>
    <row r="774" spans="1:25" ht="15.75" customHeight="1" x14ac:dyDescent="0.25">
      <c r="A774" s="1"/>
      <c r="B774" s="1"/>
      <c r="C774" s="15"/>
      <c r="D774" s="17"/>
      <c r="E774" s="1"/>
      <c r="F774" s="17"/>
      <c r="G774" s="1"/>
      <c r="H774" s="1"/>
      <c r="I774" s="17"/>
      <c r="J774" s="17"/>
      <c r="K774" s="1"/>
      <c r="L774" s="1"/>
      <c r="M774" s="1"/>
      <c r="N774" s="1"/>
      <c r="O774" s="1"/>
      <c r="P774" s="1"/>
      <c r="Q774" s="1"/>
      <c r="R774" s="1"/>
      <c r="S774" s="1"/>
      <c r="T774" s="1"/>
      <c r="U774" s="1"/>
      <c r="V774" s="1"/>
      <c r="W774" s="1"/>
      <c r="X774" s="1"/>
      <c r="Y774" s="1"/>
    </row>
    <row r="775" spans="1:25" ht="15.75" customHeight="1" x14ac:dyDescent="0.25">
      <c r="A775" s="1"/>
      <c r="B775" s="1"/>
      <c r="C775" s="15"/>
      <c r="D775" s="17"/>
      <c r="E775" s="1"/>
      <c r="F775" s="17"/>
      <c r="G775" s="1"/>
      <c r="H775" s="1"/>
      <c r="I775" s="17"/>
      <c r="J775" s="17"/>
      <c r="K775" s="1"/>
      <c r="L775" s="1"/>
      <c r="M775" s="1"/>
      <c r="N775" s="1"/>
      <c r="O775" s="1"/>
      <c r="P775" s="1"/>
      <c r="Q775" s="1"/>
      <c r="R775" s="1"/>
      <c r="S775" s="1"/>
      <c r="T775" s="1"/>
      <c r="U775" s="1"/>
      <c r="V775" s="1"/>
      <c r="W775" s="1"/>
      <c r="X775" s="1"/>
      <c r="Y775" s="1"/>
    </row>
    <row r="776" spans="1:25" ht="15.75" customHeight="1" x14ac:dyDescent="0.25">
      <c r="A776" s="1"/>
      <c r="B776" s="1"/>
      <c r="C776" s="15"/>
      <c r="D776" s="17"/>
      <c r="E776" s="1"/>
      <c r="F776" s="17"/>
      <c r="G776" s="1"/>
      <c r="H776" s="1"/>
      <c r="I776" s="17"/>
      <c r="J776" s="17"/>
      <c r="K776" s="1"/>
      <c r="L776" s="1"/>
      <c r="M776" s="1"/>
      <c r="N776" s="1"/>
      <c r="O776" s="1"/>
      <c r="P776" s="1"/>
      <c r="Q776" s="1"/>
      <c r="R776" s="1"/>
      <c r="S776" s="1"/>
      <c r="T776" s="1"/>
      <c r="U776" s="1"/>
      <c r="V776" s="1"/>
      <c r="W776" s="1"/>
      <c r="X776" s="1"/>
      <c r="Y776" s="1"/>
    </row>
    <row r="777" spans="1:25" ht="15.75" customHeight="1" x14ac:dyDescent="0.25">
      <c r="A777" s="1"/>
      <c r="B777" s="1"/>
      <c r="C777" s="15"/>
      <c r="D777" s="17"/>
      <c r="E777" s="1"/>
      <c r="F777" s="17"/>
      <c r="G777" s="1"/>
      <c r="H777" s="1"/>
      <c r="I777" s="17"/>
      <c r="J777" s="17"/>
      <c r="K777" s="1"/>
      <c r="L777" s="1"/>
      <c r="M777" s="1"/>
      <c r="N777" s="1"/>
      <c r="O777" s="1"/>
      <c r="P777" s="1"/>
      <c r="Q777" s="1"/>
      <c r="R777" s="1"/>
      <c r="S777" s="1"/>
      <c r="T777" s="1"/>
      <c r="U777" s="1"/>
      <c r="V777" s="1"/>
      <c r="W777" s="1"/>
      <c r="X777" s="1"/>
      <c r="Y777" s="1"/>
    </row>
    <row r="778" spans="1:25" ht="15.75" customHeight="1" x14ac:dyDescent="0.25">
      <c r="A778" s="1"/>
      <c r="B778" s="1"/>
      <c r="C778" s="15"/>
      <c r="D778" s="17"/>
      <c r="E778" s="1"/>
      <c r="F778" s="17"/>
      <c r="G778" s="1"/>
      <c r="H778" s="1"/>
      <c r="I778" s="17"/>
      <c r="J778" s="17"/>
      <c r="K778" s="1"/>
      <c r="L778" s="1"/>
      <c r="M778" s="1"/>
      <c r="N778" s="1"/>
      <c r="O778" s="1"/>
      <c r="P778" s="1"/>
      <c r="Q778" s="1"/>
      <c r="R778" s="1"/>
      <c r="S778" s="1"/>
      <c r="T778" s="1"/>
      <c r="U778" s="1"/>
      <c r="V778" s="1"/>
      <c r="W778" s="1"/>
      <c r="X778" s="1"/>
      <c r="Y778" s="1"/>
    </row>
    <row r="779" spans="1:25" ht="15.75" customHeight="1" x14ac:dyDescent="0.25">
      <c r="A779" s="1"/>
      <c r="B779" s="1"/>
      <c r="C779" s="15"/>
      <c r="D779" s="17"/>
      <c r="E779" s="1"/>
      <c r="F779" s="17"/>
      <c r="G779" s="1"/>
      <c r="H779" s="1"/>
      <c r="I779" s="17"/>
      <c r="J779" s="17"/>
      <c r="K779" s="1"/>
      <c r="L779" s="1"/>
      <c r="M779" s="1"/>
      <c r="N779" s="1"/>
      <c r="O779" s="1"/>
      <c r="P779" s="1"/>
      <c r="Q779" s="1"/>
      <c r="R779" s="1"/>
      <c r="S779" s="1"/>
      <c r="T779" s="1"/>
      <c r="U779" s="1"/>
      <c r="V779" s="1"/>
      <c r="W779" s="1"/>
      <c r="X779" s="1"/>
      <c r="Y779" s="1"/>
    </row>
    <row r="780" spans="1:25" ht="15.75" customHeight="1" x14ac:dyDescent="0.25">
      <c r="A780" s="1"/>
      <c r="B780" s="1"/>
      <c r="C780" s="15"/>
      <c r="D780" s="17"/>
      <c r="E780" s="1"/>
      <c r="F780" s="17"/>
      <c r="G780" s="1"/>
      <c r="H780" s="1"/>
      <c r="I780" s="17"/>
      <c r="J780" s="17"/>
      <c r="K780" s="1"/>
      <c r="L780" s="1"/>
      <c r="M780" s="1"/>
      <c r="N780" s="1"/>
      <c r="O780" s="1"/>
      <c r="P780" s="1"/>
      <c r="Q780" s="1"/>
      <c r="R780" s="1"/>
      <c r="S780" s="1"/>
      <c r="T780" s="1"/>
      <c r="U780" s="1"/>
      <c r="V780" s="1"/>
      <c r="W780" s="1"/>
      <c r="X780" s="1"/>
      <c r="Y780" s="1"/>
    </row>
    <row r="781" spans="1:25" ht="15.75" customHeight="1" x14ac:dyDescent="0.25">
      <c r="A781" s="1"/>
      <c r="B781" s="1"/>
      <c r="C781" s="15"/>
      <c r="D781" s="17"/>
      <c r="E781" s="1"/>
      <c r="F781" s="17"/>
      <c r="G781" s="1"/>
      <c r="H781" s="1"/>
      <c r="I781" s="17"/>
      <c r="J781" s="17"/>
      <c r="K781" s="1"/>
      <c r="L781" s="1"/>
      <c r="M781" s="1"/>
      <c r="N781" s="1"/>
      <c r="O781" s="1"/>
      <c r="P781" s="1"/>
      <c r="Q781" s="1"/>
      <c r="R781" s="1"/>
      <c r="S781" s="1"/>
      <c r="T781" s="1"/>
      <c r="U781" s="1"/>
      <c r="V781" s="1"/>
      <c r="W781" s="1"/>
      <c r="X781" s="1"/>
      <c r="Y781" s="1"/>
    </row>
    <row r="782" spans="1:25" ht="15.75" customHeight="1" x14ac:dyDescent="0.25">
      <c r="A782" s="1"/>
      <c r="B782" s="1"/>
      <c r="C782" s="15"/>
      <c r="D782" s="17"/>
      <c r="E782" s="1"/>
      <c r="F782" s="17"/>
      <c r="G782" s="1"/>
      <c r="H782" s="1"/>
      <c r="I782" s="17"/>
      <c r="J782" s="17"/>
      <c r="K782" s="1"/>
      <c r="L782" s="1"/>
      <c r="M782" s="1"/>
      <c r="N782" s="1"/>
      <c r="O782" s="1"/>
      <c r="P782" s="1"/>
      <c r="Q782" s="1"/>
      <c r="R782" s="1"/>
      <c r="S782" s="1"/>
      <c r="T782" s="1"/>
      <c r="U782" s="1"/>
      <c r="V782" s="1"/>
      <c r="W782" s="1"/>
      <c r="X782" s="1"/>
      <c r="Y782" s="1"/>
    </row>
    <row r="783" spans="1:25" ht="15.75" customHeight="1" x14ac:dyDescent="0.25">
      <c r="A783" s="1"/>
      <c r="B783" s="1"/>
      <c r="C783" s="15"/>
      <c r="D783" s="17"/>
      <c r="E783" s="1"/>
      <c r="F783" s="17"/>
      <c r="G783" s="1"/>
      <c r="H783" s="1"/>
      <c r="I783" s="17"/>
      <c r="J783" s="17"/>
      <c r="K783" s="1"/>
      <c r="L783" s="1"/>
      <c r="M783" s="1"/>
      <c r="N783" s="1"/>
      <c r="O783" s="1"/>
      <c r="P783" s="1"/>
      <c r="Q783" s="1"/>
      <c r="R783" s="1"/>
      <c r="S783" s="1"/>
      <c r="T783" s="1"/>
      <c r="U783" s="1"/>
      <c r="V783" s="1"/>
      <c r="W783" s="1"/>
      <c r="X783" s="1"/>
      <c r="Y783" s="1"/>
    </row>
    <row r="784" spans="1:25" ht="15.75" customHeight="1" x14ac:dyDescent="0.25">
      <c r="A784" s="1"/>
      <c r="B784" s="1"/>
      <c r="C784" s="15"/>
      <c r="D784" s="17"/>
      <c r="E784" s="1"/>
      <c r="F784" s="17"/>
      <c r="G784" s="1"/>
      <c r="H784" s="1"/>
      <c r="I784" s="17"/>
      <c r="J784" s="17"/>
      <c r="K784" s="1"/>
      <c r="L784" s="1"/>
      <c r="M784" s="1"/>
      <c r="N784" s="1"/>
      <c r="O784" s="1"/>
      <c r="P784" s="1"/>
      <c r="Q784" s="1"/>
      <c r="R784" s="1"/>
      <c r="S784" s="1"/>
      <c r="T784" s="1"/>
      <c r="U784" s="1"/>
      <c r="V784" s="1"/>
      <c r="W784" s="1"/>
      <c r="X784" s="1"/>
      <c r="Y784" s="1"/>
    </row>
    <row r="785" spans="1:25" ht="15.75" customHeight="1" x14ac:dyDescent="0.25">
      <c r="A785" s="1"/>
      <c r="B785" s="1"/>
      <c r="C785" s="15"/>
      <c r="D785" s="17"/>
      <c r="E785" s="1"/>
      <c r="F785" s="17"/>
      <c r="G785" s="1"/>
      <c r="H785" s="1"/>
      <c r="I785" s="17"/>
      <c r="J785" s="17"/>
      <c r="K785" s="1"/>
      <c r="L785" s="1"/>
      <c r="M785" s="1"/>
      <c r="N785" s="1"/>
      <c r="O785" s="1"/>
      <c r="P785" s="1"/>
      <c r="Q785" s="1"/>
      <c r="R785" s="1"/>
      <c r="S785" s="1"/>
      <c r="T785" s="1"/>
      <c r="U785" s="1"/>
      <c r="V785" s="1"/>
      <c r="W785" s="1"/>
      <c r="X785" s="1"/>
      <c r="Y785" s="1"/>
    </row>
    <row r="786" spans="1:25" ht="15.75" customHeight="1" x14ac:dyDescent="0.25">
      <c r="A786" s="1"/>
      <c r="B786" s="1"/>
      <c r="C786" s="15"/>
      <c r="D786" s="17"/>
      <c r="E786" s="1"/>
      <c r="F786" s="17"/>
      <c r="G786" s="1"/>
      <c r="H786" s="1"/>
      <c r="I786" s="17"/>
      <c r="J786" s="17"/>
      <c r="K786" s="1"/>
      <c r="L786" s="1"/>
      <c r="M786" s="1"/>
      <c r="N786" s="1"/>
      <c r="O786" s="1"/>
      <c r="P786" s="1"/>
      <c r="Q786" s="1"/>
      <c r="R786" s="1"/>
      <c r="S786" s="1"/>
      <c r="T786" s="1"/>
      <c r="U786" s="1"/>
      <c r="V786" s="1"/>
      <c r="W786" s="1"/>
      <c r="X786" s="1"/>
      <c r="Y786" s="1"/>
    </row>
    <row r="787" spans="1:25" ht="15.75" customHeight="1" x14ac:dyDescent="0.25">
      <c r="A787" s="1"/>
      <c r="B787" s="1"/>
      <c r="C787" s="15"/>
      <c r="D787" s="17"/>
      <c r="E787" s="1"/>
      <c r="F787" s="17"/>
      <c r="G787" s="1"/>
      <c r="H787" s="1"/>
      <c r="I787" s="17"/>
      <c r="J787" s="17"/>
      <c r="K787" s="1"/>
      <c r="L787" s="1"/>
      <c r="M787" s="1"/>
      <c r="N787" s="1"/>
      <c r="O787" s="1"/>
      <c r="P787" s="1"/>
      <c r="Q787" s="1"/>
      <c r="R787" s="1"/>
      <c r="S787" s="1"/>
      <c r="T787" s="1"/>
      <c r="U787" s="1"/>
      <c r="V787" s="1"/>
      <c r="W787" s="1"/>
      <c r="X787" s="1"/>
      <c r="Y787" s="1"/>
    </row>
    <row r="788" spans="1:25" ht="15.75" customHeight="1" x14ac:dyDescent="0.25">
      <c r="A788" s="1"/>
      <c r="B788" s="1"/>
      <c r="C788" s="15"/>
      <c r="D788" s="17"/>
      <c r="E788" s="1"/>
      <c r="F788" s="17"/>
      <c r="G788" s="1"/>
      <c r="H788" s="1"/>
      <c r="I788" s="17"/>
      <c r="J788" s="17"/>
      <c r="K788" s="1"/>
      <c r="L788" s="1"/>
      <c r="M788" s="1"/>
      <c r="N788" s="1"/>
      <c r="O788" s="1"/>
      <c r="P788" s="1"/>
      <c r="Q788" s="1"/>
      <c r="R788" s="1"/>
      <c r="S788" s="1"/>
      <c r="T788" s="1"/>
      <c r="U788" s="1"/>
      <c r="V788" s="1"/>
      <c r="W788" s="1"/>
      <c r="X788" s="1"/>
      <c r="Y788" s="1"/>
    </row>
    <row r="789" spans="1:25" ht="15.75" customHeight="1" x14ac:dyDescent="0.25">
      <c r="A789" s="1"/>
      <c r="B789" s="1"/>
      <c r="C789" s="15"/>
      <c r="D789" s="17"/>
      <c r="E789" s="1"/>
      <c r="F789" s="17"/>
      <c r="G789" s="1"/>
      <c r="H789" s="1"/>
      <c r="I789" s="17"/>
      <c r="J789" s="17"/>
      <c r="K789" s="1"/>
      <c r="L789" s="1"/>
      <c r="M789" s="1"/>
      <c r="N789" s="1"/>
      <c r="O789" s="1"/>
      <c r="P789" s="1"/>
      <c r="Q789" s="1"/>
      <c r="R789" s="1"/>
      <c r="S789" s="1"/>
      <c r="T789" s="1"/>
      <c r="U789" s="1"/>
      <c r="V789" s="1"/>
      <c r="W789" s="1"/>
      <c r="X789" s="1"/>
      <c r="Y789" s="1"/>
    </row>
    <row r="790" spans="1:25" ht="15.75" customHeight="1" x14ac:dyDescent="0.25">
      <c r="A790" s="1"/>
      <c r="B790" s="1"/>
      <c r="C790" s="15"/>
      <c r="D790" s="17"/>
      <c r="E790" s="1"/>
      <c r="F790" s="17"/>
      <c r="G790" s="1"/>
      <c r="H790" s="1"/>
      <c r="I790" s="17"/>
      <c r="J790" s="17"/>
      <c r="K790" s="1"/>
      <c r="L790" s="1"/>
      <c r="M790" s="1"/>
      <c r="N790" s="1"/>
      <c r="O790" s="1"/>
      <c r="P790" s="1"/>
      <c r="Q790" s="1"/>
      <c r="R790" s="1"/>
      <c r="S790" s="1"/>
      <c r="T790" s="1"/>
      <c r="U790" s="1"/>
      <c r="V790" s="1"/>
      <c r="W790" s="1"/>
      <c r="X790" s="1"/>
      <c r="Y790" s="1"/>
    </row>
    <row r="791" spans="1:25" ht="15.75" customHeight="1" x14ac:dyDescent="0.25">
      <c r="A791" s="1"/>
      <c r="B791" s="1"/>
      <c r="C791" s="15"/>
      <c r="D791" s="17"/>
      <c r="E791" s="1"/>
      <c r="F791" s="17"/>
      <c r="G791" s="1"/>
      <c r="H791" s="1"/>
      <c r="I791" s="17"/>
      <c r="J791" s="17"/>
      <c r="K791" s="1"/>
      <c r="L791" s="1"/>
      <c r="M791" s="1"/>
      <c r="N791" s="1"/>
      <c r="O791" s="1"/>
      <c r="P791" s="1"/>
      <c r="Q791" s="1"/>
      <c r="R791" s="1"/>
      <c r="S791" s="1"/>
      <c r="T791" s="1"/>
      <c r="U791" s="1"/>
      <c r="V791" s="1"/>
      <c r="W791" s="1"/>
      <c r="X791" s="1"/>
      <c r="Y791" s="1"/>
    </row>
    <row r="792" spans="1:25" ht="15.75" customHeight="1" x14ac:dyDescent="0.25">
      <c r="A792" s="1"/>
      <c r="B792" s="1"/>
      <c r="C792" s="15"/>
      <c r="D792" s="17"/>
      <c r="E792" s="1"/>
      <c r="F792" s="17"/>
      <c r="G792" s="1"/>
      <c r="H792" s="1"/>
      <c r="I792" s="17"/>
      <c r="J792" s="17"/>
      <c r="K792" s="1"/>
      <c r="L792" s="1"/>
      <c r="M792" s="1"/>
      <c r="N792" s="1"/>
      <c r="O792" s="1"/>
      <c r="P792" s="1"/>
      <c r="Q792" s="1"/>
      <c r="R792" s="1"/>
      <c r="S792" s="1"/>
      <c r="T792" s="1"/>
      <c r="U792" s="1"/>
      <c r="V792" s="1"/>
      <c r="W792" s="1"/>
      <c r="X792" s="1"/>
      <c r="Y792" s="1"/>
    </row>
    <row r="793" spans="1:25" ht="15.75" customHeight="1" x14ac:dyDescent="0.25">
      <c r="A793" s="1"/>
      <c r="B793" s="1"/>
      <c r="C793" s="15"/>
      <c r="D793" s="17"/>
      <c r="E793" s="1"/>
      <c r="F793" s="17"/>
      <c r="G793" s="1"/>
      <c r="H793" s="1"/>
      <c r="I793" s="17"/>
      <c r="J793" s="17"/>
      <c r="K793" s="1"/>
      <c r="L793" s="1"/>
      <c r="M793" s="1"/>
      <c r="N793" s="1"/>
      <c r="O793" s="1"/>
      <c r="P793" s="1"/>
      <c r="Q793" s="1"/>
      <c r="R793" s="1"/>
      <c r="S793" s="1"/>
      <c r="T793" s="1"/>
      <c r="U793" s="1"/>
      <c r="V793" s="1"/>
      <c r="W793" s="1"/>
      <c r="X793" s="1"/>
      <c r="Y793" s="1"/>
    </row>
    <row r="794" spans="1:25" ht="15.75" customHeight="1" x14ac:dyDescent="0.25">
      <c r="A794" s="1"/>
      <c r="B794" s="1"/>
      <c r="C794" s="15"/>
      <c r="D794" s="17"/>
      <c r="E794" s="1"/>
      <c r="F794" s="17"/>
      <c r="G794" s="1"/>
      <c r="H794" s="1"/>
      <c r="I794" s="17"/>
      <c r="J794" s="17"/>
      <c r="K794" s="1"/>
      <c r="L794" s="1"/>
      <c r="M794" s="1"/>
      <c r="N794" s="1"/>
      <c r="O794" s="1"/>
      <c r="P794" s="1"/>
      <c r="Q794" s="1"/>
      <c r="R794" s="1"/>
      <c r="S794" s="1"/>
      <c r="T794" s="1"/>
      <c r="U794" s="1"/>
      <c r="V794" s="1"/>
      <c r="W794" s="1"/>
      <c r="X794" s="1"/>
      <c r="Y794" s="1"/>
    </row>
    <row r="795" spans="1:25" ht="15.75" customHeight="1" x14ac:dyDescent="0.25">
      <c r="A795" s="1"/>
      <c r="B795" s="1"/>
      <c r="C795" s="15"/>
      <c r="D795" s="17"/>
      <c r="E795" s="1"/>
      <c r="F795" s="17"/>
      <c r="G795" s="1"/>
      <c r="H795" s="1"/>
      <c r="I795" s="17"/>
      <c r="J795" s="17"/>
      <c r="K795" s="1"/>
      <c r="L795" s="1"/>
      <c r="M795" s="1"/>
      <c r="N795" s="1"/>
      <c r="O795" s="1"/>
      <c r="P795" s="1"/>
      <c r="Q795" s="1"/>
      <c r="R795" s="1"/>
      <c r="S795" s="1"/>
      <c r="T795" s="1"/>
      <c r="U795" s="1"/>
      <c r="V795" s="1"/>
      <c r="W795" s="1"/>
      <c r="X795" s="1"/>
      <c r="Y795" s="1"/>
    </row>
    <row r="796" spans="1:25" ht="15.75" customHeight="1" x14ac:dyDescent="0.25">
      <c r="A796" s="1"/>
      <c r="B796" s="1"/>
      <c r="C796" s="15"/>
      <c r="D796" s="17"/>
      <c r="E796" s="1"/>
      <c r="F796" s="17"/>
      <c r="G796" s="1"/>
      <c r="H796" s="1"/>
      <c r="I796" s="17"/>
      <c r="J796" s="17"/>
      <c r="K796" s="1"/>
      <c r="L796" s="1"/>
      <c r="M796" s="1"/>
      <c r="N796" s="1"/>
      <c r="O796" s="1"/>
      <c r="P796" s="1"/>
      <c r="Q796" s="1"/>
      <c r="R796" s="1"/>
      <c r="S796" s="1"/>
      <c r="T796" s="1"/>
      <c r="U796" s="1"/>
      <c r="V796" s="1"/>
      <c r="W796" s="1"/>
      <c r="X796" s="1"/>
      <c r="Y796" s="1"/>
    </row>
    <row r="797" spans="1:25" ht="15.75" customHeight="1" x14ac:dyDescent="0.25">
      <c r="A797" s="1"/>
      <c r="B797" s="1"/>
      <c r="C797" s="15"/>
      <c r="D797" s="17"/>
      <c r="E797" s="1"/>
      <c r="F797" s="17"/>
      <c r="G797" s="1"/>
      <c r="H797" s="1"/>
      <c r="I797" s="17"/>
      <c r="J797" s="17"/>
      <c r="K797" s="1"/>
      <c r="L797" s="1"/>
      <c r="M797" s="1"/>
      <c r="N797" s="1"/>
      <c r="O797" s="1"/>
      <c r="P797" s="1"/>
      <c r="Q797" s="1"/>
      <c r="R797" s="1"/>
      <c r="S797" s="1"/>
      <c r="T797" s="1"/>
      <c r="U797" s="1"/>
      <c r="V797" s="1"/>
      <c r="W797" s="1"/>
      <c r="X797" s="1"/>
      <c r="Y797" s="1"/>
    </row>
    <row r="798" spans="1:25" ht="15.75" customHeight="1" x14ac:dyDescent="0.25">
      <c r="A798" s="1"/>
      <c r="B798" s="1"/>
      <c r="C798" s="15"/>
      <c r="D798" s="17"/>
      <c r="E798" s="1"/>
      <c r="F798" s="17"/>
      <c r="G798" s="1"/>
      <c r="H798" s="1"/>
      <c r="I798" s="17"/>
      <c r="J798" s="17"/>
      <c r="K798" s="1"/>
      <c r="L798" s="1"/>
      <c r="M798" s="1"/>
      <c r="N798" s="1"/>
      <c r="O798" s="1"/>
      <c r="P798" s="1"/>
      <c r="Q798" s="1"/>
      <c r="R798" s="1"/>
      <c r="S798" s="1"/>
      <c r="T798" s="1"/>
      <c r="U798" s="1"/>
      <c r="V798" s="1"/>
      <c r="W798" s="1"/>
      <c r="X798" s="1"/>
      <c r="Y798" s="1"/>
    </row>
    <row r="799" spans="1:25" ht="15.75" customHeight="1" x14ac:dyDescent="0.25">
      <c r="A799" s="1"/>
      <c r="B799" s="1"/>
      <c r="C799" s="15"/>
      <c r="D799" s="17"/>
      <c r="E799" s="1"/>
      <c r="F799" s="17"/>
      <c r="G799" s="1"/>
      <c r="H799" s="1"/>
      <c r="I799" s="17"/>
      <c r="J799" s="17"/>
      <c r="K799" s="1"/>
      <c r="L799" s="1"/>
      <c r="M799" s="1"/>
      <c r="N799" s="1"/>
      <c r="O799" s="1"/>
      <c r="P799" s="1"/>
      <c r="Q799" s="1"/>
      <c r="R799" s="1"/>
      <c r="S799" s="1"/>
      <c r="T799" s="1"/>
      <c r="U799" s="1"/>
      <c r="V799" s="1"/>
      <c r="W799" s="1"/>
      <c r="X799" s="1"/>
      <c r="Y799" s="1"/>
    </row>
    <row r="800" spans="1:25" ht="15.75" customHeight="1" x14ac:dyDescent="0.25">
      <c r="A800" s="1"/>
      <c r="B800" s="1"/>
      <c r="C800" s="15"/>
      <c r="D800" s="17"/>
      <c r="E800" s="1"/>
      <c r="F800" s="17"/>
      <c r="G800" s="1"/>
      <c r="H800" s="1"/>
      <c r="I800" s="17"/>
      <c r="J800" s="17"/>
      <c r="K800" s="1"/>
      <c r="L800" s="1"/>
      <c r="M800" s="1"/>
      <c r="N800" s="1"/>
      <c r="O800" s="1"/>
      <c r="P800" s="1"/>
      <c r="Q800" s="1"/>
      <c r="R800" s="1"/>
      <c r="S800" s="1"/>
      <c r="T800" s="1"/>
      <c r="U800" s="1"/>
      <c r="V800" s="1"/>
      <c r="W800" s="1"/>
      <c r="X800" s="1"/>
      <c r="Y800" s="1"/>
    </row>
    <row r="801" spans="1:25" ht="15.75" customHeight="1" x14ac:dyDescent="0.25">
      <c r="A801" s="1"/>
      <c r="B801" s="1"/>
      <c r="C801" s="15"/>
      <c r="D801" s="17"/>
      <c r="E801" s="1"/>
      <c r="F801" s="17"/>
      <c r="G801" s="1"/>
      <c r="H801" s="1"/>
      <c r="I801" s="17"/>
      <c r="J801" s="17"/>
      <c r="K801" s="1"/>
      <c r="L801" s="1"/>
      <c r="M801" s="1"/>
      <c r="N801" s="1"/>
      <c r="O801" s="1"/>
      <c r="P801" s="1"/>
      <c r="Q801" s="1"/>
      <c r="R801" s="1"/>
      <c r="S801" s="1"/>
      <c r="T801" s="1"/>
      <c r="U801" s="1"/>
      <c r="V801" s="1"/>
      <c r="W801" s="1"/>
      <c r="X801" s="1"/>
      <c r="Y801" s="1"/>
    </row>
    <row r="802" spans="1:25" ht="15.75" customHeight="1" x14ac:dyDescent="0.25">
      <c r="A802" s="1"/>
      <c r="B802" s="1"/>
      <c r="C802" s="15"/>
      <c r="D802" s="17"/>
      <c r="E802" s="1"/>
      <c r="F802" s="17"/>
      <c r="G802" s="1"/>
      <c r="H802" s="1"/>
      <c r="I802" s="17"/>
      <c r="J802" s="17"/>
      <c r="K802" s="1"/>
      <c r="L802" s="1"/>
      <c r="M802" s="1"/>
      <c r="N802" s="1"/>
      <c r="O802" s="1"/>
      <c r="P802" s="1"/>
      <c r="Q802" s="1"/>
      <c r="R802" s="1"/>
      <c r="S802" s="1"/>
      <c r="T802" s="1"/>
      <c r="U802" s="1"/>
      <c r="V802" s="1"/>
      <c r="W802" s="1"/>
      <c r="X802" s="1"/>
      <c r="Y802" s="1"/>
    </row>
    <row r="803" spans="1:25" ht="15.75" customHeight="1" x14ac:dyDescent="0.25">
      <c r="A803" s="1"/>
      <c r="B803" s="1"/>
      <c r="C803" s="15"/>
      <c r="D803" s="17"/>
      <c r="E803" s="1"/>
      <c r="F803" s="17"/>
      <c r="G803" s="1"/>
      <c r="H803" s="1"/>
      <c r="I803" s="17"/>
      <c r="J803" s="17"/>
      <c r="K803" s="1"/>
      <c r="L803" s="1"/>
      <c r="M803" s="1"/>
      <c r="N803" s="1"/>
      <c r="O803" s="1"/>
      <c r="P803" s="1"/>
      <c r="Q803" s="1"/>
      <c r="R803" s="1"/>
      <c r="S803" s="1"/>
      <c r="T803" s="1"/>
      <c r="U803" s="1"/>
      <c r="V803" s="1"/>
      <c r="W803" s="1"/>
      <c r="X803" s="1"/>
      <c r="Y803" s="1"/>
    </row>
    <row r="804" spans="1:25" ht="15.75" customHeight="1" x14ac:dyDescent="0.25">
      <c r="A804" s="1"/>
      <c r="B804" s="1"/>
      <c r="C804" s="15"/>
      <c r="D804" s="17"/>
      <c r="E804" s="1"/>
      <c r="F804" s="17"/>
      <c r="G804" s="1"/>
      <c r="H804" s="1"/>
      <c r="I804" s="17"/>
      <c r="J804" s="17"/>
      <c r="K804" s="1"/>
      <c r="L804" s="1"/>
      <c r="M804" s="1"/>
      <c r="N804" s="1"/>
      <c r="O804" s="1"/>
      <c r="P804" s="1"/>
      <c r="Q804" s="1"/>
      <c r="R804" s="1"/>
      <c r="S804" s="1"/>
      <c r="T804" s="1"/>
      <c r="U804" s="1"/>
      <c r="V804" s="1"/>
      <c r="W804" s="1"/>
      <c r="X804" s="1"/>
      <c r="Y804" s="1"/>
    </row>
    <row r="805" spans="1:25" ht="15.75" customHeight="1" x14ac:dyDescent="0.25">
      <c r="A805" s="1"/>
      <c r="B805" s="1"/>
      <c r="C805" s="15"/>
      <c r="D805" s="17"/>
      <c r="E805" s="1"/>
      <c r="F805" s="17"/>
      <c r="G805" s="1"/>
      <c r="H805" s="1"/>
      <c r="I805" s="17"/>
      <c r="J805" s="17"/>
      <c r="K805" s="1"/>
      <c r="L805" s="1"/>
      <c r="M805" s="1"/>
      <c r="N805" s="1"/>
      <c r="O805" s="1"/>
      <c r="P805" s="1"/>
      <c r="Q805" s="1"/>
      <c r="R805" s="1"/>
      <c r="S805" s="1"/>
      <c r="T805" s="1"/>
      <c r="U805" s="1"/>
      <c r="V805" s="1"/>
      <c r="W805" s="1"/>
      <c r="X805" s="1"/>
      <c r="Y805" s="1"/>
    </row>
    <row r="806" spans="1:25" ht="15.75" customHeight="1" x14ac:dyDescent="0.25">
      <c r="A806" s="1"/>
      <c r="B806" s="1"/>
      <c r="C806" s="15"/>
      <c r="D806" s="17"/>
      <c r="E806" s="1"/>
      <c r="F806" s="17"/>
      <c r="G806" s="1"/>
      <c r="H806" s="1"/>
      <c r="I806" s="17"/>
      <c r="J806" s="17"/>
      <c r="K806" s="1"/>
      <c r="L806" s="1"/>
      <c r="M806" s="1"/>
      <c r="N806" s="1"/>
      <c r="O806" s="1"/>
      <c r="P806" s="1"/>
      <c r="Q806" s="1"/>
      <c r="R806" s="1"/>
      <c r="S806" s="1"/>
      <c r="T806" s="1"/>
      <c r="U806" s="1"/>
      <c r="V806" s="1"/>
      <c r="W806" s="1"/>
      <c r="X806" s="1"/>
      <c r="Y806" s="1"/>
    </row>
    <row r="807" spans="1:25" ht="15.75" customHeight="1" x14ac:dyDescent="0.25">
      <c r="A807" s="1"/>
      <c r="B807" s="1"/>
      <c r="C807" s="15"/>
      <c r="D807" s="17"/>
      <c r="E807" s="1"/>
      <c r="F807" s="17"/>
      <c r="G807" s="1"/>
      <c r="H807" s="1"/>
      <c r="I807" s="17"/>
      <c r="J807" s="17"/>
      <c r="K807" s="1"/>
      <c r="L807" s="1"/>
      <c r="M807" s="1"/>
      <c r="N807" s="1"/>
      <c r="O807" s="1"/>
      <c r="P807" s="1"/>
      <c r="Q807" s="1"/>
      <c r="R807" s="1"/>
      <c r="S807" s="1"/>
      <c r="T807" s="1"/>
      <c r="U807" s="1"/>
      <c r="V807" s="1"/>
      <c r="W807" s="1"/>
      <c r="X807" s="1"/>
      <c r="Y807" s="1"/>
    </row>
    <row r="808" spans="1:25" ht="15.75" customHeight="1" x14ac:dyDescent="0.25">
      <c r="A808" s="1"/>
      <c r="B808" s="1"/>
      <c r="C808" s="15"/>
      <c r="D808" s="17"/>
      <c r="E808" s="1"/>
      <c r="F808" s="17"/>
      <c r="G808" s="1"/>
      <c r="H808" s="1"/>
      <c r="I808" s="17"/>
      <c r="J808" s="17"/>
      <c r="K808" s="1"/>
      <c r="L808" s="1"/>
      <c r="M808" s="1"/>
      <c r="N808" s="1"/>
      <c r="O808" s="1"/>
      <c r="P808" s="1"/>
      <c r="Q808" s="1"/>
      <c r="R808" s="1"/>
      <c r="S808" s="1"/>
      <c r="T808" s="1"/>
      <c r="U808" s="1"/>
      <c r="V808" s="1"/>
      <c r="W808" s="1"/>
      <c r="X808" s="1"/>
      <c r="Y808" s="1"/>
    </row>
    <row r="809" spans="1:25" ht="15.75" customHeight="1" x14ac:dyDescent="0.25">
      <c r="A809" s="1"/>
      <c r="B809" s="1"/>
      <c r="C809" s="15"/>
      <c r="D809" s="17"/>
      <c r="E809" s="1"/>
      <c r="F809" s="17"/>
      <c r="G809" s="1"/>
      <c r="H809" s="1"/>
      <c r="I809" s="17"/>
      <c r="J809" s="17"/>
      <c r="K809" s="1"/>
      <c r="L809" s="1"/>
      <c r="M809" s="1"/>
      <c r="N809" s="1"/>
      <c r="O809" s="1"/>
      <c r="P809" s="1"/>
      <c r="Q809" s="1"/>
      <c r="R809" s="1"/>
      <c r="S809" s="1"/>
      <c r="T809" s="1"/>
      <c r="U809" s="1"/>
      <c r="V809" s="1"/>
      <c r="W809" s="1"/>
      <c r="X809" s="1"/>
      <c r="Y809" s="1"/>
    </row>
    <row r="810" spans="1:25" ht="15.75" customHeight="1" x14ac:dyDescent="0.25">
      <c r="A810" s="1"/>
      <c r="B810" s="1"/>
      <c r="C810" s="15"/>
      <c r="D810" s="17"/>
      <c r="E810" s="1"/>
      <c r="F810" s="17"/>
      <c r="G810" s="1"/>
      <c r="H810" s="1"/>
      <c r="I810" s="17"/>
      <c r="J810" s="17"/>
      <c r="K810" s="1"/>
      <c r="L810" s="1"/>
      <c r="M810" s="1"/>
      <c r="N810" s="1"/>
      <c r="O810" s="1"/>
      <c r="P810" s="1"/>
      <c r="Q810" s="1"/>
      <c r="R810" s="1"/>
      <c r="S810" s="1"/>
      <c r="T810" s="1"/>
      <c r="U810" s="1"/>
      <c r="V810" s="1"/>
      <c r="W810" s="1"/>
      <c r="X810" s="1"/>
      <c r="Y810" s="1"/>
    </row>
    <row r="811" spans="1:25" ht="15.75" customHeight="1" x14ac:dyDescent="0.25">
      <c r="A811" s="1"/>
      <c r="B811" s="1"/>
      <c r="C811" s="15"/>
      <c r="D811" s="17"/>
      <c r="E811" s="1"/>
      <c r="F811" s="17"/>
      <c r="G811" s="1"/>
      <c r="H811" s="1"/>
      <c r="I811" s="17"/>
      <c r="J811" s="17"/>
      <c r="K811" s="1"/>
      <c r="L811" s="1"/>
      <c r="M811" s="1"/>
      <c r="N811" s="1"/>
      <c r="O811" s="1"/>
      <c r="P811" s="1"/>
      <c r="Q811" s="1"/>
      <c r="R811" s="1"/>
      <c r="S811" s="1"/>
      <c r="T811" s="1"/>
      <c r="U811" s="1"/>
      <c r="V811" s="1"/>
      <c r="W811" s="1"/>
      <c r="X811" s="1"/>
      <c r="Y811" s="1"/>
    </row>
    <row r="812" spans="1:25" ht="15.75" customHeight="1" x14ac:dyDescent="0.25">
      <c r="A812" s="1"/>
      <c r="B812" s="1"/>
      <c r="C812" s="15"/>
      <c r="D812" s="17"/>
      <c r="E812" s="1"/>
      <c r="F812" s="17"/>
      <c r="G812" s="1"/>
      <c r="H812" s="1"/>
      <c r="I812" s="17"/>
      <c r="J812" s="17"/>
      <c r="K812" s="1"/>
      <c r="L812" s="1"/>
      <c r="M812" s="1"/>
      <c r="N812" s="1"/>
      <c r="O812" s="1"/>
      <c r="P812" s="1"/>
      <c r="Q812" s="1"/>
      <c r="R812" s="1"/>
      <c r="S812" s="1"/>
      <c r="T812" s="1"/>
      <c r="U812" s="1"/>
      <c r="V812" s="1"/>
      <c r="W812" s="1"/>
      <c r="X812" s="1"/>
      <c r="Y812" s="1"/>
    </row>
    <row r="813" spans="1:25" ht="15.75" customHeight="1" x14ac:dyDescent="0.25">
      <c r="A813" s="1"/>
      <c r="B813" s="1"/>
      <c r="C813" s="15"/>
      <c r="D813" s="17"/>
      <c r="E813" s="1"/>
      <c r="F813" s="17"/>
      <c r="G813" s="1"/>
      <c r="H813" s="1"/>
      <c r="I813" s="17"/>
      <c r="J813" s="17"/>
      <c r="K813" s="1"/>
      <c r="L813" s="1"/>
      <c r="M813" s="1"/>
      <c r="N813" s="1"/>
      <c r="O813" s="1"/>
      <c r="P813" s="1"/>
      <c r="Q813" s="1"/>
      <c r="R813" s="1"/>
      <c r="S813" s="1"/>
      <c r="T813" s="1"/>
      <c r="U813" s="1"/>
      <c r="V813" s="1"/>
      <c r="W813" s="1"/>
      <c r="X813" s="1"/>
      <c r="Y813" s="1"/>
    </row>
    <row r="814" spans="1:25" ht="15.75" customHeight="1" x14ac:dyDescent="0.25">
      <c r="A814" s="1"/>
      <c r="B814" s="1"/>
      <c r="C814" s="15"/>
      <c r="D814" s="17"/>
      <c r="E814" s="1"/>
      <c r="F814" s="17"/>
      <c r="G814" s="1"/>
      <c r="H814" s="1"/>
      <c r="I814" s="17"/>
      <c r="J814" s="17"/>
      <c r="K814" s="1"/>
      <c r="L814" s="1"/>
      <c r="M814" s="1"/>
      <c r="N814" s="1"/>
      <c r="O814" s="1"/>
      <c r="P814" s="1"/>
      <c r="Q814" s="1"/>
      <c r="R814" s="1"/>
      <c r="S814" s="1"/>
      <c r="T814" s="1"/>
      <c r="U814" s="1"/>
      <c r="V814" s="1"/>
      <c r="W814" s="1"/>
      <c r="X814" s="1"/>
      <c r="Y814" s="1"/>
    </row>
    <row r="815" spans="1:25" ht="15.75" customHeight="1" x14ac:dyDescent="0.25">
      <c r="A815" s="1"/>
      <c r="B815" s="1"/>
      <c r="C815" s="15"/>
      <c r="D815" s="17"/>
      <c r="E815" s="1"/>
      <c r="F815" s="17"/>
      <c r="G815" s="1"/>
      <c r="H815" s="1"/>
      <c r="I815" s="17"/>
      <c r="J815" s="17"/>
      <c r="K815" s="1"/>
      <c r="L815" s="1"/>
      <c r="M815" s="1"/>
      <c r="N815" s="1"/>
      <c r="O815" s="1"/>
      <c r="P815" s="1"/>
      <c r="Q815" s="1"/>
      <c r="R815" s="1"/>
      <c r="S815" s="1"/>
      <c r="T815" s="1"/>
      <c r="U815" s="1"/>
      <c r="V815" s="1"/>
      <c r="W815" s="1"/>
      <c r="X815" s="1"/>
      <c r="Y815" s="1"/>
    </row>
    <row r="816" spans="1:25" ht="15.75" customHeight="1" x14ac:dyDescent="0.25">
      <c r="A816" s="1"/>
      <c r="B816" s="1"/>
      <c r="C816" s="15"/>
      <c r="D816" s="17"/>
      <c r="E816" s="1"/>
      <c r="F816" s="17"/>
      <c r="G816" s="1"/>
      <c r="H816" s="1"/>
      <c r="I816" s="17"/>
      <c r="J816" s="17"/>
      <c r="K816" s="1"/>
      <c r="L816" s="1"/>
      <c r="M816" s="1"/>
      <c r="N816" s="1"/>
      <c r="O816" s="1"/>
      <c r="P816" s="1"/>
      <c r="Q816" s="1"/>
      <c r="R816" s="1"/>
      <c r="S816" s="1"/>
      <c r="T816" s="1"/>
      <c r="U816" s="1"/>
      <c r="V816" s="1"/>
      <c r="W816" s="1"/>
      <c r="X816" s="1"/>
      <c r="Y816" s="1"/>
    </row>
    <row r="817" spans="1:25" ht="15.75" customHeight="1" x14ac:dyDescent="0.25">
      <c r="A817" s="1"/>
      <c r="B817" s="1"/>
      <c r="C817" s="15"/>
      <c r="D817" s="17"/>
      <c r="E817" s="1"/>
      <c r="F817" s="17"/>
      <c r="G817" s="1"/>
      <c r="H817" s="1"/>
      <c r="I817" s="17"/>
      <c r="J817" s="17"/>
      <c r="K817" s="1"/>
      <c r="L817" s="1"/>
      <c r="M817" s="1"/>
      <c r="N817" s="1"/>
      <c r="O817" s="1"/>
      <c r="P817" s="1"/>
      <c r="Q817" s="1"/>
      <c r="R817" s="1"/>
      <c r="S817" s="1"/>
      <c r="T817" s="1"/>
      <c r="U817" s="1"/>
      <c r="V817" s="1"/>
      <c r="W817" s="1"/>
      <c r="X817" s="1"/>
      <c r="Y817" s="1"/>
    </row>
    <row r="818" spans="1:25" ht="15.75" customHeight="1" x14ac:dyDescent="0.25">
      <c r="A818" s="1"/>
      <c r="B818" s="1"/>
      <c r="C818" s="15"/>
      <c r="D818" s="17"/>
      <c r="E818" s="1"/>
      <c r="F818" s="17"/>
      <c r="G818" s="1"/>
      <c r="H818" s="1"/>
      <c r="I818" s="17"/>
      <c r="J818" s="17"/>
      <c r="K818" s="1"/>
      <c r="L818" s="1"/>
      <c r="M818" s="1"/>
      <c r="N818" s="1"/>
      <c r="O818" s="1"/>
      <c r="P818" s="1"/>
      <c r="Q818" s="1"/>
      <c r="R818" s="1"/>
      <c r="S818" s="1"/>
      <c r="T818" s="1"/>
      <c r="U818" s="1"/>
      <c r="V818" s="1"/>
      <c r="W818" s="1"/>
      <c r="X818" s="1"/>
      <c r="Y818" s="1"/>
    </row>
    <row r="819" spans="1:25" ht="15.75" customHeight="1" x14ac:dyDescent="0.25">
      <c r="A819" s="1"/>
      <c r="B819" s="1"/>
      <c r="C819" s="15"/>
      <c r="D819" s="17"/>
      <c r="E819" s="1"/>
      <c r="F819" s="17"/>
      <c r="G819" s="1"/>
      <c r="H819" s="1"/>
      <c r="I819" s="17"/>
      <c r="J819" s="17"/>
      <c r="K819" s="1"/>
      <c r="L819" s="1"/>
      <c r="M819" s="1"/>
      <c r="N819" s="1"/>
      <c r="O819" s="1"/>
      <c r="P819" s="1"/>
      <c r="Q819" s="1"/>
      <c r="R819" s="1"/>
      <c r="S819" s="1"/>
      <c r="T819" s="1"/>
      <c r="U819" s="1"/>
      <c r="V819" s="1"/>
      <c r="W819" s="1"/>
      <c r="X819" s="1"/>
      <c r="Y819" s="1"/>
    </row>
    <row r="820" spans="1:25" ht="15.75" customHeight="1" x14ac:dyDescent="0.25">
      <c r="A820" s="1"/>
      <c r="B820" s="1"/>
      <c r="C820" s="15"/>
      <c r="D820" s="17"/>
      <c r="E820" s="1"/>
      <c r="F820" s="17"/>
      <c r="G820" s="1"/>
      <c r="H820" s="1"/>
      <c r="I820" s="17"/>
      <c r="J820" s="17"/>
      <c r="K820" s="1"/>
      <c r="L820" s="1"/>
      <c r="M820" s="1"/>
      <c r="N820" s="1"/>
      <c r="O820" s="1"/>
      <c r="P820" s="1"/>
      <c r="Q820" s="1"/>
      <c r="R820" s="1"/>
      <c r="S820" s="1"/>
      <c r="T820" s="1"/>
      <c r="U820" s="1"/>
      <c r="V820" s="1"/>
      <c r="W820" s="1"/>
      <c r="X820" s="1"/>
      <c r="Y820" s="1"/>
    </row>
    <row r="821" spans="1:25" ht="15.75" customHeight="1" x14ac:dyDescent="0.25">
      <c r="A821" s="1"/>
      <c r="B821" s="1"/>
      <c r="C821" s="15"/>
      <c r="D821" s="17"/>
      <c r="E821" s="1"/>
      <c r="F821" s="17"/>
      <c r="G821" s="1"/>
      <c r="H821" s="1"/>
      <c r="I821" s="17"/>
      <c r="J821" s="17"/>
      <c r="K821" s="1"/>
      <c r="L821" s="1"/>
      <c r="M821" s="1"/>
      <c r="N821" s="1"/>
      <c r="O821" s="1"/>
      <c r="P821" s="1"/>
      <c r="Q821" s="1"/>
      <c r="R821" s="1"/>
      <c r="S821" s="1"/>
      <c r="T821" s="1"/>
      <c r="U821" s="1"/>
      <c r="V821" s="1"/>
      <c r="W821" s="1"/>
      <c r="X821" s="1"/>
      <c r="Y821" s="1"/>
    </row>
    <row r="822" spans="1:25" ht="15.75" customHeight="1" x14ac:dyDescent="0.25">
      <c r="A822" s="1"/>
      <c r="B822" s="1"/>
      <c r="C822" s="15"/>
      <c r="D822" s="17"/>
      <c r="E822" s="1"/>
      <c r="F822" s="17"/>
      <c r="G822" s="1"/>
      <c r="H822" s="1"/>
      <c r="I822" s="17"/>
      <c r="J822" s="17"/>
      <c r="K822" s="1"/>
      <c r="L822" s="1"/>
      <c r="M822" s="1"/>
      <c r="N822" s="1"/>
      <c r="O822" s="1"/>
      <c r="P822" s="1"/>
      <c r="Q822" s="1"/>
      <c r="R822" s="1"/>
      <c r="S822" s="1"/>
      <c r="T822" s="1"/>
      <c r="U822" s="1"/>
      <c r="V822" s="1"/>
      <c r="W822" s="1"/>
      <c r="X822" s="1"/>
      <c r="Y822" s="1"/>
    </row>
    <row r="823" spans="1:25" ht="15.75" customHeight="1" x14ac:dyDescent="0.25">
      <c r="A823" s="1"/>
      <c r="B823" s="1"/>
      <c r="C823" s="15"/>
      <c r="D823" s="17"/>
      <c r="E823" s="1"/>
      <c r="F823" s="17"/>
      <c r="G823" s="1"/>
      <c r="H823" s="1"/>
      <c r="I823" s="17"/>
      <c r="J823" s="17"/>
      <c r="K823" s="1"/>
      <c r="L823" s="1"/>
      <c r="M823" s="1"/>
      <c r="N823" s="1"/>
      <c r="O823" s="1"/>
      <c r="P823" s="1"/>
      <c r="Q823" s="1"/>
      <c r="R823" s="1"/>
      <c r="S823" s="1"/>
      <c r="T823" s="1"/>
      <c r="U823" s="1"/>
      <c r="V823" s="1"/>
      <c r="W823" s="1"/>
      <c r="X823" s="1"/>
      <c r="Y823" s="1"/>
    </row>
    <row r="824" spans="1:25" ht="15.75" customHeight="1" x14ac:dyDescent="0.25">
      <c r="A824" s="1"/>
      <c r="B824" s="1"/>
      <c r="C824" s="15"/>
      <c r="D824" s="17"/>
      <c r="E824" s="1"/>
      <c r="F824" s="17"/>
      <c r="G824" s="1"/>
      <c r="H824" s="1"/>
      <c r="I824" s="17"/>
      <c r="J824" s="17"/>
      <c r="K824" s="1"/>
      <c r="L824" s="1"/>
      <c r="M824" s="1"/>
      <c r="N824" s="1"/>
      <c r="O824" s="1"/>
      <c r="P824" s="1"/>
      <c r="Q824" s="1"/>
      <c r="R824" s="1"/>
      <c r="S824" s="1"/>
      <c r="T824" s="1"/>
      <c r="U824" s="1"/>
      <c r="V824" s="1"/>
      <c r="W824" s="1"/>
      <c r="X824" s="1"/>
      <c r="Y824" s="1"/>
    </row>
    <row r="825" spans="1:25" ht="15.75" customHeight="1" x14ac:dyDescent="0.25">
      <c r="A825" s="1"/>
      <c r="B825" s="1"/>
      <c r="C825" s="15"/>
      <c r="D825" s="17"/>
      <c r="E825" s="1"/>
      <c r="F825" s="17"/>
      <c r="G825" s="1"/>
      <c r="H825" s="1"/>
      <c r="I825" s="17"/>
      <c r="J825" s="17"/>
      <c r="K825" s="1"/>
      <c r="L825" s="1"/>
      <c r="M825" s="1"/>
      <c r="N825" s="1"/>
      <c r="O825" s="1"/>
      <c r="P825" s="1"/>
      <c r="Q825" s="1"/>
      <c r="R825" s="1"/>
      <c r="S825" s="1"/>
      <c r="T825" s="1"/>
      <c r="U825" s="1"/>
      <c r="V825" s="1"/>
      <c r="W825" s="1"/>
      <c r="X825" s="1"/>
      <c r="Y825" s="1"/>
    </row>
    <row r="826" spans="1:25" ht="15.75" customHeight="1" x14ac:dyDescent="0.25">
      <c r="A826" s="1"/>
      <c r="B826" s="1"/>
      <c r="C826" s="15"/>
      <c r="D826" s="17"/>
      <c r="E826" s="1"/>
      <c r="F826" s="17"/>
      <c r="G826" s="1"/>
      <c r="H826" s="1"/>
      <c r="I826" s="17"/>
      <c r="J826" s="17"/>
      <c r="K826" s="1"/>
      <c r="L826" s="1"/>
      <c r="M826" s="1"/>
      <c r="N826" s="1"/>
      <c r="O826" s="1"/>
      <c r="P826" s="1"/>
      <c r="Q826" s="1"/>
      <c r="R826" s="1"/>
      <c r="S826" s="1"/>
      <c r="T826" s="1"/>
      <c r="U826" s="1"/>
      <c r="V826" s="1"/>
      <c r="W826" s="1"/>
      <c r="X826" s="1"/>
      <c r="Y826" s="1"/>
    </row>
    <row r="827" spans="1:25" ht="15.75" customHeight="1" x14ac:dyDescent="0.25">
      <c r="A827" s="1"/>
      <c r="B827" s="1"/>
      <c r="C827" s="15"/>
      <c r="D827" s="17"/>
      <c r="E827" s="1"/>
      <c r="F827" s="17"/>
      <c r="G827" s="1"/>
      <c r="H827" s="1"/>
      <c r="I827" s="17"/>
      <c r="J827" s="17"/>
      <c r="K827" s="1"/>
      <c r="L827" s="1"/>
      <c r="M827" s="1"/>
      <c r="N827" s="1"/>
      <c r="O827" s="1"/>
      <c r="P827" s="1"/>
      <c r="Q827" s="1"/>
      <c r="R827" s="1"/>
      <c r="S827" s="1"/>
      <c r="T827" s="1"/>
      <c r="U827" s="1"/>
      <c r="V827" s="1"/>
      <c r="W827" s="1"/>
      <c r="X827" s="1"/>
      <c r="Y827" s="1"/>
    </row>
    <row r="828" spans="1:25" ht="15.75" customHeight="1" x14ac:dyDescent="0.25">
      <c r="A828" s="1"/>
      <c r="B828" s="1"/>
      <c r="C828" s="15"/>
      <c r="D828" s="17"/>
      <c r="E828" s="1"/>
      <c r="F828" s="17"/>
      <c r="G828" s="1"/>
      <c r="H828" s="1"/>
      <c r="I828" s="17"/>
      <c r="J828" s="17"/>
      <c r="K828" s="1"/>
      <c r="L828" s="1"/>
      <c r="M828" s="1"/>
      <c r="N828" s="1"/>
      <c r="O828" s="1"/>
      <c r="P828" s="1"/>
      <c r="Q828" s="1"/>
      <c r="R828" s="1"/>
      <c r="S828" s="1"/>
      <c r="T828" s="1"/>
      <c r="U828" s="1"/>
      <c r="V828" s="1"/>
      <c r="W828" s="1"/>
      <c r="X828" s="1"/>
      <c r="Y828" s="1"/>
    </row>
    <row r="829" spans="1:25" ht="15.75" customHeight="1" x14ac:dyDescent="0.25">
      <c r="A829" s="1"/>
      <c r="B829" s="1"/>
      <c r="C829" s="15"/>
      <c r="D829" s="17"/>
      <c r="E829" s="1"/>
      <c r="F829" s="17"/>
      <c r="G829" s="1"/>
      <c r="H829" s="1"/>
      <c r="I829" s="17"/>
      <c r="J829" s="17"/>
      <c r="K829" s="1"/>
      <c r="L829" s="1"/>
      <c r="M829" s="1"/>
      <c r="N829" s="1"/>
      <c r="O829" s="1"/>
      <c r="P829" s="1"/>
      <c r="Q829" s="1"/>
      <c r="R829" s="1"/>
      <c r="S829" s="1"/>
      <c r="T829" s="1"/>
      <c r="U829" s="1"/>
      <c r="V829" s="1"/>
      <c r="W829" s="1"/>
      <c r="X829" s="1"/>
      <c r="Y829" s="1"/>
    </row>
    <row r="830" spans="1:25" ht="15.75" customHeight="1" x14ac:dyDescent="0.25">
      <c r="A830" s="1"/>
      <c r="B830" s="1"/>
      <c r="C830" s="15"/>
      <c r="D830" s="17"/>
      <c r="E830" s="1"/>
      <c r="F830" s="17"/>
      <c r="G830" s="1"/>
      <c r="H830" s="1"/>
      <c r="I830" s="17"/>
      <c r="J830" s="17"/>
      <c r="K830" s="1"/>
      <c r="L830" s="1"/>
      <c r="M830" s="1"/>
      <c r="N830" s="1"/>
      <c r="O830" s="1"/>
      <c r="P830" s="1"/>
      <c r="Q830" s="1"/>
      <c r="R830" s="1"/>
      <c r="S830" s="1"/>
      <c r="T830" s="1"/>
      <c r="U830" s="1"/>
      <c r="V830" s="1"/>
      <c r="W830" s="1"/>
      <c r="X830" s="1"/>
      <c r="Y830" s="1"/>
    </row>
    <row r="831" spans="1:25" ht="15.75" customHeight="1" x14ac:dyDescent="0.25">
      <c r="A831" s="1"/>
      <c r="B831" s="1"/>
      <c r="C831" s="15"/>
      <c r="D831" s="17"/>
      <c r="E831" s="1"/>
      <c r="F831" s="17"/>
      <c r="G831" s="1"/>
      <c r="H831" s="1"/>
      <c r="I831" s="17"/>
      <c r="J831" s="17"/>
      <c r="K831" s="1"/>
      <c r="L831" s="1"/>
      <c r="M831" s="1"/>
      <c r="N831" s="1"/>
      <c r="O831" s="1"/>
      <c r="P831" s="1"/>
      <c r="Q831" s="1"/>
      <c r="R831" s="1"/>
      <c r="S831" s="1"/>
      <c r="T831" s="1"/>
      <c r="U831" s="1"/>
      <c r="V831" s="1"/>
      <c r="W831" s="1"/>
      <c r="X831" s="1"/>
      <c r="Y831" s="1"/>
    </row>
    <row r="832" spans="1:25" ht="15.75" customHeight="1" x14ac:dyDescent="0.25">
      <c r="A832" s="1"/>
      <c r="B832" s="1"/>
      <c r="C832" s="15"/>
      <c r="D832" s="17"/>
      <c r="E832" s="1"/>
      <c r="F832" s="17"/>
      <c r="G832" s="1"/>
      <c r="H832" s="1"/>
      <c r="I832" s="17"/>
      <c r="J832" s="17"/>
      <c r="K832" s="1"/>
      <c r="L832" s="1"/>
      <c r="M832" s="1"/>
      <c r="N832" s="1"/>
      <c r="O832" s="1"/>
      <c r="P832" s="1"/>
      <c r="Q832" s="1"/>
      <c r="R832" s="1"/>
      <c r="S832" s="1"/>
      <c r="T832" s="1"/>
      <c r="U832" s="1"/>
      <c r="V832" s="1"/>
      <c r="W832" s="1"/>
      <c r="X832" s="1"/>
      <c r="Y832" s="1"/>
    </row>
    <row r="833" spans="1:25" ht="15.75" customHeight="1" x14ac:dyDescent="0.25">
      <c r="A833" s="1"/>
      <c r="B833" s="1"/>
      <c r="C833" s="15"/>
      <c r="D833" s="17"/>
      <c r="E833" s="1"/>
      <c r="F833" s="17"/>
      <c r="G833" s="1"/>
      <c r="H833" s="1"/>
      <c r="I833" s="17"/>
      <c r="J833" s="17"/>
      <c r="K833" s="1"/>
      <c r="L833" s="1"/>
      <c r="M833" s="1"/>
      <c r="N833" s="1"/>
      <c r="O833" s="1"/>
      <c r="P833" s="1"/>
      <c r="Q833" s="1"/>
      <c r="R833" s="1"/>
      <c r="S833" s="1"/>
      <c r="T833" s="1"/>
      <c r="U833" s="1"/>
      <c r="V833" s="1"/>
      <c r="W833" s="1"/>
      <c r="X833" s="1"/>
      <c r="Y833" s="1"/>
    </row>
    <row r="834" spans="1:25" ht="15.75" customHeight="1" x14ac:dyDescent="0.25">
      <c r="A834" s="1"/>
      <c r="B834" s="1"/>
      <c r="C834" s="15"/>
      <c r="D834" s="17"/>
      <c r="E834" s="1"/>
      <c r="F834" s="17"/>
      <c r="G834" s="1"/>
      <c r="H834" s="1"/>
      <c r="I834" s="17"/>
      <c r="J834" s="17"/>
      <c r="K834" s="1"/>
      <c r="L834" s="1"/>
      <c r="M834" s="1"/>
      <c r="N834" s="1"/>
      <c r="O834" s="1"/>
      <c r="P834" s="1"/>
      <c r="Q834" s="1"/>
      <c r="R834" s="1"/>
      <c r="S834" s="1"/>
      <c r="T834" s="1"/>
      <c r="U834" s="1"/>
      <c r="V834" s="1"/>
      <c r="W834" s="1"/>
      <c r="X834" s="1"/>
      <c r="Y834" s="1"/>
    </row>
    <row r="835" spans="1:25" ht="15.75" customHeight="1" x14ac:dyDescent="0.25">
      <c r="A835" s="1"/>
      <c r="B835" s="1"/>
      <c r="C835" s="15"/>
      <c r="D835" s="17"/>
      <c r="E835" s="1"/>
      <c r="F835" s="17"/>
      <c r="G835" s="1"/>
      <c r="H835" s="1"/>
      <c r="I835" s="17"/>
      <c r="J835" s="17"/>
      <c r="K835" s="1"/>
      <c r="L835" s="1"/>
      <c r="M835" s="1"/>
      <c r="N835" s="1"/>
      <c r="O835" s="1"/>
      <c r="P835" s="1"/>
      <c r="Q835" s="1"/>
      <c r="R835" s="1"/>
      <c r="S835" s="1"/>
      <c r="T835" s="1"/>
      <c r="U835" s="1"/>
      <c r="V835" s="1"/>
      <c r="W835" s="1"/>
      <c r="X835" s="1"/>
      <c r="Y835" s="1"/>
    </row>
    <row r="836" spans="1:25" ht="15.75" customHeight="1" x14ac:dyDescent="0.25">
      <c r="A836" s="1"/>
      <c r="B836" s="1"/>
      <c r="C836" s="15"/>
      <c r="D836" s="17"/>
      <c r="E836" s="1"/>
      <c r="F836" s="17"/>
      <c r="G836" s="1"/>
      <c r="H836" s="1"/>
      <c r="I836" s="17"/>
      <c r="J836" s="17"/>
      <c r="K836" s="1"/>
      <c r="L836" s="1"/>
      <c r="M836" s="1"/>
      <c r="N836" s="1"/>
      <c r="O836" s="1"/>
      <c r="P836" s="1"/>
      <c r="Q836" s="1"/>
      <c r="R836" s="1"/>
      <c r="S836" s="1"/>
      <c r="T836" s="1"/>
      <c r="U836" s="1"/>
      <c r="V836" s="1"/>
      <c r="W836" s="1"/>
      <c r="X836" s="1"/>
      <c r="Y836" s="1"/>
    </row>
    <row r="837" spans="1:25" ht="15.75" customHeight="1" x14ac:dyDescent="0.25">
      <c r="A837" s="1"/>
      <c r="B837" s="1"/>
      <c r="C837" s="15"/>
      <c r="D837" s="17"/>
      <c r="E837" s="1"/>
      <c r="F837" s="17"/>
      <c r="G837" s="1"/>
      <c r="H837" s="1"/>
      <c r="I837" s="17"/>
      <c r="J837" s="17"/>
      <c r="K837" s="1"/>
      <c r="L837" s="1"/>
      <c r="M837" s="1"/>
      <c r="N837" s="1"/>
      <c r="O837" s="1"/>
      <c r="P837" s="1"/>
      <c r="Q837" s="1"/>
      <c r="R837" s="1"/>
      <c r="S837" s="1"/>
      <c r="T837" s="1"/>
      <c r="U837" s="1"/>
      <c r="V837" s="1"/>
      <c r="W837" s="1"/>
      <c r="X837" s="1"/>
      <c r="Y837" s="1"/>
    </row>
    <row r="838" spans="1:25" ht="15.75" customHeight="1" x14ac:dyDescent="0.25">
      <c r="A838" s="1"/>
      <c r="B838" s="1"/>
      <c r="C838" s="15"/>
      <c r="D838" s="17"/>
      <c r="E838" s="1"/>
      <c r="F838" s="17"/>
      <c r="G838" s="1"/>
      <c r="H838" s="1"/>
      <c r="I838" s="17"/>
      <c r="J838" s="17"/>
      <c r="K838" s="1"/>
      <c r="L838" s="1"/>
      <c r="M838" s="1"/>
      <c r="N838" s="1"/>
      <c r="O838" s="1"/>
      <c r="P838" s="1"/>
      <c r="Q838" s="1"/>
      <c r="R838" s="1"/>
      <c r="S838" s="1"/>
      <c r="T838" s="1"/>
      <c r="U838" s="1"/>
      <c r="V838" s="1"/>
      <c r="W838" s="1"/>
      <c r="X838" s="1"/>
      <c r="Y838" s="1"/>
    </row>
    <row r="839" spans="1:25" ht="15.75" customHeight="1" x14ac:dyDescent="0.25">
      <c r="A839" s="1"/>
      <c r="B839" s="1"/>
      <c r="C839" s="15"/>
      <c r="D839" s="17"/>
      <c r="E839" s="1"/>
      <c r="F839" s="17"/>
      <c r="G839" s="1"/>
      <c r="H839" s="1"/>
      <c r="I839" s="17"/>
      <c r="J839" s="17"/>
      <c r="K839" s="1"/>
      <c r="L839" s="1"/>
      <c r="M839" s="1"/>
      <c r="N839" s="1"/>
      <c r="O839" s="1"/>
      <c r="P839" s="1"/>
      <c r="Q839" s="1"/>
      <c r="R839" s="1"/>
      <c r="S839" s="1"/>
      <c r="T839" s="1"/>
      <c r="U839" s="1"/>
      <c r="V839" s="1"/>
      <c r="W839" s="1"/>
      <c r="X839" s="1"/>
      <c r="Y839" s="1"/>
    </row>
    <row r="840" spans="1:25" ht="15.75" customHeight="1" x14ac:dyDescent="0.25">
      <c r="A840" s="1"/>
      <c r="B840" s="1"/>
      <c r="C840" s="15"/>
      <c r="D840" s="17"/>
      <c r="E840" s="1"/>
      <c r="F840" s="17"/>
      <c r="G840" s="1"/>
      <c r="H840" s="1"/>
      <c r="I840" s="17"/>
      <c r="J840" s="17"/>
      <c r="K840" s="1"/>
      <c r="L840" s="1"/>
      <c r="M840" s="1"/>
      <c r="N840" s="1"/>
      <c r="O840" s="1"/>
      <c r="P840" s="1"/>
      <c r="Q840" s="1"/>
      <c r="R840" s="1"/>
      <c r="S840" s="1"/>
      <c r="T840" s="1"/>
      <c r="U840" s="1"/>
      <c r="V840" s="1"/>
      <c r="W840" s="1"/>
      <c r="X840" s="1"/>
      <c r="Y840" s="1"/>
    </row>
    <row r="841" spans="1:25" ht="15.75" customHeight="1" x14ac:dyDescent="0.25">
      <c r="A841" s="1"/>
      <c r="B841" s="1"/>
      <c r="C841" s="15"/>
      <c r="D841" s="17"/>
      <c r="E841" s="1"/>
      <c r="F841" s="17"/>
      <c r="G841" s="1"/>
      <c r="H841" s="1"/>
      <c r="I841" s="17"/>
      <c r="J841" s="17"/>
      <c r="K841" s="1"/>
      <c r="L841" s="1"/>
      <c r="M841" s="1"/>
      <c r="N841" s="1"/>
      <c r="O841" s="1"/>
      <c r="P841" s="1"/>
      <c r="Q841" s="1"/>
      <c r="R841" s="1"/>
      <c r="S841" s="1"/>
      <c r="T841" s="1"/>
      <c r="U841" s="1"/>
      <c r="V841" s="1"/>
      <c r="W841" s="1"/>
      <c r="X841" s="1"/>
      <c r="Y841" s="1"/>
    </row>
    <row r="842" spans="1:25" ht="15.75" customHeight="1" x14ac:dyDescent="0.25">
      <c r="A842" s="1"/>
      <c r="B842" s="1"/>
      <c r="C842" s="15"/>
      <c r="D842" s="17"/>
      <c r="E842" s="1"/>
      <c r="F842" s="17"/>
      <c r="G842" s="1"/>
      <c r="H842" s="1"/>
      <c r="I842" s="17"/>
      <c r="J842" s="17"/>
      <c r="K842" s="1"/>
      <c r="L842" s="1"/>
      <c r="M842" s="1"/>
      <c r="N842" s="1"/>
      <c r="O842" s="1"/>
      <c r="P842" s="1"/>
      <c r="Q842" s="1"/>
      <c r="R842" s="1"/>
      <c r="S842" s="1"/>
      <c r="T842" s="1"/>
      <c r="U842" s="1"/>
      <c r="V842" s="1"/>
      <c r="W842" s="1"/>
      <c r="X842" s="1"/>
      <c r="Y842" s="1"/>
    </row>
    <row r="843" spans="1:25" ht="15.75" customHeight="1" x14ac:dyDescent="0.25">
      <c r="A843" s="1"/>
      <c r="B843" s="1"/>
      <c r="C843" s="15"/>
      <c r="D843" s="17"/>
      <c r="E843" s="1"/>
      <c r="F843" s="17"/>
      <c r="G843" s="1"/>
      <c r="H843" s="1"/>
      <c r="I843" s="17"/>
      <c r="J843" s="17"/>
      <c r="K843" s="1"/>
      <c r="L843" s="1"/>
      <c r="M843" s="1"/>
      <c r="N843" s="1"/>
      <c r="O843" s="1"/>
      <c r="P843" s="1"/>
      <c r="Q843" s="1"/>
      <c r="R843" s="1"/>
      <c r="S843" s="1"/>
      <c r="T843" s="1"/>
      <c r="U843" s="1"/>
      <c r="V843" s="1"/>
      <c r="W843" s="1"/>
      <c r="X843" s="1"/>
      <c r="Y843" s="1"/>
    </row>
    <row r="844" spans="1:25" ht="15.75" customHeight="1" x14ac:dyDescent="0.25">
      <c r="A844" s="1"/>
      <c r="B844" s="1"/>
      <c r="C844" s="15"/>
      <c r="D844" s="17"/>
      <c r="E844" s="1"/>
      <c r="F844" s="17"/>
      <c r="G844" s="1"/>
      <c r="H844" s="1"/>
      <c r="I844" s="17"/>
      <c r="J844" s="17"/>
      <c r="K844" s="1"/>
      <c r="L844" s="1"/>
      <c r="M844" s="1"/>
      <c r="N844" s="1"/>
      <c r="O844" s="1"/>
      <c r="P844" s="1"/>
      <c r="Q844" s="1"/>
      <c r="R844" s="1"/>
      <c r="S844" s="1"/>
      <c r="T844" s="1"/>
      <c r="U844" s="1"/>
      <c r="V844" s="1"/>
      <c r="W844" s="1"/>
      <c r="X844" s="1"/>
      <c r="Y844" s="1"/>
    </row>
    <row r="845" spans="1:25" ht="15.75" customHeight="1" x14ac:dyDescent="0.25">
      <c r="A845" s="1"/>
      <c r="B845" s="1"/>
      <c r="C845" s="15"/>
      <c r="D845" s="17"/>
      <c r="E845" s="1"/>
      <c r="F845" s="17"/>
      <c r="G845" s="1"/>
      <c r="H845" s="1"/>
      <c r="I845" s="17"/>
      <c r="J845" s="17"/>
      <c r="K845" s="1"/>
      <c r="L845" s="1"/>
      <c r="M845" s="1"/>
      <c r="N845" s="1"/>
      <c r="O845" s="1"/>
      <c r="P845" s="1"/>
      <c r="Q845" s="1"/>
      <c r="R845" s="1"/>
      <c r="S845" s="1"/>
      <c r="T845" s="1"/>
      <c r="U845" s="1"/>
      <c r="V845" s="1"/>
      <c r="W845" s="1"/>
      <c r="X845" s="1"/>
      <c r="Y845" s="1"/>
    </row>
    <row r="846" spans="1:25" ht="15.75" customHeight="1" x14ac:dyDescent="0.25">
      <c r="A846" s="1"/>
      <c r="B846" s="1"/>
      <c r="C846" s="15"/>
      <c r="D846" s="17"/>
      <c r="E846" s="1"/>
      <c r="F846" s="17"/>
      <c r="G846" s="1"/>
      <c r="H846" s="1"/>
      <c r="I846" s="17"/>
      <c r="J846" s="17"/>
      <c r="K846" s="1"/>
      <c r="L846" s="1"/>
      <c r="M846" s="1"/>
      <c r="N846" s="1"/>
      <c r="O846" s="1"/>
      <c r="P846" s="1"/>
      <c r="Q846" s="1"/>
      <c r="R846" s="1"/>
      <c r="S846" s="1"/>
      <c r="T846" s="1"/>
      <c r="U846" s="1"/>
      <c r="V846" s="1"/>
      <c r="W846" s="1"/>
      <c r="X846" s="1"/>
      <c r="Y846" s="1"/>
    </row>
    <row r="847" spans="1:25" ht="15.75" customHeight="1" x14ac:dyDescent="0.25">
      <c r="A847" s="1"/>
      <c r="B847" s="1"/>
      <c r="C847" s="15"/>
      <c r="D847" s="17"/>
      <c r="E847" s="1"/>
      <c r="F847" s="17"/>
      <c r="G847" s="1"/>
      <c r="H847" s="1"/>
      <c r="I847" s="17"/>
      <c r="J847" s="17"/>
      <c r="K847" s="1"/>
      <c r="L847" s="1"/>
      <c r="M847" s="1"/>
      <c r="N847" s="1"/>
      <c r="O847" s="1"/>
      <c r="P847" s="1"/>
      <c r="Q847" s="1"/>
      <c r="R847" s="1"/>
      <c r="S847" s="1"/>
      <c r="T847" s="1"/>
      <c r="U847" s="1"/>
      <c r="V847" s="1"/>
      <c r="W847" s="1"/>
      <c r="X847" s="1"/>
      <c r="Y847" s="1"/>
    </row>
    <row r="848" spans="1:25" ht="15.75" customHeight="1" x14ac:dyDescent="0.25">
      <c r="A848" s="1"/>
      <c r="B848" s="1"/>
      <c r="C848" s="15"/>
      <c r="D848" s="17"/>
      <c r="E848" s="1"/>
      <c r="F848" s="17"/>
      <c r="G848" s="1"/>
      <c r="H848" s="1"/>
      <c r="I848" s="17"/>
      <c r="J848" s="17"/>
      <c r="K848" s="1"/>
      <c r="L848" s="1"/>
      <c r="M848" s="1"/>
      <c r="N848" s="1"/>
      <c r="O848" s="1"/>
      <c r="P848" s="1"/>
      <c r="Q848" s="1"/>
      <c r="R848" s="1"/>
      <c r="S848" s="1"/>
      <c r="T848" s="1"/>
      <c r="U848" s="1"/>
      <c r="V848" s="1"/>
      <c r="W848" s="1"/>
      <c r="X848" s="1"/>
      <c r="Y848" s="1"/>
    </row>
    <row r="849" spans="1:25" ht="15.75" customHeight="1" x14ac:dyDescent="0.25">
      <c r="A849" s="1"/>
      <c r="B849" s="1"/>
      <c r="C849" s="15"/>
      <c r="D849" s="17"/>
      <c r="E849" s="1"/>
      <c r="F849" s="17"/>
      <c r="G849" s="1"/>
      <c r="H849" s="1"/>
      <c r="I849" s="17"/>
      <c r="J849" s="17"/>
      <c r="K849" s="1"/>
      <c r="L849" s="1"/>
      <c r="M849" s="1"/>
      <c r="N849" s="1"/>
      <c r="O849" s="1"/>
      <c r="P849" s="1"/>
      <c r="Q849" s="1"/>
      <c r="R849" s="1"/>
      <c r="S849" s="1"/>
      <c r="T849" s="1"/>
      <c r="U849" s="1"/>
      <c r="V849" s="1"/>
      <c r="W849" s="1"/>
      <c r="X849" s="1"/>
      <c r="Y849" s="1"/>
    </row>
    <row r="850" spans="1:25" ht="15.75" customHeight="1" x14ac:dyDescent="0.25">
      <c r="A850" s="1"/>
      <c r="B850" s="1"/>
      <c r="C850" s="15"/>
      <c r="D850" s="17"/>
      <c r="E850" s="1"/>
      <c r="F850" s="17"/>
      <c r="G850" s="1"/>
      <c r="H850" s="1"/>
      <c r="I850" s="17"/>
      <c r="J850" s="17"/>
      <c r="K850" s="1"/>
      <c r="L850" s="1"/>
      <c r="M850" s="1"/>
      <c r="N850" s="1"/>
      <c r="O850" s="1"/>
      <c r="P850" s="1"/>
      <c r="Q850" s="1"/>
      <c r="R850" s="1"/>
      <c r="S850" s="1"/>
      <c r="T850" s="1"/>
      <c r="U850" s="1"/>
      <c r="V850" s="1"/>
      <c r="W850" s="1"/>
      <c r="X850" s="1"/>
      <c r="Y850" s="1"/>
    </row>
    <row r="851" spans="1:25" ht="15.75" customHeight="1" x14ac:dyDescent="0.25">
      <c r="A851" s="1"/>
      <c r="B851" s="1"/>
      <c r="C851" s="15"/>
      <c r="D851" s="17"/>
      <c r="E851" s="1"/>
      <c r="F851" s="17"/>
      <c r="G851" s="1"/>
      <c r="H851" s="1"/>
      <c r="I851" s="17"/>
      <c r="J851" s="17"/>
      <c r="K851" s="1"/>
      <c r="L851" s="1"/>
      <c r="M851" s="1"/>
      <c r="N851" s="1"/>
      <c r="O851" s="1"/>
      <c r="P851" s="1"/>
      <c r="Q851" s="1"/>
      <c r="R851" s="1"/>
      <c r="S851" s="1"/>
      <c r="T851" s="1"/>
      <c r="U851" s="1"/>
      <c r="V851" s="1"/>
      <c r="W851" s="1"/>
      <c r="X851" s="1"/>
      <c r="Y851" s="1"/>
    </row>
    <row r="852" spans="1:25" ht="15.75" customHeight="1" x14ac:dyDescent="0.25">
      <c r="A852" s="1"/>
      <c r="B852" s="1"/>
      <c r="C852" s="15"/>
      <c r="D852" s="17"/>
      <c r="E852" s="1"/>
      <c r="F852" s="17"/>
      <c r="G852" s="1"/>
      <c r="H852" s="1"/>
      <c r="I852" s="17"/>
      <c r="J852" s="17"/>
      <c r="K852" s="1"/>
      <c r="L852" s="1"/>
      <c r="M852" s="1"/>
      <c r="N852" s="1"/>
      <c r="O852" s="1"/>
      <c r="P852" s="1"/>
      <c r="Q852" s="1"/>
      <c r="R852" s="1"/>
      <c r="S852" s="1"/>
      <c r="T852" s="1"/>
      <c r="U852" s="1"/>
      <c r="V852" s="1"/>
      <c r="W852" s="1"/>
      <c r="X852" s="1"/>
      <c r="Y852" s="1"/>
    </row>
    <row r="853" spans="1:25" ht="15.75" customHeight="1" x14ac:dyDescent="0.25">
      <c r="A853" s="1"/>
      <c r="B853" s="1"/>
      <c r="C853" s="15"/>
      <c r="D853" s="17"/>
      <c r="E853" s="1"/>
      <c r="F853" s="17"/>
      <c r="G853" s="1"/>
      <c r="H853" s="1"/>
      <c r="I853" s="17"/>
      <c r="J853" s="17"/>
      <c r="K853" s="1"/>
      <c r="L853" s="1"/>
      <c r="M853" s="1"/>
      <c r="N853" s="1"/>
      <c r="O853" s="1"/>
      <c r="P853" s="1"/>
      <c r="Q853" s="1"/>
      <c r="R853" s="1"/>
      <c r="S853" s="1"/>
      <c r="T853" s="1"/>
      <c r="U853" s="1"/>
      <c r="V853" s="1"/>
      <c r="W853" s="1"/>
      <c r="X853" s="1"/>
      <c r="Y853" s="1"/>
    </row>
    <row r="854" spans="1:25" ht="15.75" customHeight="1" x14ac:dyDescent="0.25">
      <c r="A854" s="1"/>
      <c r="B854" s="1"/>
      <c r="C854" s="15"/>
      <c r="D854" s="17"/>
      <c r="E854" s="1"/>
      <c r="F854" s="17"/>
      <c r="G854" s="1"/>
      <c r="H854" s="1"/>
      <c r="I854" s="17"/>
      <c r="J854" s="17"/>
      <c r="K854" s="1"/>
      <c r="L854" s="1"/>
      <c r="M854" s="1"/>
      <c r="N854" s="1"/>
      <c r="O854" s="1"/>
      <c r="P854" s="1"/>
      <c r="Q854" s="1"/>
      <c r="R854" s="1"/>
      <c r="S854" s="1"/>
      <c r="T854" s="1"/>
      <c r="U854" s="1"/>
      <c r="V854" s="1"/>
      <c r="W854" s="1"/>
      <c r="X854" s="1"/>
      <c r="Y854" s="1"/>
    </row>
    <row r="855" spans="1:25" ht="15.75" customHeight="1" x14ac:dyDescent="0.25">
      <c r="A855" s="1"/>
      <c r="B855" s="1"/>
      <c r="C855" s="15"/>
      <c r="D855" s="17"/>
      <c r="E855" s="1"/>
      <c r="F855" s="17"/>
      <c r="G855" s="1"/>
      <c r="H855" s="1"/>
      <c r="I855" s="17"/>
      <c r="J855" s="17"/>
      <c r="K855" s="1"/>
      <c r="L855" s="1"/>
      <c r="M855" s="1"/>
      <c r="N855" s="1"/>
      <c r="O855" s="1"/>
      <c r="P855" s="1"/>
      <c r="Q855" s="1"/>
      <c r="R855" s="1"/>
      <c r="S855" s="1"/>
      <c r="T855" s="1"/>
      <c r="U855" s="1"/>
      <c r="V855" s="1"/>
      <c r="W855" s="1"/>
      <c r="X855" s="1"/>
      <c r="Y855" s="1"/>
    </row>
    <row r="856" spans="1:25" ht="15.75" customHeight="1" x14ac:dyDescent="0.25">
      <c r="A856" s="1"/>
      <c r="B856" s="1"/>
      <c r="C856" s="15"/>
      <c r="D856" s="17"/>
      <c r="E856" s="1"/>
      <c r="F856" s="17"/>
      <c r="G856" s="1"/>
      <c r="H856" s="1"/>
      <c r="I856" s="17"/>
      <c r="J856" s="17"/>
      <c r="K856" s="1"/>
      <c r="L856" s="1"/>
      <c r="M856" s="1"/>
      <c r="N856" s="1"/>
      <c r="O856" s="1"/>
      <c r="P856" s="1"/>
      <c r="Q856" s="1"/>
      <c r="R856" s="1"/>
      <c r="S856" s="1"/>
      <c r="T856" s="1"/>
      <c r="U856" s="1"/>
      <c r="V856" s="1"/>
      <c r="W856" s="1"/>
      <c r="X856" s="1"/>
      <c r="Y856" s="1"/>
    </row>
    <row r="857" spans="1:25" ht="15.75" customHeight="1" x14ac:dyDescent="0.25">
      <c r="A857" s="1"/>
      <c r="B857" s="1"/>
      <c r="C857" s="15"/>
      <c r="D857" s="17"/>
      <c r="E857" s="1"/>
      <c r="F857" s="17"/>
      <c r="G857" s="1"/>
      <c r="H857" s="1"/>
      <c r="I857" s="17"/>
      <c r="J857" s="17"/>
      <c r="K857" s="1"/>
      <c r="L857" s="1"/>
      <c r="M857" s="1"/>
      <c r="N857" s="1"/>
      <c r="O857" s="1"/>
      <c r="P857" s="1"/>
      <c r="Q857" s="1"/>
      <c r="R857" s="1"/>
      <c r="S857" s="1"/>
      <c r="T857" s="1"/>
      <c r="U857" s="1"/>
      <c r="V857" s="1"/>
      <c r="W857" s="1"/>
      <c r="X857" s="1"/>
      <c r="Y857" s="1"/>
    </row>
    <row r="858" spans="1:25" ht="15.75" customHeight="1" x14ac:dyDescent="0.25">
      <c r="A858" s="1"/>
      <c r="B858" s="1"/>
      <c r="C858" s="15"/>
      <c r="D858" s="17"/>
      <c r="E858" s="1"/>
      <c r="F858" s="17"/>
      <c r="G858" s="1"/>
      <c r="H858" s="1"/>
      <c r="I858" s="17"/>
      <c r="J858" s="17"/>
      <c r="K858" s="1"/>
      <c r="L858" s="1"/>
      <c r="M858" s="1"/>
      <c r="N858" s="1"/>
      <c r="O858" s="1"/>
      <c r="P858" s="1"/>
      <c r="Q858" s="1"/>
      <c r="R858" s="1"/>
      <c r="S858" s="1"/>
      <c r="T858" s="1"/>
      <c r="U858" s="1"/>
      <c r="V858" s="1"/>
      <c r="W858" s="1"/>
      <c r="X858" s="1"/>
      <c r="Y858" s="1"/>
    </row>
    <row r="859" spans="1:25" ht="15.75" customHeight="1" x14ac:dyDescent="0.25">
      <c r="A859" s="1"/>
      <c r="B859" s="1"/>
      <c r="C859" s="15"/>
      <c r="D859" s="17"/>
      <c r="E859" s="1"/>
      <c r="F859" s="17"/>
      <c r="G859" s="1"/>
      <c r="H859" s="1"/>
      <c r="I859" s="17"/>
      <c r="J859" s="17"/>
      <c r="K859" s="1"/>
      <c r="L859" s="1"/>
      <c r="M859" s="1"/>
      <c r="N859" s="1"/>
      <c r="O859" s="1"/>
      <c r="P859" s="1"/>
      <c r="Q859" s="1"/>
      <c r="R859" s="1"/>
      <c r="S859" s="1"/>
      <c r="T859" s="1"/>
      <c r="U859" s="1"/>
      <c r="V859" s="1"/>
      <c r="W859" s="1"/>
      <c r="X859" s="1"/>
      <c r="Y859" s="1"/>
    </row>
    <row r="860" spans="1:25" ht="15.75" customHeight="1" x14ac:dyDescent="0.25">
      <c r="A860" s="1"/>
      <c r="B860" s="1"/>
      <c r="C860" s="15"/>
      <c r="D860" s="17"/>
      <c r="E860" s="1"/>
      <c r="F860" s="17"/>
      <c r="G860" s="1"/>
      <c r="H860" s="1"/>
      <c r="I860" s="17"/>
      <c r="J860" s="17"/>
      <c r="K860" s="1"/>
      <c r="L860" s="1"/>
      <c r="M860" s="1"/>
      <c r="N860" s="1"/>
      <c r="O860" s="1"/>
      <c r="P860" s="1"/>
      <c r="Q860" s="1"/>
      <c r="R860" s="1"/>
      <c r="S860" s="1"/>
      <c r="T860" s="1"/>
      <c r="U860" s="1"/>
      <c r="V860" s="1"/>
      <c r="W860" s="1"/>
      <c r="X860" s="1"/>
      <c r="Y860" s="1"/>
    </row>
    <row r="861" spans="1:25" ht="15.75" customHeight="1" x14ac:dyDescent="0.25">
      <c r="A861" s="1"/>
      <c r="B861" s="1"/>
      <c r="C861" s="15"/>
      <c r="D861" s="17"/>
      <c r="E861" s="1"/>
      <c r="F861" s="17"/>
      <c r="G861" s="1"/>
      <c r="H861" s="1"/>
      <c r="I861" s="17"/>
      <c r="J861" s="17"/>
      <c r="K861" s="1"/>
      <c r="L861" s="1"/>
      <c r="M861" s="1"/>
      <c r="N861" s="1"/>
      <c r="O861" s="1"/>
      <c r="P861" s="1"/>
      <c r="Q861" s="1"/>
      <c r="R861" s="1"/>
      <c r="S861" s="1"/>
      <c r="T861" s="1"/>
      <c r="U861" s="1"/>
      <c r="V861" s="1"/>
      <c r="W861" s="1"/>
      <c r="X861" s="1"/>
      <c r="Y861" s="1"/>
    </row>
    <row r="862" spans="1:25" ht="15.75" customHeight="1" x14ac:dyDescent="0.25">
      <c r="A862" s="1"/>
      <c r="B862" s="1"/>
      <c r="C862" s="15"/>
      <c r="D862" s="17"/>
      <c r="E862" s="1"/>
      <c r="F862" s="17"/>
      <c r="G862" s="1"/>
      <c r="H862" s="1"/>
      <c r="I862" s="17"/>
      <c r="J862" s="17"/>
      <c r="K862" s="1"/>
      <c r="L862" s="1"/>
      <c r="M862" s="1"/>
      <c r="N862" s="1"/>
      <c r="O862" s="1"/>
      <c r="P862" s="1"/>
      <c r="Q862" s="1"/>
      <c r="R862" s="1"/>
      <c r="S862" s="1"/>
      <c r="T862" s="1"/>
      <c r="U862" s="1"/>
      <c r="V862" s="1"/>
      <c r="W862" s="1"/>
      <c r="X862" s="1"/>
      <c r="Y862" s="1"/>
    </row>
    <row r="863" spans="1:25" ht="15.75" customHeight="1" x14ac:dyDescent="0.25">
      <c r="A863" s="1"/>
      <c r="B863" s="1"/>
      <c r="C863" s="15"/>
      <c r="D863" s="17"/>
      <c r="E863" s="1"/>
      <c r="F863" s="17"/>
      <c r="G863" s="1"/>
      <c r="H863" s="1"/>
      <c r="I863" s="17"/>
      <c r="J863" s="17"/>
      <c r="K863" s="1"/>
      <c r="L863" s="1"/>
      <c r="M863" s="1"/>
      <c r="N863" s="1"/>
      <c r="O863" s="1"/>
      <c r="P863" s="1"/>
      <c r="Q863" s="1"/>
      <c r="R863" s="1"/>
      <c r="S863" s="1"/>
      <c r="T863" s="1"/>
      <c r="U863" s="1"/>
      <c r="V863" s="1"/>
      <c r="W863" s="1"/>
      <c r="X863" s="1"/>
      <c r="Y863" s="1"/>
    </row>
    <row r="864" spans="1:25" ht="15.75" customHeight="1" x14ac:dyDescent="0.25">
      <c r="A864" s="1"/>
      <c r="B864" s="1"/>
      <c r="C864" s="15"/>
      <c r="D864" s="17"/>
      <c r="E864" s="1"/>
      <c r="F864" s="17"/>
      <c r="G864" s="1"/>
      <c r="H864" s="1"/>
      <c r="I864" s="17"/>
      <c r="J864" s="17"/>
      <c r="K864" s="1"/>
      <c r="L864" s="1"/>
      <c r="M864" s="1"/>
      <c r="N864" s="1"/>
      <c r="O864" s="1"/>
      <c r="P864" s="1"/>
      <c r="Q864" s="1"/>
      <c r="R864" s="1"/>
      <c r="S864" s="1"/>
      <c r="T864" s="1"/>
      <c r="U864" s="1"/>
      <c r="V864" s="1"/>
      <c r="W864" s="1"/>
      <c r="X864" s="1"/>
      <c r="Y864" s="1"/>
    </row>
    <row r="865" spans="1:25" ht="15.75" customHeight="1" x14ac:dyDescent="0.25">
      <c r="A865" s="1"/>
      <c r="B865" s="1"/>
      <c r="C865" s="15"/>
      <c r="D865" s="17"/>
      <c r="E865" s="1"/>
      <c r="F865" s="17"/>
      <c r="G865" s="1"/>
      <c r="H865" s="1"/>
      <c r="I865" s="17"/>
      <c r="J865" s="17"/>
      <c r="K865" s="1"/>
      <c r="L865" s="1"/>
      <c r="M865" s="1"/>
      <c r="N865" s="1"/>
      <c r="O865" s="1"/>
      <c r="P865" s="1"/>
      <c r="Q865" s="1"/>
      <c r="R865" s="1"/>
      <c r="S865" s="1"/>
      <c r="T865" s="1"/>
      <c r="U865" s="1"/>
      <c r="V865" s="1"/>
      <c r="W865" s="1"/>
      <c r="X865" s="1"/>
      <c r="Y865" s="1"/>
    </row>
    <row r="866" spans="1:25" ht="15.75" customHeight="1" x14ac:dyDescent="0.25">
      <c r="A866" s="1"/>
      <c r="B866" s="1"/>
      <c r="C866" s="15"/>
      <c r="D866" s="17"/>
      <c r="E866" s="1"/>
      <c r="F866" s="17"/>
      <c r="G866" s="1"/>
      <c r="H866" s="1"/>
      <c r="I866" s="17"/>
      <c r="J866" s="17"/>
      <c r="K866" s="1"/>
      <c r="L866" s="1"/>
      <c r="M866" s="1"/>
      <c r="N866" s="1"/>
      <c r="O866" s="1"/>
      <c r="P866" s="1"/>
      <c r="Q866" s="1"/>
      <c r="R866" s="1"/>
      <c r="S866" s="1"/>
      <c r="T866" s="1"/>
      <c r="U866" s="1"/>
      <c r="V866" s="1"/>
      <c r="W866" s="1"/>
      <c r="X866" s="1"/>
      <c r="Y866" s="1"/>
    </row>
    <row r="867" spans="1:25" ht="15.75" customHeight="1" x14ac:dyDescent="0.25">
      <c r="A867" s="1"/>
      <c r="B867" s="1"/>
      <c r="C867" s="15"/>
      <c r="D867" s="17"/>
      <c r="E867" s="1"/>
      <c r="F867" s="17"/>
      <c r="G867" s="1"/>
      <c r="H867" s="1"/>
      <c r="I867" s="17"/>
      <c r="J867" s="17"/>
      <c r="K867" s="1"/>
      <c r="L867" s="1"/>
      <c r="M867" s="1"/>
      <c r="N867" s="1"/>
      <c r="O867" s="1"/>
      <c r="P867" s="1"/>
      <c r="Q867" s="1"/>
      <c r="R867" s="1"/>
      <c r="S867" s="1"/>
      <c r="T867" s="1"/>
      <c r="U867" s="1"/>
      <c r="V867" s="1"/>
      <c r="W867" s="1"/>
      <c r="X867" s="1"/>
      <c r="Y867" s="1"/>
    </row>
    <row r="868" spans="1:25" ht="15.75" customHeight="1" x14ac:dyDescent="0.25">
      <c r="A868" s="1"/>
      <c r="B868" s="1"/>
      <c r="C868" s="15"/>
      <c r="D868" s="17"/>
      <c r="E868" s="1"/>
      <c r="F868" s="17"/>
      <c r="G868" s="1"/>
      <c r="H868" s="1"/>
      <c r="I868" s="17"/>
      <c r="J868" s="17"/>
      <c r="K868" s="1"/>
      <c r="L868" s="1"/>
      <c r="M868" s="1"/>
      <c r="N868" s="1"/>
      <c r="O868" s="1"/>
      <c r="P868" s="1"/>
      <c r="Q868" s="1"/>
      <c r="R868" s="1"/>
      <c r="S868" s="1"/>
      <c r="T868" s="1"/>
      <c r="U868" s="1"/>
      <c r="V868" s="1"/>
      <c r="W868" s="1"/>
      <c r="X868" s="1"/>
      <c r="Y868" s="1"/>
    </row>
    <row r="869" spans="1:25" ht="15.75" customHeight="1" x14ac:dyDescent="0.25">
      <c r="A869" s="1"/>
      <c r="B869" s="1"/>
      <c r="C869" s="15"/>
      <c r="D869" s="17"/>
      <c r="E869" s="1"/>
      <c r="F869" s="17"/>
      <c r="G869" s="1"/>
      <c r="H869" s="1"/>
      <c r="I869" s="17"/>
      <c r="J869" s="17"/>
      <c r="K869" s="1"/>
      <c r="L869" s="1"/>
      <c r="M869" s="1"/>
      <c r="N869" s="1"/>
      <c r="O869" s="1"/>
      <c r="P869" s="1"/>
      <c r="Q869" s="1"/>
      <c r="R869" s="1"/>
      <c r="S869" s="1"/>
      <c r="T869" s="1"/>
      <c r="U869" s="1"/>
      <c r="V869" s="1"/>
      <c r="W869" s="1"/>
      <c r="X869" s="1"/>
      <c r="Y869" s="1"/>
    </row>
    <row r="870" spans="1:25" ht="15.75" customHeight="1" x14ac:dyDescent="0.25">
      <c r="A870" s="1"/>
      <c r="B870" s="1"/>
      <c r="C870" s="15"/>
      <c r="D870" s="17"/>
      <c r="E870" s="1"/>
      <c r="F870" s="17"/>
      <c r="G870" s="1"/>
      <c r="H870" s="1"/>
      <c r="I870" s="17"/>
      <c r="J870" s="17"/>
      <c r="K870" s="1"/>
      <c r="L870" s="1"/>
      <c r="M870" s="1"/>
      <c r="N870" s="1"/>
      <c r="O870" s="1"/>
      <c r="P870" s="1"/>
      <c r="Q870" s="1"/>
      <c r="R870" s="1"/>
      <c r="S870" s="1"/>
      <c r="T870" s="1"/>
      <c r="U870" s="1"/>
      <c r="V870" s="1"/>
      <c r="W870" s="1"/>
      <c r="X870" s="1"/>
      <c r="Y870" s="1"/>
    </row>
    <row r="871" spans="1:25" ht="15.75" customHeight="1" x14ac:dyDescent="0.25">
      <c r="A871" s="1"/>
      <c r="B871" s="1"/>
      <c r="C871" s="15"/>
      <c r="D871" s="17"/>
      <c r="E871" s="1"/>
      <c r="F871" s="17"/>
      <c r="G871" s="1"/>
      <c r="H871" s="1"/>
      <c r="I871" s="17"/>
      <c r="J871" s="17"/>
      <c r="K871" s="1"/>
      <c r="L871" s="1"/>
      <c r="M871" s="1"/>
      <c r="N871" s="1"/>
      <c r="O871" s="1"/>
      <c r="P871" s="1"/>
      <c r="Q871" s="1"/>
      <c r="R871" s="1"/>
      <c r="S871" s="1"/>
      <c r="T871" s="1"/>
      <c r="U871" s="1"/>
      <c r="V871" s="1"/>
      <c r="W871" s="1"/>
      <c r="X871" s="1"/>
      <c r="Y871" s="1"/>
    </row>
    <row r="872" spans="1:25" ht="15.75" customHeight="1" x14ac:dyDescent="0.25">
      <c r="A872" s="1"/>
      <c r="B872" s="1"/>
      <c r="C872" s="15"/>
      <c r="D872" s="17"/>
      <c r="E872" s="1"/>
      <c r="F872" s="17"/>
      <c r="G872" s="1"/>
      <c r="H872" s="1"/>
      <c r="I872" s="17"/>
      <c r="J872" s="17"/>
      <c r="K872" s="1"/>
      <c r="L872" s="1"/>
      <c r="M872" s="1"/>
      <c r="N872" s="1"/>
      <c r="O872" s="1"/>
      <c r="P872" s="1"/>
      <c r="Q872" s="1"/>
      <c r="R872" s="1"/>
      <c r="S872" s="1"/>
      <c r="T872" s="1"/>
      <c r="U872" s="1"/>
      <c r="V872" s="1"/>
      <c r="W872" s="1"/>
      <c r="X872" s="1"/>
      <c r="Y872" s="1"/>
    </row>
    <row r="873" spans="1:25" ht="15.75" customHeight="1" x14ac:dyDescent="0.25">
      <c r="A873" s="1"/>
      <c r="B873" s="1"/>
      <c r="C873" s="15"/>
      <c r="D873" s="17"/>
      <c r="E873" s="1"/>
      <c r="F873" s="17"/>
      <c r="G873" s="1"/>
      <c r="H873" s="1"/>
      <c r="I873" s="17"/>
      <c r="J873" s="17"/>
      <c r="K873" s="1"/>
      <c r="L873" s="1"/>
      <c r="M873" s="1"/>
      <c r="N873" s="1"/>
      <c r="O873" s="1"/>
      <c r="P873" s="1"/>
      <c r="Q873" s="1"/>
      <c r="R873" s="1"/>
      <c r="S873" s="1"/>
      <c r="T873" s="1"/>
      <c r="U873" s="1"/>
      <c r="V873" s="1"/>
      <c r="W873" s="1"/>
      <c r="X873" s="1"/>
      <c r="Y873" s="1"/>
    </row>
    <row r="874" spans="1:25" ht="15.75" customHeight="1" x14ac:dyDescent="0.25">
      <c r="A874" s="1"/>
      <c r="B874" s="1"/>
      <c r="C874" s="15"/>
      <c r="D874" s="17"/>
      <c r="E874" s="1"/>
      <c r="F874" s="17"/>
      <c r="G874" s="1"/>
      <c r="H874" s="1"/>
      <c r="I874" s="17"/>
      <c r="J874" s="17"/>
      <c r="K874" s="1"/>
      <c r="L874" s="1"/>
      <c r="M874" s="1"/>
      <c r="N874" s="1"/>
      <c r="O874" s="1"/>
      <c r="P874" s="1"/>
      <c r="Q874" s="1"/>
      <c r="R874" s="1"/>
      <c r="S874" s="1"/>
      <c r="T874" s="1"/>
      <c r="U874" s="1"/>
      <c r="V874" s="1"/>
      <c r="W874" s="1"/>
      <c r="X874" s="1"/>
      <c r="Y874" s="1"/>
    </row>
    <row r="875" spans="1:25" ht="15.75" customHeight="1" x14ac:dyDescent="0.25">
      <c r="A875" s="1"/>
      <c r="B875" s="1"/>
      <c r="C875" s="15"/>
      <c r="D875" s="17"/>
      <c r="E875" s="1"/>
      <c r="F875" s="17"/>
      <c r="G875" s="1"/>
      <c r="H875" s="1"/>
      <c r="I875" s="17"/>
      <c r="J875" s="17"/>
      <c r="K875" s="1"/>
      <c r="L875" s="1"/>
      <c r="M875" s="1"/>
      <c r="N875" s="1"/>
      <c r="O875" s="1"/>
      <c r="P875" s="1"/>
      <c r="Q875" s="1"/>
      <c r="R875" s="1"/>
      <c r="S875" s="1"/>
      <c r="T875" s="1"/>
      <c r="U875" s="1"/>
      <c r="V875" s="1"/>
      <c r="W875" s="1"/>
      <c r="X875" s="1"/>
      <c r="Y875" s="1"/>
    </row>
    <row r="876" spans="1:25" ht="15.75" customHeight="1" x14ac:dyDescent="0.25">
      <c r="A876" s="1"/>
      <c r="B876" s="1"/>
      <c r="C876" s="15"/>
      <c r="D876" s="17"/>
      <c r="E876" s="1"/>
      <c r="F876" s="17"/>
      <c r="G876" s="1"/>
      <c r="H876" s="1"/>
      <c r="I876" s="17"/>
      <c r="J876" s="17"/>
      <c r="K876" s="1"/>
      <c r="L876" s="1"/>
      <c r="M876" s="1"/>
      <c r="N876" s="1"/>
      <c r="O876" s="1"/>
      <c r="P876" s="1"/>
      <c r="Q876" s="1"/>
      <c r="R876" s="1"/>
      <c r="S876" s="1"/>
      <c r="T876" s="1"/>
      <c r="U876" s="1"/>
      <c r="V876" s="1"/>
      <c r="W876" s="1"/>
      <c r="X876" s="1"/>
      <c r="Y876" s="1"/>
    </row>
    <row r="877" spans="1:25" ht="15.75" customHeight="1" x14ac:dyDescent="0.25">
      <c r="A877" s="1"/>
      <c r="B877" s="1"/>
      <c r="C877" s="15"/>
      <c r="D877" s="17"/>
      <c r="E877" s="1"/>
      <c r="F877" s="17"/>
      <c r="G877" s="1"/>
      <c r="H877" s="1"/>
      <c r="I877" s="17"/>
      <c r="J877" s="17"/>
      <c r="K877" s="1"/>
      <c r="L877" s="1"/>
      <c r="M877" s="1"/>
      <c r="N877" s="1"/>
      <c r="O877" s="1"/>
      <c r="P877" s="1"/>
      <c r="Q877" s="1"/>
      <c r="R877" s="1"/>
      <c r="S877" s="1"/>
      <c r="T877" s="1"/>
      <c r="U877" s="1"/>
      <c r="V877" s="1"/>
      <c r="W877" s="1"/>
      <c r="X877" s="1"/>
      <c r="Y877" s="1"/>
    </row>
    <row r="878" spans="1:25" ht="15.75" customHeight="1" x14ac:dyDescent="0.25">
      <c r="A878" s="1"/>
      <c r="B878" s="1"/>
      <c r="C878" s="15"/>
      <c r="D878" s="17"/>
      <c r="E878" s="1"/>
      <c r="F878" s="17"/>
      <c r="G878" s="1"/>
      <c r="H878" s="1"/>
      <c r="I878" s="17"/>
      <c r="J878" s="17"/>
      <c r="K878" s="1"/>
      <c r="L878" s="1"/>
      <c r="M878" s="1"/>
      <c r="N878" s="1"/>
      <c r="O878" s="1"/>
      <c r="P878" s="1"/>
      <c r="Q878" s="1"/>
      <c r="R878" s="1"/>
      <c r="S878" s="1"/>
      <c r="T878" s="1"/>
      <c r="U878" s="1"/>
      <c r="V878" s="1"/>
      <c r="W878" s="1"/>
      <c r="X878" s="1"/>
      <c r="Y878" s="1"/>
    </row>
    <row r="879" spans="1:25" ht="15.75" customHeight="1" x14ac:dyDescent="0.25">
      <c r="A879" s="1"/>
      <c r="B879" s="1"/>
      <c r="C879" s="15"/>
      <c r="D879" s="17"/>
      <c r="E879" s="1"/>
      <c r="F879" s="17"/>
      <c r="G879" s="1"/>
      <c r="H879" s="1"/>
      <c r="I879" s="17"/>
      <c r="J879" s="17"/>
      <c r="K879" s="1"/>
      <c r="L879" s="1"/>
      <c r="M879" s="1"/>
      <c r="N879" s="1"/>
      <c r="O879" s="1"/>
      <c r="P879" s="1"/>
      <c r="Q879" s="1"/>
      <c r="R879" s="1"/>
      <c r="S879" s="1"/>
      <c r="T879" s="1"/>
      <c r="U879" s="1"/>
      <c r="V879" s="1"/>
      <c r="W879" s="1"/>
      <c r="X879" s="1"/>
      <c r="Y879" s="1"/>
    </row>
    <row r="880" spans="1:25" ht="15.75" customHeight="1" x14ac:dyDescent="0.25">
      <c r="A880" s="1"/>
      <c r="B880" s="1"/>
      <c r="C880" s="15"/>
      <c r="D880" s="17"/>
      <c r="E880" s="1"/>
      <c r="F880" s="17"/>
      <c r="G880" s="1"/>
      <c r="H880" s="1"/>
      <c r="I880" s="17"/>
      <c r="J880" s="17"/>
      <c r="K880" s="1"/>
      <c r="L880" s="1"/>
      <c r="M880" s="1"/>
      <c r="N880" s="1"/>
      <c r="O880" s="1"/>
      <c r="P880" s="1"/>
      <c r="Q880" s="1"/>
      <c r="R880" s="1"/>
      <c r="S880" s="1"/>
      <c r="T880" s="1"/>
      <c r="U880" s="1"/>
      <c r="V880" s="1"/>
      <c r="W880" s="1"/>
      <c r="X880" s="1"/>
      <c r="Y880" s="1"/>
    </row>
    <row r="881" spans="1:25" ht="15.75" customHeight="1" x14ac:dyDescent="0.25">
      <c r="A881" s="1"/>
      <c r="B881" s="1"/>
      <c r="C881" s="15"/>
      <c r="D881" s="17"/>
      <c r="E881" s="1"/>
      <c r="F881" s="17"/>
      <c r="G881" s="1"/>
      <c r="H881" s="1"/>
      <c r="I881" s="17"/>
      <c r="J881" s="17"/>
      <c r="K881" s="1"/>
      <c r="L881" s="1"/>
      <c r="M881" s="1"/>
      <c r="N881" s="1"/>
      <c r="O881" s="1"/>
      <c r="P881" s="1"/>
      <c r="Q881" s="1"/>
      <c r="R881" s="1"/>
      <c r="S881" s="1"/>
      <c r="T881" s="1"/>
      <c r="U881" s="1"/>
      <c r="V881" s="1"/>
      <c r="W881" s="1"/>
      <c r="X881" s="1"/>
      <c r="Y881" s="1"/>
    </row>
    <row r="882" spans="1:25" ht="15.75" customHeight="1" x14ac:dyDescent="0.25">
      <c r="A882" s="1"/>
      <c r="B882" s="1"/>
      <c r="C882" s="15"/>
      <c r="D882" s="17"/>
      <c r="E882" s="1"/>
      <c r="F882" s="17"/>
      <c r="G882" s="1"/>
      <c r="H882" s="1"/>
      <c r="I882" s="17"/>
      <c r="J882" s="17"/>
      <c r="K882" s="1"/>
      <c r="L882" s="1"/>
      <c r="M882" s="1"/>
      <c r="N882" s="1"/>
      <c r="O882" s="1"/>
      <c r="P882" s="1"/>
      <c r="Q882" s="1"/>
      <c r="R882" s="1"/>
      <c r="S882" s="1"/>
      <c r="T882" s="1"/>
      <c r="U882" s="1"/>
      <c r="V882" s="1"/>
      <c r="W882" s="1"/>
      <c r="X882" s="1"/>
      <c r="Y882" s="1"/>
    </row>
    <row r="883" spans="1:25" ht="15.75" customHeight="1" x14ac:dyDescent="0.25">
      <c r="A883" s="1"/>
      <c r="B883" s="1"/>
      <c r="C883" s="15"/>
      <c r="D883" s="17"/>
      <c r="E883" s="1"/>
      <c r="F883" s="17"/>
      <c r="G883" s="1"/>
      <c r="H883" s="1"/>
      <c r="I883" s="17"/>
      <c r="J883" s="17"/>
      <c r="K883" s="1"/>
      <c r="L883" s="1"/>
      <c r="M883" s="1"/>
      <c r="N883" s="1"/>
      <c r="O883" s="1"/>
      <c r="P883" s="1"/>
      <c r="Q883" s="1"/>
      <c r="R883" s="1"/>
      <c r="S883" s="1"/>
      <c r="T883" s="1"/>
      <c r="U883" s="1"/>
      <c r="V883" s="1"/>
      <c r="W883" s="1"/>
      <c r="X883" s="1"/>
      <c r="Y883" s="1"/>
    </row>
    <row r="884" spans="1:25" ht="15.75" customHeight="1" x14ac:dyDescent="0.25">
      <c r="A884" s="1"/>
      <c r="B884" s="1"/>
      <c r="C884" s="15"/>
      <c r="D884" s="17"/>
      <c r="E884" s="1"/>
      <c r="F884" s="17"/>
      <c r="G884" s="1"/>
      <c r="H884" s="1"/>
      <c r="I884" s="17"/>
      <c r="J884" s="17"/>
      <c r="K884" s="1"/>
      <c r="L884" s="1"/>
      <c r="M884" s="1"/>
      <c r="N884" s="1"/>
      <c r="O884" s="1"/>
      <c r="P884" s="1"/>
      <c r="Q884" s="1"/>
      <c r="R884" s="1"/>
      <c r="S884" s="1"/>
      <c r="T884" s="1"/>
      <c r="U884" s="1"/>
      <c r="V884" s="1"/>
      <c r="W884" s="1"/>
      <c r="X884" s="1"/>
      <c r="Y884" s="1"/>
    </row>
    <row r="885" spans="1:25" ht="15.75" customHeight="1" x14ac:dyDescent="0.25">
      <c r="A885" s="1"/>
      <c r="B885" s="1"/>
      <c r="C885" s="15"/>
      <c r="D885" s="17"/>
      <c r="E885" s="1"/>
      <c r="F885" s="17"/>
      <c r="G885" s="1"/>
      <c r="H885" s="1"/>
      <c r="I885" s="17"/>
      <c r="J885" s="17"/>
      <c r="K885" s="1"/>
      <c r="L885" s="1"/>
      <c r="M885" s="1"/>
      <c r="N885" s="1"/>
      <c r="O885" s="1"/>
      <c r="P885" s="1"/>
      <c r="Q885" s="1"/>
      <c r="R885" s="1"/>
      <c r="S885" s="1"/>
      <c r="T885" s="1"/>
      <c r="U885" s="1"/>
      <c r="V885" s="1"/>
      <c r="W885" s="1"/>
      <c r="X885" s="1"/>
      <c r="Y885" s="1"/>
    </row>
    <row r="886" spans="1:25" ht="15.75" customHeight="1" x14ac:dyDescent="0.25">
      <c r="A886" s="1"/>
      <c r="B886" s="1"/>
      <c r="C886" s="15"/>
      <c r="D886" s="17"/>
      <c r="E886" s="1"/>
      <c r="F886" s="17"/>
      <c r="G886" s="1"/>
      <c r="H886" s="1"/>
      <c r="I886" s="17"/>
      <c r="J886" s="17"/>
      <c r="K886" s="1"/>
      <c r="L886" s="1"/>
      <c r="M886" s="1"/>
      <c r="N886" s="1"/>
      <c r="O886" s="1"/>
      <c r="P886" s="1"/>
      <c r="Q886" s="1"/>
      <c r="R886" s="1"/>
      <c r="S886" s="1"/>
      <c r="T886" s="1"/>
      <c r="U886" s="1"/>
      <c r="V886" s="1"/>
      <c r="W886" s="1"/>
      <c r="X886" s="1"/>
      <c r="Y886" s="1"/>
    </row>
    <row r="887" spans="1:25" ht="15.75" customHeight="1" x14ac:dyDescent="0.25">
      <c r="A887" s="1"/>
      <c r="B887" s="1"/>
      <c r="C887" s="15"/>
      <c r="D887" s="17"/>
      <c r="E887" s="1"/>
      <c r="F887" s="17"/>
      <c r="G887" s="1"/>
      <c r="H887" s="1"/>
      <c r="I887" s="17"/>
      <c r="J887" s="17"/>
      <c r="K887" s="1"/>
      <c r="L887" s="1"/>
      <c r="M887" s="1"/>
      <c r="N887" s="1"/>
      <c r="O887" s="1"/>
      <c r="P887" s="1"/>
      <c r="Q887" s="1"/>
      <c r="R887" s="1"/>
      <c r="S887" s="1"/>
      <c r="T887" s="1"/>
      <c r="U887" s="1"/>
      <c r="V887" s="1"/>
      <c r="W887" s="1"/>
      <c r="X887" s="1"/>
      <c r="Y887" s="1"/>
    </row>
    <row r="888" spans="1:25" ht="15.75" customHeight="1" x14ac:dyDescent="0.25">
      <c r="A888" s="1"/>
      <c r="B888" s="1"/>
      <c r="C888" s="15"/>
      <c r="D888" s="17"/>
      <c r="E888" s="1"/>
      <c r="F888" s="17"/>
      <c r="G888" s="1"/>
      <c r="H888" s="1"/>
      <c r="I888" s="17"/>
      <c r="J888" s="17"/>
      <c r="K888" s="1"/>
      <c r="L888" s="1"/>
      <c r="M888" s="1"/>
      <c r="N888" s="1"/>
      <c r="O888" s="1"/>
      <c r="P888" s="1"/>
      <c r="Q888" s="1"/>
      <c r="R888" s="1"/>
      <c r="S888" s="1"/>
      <c r="T888" s="1"/>
      <c r="U888" s="1"/>
      <c r="V888" s="1"/>
      <c r="W888" s="1"/>
      <c r="X888" s="1"/>
      <c r="Y888" s="1"/>
    </row>
    <row r="889" spans="1:25" ht="15.75" customHeight="1" x14ac:dyDescent="0.25">
      <c r="A889" s="1"/>
      <c r="B889" s="1"/>
      <c r="C889" s="15"/>
      <c r="D889" s="17"/>
      <c r="E889" s="1"/>
      <c r="F889" s="17"/>
      <c r="G889" s="1"/>
      <c r="H889" s="1"/>
      <c r="I889" s="17"/>
      <c r="J889" s="17"/>
      <c r="K889" s="1"/>
      <c r="L889" s="1"/>
      <c r="M889" s="1"/>
      <c r="N889" s="1"/>
      <c r="O889" s="1"/>
      <c r="P889" s="1"/>
      <c r="Q889" s="1"/>
      <c r="R889" s="1"/>
      <c r="S889" s="1"/>
      <c r="T889" s="1"/>
      <c r="U889" s="1"/>
      <c r="V889" s="1"/>
      <c r="W889" s="1"/>
      <c r="X889" s="1"/>
      <c r="Y889" s="1"/>
    </row>
    <row r="890" spans="1:25" ht="15.75" customHeight="1" x14ac:dyDescent="0.25">
      <c r="A890" s="1"/>
      <c r="B890" s="1"/>
      <c r="C890" s="15"/>
      <c r="D890" s="17"/>
      <c r="E890" s="1"/>
      <c r="F890" s="17"/>
      <c r="G890" s="1"/>
      <c r="H890" s="1"/>
      <c r="I890" s="17"/>
      <c r="J890" s="17"/>
      <c r="K890" s="1"/>
      <c r="L890" s="1"/>
      <c r="M890" s="1"/>
      <c r="N890" s="1"/>
      <c r="O890" s="1"/>
      <c r="P890" s="1"/>
      <c r="Q890" s="1"/>
      <c r="R890" s="1"/>
      <c r="S890" s="1"/>
      <c r="T890" s="1"/>
      <c r="U890" s="1"/>
      <c r="V890" s="1"/>
      <c r="W890" s="1"/>
      <c r="X890" s="1"/>
      <c r="Y890" s="1"/>
    </row>
    <row r="891" spans="1:25" ht="15.75" customHeight="1" x14ac:dyDescent="0.25">
      <c r="A891" s="1"/>
      <c r="B891" s="1"/>
      <c r="C891" s="15"/>
      <c r="D891" s="17"/>
      <c r="E891" s="1"/>
      <c r="F891" s="17"/>
      <c r="G891" s="1"/>
      <c r="H891" s="1"/>
      <c r="I891" s="17"/>
      <c r="J891" s="17"/>
      <c r="K891" s="1"/>
      <c r="L891" s="1"/>
      <c r="M891" s="1"/>
      <c r="N891" s="1"/>
      <c r="O891" s="1"/>
      <c r="P891" s="1"/>
      <c r="Q891" s="1"/>
      <c r="R891" s="1"/>
      <c r="S891" s="1"/>
      <c r="T891" s="1"/>
      <c r="U891" s="1"/>
      <c r="V891" s="1"/>
      <c r="W891" s="1"/>
      <c r="X891" s="1"/>
      <c r="Y891" s="1"/>
    </row>
    <row r="892" spans="1:25" ht="15.75" customHeight="1" x14ac:dyDescent="0.25">
      <c r="A892" s="1"/>
      <c r="B892" s="1"/>
      <c r="C892" s="15"/>
      <c r="D892" s="17"/>
      <c r="E892" s="1"/>
      <c r="F892" s="17"/>
      <c r="G892" s="1"/>
      <c r="H892" s="1"/>
      <c r="I892" s="17"/>
      <c r="J892" s="17"/>
      <c r="K892" s="1"/>
      <c r="L892" s="1"/>
      <c r="M892" s="1"/>
      <c r="N892" s="1"/>
      <c r="O892" s="1"/>
      <c r="P892" s="1"/>
      <c r="Q892" s="1"/>
      <c r="R892" s="1"/>
      <c r="S892" s="1"/>
      <c r="T892" s="1"/>
      <c r="U892" s="1"/>
      <c r="V892" s="1"/>
      <c r="W892" s="1"/>
      <c r="X892" s="1"/>
      <c r="Y892" s="1"/>
    </row>
    <row r="893" spans="1:25" ht="15.75" customHeight="1" x14ac:dyDescent="0.25">
      <c r="A893" s="1"/>
      <c r="B893" s="1"/>
      <c r="C893" s="15"/>
      <c r="D893" s="17"/>
      <c r="E893" s="1"/>
      <c r="F893" s="17"/>
      <c r="G893" s="1"/>
      <c r="H893" s="1"/>
      <c r="I893" s="17"/>
      <c r="J893" s="17"/>
      <c r="K893" s="1"/>
      <c r="L893" s="1"/>
      <c r="M893" s="1"/>
      <c r="N893" s="1"/>
      <c r="O893" s="1"/>
      <c r="P893" s="1"/>
      <c r="Q893" s="1"/>
      <c r="R893" s="1"/>
      <c r="S893" s="1"/>
      <c r="T893" s="1"/>
      <c r="U893" s="1"/>
      <c r="V893" s="1"/>
      <c r="W893" s="1"/>
      <c r="X893" s="1"/>
      <c r="Y893" s="1"/>
    </row>
    <row r="894" spans="1:25" ht="15.75" customHeight="1" x14ac:dyDescent="0.25">
      <c r="A894" s="1"/>
      <c r="B894" s="1"/>
      <c r="C894" s="15"/>
      <c r="D894" s="17"/>
      <c r="E894" s="1"/>
      <c r="F894" s="17"/>
      <c r="G894" s="1"/>
      <c r="H894" s="1"/>
      <c r="I894" s="17"/>
      <c r="J894" s="17"/>
      <c r="K894" s="1"/>
      <c r="L894" s="1"/>
      <c r="M894" s="1"/>
      <c r="N894" s="1"/>
      <c r="O894" s="1"/>
      <c r="P894" s="1"/>
      <c r="Q894" s="1"/>
      <c r="R894" s="1"/>
      <c r="S894" s="1"/>
      <c r="T894" s="1"/>
      <c r="U894" s="1"/>
      <c r="V894" s="1"/>
      <c r="W894" s="1"/>
      <c r="X894" s="1"/>
      <c r="Y894" s="1"/>
    </row>
    <row r="895" spans="1:25" ht="15.75" customHeight="1" x14ac:dyDescent="0.25">
      <c r="A895" s="1"/>
      <c r="B895" s="1"/>
      <c r="C895" s="15"/>
      <c r="D895" s="17"/>
      <c r="E895" s="1"/>
      <c r="F895" s="17"/>
      <c r="G895" s="1"/>
      <c r="H895" s="1"/>
      <c r="I895" s="17"/>
      <c r="J895" s="17"/>
      <c r="K895" s="1"/>
      <c r="L895" s="1"/>
      <c r="M895" s="1"/>
      <c r="N895" s="1"/>
      <c r="O895" s="1"/>
      <c r="P895" s="1"/>
      <c r="Q895" s="1"/>
      <c r="R895" s="1"/>
      <c r="S895" s="1"/>
      <c r="T895" s="1"/>
      <c r="U895" s="1"/>
      <c r="V895" s="1"/>
      <c r="W895" s="1"/>
      <c r="X895" s="1"/>
      <c r="Y895" s="1"/>
    </row>
    <row r="896" spans="1:25" ht="15.75" customHeight="1" x14ac:dyDescent="0.25">
      <c r="A896" s="1"/>
      <c r="B896" s="1"/>
      <c r="C896" s="15"/>
      <c r="D896" s="17"/>
      <c r="E896" s="1"/>
      <c r="F896" s="17"/>
      <c r="G896" s="1"/>
      <c r="H896" s="1"/>
      <c r="I896" s="17"/>
      <c r="J896" s="17"/>
      <c r="K896" s="1"/>
      <c r="L896" s="1"/>
      <c r="M896" s="1"/>
      <c r="N896" s="1"/>
      <c r="O896" s="1"/>
      <c r="P896" s="1"/>
      <c r="Q896" s="1"/>
      <c r="R896" s="1"/>
      <c r="S896" s="1"/>
      <c r="T896" s="1"/>
      <c r="U896" s="1"/>
      <c r="V896" s="1"/>
      <c r="W896" s="1"/>
      <c r="X896" s="1"/>
      <c r="Y896" s="1"/>
    </row>
    <row r="897" spans="1:25" ht="15.75" customHeight="1" x14ac:dyDescent="0.25">
      <c r="A897" s="1"/>
      <c r="B897" s="1"/>
      <c r="C897" s="15"/>
      <c r="D897" s="17"/>
      <c r="E897" s="1"/>
      <c r="F897" s="17"/>
      <c r="G897" s="1"/>
      <c r="H897" s="1"/>
      <c r="I897" s="17"/>
      <c r="J897" s="17"/>
      <c r="K897" s="1"/>
      <c r="L897" s="1"/>
      <c r="M897" s="1"/>
      <c r="N897" s="1"/>
      <c r="O897" s="1"/>
      <c r="P897" s="1"/>
      <c r="Q897" s="1"/>
      <c r="R897" s="1"/>
      <c r="S897" s="1"/>
      <c r="T897" s="1"/>
      <c r="U897" s="1"/>
      <c r="V897" s="1"/>
      <c r="W897" s="1"/>
      <c r="X897" s="1"/>
      <c r="Y897" s="1"/>
    </row>
    <row r="898" spans="1:25" ht="15.75" customHeight="1" x14ac:dyDescent="0.25">
      <c r="A898" s="1"/>
      <c r="B898" s="1"/>
      <c r="C898" s="15"/>
      <c r="D898" s="17"/>
      <c r="E898" s="1"/>
      <c r="F898" s="17"/>
      <c r="G898" s="1"/>
      <c r="H898" s="1"/>
      <c r="I898" s="17"/>
      <c r="J898" s="17"/>
      <c r="K898" s="1"/>
      <c r="L898" s="1"/>
      <c r="M898" s="1"/>
      <c r="N898" s="1"/>
      <c r="O898" s="1"/>
      <c r="P898" s="1"/>
      <c r="Q898" s="1"/>
      <c r="R898" s="1"/>
      <c r="S898" s="1"/>
      <c r="T898" s="1"/>
      <c r="U898" s="1"/>
      <c r="V898" s="1"/>
      <c r="W898" s="1"/>
      <c r="X898" s="1"/>
      <c r="Y898" s="1"/>
    </row>
    <row r="899" spans="1:25" ht="15.75" customHeight="1" x14ac:dyDescent="0.25">
      <c r="A899" s="1"/>
      <c r="B899" s="1"/>
      <c r="C899" s="15"/>
      <c r="D899" s="17"/>
      <c r="E899" s="1"/>
      <c r="F899" s="17"/>
      <c r="G899" s="1"/>
      <c r="H899" s="1"/>
      <c r="I899" s="17"/>
      <c r="J899" s="17"/>
      <c r="K899" s="1"/>
      <c r="L899" s="1"/>
      <c r="M899" s="1"/>
      <c r="N899" s="1"/>
      <c r="O899" s="1"/>
      <c r="P899" s="1"/>
      <c r="Q899" s="1"/>
      <c r="R899" s="1"/>
      <c r="S899" s="1"/>
      <c r="T899" s="1"/>
      <c r="U899" s="1"/>
      <c r="V899" s="1"/>
      <c r="W899" s="1"/>
      <c r="X899" s="1"/>
      <c r="Y899" s="1"/>
    </row>
    <row r="900" spans="1:25" ht="15.75" customHeight="1" x14ac:dyDescent="0.25">
      <c r="A900" s="1"/>
      <c r="B900" s="1"/>
      <c r="C900" s="15"/>
      <c r="D900" s="17"/>
      <c r="E900" s="1"/>
      <c r="F900" s="17"/>
      <c r="G900" s="1"/>
      <c r="H900" s="1"/>
      <c r="I900" s="17"/>
      <c r="J900" s="17"/>
      <c r="K900" s="1"/>
      <c r="L900" s="1"/>
      <c r="M900" s="1"/>
      <c r="N900" s="1"/>
      <c r="O900" s="1"/>
      <c r="P900" s="1"/>
      <c r="Q900" s="1"/>
      <c r="R900" s="1"/>
      <c r="S900" s="1"/>
      <c r="T900" s="1"/>
      <c r="U900" s="1"/>
      <c r="V900" s="1"/>
      <c r="W900" s="1"/>
      <c r="X900" s="1"/>
      <c r="Y900" s="1"/>
    </row>
    <row r="901" spans="1:25" ht="15.75" customHeight="1" x14ac:dyDescent="0.25">
      <c r="A901" s="1"/>
      <c r="B901" s="1"/>
      <c r="C901" s="15"/>
      <c r="D901" s="17"/>
      <c r="E901" s="1"/>
      <c r="F901" s="17"/>
      <c r="G901" s="1"/>
      <c r="H901" s="1"/>
      <c r="I901" s="17"/>
      <c r="J901" s="17"/>
      <c r="K901" s="1"/>
      <c r="L901" s="1"/>
      <c r="M901" s="1"/>
      <c r="N901" s="1"/>
      <c r="O901" s="1"/>
      <c r="P901" s="1"/>
      <c r="Q901" s="1"/>
      <c r="R901" s="1"/>
      <c r="S901" s="1"/>
      <c r="T901" s="1"/>
      <c r="U901" s="1"/>
      <c r="V901" s="1"/>
      <c r="W901" s="1"/>
      <c r="X901" s="1"/>
      <c r="Y901" s="1"/>
    </row>
    <row r="902" spans="1:25" ht="15.75" customHeight="1" x14ac:dyDescent="0.25">
      <c r="A902" s="1"/>
      <c r="B902" s="1"/>
      <c r="C902" s="15"/>
      <c r="D902" s="17"/>
      <c r="E902" s="1"/>
      <c r="F902" s="17"/>
      <c r="G902" s="1"/>
      <c r="H902" s="1"/>
      <c r="I902" s="17"/>
      <c r="J902" s="17"/>
      <c r="K902" s="1"/>
      <c r="L902" s="1"/>
      <c r="M902" s="1"/>
      <c r="N902" s="1"/>
      <c r="O902" s="1"/>
      <c r="P902" s="1"/>
      <c r="Q902" s="1"/>
      <c r="R902" s="1"/>
      <c r="S902" s="1"/>
      <c r="T902" s="1"/>
      <c r="U902" s="1"/>
      <c r="V902" s="1"/>
      <c r="W902" s="1"/>
      <c r="X902" s="1"/>
      <c r="Y902" s="1"/>
    </row>
    <row r="903" spans="1:25" ht="15.75" customHeight="1" x14ac:dyDescent="0.25">
      <c r="A903" s="1"/>
      <c r="B903" s="1"/>
      <c r="C903" s="15"/>
      <c r="D903" s="17"/>
      <c r="E903" s="1"/>
      <c r="F903" s="17"/>
      <c r="G903" s="1"/>
      <c r="H903" s="1"/>
      <c r="I903" s="17"/>
      <c r="J903" s="17"/>
      <c r="K903" s="1"/>
      <c r="L903" s="1"/>
      <c r="M903" s="1"/>
      <c r="N903" s="1"/>
      <c r="O903" s="1"/>
      <c r="P903" s="1"/>
      <c r="Q903" s="1"/>
      <c r="R903" s="1"/>
      <c r="S903" s="1"/>
      <c r="T903" s="1"/>
      <c r="U903" s="1"/>
      <c r="V903" s="1"/>
      <c r="W903" s="1"/>
      <c r="X903" s="1"/>
      <c r="Y903" s="1"/>
    </row>
    <row r="904" spans="1:25" ht="15.75" customHeight="1" x14ac:dyDescent="0.25">
      <c r="A904" s="1"/>
      <c r="B904" s="1"/>
      <c r="C904" s="15"/>
      <c r="D904" s="17"/>
      <c r="E904" s="1"/>
      <c r="F904" s="17"/>
      <c r="G904" s="1"/>
      <c r="H904" s="1"/>
      <c r="I904" s="17"/>
      <c r="J904" s="17"/>
      <c r="K904" s="1"/>
      <c r="L904" s="1"/>
      <c r="M904" s="1"/>
      <c r="N904" s="1"/>
      <c r="O904" s="1"/>
      <c r="P904" s="1"/>
      <c r="Q904" s="1"/>
      <c r="R904" s="1"/>
      <c r="S904" s="1"/>
      <c r="T904" s="1"/>
      <c r="U904" s="1"/>
      <c r="V904" s="1"/>
      <c r="W904" s="1"/>
      <c r="X904" s="1"/>
      <c r="Y904" s="1"/>
    </row>
    <row r="905" spans="1:25" ht="15.75" customHeight="1" x14ac:dyDescent="0.25">
      <c r="A905" s="1"/>
      <c r="B905" s="1"/>
      <c r="C905" s="15"/>
      <c r="D905" s="17"/>
      <c r="E905" s="1"/>
      <c r="F905" s="17"/>
      <c r="G905" s="1"/>
      <c r="H905" s="1"/>
      <c r="I905" s="17"/>
      <c r="J905" s="17"/>
      <c r="K905" s="1"/>
      <c r="L905" s="1"/>
      <c r="M905" s="1"/>
      <c r="N905" s="1"/>
      <c r="O905" s="1"/>
      <c r="P905" s="1"/>
      <c r="Q905" s="1"/>
      <c r="R905" s="1"/>
      <c r="S905" s="1"/>
      <c r="T905" s="1"/>
      <c r="U905" s="1"/>
      <c r="V905" s="1"/>
      <c r="W905" s="1"/>
      <c r="X905" s="1"/>
      <c r="Y905" s="1"/>
    </row>
    <row r="906" spans="1:25" ht="15.75" customHeight="1" x14ac:dyDescent="0.25">
      <c r="A906" s="1"/>
      <c r="B906" s="1"/>
      <c r="C906" s="15"/>
      <c r="D906" s="17"/>
      <c r="E906" s="1"/>
      <c r="F906" s="17"/>
      <c r="G906" s="1"/>
      <c r="H906" s="1"/>
      <c r="I906" s="17"/>
      <c r="J906" s="17"/>
      <c r="K906" s="1"/>
      <c r="L906" s="1"/>
      <c r="M906" s="1"/>
      <c r="N906" s="1"/>
      <c r="O906" s="1"/>
      <c r="P906" s="1"/>
      <c r="Q906" s="1"/>
      <c r="R906" s="1"/>
      <c r="S906" s="1"/>
      <c r="T906" s="1"/>
      <c r="U906" s="1"/>
      <c r="V906" s="1"/>
      <c r="W906" s="1"/>
      <c r="X906" s="1"/>
      <c r="Y906" s="1"/>
    </row>
    <row r="907" spans="1:25" ht="15.75" customHeight="1" x14ac:dyDescent="0.25">
      <c r="A907" s="1"/>
      <c r="B907" s="1"/>
      <c r="C907" s="15"/>
      <c r="D907" s="17"/>
      <c r="E907" s="1"/>
      <c r="F907" s="17"/>
      <c r="G907" s="1"/>
      <c r="H907" s="1"/>
      <c r="I907" s="17"/>
      <c r="J907" s="17"/>
      <c r="K907" s="1"/>
      <c r="L907" s="1"/>
      <c r="M907" s="1"/>
      <c r="N907" s="1"/>
      <c r="O907" s="1"/>
      <c r="P907" s="1"/>
      <c r="Q907" s="1"/>
      <c r="R907" s="1"/>
      <c r="S907" s="1"/>
      <c r="T907" s="1"/>
      <c r="U907" s="1"/>
      <c r="V907" s="1"/>
      <c r="W907" s="1"/>
      <c r="X907" s="1"/>
      <c r="Y907" s="1"/>
    </row>
    <row r="908" spans="1:25" ht="15.75" customHeight="1" x14ac:dyDescent="0.25">
      <c r="A908" s="1"/>
      <c r="B908" s="1"/>
      <c r="C908" s="15"/>
      <c r="D908" s="17"/>
      <c r="E908" s="1"/>
      <c r="F908" s="17"/>
      <c r="G908" s="1"/>
      <c r="H908" s="1"/>
      <c r="I908" s="17"/>
      <c r="J908" s="17"/>
      <c r="K908" s="1"/>
      <c r="L908" s="1"/>
      <c r="M908" s="1"/>
      <c r="N908" s="1"/>
      <c r="O908" s="1"/>
      <c r="P908" s="1"/>
      <c r="Q908" s="1"/>
      <c r="R908" s="1"/>
      <c r="S908" s="1"/>
      <c r="T908" s="1"/>
      <c r="U908" s="1"/>
      <c r="V908" s="1"/>
      <c r="W908" s="1"/>
      <c r="X908" s="1"/>
      <c r="Y908" s="1"/>
    </row>
    <row r="909" spans="1:25" ht="15.75" customHeight="1" x14ac:dyDescent="0.25">
      <c r="A909" s="1"/>
      <c r="B909" s="1"/>
      <c r="C909" s="15"/>
      <c r="D909" s="17"/>
      <c r="E909" s="1"/>
      <c r="F909" s="17"/>
      <c r="G909" s="1"/>
      <c r="H909" s="1"/>
      <c r="I909" s="17"/>
      <c r="J909" s="17"/>
      <c r="K909" s="1"/>
      <c r="L909" s="1"/>
      <c r="M909" s="1"/>
      <c r="N909" s="1"/>
      <c r="O909" s="1"/>
      <c r="P909" s="1"/>
      <c r="Q909" s="1"/>
      <c r="R909" s="1"/>
      <c r="S909" s="1"/>
      <c r="T909" s="1"/>
      <c r="U909" s="1"/>
      <c r="V909" s="1"/>
      <c r="W909" s="1"/>
      <c r="X909" s="1"/>
      <c r="Y909" s="1"/>
    </row>
    <row r="910" spans="1:25" ht="15.75" customHeight="1" x14ac:dyDescent="0.25">
      <c r="A910" s="1"/>
      <c r="B910" s="1"/>
      <c r="C910" s="15"/>
      <c r="D910" s="17"/>
      <c r="E910" s="1"/>
      <c r="F910" s="17"/>
      <c r="G910" s="1"/>
      <c r="H910" s="1"/>
      <c r="I910" s="17"/>
      <c r="J910" s="17"/>
      <c r="K910" s="1"/>
      <c r="L910" s="1"/>
      <c r="M910" s="1"/>
      <c r="N910" s="1"/>
      <c r="O910" s="1"/>
      <c r="P910" s="1"/>
      <c r="Q910" s="1"/>
      <c r="R910" s="1"/>
      <c r="S910" s="1"/>
      <c r="T910" s="1"/>
      <c r="U910" s="1"/>
      <c r="V910" s="1"/>
      <c r="W910" s="1"/>
      <c r="X910" s="1"/>
      <c r="Y910" s="1"/>
    </row>
    <row r="911" spans="1:25" ht="15.75" customHeight="1" x14ac:dyDescent="0.25">
      <c r="A911" s="1"/>
      <c r="B911" s="1"/>
      <c r="C911" s="15"/>
      <c r="D911" s="17"/>
      <c r="E911" s="1"/>
      <c r="F911" s="17"/>
      <c r="G911" s="1"/>
      <c r="H911" s="1"/>
      <c r="I911" s="17"/>
      <c r="J911" s="17"/>
      <c r="K911" s="1"/>
      <c r="L911" s="1"/>
      <c r="M911" s="1"/>
      <c r="N911" s="1"/>
      <c r="O911" s="1"/>
      <c r="P911" s="1"/>
      <c r="Q911" s="1"/>
      <c r="R911" s="1"/>
      <c r="S911" s="1"/>
      <c r="T911" s="1"/>
      <c r="U911" s="1"/>
      <c r="V911" s="1"/>
      <c r="W911" s="1"/>
      <c r="X911" s="1"/>
      <c r="Y911" s="1"/>
    </row>
    <row r="912" spans="1:25" ht="15.75" customHeight="1" x14ac:dyDescent="0.25">
      <c r="A912" s="1"/>
      <c r="B912" s="1"/>
      <c r="C912" s="15"/>
      <c r="D912" s="17"/>
      <c r="E912" s="1"/>
      <c r="F912" s="17"/>
      <c r="G912" s="1"/>
      <c r="H912" s="1"/>
      <c r="I912" s="17"/>
      <c r="J912" s="17"/>
      <c r="K912" s="1"/>
      <c r="L912" s="1"/>
      <c r="M912" s="1"/>
      <c r="N912" s="1"/>
      <c r="O912" s="1"/>
      <c r="P912" s="1"/>
      <c r="Q912" s="1"/>
      <c r="R912" s="1"/>
      <c r="S912" s="1"/>
      <c r="T912" s="1"/>
      <c r="U912" s="1"/>
      <c r="V912" s="1"/>
      <c r="W912" s="1"/>
      <c r="X912" s="1"/>
      <c r="Y912" s="1"/>
    </row>
    <row r="913" spans="1:25" ht="15.75" customHeight="1" x14ac:dyDescent="0.25">
      <c r="A913" s="1"/>
      <c r="B913" s="1"/>
      <c r="C913" s="15"/>
      <c r="D913" s="17"/>
      <c r="E913" s="1"/>
      <c r="F913" s="17"/>
      <c r="G913" s="1"/>
      <c r="H913" s="1"/>
      <c r="I913" s="17"/>
      <c r="J913" s="17"/>
      <c r="K913" s="1"/>
      <c r="L913" s="1"/>
      <c r="M913" s="1"/>
      <c r="N913" s="1"/>
      <c r="O913" s="1"/>
      <c r="P913" s="1"/>
      <c r="Q913" s="1"/>
      <c r="R913" s="1"/>
      <c r="S913" s="1"/>
      <c r="T913" s="1"/>
      <c r="U913" s="1"/>
      <c r="V913" s="1"/>
      <c r="W913" s="1"/>
      <c r="X913" s="1"/>
      <c r="Y913" s="1"/>
    </row>
    <row r="914" spans="1:25" ht="15.75" customHeight="1" x14ac:dyDescent="0.25">
      <c r="A914" s="1"/>
      <c r="B914" s="1"/>
      <c r="C914" s="15"/>
      <c r="D914" s="17"/>
      <c r="E914" s="1"/>
      <c r="F914" s="17"/>
      <c r="G914" s="1"/>
      <c r="H914" s="1"/>
      <c r="I914" s="17"/>
      <c r="J914" s="17"/>
      <c r="K914" s="1"/>
      <c r="L914" s="1"/>
      <c r="M914" s="1"/>
      <c r="N914" s="1"/>
      <c r="O914" s="1"/>
      <c r="P914" s="1"/>
      <c r="Q914" s="1"/>
      <c r="R914" s="1"/>
      <c r="S914" s="1"/>
      <c r="T914" s="1"/>
      <c r="U914" s="1"/>
      <c r="V914" s="1"/>
      <c r="W914" s="1"/>
      <c r="X914" s="1"/>
      <c r="Y914" s="1"/>
    </row>
    <row r="915" spans="1:25" ht="15.75" customHeight="1" x14ac:dyDescent="0.25">
      <c r="A915" s="1"/>
      <c r="B915" s="1"/>
      <c r="C915" s="15"/>
      <c r="D915" s="17"/>
      <c r="E915" s="1"/>
      <c r="F915" s="17"/>
      <c r="G915" s="1"/>
      <c r="H915" s="1"/>
      <c r="I915" s="17"/>
      <c r="J915" s="17"/>
      <c r="K915" s="1"/>
      <c r="L915" s="1"/>
      <c r="M915" s="1"/>
      <c r="N915" s="1"/>
      <c r="O915" s="1"/>
      <c r="P915" s="1"/>
      <c r="Q915" s="1"/>
      <c r="R915" s="1"/>
      <c r="S915" s="1"/>
      <c r="T915" s="1"/>
      <c r="U915" s="1"/>
      <c r="V915" s="1"/>
      <c r="W915" s="1"/>
      <c r="X915" s="1"/>
      <c r="Y915" s="1"/>
    </row>
    <row r="916" spans="1:25" ht="15.75" customHeight="1" x14ac:dyDescent="0.25">
      <c r="A916" s="1"/>
      <c r="B916" s="1"/>
      <c r="C916" s="15"/>
      <c r="D916" s="17"/>
      <c r="E916" s="1"/>
      <c r="F916" s="17"/>
      <c r="G916" s="1"/>
      <c r="H916" s="1"/>
      <c r="I916" s="17"/>
      <c r="J916" s="17"/>
      <c r="K916" s="1"/>
      <c r="L916" s="1"/>
      <c r="M916" s="1"/>
      <c r="N916" s="1"/>
      <c r="O916" s="1"/>
      <c r="P916" s="1"/>
      <c r="Q916" s="1"/>
      <c r="R916" s="1"/>
      <c r="S916" s="1"/>
      <c r="T916" s="1"/>
      <c r="U916" s="1"/>
      <c r="V916" s="1"/>
      <c r="W916" s="1"/>
      <c r="X916" s="1"/>
      <c r="Y916" s="1"/>
    </row>
    <row r="917" spans="1:25" ht="15.75" customHeight="1" x14ac:dyDescent="0.25">
      <c r="A917" s="1"/>
      <c r="B917" s="1"/>
      <c r="C917" s="15"/>
      <c r="D917" s="17"/>
      <c r="E917" s="1"/>
      <c r="F917" s="17"/>
      <c r="G917" s="1"/>
      <c r="H917" s="1"/>
      <c r="I917" s="17"/>
      <c r="J917" s="17"/>
      <c r="K917" s="1"/>
      <c r="L917" s="1"/>
      <c r="M917" s="1"/>
      <c r="N917" s="1"/>
      <c r="O917" s="1"/>
      <c r="P917" s="1"/>
      <c r="Q917" s="1"/>
      <c r="R917" s="1"/>
      <c r="S917" s="1"/>
      <c r="T917" s="1"/>
      <c r="U917" s="1"/>
      <c r="V917" s="1"/>
      <c r="W917" s="1"/>
      <c r="X917" s="1"/>
      <c r="Y917" s="1"/>
    </row>
    <row r="918" spans="1:25" ht="15.75" customHeight="1" x14ac:dyDescent="0.25">
      <c r="A918" s="1"/>
      <c r="B918" s="1"/>
      <c r="C918" s="15"/>
      <c r="D918" s="17"/>
      <c r="E918" s="1"/>
      <c r="F918" s="17"/>
      <c r="G918" s="1"/>
      <c r="H918" s="1"/>
      <c r="I918" s="17"/>
      <c r="J918" s="17"/>
      <c r="K918" s="1"/>
      <c r="L918" s="1"/>
      <c r="M918" s="1"/>
      <c r="N918" s="1"/>
      <c r="O918" s="1"/>
      <c r="P918" s="1"/>
      <c r="Q918" s="1"/>
      <c r="R918" s="1"/>
      <c r="S918" s="1"/>
      <c r="T918" s="1"/>
      <c r="U918" s="1"/>
      <c r="V918" s="1"/>
      <c r="W918" s="1"/>
      <c r="X918" s="1"/>
      <c r="Y918" s="1"/>
    </row>
    <row r="919" spans="1:25" ht="15.75" customHeight="1" x14ac:dyDescent="0.25">
      <c r="A919" s="1"/>
      <c r="B919" s="1"/>
      <c r="C919" s="15"/>
      <c r="D919" s="17"/>
      <c r="E919" s="1"/>
      <c r="F919" s="17"/>
      <c r="G919" s="1"/>
      <c r="H919" s="1"/>
      <c r="I919" s="17"/>
      <c r="J919" s="17"/>
      <c r="K919" s="1"/>
      <c r="L919" s="1"/>
      <c r="M919" s="1"/>
      <c r="N919" s="1"/>
      <c r="O919" s="1"/>
      <c r="P919" s="1"/>
      <c r="Q919" s="1"/>
      <c r="R919" s="1"/>
      <c r="S919" s="1"/>
      <c r="T919" s="1"/>
      <c r="U919" s="1"/>
      <c r="V919" s="1"/>
      <c r="W919" s="1"/>
      <c r="X919" s="1"/>
      <c r="Y919" s="1"/>
    </row>
    <row r="920" spans="1:25" ht="15.75" customHeight="1" x14ac:dyDescent="0.25">
      <c r="A920" s="1"/>
      <c r="B920" s="1"/>
      <c r="C920" s="15"/>
      <c r="D920" s="17"/>
      <c r="E920" s="1"/>
      <c r="F920" s="17"/>
      <c r="G920" s="1"/>
      <c r="H920" s="1"/>
      <c r="I920" s="17"/>
      <c r="J920" s="17"/>
      <c r="K920" s="1"/>
      <c r="L920" s="1"/>
      <c r="M920" s="1"/>
      <c r="N920" s="1"/>
      <c r="O920" s="1"/>
      <c r="P920" s="1"/>
      <c r="Q920" s="1"/>
      <c r="R920" s="1"/>
      <c r="S920" s="1"/>
      <c r="T920" s="1"/>
      <c r="U920" s="1"/>
      <c r="V920" s="1"/>
      <c r="W920" s="1"/>
      <c r="X920" s="1"/>
      <c r="Y920" s="1"/>
    </row>
    <row r="921" spans="1:25" ht="15.75" customHeight="1" x14ac:dyDescent="0.25">
      <c r="A921" s="1"/>
      <c r="B921" s="1"/>
      <c r="C921" s="15"/>
      <c r="D921" s="17"/>
      <c r="E921" s="1"/>
      <c r="F921" s="17"/>
      <c r="G921" s="1"/>
      <c r="H921" s="1"/>
      <c r="I921" s="17"/>
      <c r="J921" s="17"/>
      <c r="K921" s="1"/>
      <c r="L921" s="1"/>
      <c r="M921" s="1"/>
      <c r="N921" s="1"/>
      <c r="O921" s="1"/>
      <c r="P921" s="1"/>
      <c r="Q921" s="1"/>
      <c r="R921" s="1"/>
      <c r="S921" s="1"/>
      <c r="T921" s="1"/>
      <c r="U921" s="1"/>
      <c r="V921" s="1"/>
      <c r="W921" s="1"/>
      <c r="X921" s="1"/>
      <c r="Y921" s="1"/>
    </row>
    <row r="922" spans="1:25" ht="15.75" customHeight="1" x14ac:dyDescent="0.25">
      <c r="A922" s="1"/>
      <c r="B922" s="1"/>
      <c r="C922" s="15"/>
      <c r="D922" s="17"/>
      <c r="E922" s="1"/>
      <c r="F922" s="17"/>
      <c r="G922" s="1"/>
      <c r="H922" s="1"/>
      <c r="I922" s="17"/>
      <c r="J922" s="17"/>
      <c r="K922" s="1"/>
      <c r="L922" s="1"/>
      <c r="M922" s="1"/>
      <c r="N922" s="1"/>
      <c r="O922" s="1"/>
      <c r="P922" s="1"/>
      <c r="Q922" s="1"/>
      <c r="R922" s="1"/>
      <c r="S922" s="1"/>
      <c r="T922" s="1"/>
      <c r="U922" s="1"/>
      <c r="V922" s="1"/>
      <c r="W922" s="1"/>
      <c r="X922" s="1"/>
      <c r="Y922" s="1"/>
    </row>
    <row r="923" spans="1:25" ht="15.75" customHeight="1" x14ac:dyDescent="0.25">
      <c r="A923" s="1"/>
      <c r="B923" s="1"/>
      <c r="C923" s="15"/>
      <c r="D923" s="17"/>
      <c r="E923" s="1"/>
      <c r="F923" s="17"/>
      <c r="G923" s="1"/>
      <c r="H923" s="1"/>
      <c r="I923" s="17"/>
      <c r="J923" s="17"/>
      <c r="K923" s="1"/>
      <c r="L923" s="1"/>
      <c r="M923" s="1"/>
      <c r="N923" s="1"/>
      <c r="O923" s="1"/>
      <c r="P923" s="1"/>
      <c r="Q923" s="1"/>
      <c r="R923" s="1"/>
      <c r="S923" s="1"/>
      <c r="T923" s="1"/>
      <c r="U923" s="1"/>
      <c r="V923" s="1"/>
      <c r="W923" s="1"/>
      <c r="X923" s="1"/>
      <c r="Y923" s="1"/>
    </row>
    <row r="924" spans="1:25" ht="15.75" customHeight="1" x14ac:dyDescent="0.25">
      <c r="A924" s="1"/>
      <c r="B924" s="1"/>
      <c r="C924" s="15"/>
      <c r="D924" s="17"/>
      <c r="E924" s="1"/>
      <c r="F924" s="17"/>
      <c r="G924" s="1"/>
      <c r="H924" s="1"/>
      <c r="I924" s="17"/>
      <c r="J924" s="17"/>
      <c r="K924" s="1"/>
      <c r="L924" s="1"/>
      <c r="M924" s="1"/>
      <c r="N924" s="1"/>
      <c r="O924" s="1"/>
      <c r="P924" s="1"/>
      <c r="Q924" s="1"/>
      <c r="R924" s="1"/>
      <c r="S924" s="1"/>
      <c r="T924" s="1"/>
      <c r="U924" s="1"/>
      <c r="V924" s="1"/>
      <c r="W924" s="1"/>
      <c r="X924" s="1"/>
      <c r="Y924" s="1"/>
    </row>
    <row r="925" spans="1:25" ht="15.75" customHeight="1" x14ac:dyDescent="0.25">
      <c r="A925" s="1"/>
      <c r="B925" s="1"/>
      <c r="C925" s="15"/>
      <c r="D925" s="17"/>
      <c r="E925" s="1"/>
      <c r="F925" s="17"/>
      <c r="G925" s="1"/>
      <c r="H925" s="1"/>
      <c r="I925" s="17"/>
      <c r="J925" s="17"/>
      <c r="K925" s="1"/>
      <c r="L925" s="1"/>
      <c r="M925" s="1"/>
      <c r="N925" s="1"/>
      <c r="O925" s="1"/>
      <c r="P925" s="1"/>
      <c r="Q925" s="1"/>
      <c r="R925" s="1"/>
      <c r="S925" s="1"/>
      <c r="T925" s="1"/>
      <c r="U925" s="1"/>
      <c r="V925" s="1"/>
      <c r="W925" s="1"/>
      <c r="X925" s="1"/>
      <c r="Y925" s="1"/>
    </row>
    <row r="926" spans="1:25" ht="15.75" customHeight="1" x14ac:dyDescent="0.25">
      <c r="A926" s="1"/>
      <c r="B926" s="1"/>
      <c r="C926" s="15"/>
      <c r="D926" s="17"/>
      <c r="E926" s="1"/>
      <c r="F926" s="17"/>
      <c r="G926" s="1"/>
      <c r="H926" s="1"/>
      <c r="I926" s="17"/>
      <c r="J926" s="17"/>
      <c r="K926" s="1"/>
      <c r="L926" s="1"/>
      <c r="M926" s="1"/>
      <c r="N926" s="1"/>
      <c r="O926" s="1"/>
      <c r="P926" s="1"/>
      <c r="Q926" s="1"/>
      <c r="R926" s="1"/>
      <c r="S926" s="1"/>
      <c r="T926" s="1"/>
      <c r="U926" s="1"/>
      <c r="V926" s="1"/>
      <c r="W926" s="1"/>
      <c r="X926" s="1"/>
      <c r="Y926" s="1"/>
    </row>
    <row r="927" spans="1:25" ht="15.75" customHeight="1" x14ac:dyDescent="0.25">
      <c r="A927" s="1"/>
      <c r="B927" s="1"/>
      <c r="C927" s="15"/>
      <c r="D927" s="17"/>
      <c r="E927" s="1"/>
      <c r="F927" s="17"/>
      <c r="G927" s="1"/>
      <c r="H927" s="1"/>
      <c r="I927" s="17"/>
      <c r="J927" s="17"/>
      <c r="K927" s="1"/>
      <c r="L927" s="1"/>
      <c r="M927" s="1"/>
      <c r="N927" s="1"/>
      <c r="O927" s="1"/>
      <c r="P927" s="1"/>
      <c r="Q927" s="1"/>
      <c r="R927" s="1"/>
      <c r="S927" s="1"/>
      <c r="T927" s="1"/>
      <c r="U927" s="1"/>
      <c r="V927" s="1"/>
      <c r="W927" s="1"/>
      <c r="X927" s="1"/>
      <c r="Y927" s="1"/>
    </row>
    <row r="928" spans="1:25" ht="15.75" customHeight="1" x14ac:dyDescent="0.25">
      <c r="A928" s="1"/>
      <c r="B928" s="1"/>
      <c r="C928" s="15"/>
      <c r="D928" s="17"/>
      <c r="E928" s="1"/>
      <c r="F928" s="17"/>
      <c r="G928" s="1"/>
      <c r="H928" s="1"/>
      <c r="I928" s="17"/>
      <c r="J928" s="17"/>
      <c r="K928" s="1"/>
      <c r="L928" s="1"/>
      <c r="M928" s="1"/>
      <c r="N928" s="1"/>
      <c r="O928" s="1"/>
      <c r="P928" s="1"/>
      <c r="Q928" s="1"/>
      <c r="R928" s="1"/>
      <c r="S928" s="1"/>
      <c r="T928" s="1"/>
      <c r="U928" s="1"/>
      <c r="V928" s="1"/>
      <c r="W928" s="1"/>
      <c r="X928" s="1"/>
      <c r="Y928" s="1"/>
    </row>
    <row r="929" spans="1:25" ht="15.75" customHeight="1" x14ac:dyDescent="0.25">
      <c r="A929" s="1"/>
      <c r="B929" s="1"/>
      <c r="C929" s="15"/>
      <c r="D929" s="17"/>
      <c r="E929" s="1"/>
      <c r="F929" s="17"/>
      <c r="G929" s="1"/>
      <c r="H929" s="1"/>
      <c r="I929" s="17"/>
      <c r="J929" s="17"/>
      <c r="K929" s="1"/>
      <c r="L929" s="1"/>
      <c r="M929" s="1"/>
      <c r="N929" s="1"/>
      <c r="O929" s="1"/>
      <c r="P929" s="1"/>
      <c r="Q929" s="1"/>
      <c r="R929" s="1"/>
      <c r="S929" s="1"/>
      <c r="T929" s="1"/>
      <c r="U929" s="1"/>
      <c r="V929" s="1"/>
      <c r="W929" s="1"/>
      <c r="X929" s="1"/>
      <c r="Y929" s="1"/>
    </row>
    <row r="930" spans="1:25" ht="15.75" customHeight="1" x14ac:dyDescent="0.25">
      <c r="A930" s="1"/>
      <c r="B930" s="1"/>
      <c r="C930" s="15"/>
      <c r="D930" s="17"/>
      <c r="E930" s="1"/>
      <c r="F930" s="17"/>
      <c r="G930" s="1"/>
      <c r="H930" s="1"/>
      <c r="I930" s="17"/>
      <c r="J930" s="17"/>
      <c r="K930" s="1"/>
      <c r="L930" s="1"/>
      <c r="M930" s="1"/>
      <c r="N930" s="1"/>
      <c r="O930" s="1"/>
      <c r="P930" s="1"/>
      <c r="Q930" s="1"/>
      <c r="R930" s="1"/>
      <c r="S930" s="1"/>
      <c r="T930" s="1"/>
      <c r="U930" s="1"/>
      <c r="V930" s="1"/>
      <c r="W930" s="1"/>
      <c r="X930" s="1"/>
      <c r="Y930" s="1"/>
    </row>
    <row r="931" spans="1:25" ht="15.75" customHeight="1" x14ac:dyDescent="0.25">
      <c r="A931" s="1"/>
      <c r="B931" s="1"/>
      <c r="C931" s="15"/>
      <c r="D931" s="17"/>
      <c r="E931" s="1"/>
      <c r="F931" s="17"/>
      <c r="G931" s="1"/>
      <c r="H931" s="1"/>
      <c r="I931" s="17"/>
      <c r="J931" s="17"/>
      <c r="K931" s="1"/>
      <c r="L931" s="1"/>
      <c r="M931" s="1"/>
      <c r="N931" s="1"/>
      <c r="O931" s="1"/>
      <c r="P931" s="1"/>
      <c r="Q931" s="1"/>
      <c r="R931" s="1"/>
      <c r="S931" s="1"/>
      <c r="T931" s="1"/>
      <c r="U931" s="1"/>
      <c r="V931" s="1"/>
      <c r="W931" s="1"/>
      <c r="X931" s="1"/>
      <c r="Y931" s="1"/>
    </row>
    <row r="932" spans="1:25" ht="15.75" customHeight="1" x14ac:dyDescent="0.25">
      <c r="A932" s="1"/>
      <c r="B932" s="1"/>
      <c r="C932" s="15"/>
      <c r="D932" s="17"/>
      <c r="E932" s="1"/>
      <c r="F932" s="17"/>
      <c r="G932" s="1"/>
      <c r="H932" s="1"/>
      <c r="I932" s="17"/>
      <c r="J932" s="17"/>
      <c r="K932" s="1"/>
      <c r="L932" s="1"/>
      <c r="M932" s="1"/>
      <c r="N932" s="1"/>
      <c r="O932" s="1"/>
      <c r="P932" s="1"/>
      <c r="Q932" s="1"/>
      <c r="R932" s="1"/>
      <c r="S932" s="1"/>
      <c r="T932" s="1"/>
      <c r="U932" s="1"/>
      <c r="V932" s="1"/>
      <c r="W932" s="1"/>
      <c r="X932" s="1"/>
      <c r="Y932" s="1"/>
    </row>
    <row r="933" spans="1:25" ht="15.75" customHeight="1" x14ac:dyDescent="0.25">
      <c r="A933" s="1"/>
      <c r="B933" s="1"/>
      <c r="C933" s="15"/>
      <c r="D933" s="17"/>
      <c r="E933" s="1"/>
      <c r="F933" s="17"/>
      <c r="G933" s="1"/>
      <c r="H933" s="1"/>
      <c r="I933" s="17"/>
      <c r="J933" s="17"/>
      <c r="K933" s="1"/>
      <c r="L933" s="1"/>
      <c r="M933" s="1"/>
      <c r="N933" s="1"/>
      <c r="O933" s="1"/>
      <c r="P933" s="1"/>
      <c r="Q933" s="1"/>
      <c r="R933" s="1"/>
      <c r="S933" s="1"/>
      <c r="T933" s="1"/>
      <c r="U933" s="1"/>
      <c r="V933" s="1"/>
      <c r="W933" s="1"/>
      <c r="X933" s="1"/>
      <c r="Y933" s="1"/>
    </row>
    <row r="934" spans="1:25" ht="15.75" customHeight="1" x14ac:dyDescent="0.25">
      <c r="A934" s="1"/>
      <c r="B934" s="1"/>
      <c r="C934" s="15"/>
      <c r="D934" s="17"/>
      <c r="E934" s="1"/>
      <c r="F934" s="17"/>
      <c r="G934" s="1"/>
      <c r="H934" s="1"/>
      <c r="I934" s="17"/>
      <c r="J934" s="17"/>
      <c r="K934" s="1"/>
      <c r="L934" s="1"/>
      <c r="M934" s="1"/>
      <c r="N934" s="1"/>
      <c r="O934" s="1"/>
      <c r="P934" s="1"/>
      <c r="Q934" s="1"/>
      <c r="R934" s="1"/>
      <c r="S934" s="1"/>
      <c r="T934" s="1"/>
      <c r="U934" s="1"/>
      <c r="V934" s="1"/>
      <c r="W934" s="1"/>
      <c r="X934" s="1"/>
      <c r="Y934" s="1"/>
    </row>
    <row r="935" spans="1:25" ht="15.75" customHeight="1" x14ac:dyDescent="0.25">
      <c r="A935" s="1"/>
      <c r="B935" s="1"/>
      <c r="C935" s="15"/>
      <c r="D935" s="17"/>
      <c r="E935" s="1"/>
      <c r="F935" s="17"/>
      <c r="G935" s="1"/>
      <c r="H935" s="1"/>
      <c r="I935" s="17"/>
      <c r="J935" s="17"/>
      <c r="K935" s="1"/>
      <c r="L935" s="1"/>
      <c r="M935" s="1"/>
      <c r="N935" s="1"/>
      <c r="O935" s="1"/>
      <c r="P935" s="1"/>
      <c r="Q935" s="1"/>
      <c r="R935" s="1"/>
      <c r="S935" s="1"/>
      <c r="T935" s="1"/>
      <c r="U935" s="1"/>
      <c r="V935" s="1"/>
      <c r="W935" s="1"/>
      <c r="X935" s="1"/>
      <c r="Y935" s="1"/>
    </row>
    <row r="936" spans="1:25" ht="15.75" customHeight="1" x14ac:dyDescent="0.25">
      <c r="A936" s="1"/>
      <c r="B936" s="1"/>
      <c r="C936" s="15"/>
      <c r="D936" s="17"/>
      <c r="E936" s="1"/>
      <c r="F936" s="17"/>
      <c r="G936" s="1"/>
      <c r="H936" s="1"/>
      <c r="I936" s="17"/>
      <c r="J936" s="17"/>
      <c r="K936" s="1"/>
      <c r="L936" s="1"/>
      <c r="M936" s="1"/>
      <c r="N936" s="1"/>
      <c r="O936" s="1"/>
      <c r="P936" s="1"/>
      <c r="Q936" s="1"/>
      <c r="R936" s="1"/>
      <c r="S936" s="1"/>
      <c r="T936" s="1"/>
      <c r="U936" s="1"/>
      <c r="V936" s="1"/>
      <c r="W936" s="1"/>
      <c r="X936" s="1"/>
      <c r="Y936" s="1"/>
    </row>
    <row r="937" spans="1:25" ht="15.75" customHeight="1" x14ac:dyDescent="0.25">
      <c r="A937" s="1"/>
      <c r="B937" s="1"/>
      <c r="C937" s="15"/>
      <c r="D937" s="17"/>
      <c r="E937" s="1"/>
      <c r="F937" s="17"/>
      <c r="G937" s="1"/>
      <c r="H937" s="1"/>
      <c r="I937" s="17"/>
      <c r="J937" s="17"/>
      <c r="K937" s="1"/>
      <c r="L937" s="1"/>
      <c r="M937" s="1"/>
      <c r="N937" s="1"/>
      <c r="O937" s="1"/>
      <c r="P937" s="1"/>
      <c r="Q937" s="1"/>
      <c r="R937" s="1"/>
      <c r="S937" s="1"/>
      <c r="T937" s="1"/>
      <c r="U937" s="1"/>
      <c r="V937" s="1"/>
      <c r="W937" s="1"/>
      <c r="X937" s="1"/>
      <c r="Y937" s="1"/>
    </row>
    <row r="938" spans="1:25" ht="15.75" customHeight="1" x14ac:dyDescent="0.25">
      <c r="A938" s="1"/>
      <c r="B938" s="1"/>
      <c r="C938" s="15"/>
      <c r="D938" s="17"/>
      <c r="E938" s="1"/>
      <c r="F938" s="17"/>
      <c r="G938" s="1"/>
      <c r="H938" s="1"/>
      <c r="I938" s="17"/>
      <c r="J938" s="17"/>
      <c r="K938" s="1"/>
      <c r="L938" s="1"/>
      <c r="M938" s="1"/>
      <c r="N938" s="1"/>
      <c r="O938" s="1"/>
      <c r="P938" s="1"/>
      <c r="Q938" s="1"/>
      <c r="R938" s="1"/>
      <c r="S938" s="1"/>
      <c r="T938" s="1"/>
      <c r="U938" s="1"/>
      <c r="V938" s="1"/>
      <c r="W938" s="1"/>
      <c r="X938" s="1"/>
      <c r="Y938" s="1"/>
    </row>
    <row r="939" spans="1:25" ht="15.75" customHeight="1" x14ac:dyDescent="0.25">
      <c r="A939" s="1"/>
      <c r="B939" s="1"/>
      <c r="C939" s="15"/>
      <c r="D939" s="17"/>
      <c r="E939" s="1"/>
      <c r="F939" s="17"/>
      <c r="G939" s="1"/>
      <c r="H939" s="1"/>
      <c r="I939" s="17"/>
      <c r="J939" s="17"/>
      <c r="K939" s="1"/>
      <c r="L939" s="1"/>
      <c r="M939" s="1"/>
      <c r="N939" s="1"/>
      <c r="O939" s="1"/>
      <c r="P939" s="1"/>
      <c r="Q939" s="1"/>
      <c r="R939" s="1"/>
      <c r="S939" s="1"/>
      <c r="T939" s="1"/>
      <c r="U939" s="1"/>
      <c r="V939" s="1"/>
      <c r="W939" s="1"/>
      <c r="X939" s="1"/>
      <c r="Y939" s="1"/>
    </row>
    <row r="940" spans="1:25" ht="15.75" customHeight="1" x14ac:dyDescent="0.25">
      <c r="A940" s="1"/>
      <c r="B940" s="1"/>
      <c r="C940" s="15"/>
      <c r="D940" s="17"/>
      <c r="E940" s="1"/>
      <c r="F940" s="17"/>
      <c r="G940" s="1"/>
      <c r="H940" s="1"/>
      <c r="I940" s="17"/>
      <c r="J940" s="17"/>
      <c r="K940" s="1"/>
      <c r="L940" s="1"/>
      <c r="M940" s="1"/>
      <c r="N940" s="1"/>
      <c r="O940" s="1"/>
      <c r="P940" s="1"/>
      <c r="Q940" s="1"/>
      <c r="R940" s="1"/>
      <c r="S940" s="1"/>
      <c r="T940" s="1"/>
      <c r="U940" s="1"/>
      <c r="V940" s="1"/>
      <c r="W940" s="1"/>
      <c r="X940" s="1"/>
      <c r="Y940" s="1"/>
    </row>
    <row r="941" spans="1:25" ht="15.75" customHeight="1" x14ac:dyDescent="0.25">
      <c r="A941" s="1"/>
      <c r="B941" s="1"/>
      <c r="C941" s="15"/>
      <c r="D941" s="17"/>
      <c r="E941" s="1"/>
      <c r="F941" s="17"/>
      <c r="G941" s="1"/>
      <c r="H941" s="1"/>
      <c r="I941" s="17"/>
      <c r="J941" s="17"/>
      <c r="K941" s="1"/>
      <c r="L941" s="1"/>
      <c r="M941" s="1"/>
      <c r="N941" s="1"/>
      <c r="O941" s="1"/>
      <c r="P941" s="1"/>
      <c r="Q941" s="1"/>
      <c r="R941" s="1"/>
      <c r="S941" s="1"/>
      <c r="T941" s="1"/>
      <c r="U941" s="1"/>
      <c r="V941" s="1"/>
      <c r="W941" s="1"/>
      <c r="X941" s="1"/>
      <c r="Y941" s="1"/>
    </row>
    <row r="942" spans="1:25" ht="15.75" customHeight="1" x14ac:dyDescent="0.25">
      <c r="A942" s="1"/>
      <c r="B942" s="1"/>
      <c r="C942" s="15"/>
      <c r="D942" s="17"/>
      <c r="E942" s="1"/>
      <c r="F942" s="17"/>
      <c r="G942" s="1"/>
      <c r="H942" s="1"/>
      <c r="I942" s="17"/>
      <c r="J942" s="17"/>
      <c r="K942" s="1"/>
      <c r="L942" s="1"/>
      <c r="M942" s="1"/>
      <c r="N942" s="1"/>
      <c r="O942" s="1"/>
      <c r="P942" s="1"/>
      <c r="Q942" s="1"/>
      <c r="R942" s="1"/>
      <c r="S942" s="1"/>
      <c r="T942" s="1"/>
      <c r="U942" s="1"/>
      <c r="V942" s="1"/>
      <c r="W942" s="1"/>
      <c r="X942" s="1"/>
      <c r="Y942" s="1"/>
    </row>
    <row r="943" spans="1:25" ht="15.75" customHeight="1" x14ac:dyDescent="0.25">
      <c r="A943" s="1"/>
      <c r="B943" s="1"/>
      <c r="C943" s="15"/>
      <c r="D943" s="17"/>
      <c r="E943" s="1"/>
      <c r="F943" s="17"/>
      <c r="G943" s="1"/>
      <c r="H943" s="1"/>
      <c r="I943" s="17"/>
      <c r="J943" s="17"/>
      <c r="K943" s="1"/>
      <c r="L943" s="1"/>
      <c r="M943" s="1"/>
      <c r="N943" s="1"/>
      <c r="O943" s="1"/>
      <c r="P943" s="1"/>
      <c r="Q943" s="1"/>
      <c r="R943" s="1"/>
      <c r="S943" s="1"/>
      <c r="T943" s="1"/>
      <c r="U943" s="1"/>
      <c r="V943" s="1"/>
      <c r="W943" s="1"/>
      <c r="X943" s="1"/>
      <c r="Y943" s="1"/>
    </row>
    <row r="944" spans="1:25" ht="15.75" customHeight="1" x14ac:dyDescent="0.25">
      <c r="A944" s="1"/>
      <c r="B944" s="1"/>
      <c r="C944" s="15"/>
      <c r="D944" s="17"/>
      <c r="E944" s="1"/>
      <c r="F944" s="17"/>
      <c r="G944" s="1"/>
      <c r="H944" s="1"/>
      <c r="I944" s="17"/>
      <c r="J944" s="17"/>
      <c r="K944" s="1"/>
      <c r="L944" s="1"/>
      <c r="M944" s="1"/>
      <c r="N944" s="1"/>
      <c r="O944" s="1"/>
      <c r="P944" s="1"/>
      <c r="Q944" s="1"/>
      <c r="R944" s="1"/>
      <c r="S944" s="1"/>
      <c r="T944" s="1"/>
      <c r="U944" s="1"/>
      <c r="V944" s="1"/>
      <c r="W944" s="1"/>
      <c r="X944" s="1"/>
      <c r="Y944" s="1"/>
    </row>
    <row r="945" spans="1:25" ht="15.75" customHeight="1" x14ac:dyDescent="0.25">
      <c r="A945" s="1"/>
      <c r="B945" s="1"/>
      <c r="C945" s="15"/>
      <c r="D945" s="17"/>
      <c r="E945" s="1"/>
      <c r="F945" s="17"/>
      <c r="G945" s="1"/>
      <c r="H945" s="1"/>
      <c r="I945" s="17"/>
      <c r="J945" s="17"/>
      <c r="K945" s="1"/>
      <c r="L945" s="1"/>
      <c r="M945" s="1"/>
      <c r="N945" s="1"/>
      <c r="O945" s="1"/>
      <c r="P945" s="1"/>
      <c r="Q945" s="1"/>
      <c r="R945" s="1"/>
      <c r="S945" s="1"/>
      <c r="T945" s="1"/>
      <c r="U945" s="1"/>
      <c r="V945" s="1"/>
      <c r="W945" s="1"/>
      <c r="X945" s="1"/>
      <c r="Y945" s="1"/>
    </row>
    <row r="946" spans="1:25" ht="15.75" customHeight="1" x14ac:dyDescent="0.25">
      <c r="A946" s="1"/>
      <c r="B946" s="1"/>
      <c r="C946" s="15"/>
      <c r="D946" s="17"/>
      <c r="E946" s="1"/>
      <c r="F946" s="17"/>
      <c r="G946" s="1"/>
      <c r="H946" s="1"/>
      <c r="I946" s="17"/>
      <c r="J946" s="17"/>
      <c r="K946" s="1"/>
      <c r="L946" s="1"/>
      <c r="M946" s="1"/>
      <c r="N946" s="1"/>
      <c r="O946" s="1"/>
      <c r="P946" s="1"/>
      <c r="Q946" s="1"/>
      <c r="R946" s="1"/>
      <c r="S946" s="1"/>
      <c r="T946" s="1"/>
      <c r="U946" s="1"/>
      <c r="V946" s="1"/>
      <c r="W946" s="1"/>
      <c r="X946" s="1"/>
      <c r="Y946" s="1"/>
    </row>
    <row r="947" spans="1:25" ht="15.75" customHeight="1" x14ac:dyDescent="0.25">
      <c r="A947" s="1"/>
      <c r="B947" s="1"/>
      <c r="C947" s="15"/>
      <c r="D947" s="17"/>
      <c r="E947" s="1"/>
      <c r="F947" s="17"/>
      <c r="G947" s="1"/>
      <c r="H947" s="1"/>
      <c r="I947" s="17"/>
      <c r="J947" s="17"/>
      <c r="K947" s="1"/>
      <c r="L947" s="1"/>
      <c r="M947" s="1"/>
      <c r="N947" s="1"/>
      <c r="O947" s="1"/>
      <c r="P947" s="1"/>
      <c r="Q947" s="1"/>
      <c r="R947" s="1"/>
      <c r="S947" s="1"/>
      <c r="T947" s="1"/>
      <c r="U947" s="1"/>
      <c r="V947" s="1"/>
      <c r="W947" s="1"/>
      <c r="X947" s="1"/>
      <c r="Y947" s="1"/>
    </row>
    <row r="948" spans="1:25" ht="15.75" customHeight="1" x14ac:dyDescent="0.25">
      <c r="A948" s="1"/>
      <c r="B948" s="1"/>
      <c r="C948" s="15"/>
      <c r="D948" s="17"/>
      <c r="E948" s="1"/>
      <c r="F948" s="17"/>
      <c r="G948" s="1"/>
      <c r="H948" s="1"/>
      <c r="I948" s="17"/>
      <c r="J948" s="17"/>
      <c r="K948" s="1"/>
      <c r="L948" s="1"/>
      <c r="M948" s="1"/>
      <c r="N948" s="1"/>
      <c r="O948" s="1"/>
      <c r="P948" s="1"/>
      <c r="Q948" s="1"/>
      <c r="R948" s="1"/>
      <c r="S948" s="1"/>
      <c r="T948" s="1"/>
      <c r="U948" s="1"/>
      <c r="V948" s="1"/>
      <c r="W948" s="1"/>
      <c r="X948" s="1"/>
      <c r="Y948" s="1"/>
    </row>
    <row r="949" spans="1:25" ht="15.75" customHeight="1" x14ac:dyDescent="0.25">
      <c r="A949" s="1"/>
      <c r="B949" s="1"/>
      <c r="C949" s="15"/>
      <c r="D949" s="17"/>
      <c r="E949" s="1"/>
      <c r="F949" s="17"/>
      <c r="G949" s="1"/>
      <c r="H949" s="1"/>
      <c r="I949" s="17"/>
      <c r="J949" s="17"/>
      <c r="K949" s="1"/>
      <c r="L949" s="1"/>
      <c r="M949" s="1"/>
      <c r="N949" s="1"/>
      <c r="O949" s="1"/>
      <c r="P949" s="1"/>
      <c r="Q949" s="1"/>
      <c r="R949" s="1"/>
      <c r="S949" s="1"/>
      <c r="T949" s="1"/>
      <c r="U949" s="1"/>
      <c r="V949" s="1"/>
      <c r="W949" s="1"/>
      <c r="X949" s="1"/>
      <c r="Y949" s="1"/>
    </row>
    <row r="950" spans="1:25" ht="15.75" customHeight="1" x14ac:dyDescent="0.25">
      <c r="A950" s="1"/>
      <c r="B950" s="1"/>
      <c r="C950" s="15"/>
      <c r="D950" s="17"/>
      <c r="E950" s="1"/>
      <c r="F950" s="17"/>
      <c r="G950" s="1"/>
      <c r="H950" s="1"/>
      <c r="I950" s="17"/>
      <c r="J950" s="17"/>
      <c r="K950" s="1"/>
      <c r="L950" s="1"/>
      <c r="M950" s="1"/>
      <c r="N950" s="1"/>
      <c r="O950" s="1"/>
      <c r="P950" s="1"/>
      <c r="Q950" s="1"/>
      <c r="R950" s="1"/>
      <c r="S950" s="1"/>
      <c r="T950" s="1"/>
      <c r="U950" s="1"/>
      <c r="V950" s="1"/>
      <c r="W950" s="1"/>
      <c r="X950" s="1"/>
      <c r="Y950" s="1"/>
    </row>
    <row r="951" spans="1:25" ht="15.75" customHeight="1" x14ac:dyDescent="0.25">
      <c r="A951" s="1"/>
      <c r="B951" s="1"/>
      <c r="C951" s="15"/>
      <c r="D951" s="17"/>
      <c r="E951" s="1"/>
      <c r="F951" s="17"/>
      <c r="G951" s="1"/>
      <c r="H951" s="1"/>
      <c r="I951" s="17"/>
      <c r="J951" s="17"/>
      <c r="K951" s="1"/>
      <c r="L951" s="1"/>
      <c r="M951" s="1"/>
      <c r="N951" s="1"/>
      <c r="O951" s="1"/>
      <c r="P951" s="1"/>
      <c r="Q951" s="1"/>
      <c r="R951" s="1"/>
      <c r="S951" s="1"/>
      <c r="T951" s="1"/>
      <c r="U951" s="1"/>
      <c r="V951" s="1"/>
      <c r="W951" s="1"/>
      <c r="X951" s="1"/>
      <c r="Y951" s="1"/>
    </row>
    <row r="952" spans="1:25" ht="15.75" customHeight="1" x14ac:dyDescent="0.25">
      <c r="A952" s="1"/>
      <c r="B952" s="1"/>
      <c r="C952" s="15"/>
      <c r="D952" s="17"/>
      <c r="E952" s="1"/>
      <c r="F952" s="17"/>
      <c r="G952" s="1"/>
      <c r="H952" s="1"/>
      <c r="I952" s="17"/>
      <c r="J952" s="17"/>
      <c r="K952" s="1"/>
      <c r="L952" s="1"/>
      <c r="M952" s="1"/>
      <c r="N952" s="1"/>
      <c r="O952" s="1"/>
      <c r="P952" s="1"/>
      <c r="Q952" s="1"/>
      <c r="R952" s="1"/>
      <c r="S952" s="1"/>
      <c r="T952" s="1"/>
      <c r="U952" s="1"/>
      <c r="V952" s="1"/>
      <c r="W952" s="1"/>
      <c r="X952" s="1"/>
      <c r="Y952" s="1"/>
    </row>
    <row r="953" spans="1:25" ht="15.75" customHeight="1" x14ac:dyDescent="0.25">
      <c r="A953" s="1"/>
      <c r="B953" s="1"/>
      <c r="C953" s="15"/>
      <c r="D953" s="17"/>
      <c r="E953" s="1"/>
      <c r="F953" s="17"/>
      <c r="G953" s="1"/>
      <c r="H953" s="1"/>
      <c r="I953" s="17"/>
      <c r="J953" s="17"/>
      <c r="K953" s="1"/>
      <c r="L953" s="1"/>
      <c r="M953" s="1"/>
      <c r="N953" s="1"/>
      <c r="O953" s="1"/>
      <c r="P953" s="1"/>
      <c r="Q953" s="1"/>
      <c r="R953" s="1"/>
      <c r="S953" s="1"/>
      <c r="T953" s="1"/>
      <c r="U953" s="1"/>
      <c r="V953" s="1"/>
      <c r="W953" s="1"/>
      <c r="X953" s="1"/>
      <c r="Y953" s="1"/>
    </row>
    <row r="954" spans="1:25" ht="15.75" customHeight="1" x14ac:dyDescent="0.25">
      <c r="A954" s="1"/>
      <c r="B954" s="1"/>
      <c r="C954" s="15"/>
      <c r="D954" s="17"/>
      <c r="E954" s="1"/>
      <c r="F954" s="17"/>
      <c r="G954" s="1"/>
      <c r="H954" s="1"/>
      <c r="I954" s="17"/>
      <c r="J954" s="17"/>
      <c r="K954" s="1"/>
      <c r="L954" s="1"/>
      <c r="M954" s="1"/>
      <c r="N954" s="1"/>
      <c r="O954" s="1"/>
      <c r="P954" s="1"/>
      <c r="Q954" s="1"/>
      <c r="R954" s="1"/>
      <c r="S954" s="1"/>
      <c r="T954" s="1"/>
      <c r="U954" s="1"/>
      <c r="V954" s="1"/>
      <c r="W954" s="1"/>
      <c r="X954" s="1"/>
      <c r="Y954" s="1"/>
    </row>
    <row r="955" spans="1:25" ht="15.75" customHeight="1" x14ac:dyDescent="0.25">
      <c r="A955" s="1"/>
      <c r="B955" s="1"/>
      <c r="C955" s="15"/>
      <c r="D955" s="17"/>
      <c r="E955" s="1"/>
      <c r="F955" s="17"/>
      <c r="G955" s="1"/>
      <c r="H955" s="1"/>
      <c r="I955" s="17"/>
      <c r="J955" s="17"/>
      <c r="K955" s="1"/>
      <c r="L955" s="1"/>
      <c r="M955" s="1"/>
      <c r="N955" s="1"/>
      <c r="O955" s="1"/>
      <c r="P955" s="1"/>
      <c r="Q955" s="1"/>
      <c r="R955" s="1"/>
      <c r="S955" s="1"/>
      <c r="T955" s="1"/>
      <c r="U955" s="1"/>
      <c r="V955" s="1"/>
      <c r="W955" s="1"/>
      <c r="X955" s="1"/>
      <c r="Y955" s="1"/>
    </row>
    <row r="956" spans="1:25" ht="15.75" customHeight="1" x14ac:dyDescent="0.25">
      <c r="A956" s="1"/>
      <c r="B956" s="1"/>
      <c r="C956" s="15"/>
      <c r="D956" s="17"/>
      <c r="E956" s="1"/>
      <c r="F956" s="17"/>
      <c r="G956" s="1"/>
      <c r="H956" s="1"/>
      <c r="I956" s="17"/>
      <c r="J956" s="17"/>
      <c r="K956" s="1"/>
      <c r="L956" s="1"/>
      <c r="M956" s="1"/>
      <c r="N956" s="1"/>
      <c r="O956" s="1"/>
      <c r="P956" s="1"/>
      <c r="Q956" s="1"/>
      <c r="R956" s="1"/>
      <c r="S956" s="1"/>
      <c r="T956" s="1"/>
      <c r="U956" s="1"/>
      <c r="V956" s="1"/>
      <c r="W956" s="1"/>
      <c r="X956" s="1"/>
      <c r="Y956" s="1"/>
    </row>
    <row r="957" spans="1:25" ht="15.75" customHeight="1" x14ac:dyDescent="0.25">
      <c r="A957" s="1"/>
      <c r="B957" s="1"/>
      <c r="C957" s="15"/>
      <c r="D957" s="17"/>
      <c r="E957" s="1"/>
      <c r="F957" s="17"/>
      <c r="G957" s="1"/>
      <c r="H957" s="1"/>
      <c r="I957" s="17"/>
      <c r="J957" s="17"/>
      <c r="K957" s="1"/>
      <c r="L957" s="1"/>
      <c r="M957" s="1"/>
      <c r="N957" s="1"/>
      <c r="O957" s="1"/>
      <c r="P957" s="1"/>
      <c r="Q957" s="1"/>
      <c r="R957" s="1"/>
      <c r="S957" s="1"/>
      <c r="T957" s="1"/>
      <c r="U957" s="1"/>
      <c r="V957" s="1"/>
      <c r="W957" s="1"/>
      <c r="X957" s="1"/>
      <c r="Y957" s="1"/>
    </row>
    <row r="958" spans="1:25" ht="15.75" customHeight="1" x14ac:dyDescent="0.25">
      <c r="A958" s="1"/>
      <c r="B958" s="1"/>
      <c r="C958" s="15"/>
      <c r="D958" s="17"/>
      <c r="E958" s="1"/>
      <c r="F958" s="17"/>
      <c r="G958" s="1"/>
      <c r="H958" s="1"/>
      <c r="I958" s="17"/>
      <c r="J958" s="17"/>
      <c r="K958" s="1"/>
      <c r="L958" s="1"/>
      <c r="M958" s="1"/>
      <c r="N958" s="1"/>
      <c r="O958" s="1"/>
      <c r="P958" s="1"/>
      <c r="Q958" s="1"/>
      <c r="R958" s="1"/>
      <c r="S958" s="1"/>
      <c r="T958" s="1"/>
      <c r="U958" s="1"/>
      <c r="V958" s="1"/>
      <c r="W958" s="1"/>
      <c r="X958" s="1"/>
      <c r="Y958" s="1"/>
    </row>
    <row r="959" spans="1:25" ht="15.75" customHeight="1" x14ac:dyDescent="0.25">
      <c r="A959" s="1"/>
      <c r="B959" s="1"/>
      <c r="C959" s="15"/>
      <c r="D959" s="17"/>
      <c r="E959" s="1"/>
      <c r="F959" s="17"/>
      <c r="G959" s="1"/>
      <c r="H959" s="1"/>
      <c r="I959" s="17"/>
      <c r="J959" s="17"/>
      <c r="K959" s="1"/>
      <c r="L959" s="1"/>
      <c r="M959" s="1"/>
      <c r="N959" s="1"/>
      <c r="O959" s="1"/>
      <c r="P959" s="1"/>
      <c r="Q959" s="1"/>
      <c r="R959" s="1"/>
      <c r="S959" s="1"/>
      <c r="T959" s="1"/>
      <c r="U959" s="1"/>
      <c r="V959" s="1"/>
      <c r="W959" s="1"/>
      <c r="X959" s="1"/>
      <c r="Y959" s="1"/>
    </row>
    <row r="960" spans="1:25" ht="15.75" customHeight="1" x14ac:dyDescent="0.25">
      <c r="A960" s="1"/>
      <c r="B960" s="1"/>
      <c r="C960" s="15"/>
      <c r="D960" s="17"/>
      <c r="E960" s="1"/>
      <c r="F960" s="17"/>
      <c r="G960" s="1"/>
      <c r="H960" s="1"/>
      <c r="I960" s="17"/>
      <c r="J960" s="17"/>
      <c r="K960" s="1"/>
      <c r="L960" s="1"/>
      <c r="M960" s="1"/>
      <c r="N960" s="1"/>
      <c r="O960" s="1"/>
      <c r="P960" s="1"/>
      <c r="Q960" s="1"/>
      <c r="R960" s="1"/>
      <c r="S960" s="1"/>
      <c r="T960" s="1"/>
      <c r="U960" s="1"/>
      <c r="V960" s="1"/>
      <c r="W960" s="1"/>
      <c r="X960" s="1"/>
      <c r="Y960" s="1"/>
    </row>
    <row r="961" spans="1:25" ht="15.75" customHeight="1" x14ac:dyDescent="0.25">
      <c r="A961" s="1"/>
      <c r="B961" s="1"/>
      <c r="C961" s="15"/>
      <c r="D961" s="17"/>
      <c r="E961" s="1"/>
      <c r="F961" s="17"/>
      <c r="G961" s="1"/>
      <c r="H961" s="1"/>
      <c r="I961" s="17"/>
      <c r="J961" s="17"/>
      <c r="K961" s="1"/>
      <c r="L961" s="1"/>
      <c r="M961" s="1"/>
      <c r="N961" s="1"/>
      <c r="O961" s="1"/>
      <c r="P961" s="1"/>
      <c r="Q961" s="1"/>
      <c r="R961" s="1"/>
      <c r="S961" s="1"/>
      <c r="T961" s="1"/>
      <c r="U961" s="1"/>
      <c r="V961" s="1"/>
      <c r="W961" s="1"/>
      <c r="X961" s="1"/>
      <c r="Y961" s="1"/>
    </row>
    <row r="962" spans="1:25" ht="15.75" customHeight="1" x14ac:dyDescent="0.25">
      <c r="A962" s="1"/>
      <c r="B962" s="1"/>
      <c r="C962" s="15"/>
      <c r="D962" s="17"/>
      <c r="E962" s="1"/>
      <c r="F962" s="17"/>
      <c r="G962" s="1"/>
      <c r="H962" s="1"/>
      <c r="I962" s="17"/>
      <c r="J962" s="17"/>
      <c r="K962" s="1"/>
      <c r="L962" s="1"/>
      <c r="M962" s="1"/>
      <c r="N962" s="1"/>
      <c r="O962" s="1"/>
      <c r="P962" s="1"/>
      <c r="Q962" s="1"/>
      <c r="R962" s="1"/>
      <c r="S962" s="1"/>
      <c r="T962" s="1"/>
      <c r="U962" s="1"/>
      <c r="V962" s="1"/>
      <c r="W962" s="1"/>
      <c r="X962" s="1"/>
      <c r="Y962" s="1"/>
    </row>
    <row r="963" spans="1:25" ht="15.75" customHeight="1" x14ac:dyDescent="0.25">
      <c r="A963" s="1"/>
      <c r="B963" s="1"/>
      <c r="C963" s="15"/>
      <c r="D963" s="17"/>
      <c r="E963" s="1"/>
      <c r="F963" s="17"/>
      <c r="G963" s="1"/>
      <c r="H963" s="1"/>
      <c r="I963" s="17"/>
      <c r="J963" s="17"/>
      <c r="K963" s="1"/>
      <c r="L963" s="1"/>
      <c r="M963" s="1"/>
      <c r="N963" s="1"/>
      <c r="O963" s="1"/>
      <c r="P963" s="1"/>
      <c r="Q963" s="1"/>
      <c r="R963" s="1"/>
      <c r="S963" s="1"/>
      <c r="T963" s="1"/>
      <c r="U963" s="1"/>
      <c r="V963" s="1"/>
      <c r="W963" s="1"/>
      <c r="X963" s="1"/>
      <c r="Y963" s="1"/>
    </row>
    <row r="964" spans="1:25" ht="15.75" customHeight="1" x14ac:dyDescent="0.25">
      <c r="A964" s="1"/>
      <c r="B964" s="1"/>
      <c r="C964" s="15"/>
      <c r="D964" s="17"/>
      <c r="E964" s="1"/>
      <c r="F964" s="17"/>
      <c r="G964" s="1"/>
      <c r="H964" s="1"/>
      <c r="I964" s="17"/>
      <c r="J964" s="17"/>
      <c r="K964" s="1"/>
      <c r="L964" s="1"/>
      <c r="M964" s="1"/>
      <c r="N964" s="1"/>
      <c r="O964" s="1"/>
      <c r="P964" s="1"/>
      <c r="Q964" s="1"/>
      <c r="R964" s="1"/>
      <c r="S964" s="1"/>
      <c r="T964" s="1"/>
      <c r="U964" s="1"/>
      <c r="V964" s="1"/>
      <c r="W964" s="1"/>
      <c r="X964" s="1"/>
      <c r="Y964" s="1"/>
    </row>
    <row r="965" spans="1:25" ht="15.75" customHeight="1" x14ac:dyDescent="0.25">
      <c r="A965" s="1"/>
      <c r="B965" s="1"/>
      <c r="C965" s="15"/>
      <c r="D965" s="17"/>
      <c r="E965" s="1"/>
      <c r="F965" s="17"/>
      <c r="G965" s="1"/>
      <c r="H965" s="1"/>
      <c r="I965" s="17"/>
      <c r="J965" s="17"/>
      <c r="K965" s="1"/>
      <c r="L965" s="1"/>
      <c r="M965" s="1"/>
      <c r="N965" s="1"/>
      <c r="O965" s="1"/>
      <c r="P965" s="1"/>
      <c r="Q965" s="1"/>
      <c r="R965" s="1"/>
      <c r="S965" s="1"/>
      <c r="T965" s="1"/>
      <c r="U965" s="1"/>
      <c r="V965" s="1"/>
      <c r="W965" s="1"/>
      <c r="X965" s="1"/>
      <c r="Y965" s="1"/>
    </row>
    <row r="966" spans="1:25" ht="15.75" customHeight="1" x14ac:dyDescent="0.25">
      <c r="A966" s="1"/>
      <c r="B966" s="1"/>
      <c r="C966" s="15"/>
      <c r="D966" s="17"/>
      <c r="E966" s="1"/>
      <c r="F966" s="17"/>
      <c r="G966" s="1"/>
      <c r="H966" s="1"/>
      <c r="I966" s="17"/>
      <c r="J966" s="17"/>
      <c r="K966" s="1"/>
      <c r="L966" s="1"/>
      <c r="M966" s="1"/>
      <c r="N966" s="1"/>
      <c r="O966" s="1"/>
      <c r="P966" s="1"/>
      <c r="Q966" s="1"/>
      <c r="R966" s="1"/>
      <c r="S966" s="1"/>
      <c r="T966" s="1"/>
      <c r="U966" s="1"/>
      <c r="V966" s="1"/>
      <c r="W966" s="1"/>
      <c r="X966" s="1"/>
      <c r="Y966" s="1"/>
    </row>
    <row r="967" spans="1:25" ht="15.75" customHeight="1" x14ac:dyDescent="0.25">
      <c r="A967" s="1"/>
      <c r="B967" s="1"/>
      <c r="C967" s="15"/>
      <c r="D967" s="17"/>
      <c r="E967" s="1"/>
      <c r="F967" s="17"/>
      <c r="G967" s="1"/>
      <c r="H967" s="1"/>
      <c r="I967" s="17"/>
      <c r="J967" s="17"/>
      <c r="K967" s="1"/>
      <c r="L967" s="1"/>
      <c r="M967" s="1"/>
      <c r="N967" s="1"/>
      <c r="O967" s="1"/>
      <c r="P967" s="1"/>
      <c r="Q967" s="1"/>
      <c r="R967" s="1"/>
      <c r="S967" s="1"/>
      <c r="T967" s="1"/>
      <c r="U967" s="1"/>
      <c r="V967" s="1"/>
      <c r="W967" s="1"/>
      <c r="X967" s="1"/>
      <c r="Y967" s="1"/>
    </row>
    <row r="968" spans="1:25" ht="15.75" customHeight="1" x14ac:dyDescent="0.25">
      <c r="A968" s="1"/>
      <c r="B968" s="1"/>
      <c r="C968" s="15"/>
      <c r="D968" s="17"/>
      <c r="E968" s="1"/>
      <c r="F968" s="17"/>
      <c r="G968" s="1"/>
      <c r="H968" s="1"/>
      <c r="I968" s="17"/>
      <c r="J968" s="17"/>
      <c r="K968" s="1"/>
      <c r="L968" s="1"/>
      <c r="M968" s="1"/>
      <c r="N968" s="1"/>
      <c r="O968" s="1"/>
      <c r="P968" s="1"/>
      <c r="Q968" s="1"/>
      <c r="R968" s="1"/>
      <c r="S968" s="1"/>
      <c r="T968" s="1"/>
      <c r="U968" s="1"/>
      <c r="V968" s="1"/>
      <c r="W968" s="1"/>
      <c r="X968" s="1"/>
      <c r="Y968" s="1"/>
    </row>
    <row r="969" spans="1:25" ht="15.75" customHeight="1" x14ac:dyDescent="0.25">
      <c r="A969" s="1"/>
      <c r="B969" s="1"/>
      <c r="C969" s="15"/>
      <c r="D969" s="17"/>
      <c r="E969" s="1"/>
      <c r="F969" s="17"/>
      <c r="G969" s="1"/>
      <c r="H969" s="1"/>
      <c r="I969" s="17"/>
      <c r="J969" s="17"/>
      <c r="K969" s="1"/>
      <c r="L969" s="1"/>
      <c r="M969" s="1"/>
      <c r="N969" s="1"/>
      <c r="O969" s="1"/>
      <c r="P969" s="1"/>
      <c r="Q969" s="1"/>
      <c r="R969" s="1"/>
      <c r="S969" s="1"/>
      <c r="T969" s="1"/>
      <c r="U969" s="1"/>
      <c r="V969" s="1"/>
      <c r="W969" s="1"/>
      <c r="X969" s="1"/>
      <c r="Y969" s="1"/>
    </row>
    <row r="970" spans="1:25" ht="15.75" customHeight="1" x14ac:dyDescent="0.25">
      <c r="A970" s="1"/>
      <c r="B970" s="1"/>
      <c r="C970" s="15"/>
      <c r="D970" s="17"/>
      <c r="E970" s="1"/>
      <c r="F970" s="17"/>
      <c r="G970" s="1"/>
      <c r="H970" s="1"/>
      <c r="I970" s="17"/>
      <c r="J970" s="17"/>
      <c r="K970" s="1"/>
      <c r="L970" s="1"/>
      <c r="M970" s="1"/>
      <c r="N970" s="1"/>
      <c r="O970" s="1"/>
      <c r="P970" s="1"/>
      <c r="Q970" s="1"/>
      <c r="R970" s="1"/>
      <c r="S970" s="1"/>
      <c r="T970" s="1"/>
      <c r="U970" s="1"/>
      <c r="V970" s="1"/>
      <c r="W970" s="1"/>
      <c r="X970" s="1"/>
      <c r="Y970" s="1"/>
    </row>
    <row r="971" spans="1:25" ht="15.75" customHeight="1" x14ac:dyDescent="0.25">
      <c r="A971" s="1"/>
      <c r="B971" s="1"/>
      <c r="C971" s="15"/>
      <c r="D971" s="17"/>
      <c r="E971" s="1"/>
      <c r="F971" s="17"/>
      <c r="G971" s="1"/>
      <c r="H971" s="1"/>
      <c r="I971" s="17"/>
      <c r="J971" s="17"/>
      <c r="K971" s="1"/>
      <c r="L971" s="1"/>
      <c r="M971" s="1"/>
      <c r="N971" s="1"/>
      <c r="O971" s="1"/>
      <c r="P971" s="1"/>
      <c r="Q971" s="1"/>
      <c r="R971" s="1"/>
      <c r="S971" s="1"/>
      <c r="T971" s="1"/>
      <c r="U971" s="1"/>
      <c r="V971" s="1"/>
      <c r="W971" s="1"/>
      <c r="X971" s="1"/>
      <c r="Y971" s="1"/>
    </row>
    <row r="972" spans="1:25" ht="15.75" customHeight="1" x14ac:dyDescent="0.25">
      <c r="A972" s="1"/>
      <c r="B972" s="1"/>
      <c r="C972" s="15"/>
      <c r="D972" s="17"/>
      <c r="E972" s="1"/>
      <c r="F972" s="17"/>
      <c r="G972" s="1"/>
      <c r="H972" s="1"/>
      <c r="I972" s="17"/>
      <c r="J972" s="17"/>
      <c r="K972" s="1"/>
      <c r="L972" s="1"/>
      <c r="M972" s="1"/>
      <c r="N972" s="1"/>
      <c r="O972" s="1"/>
      <c r="P972" s="1"/>
      <c r="Q972" s="1"/>
      <c r="R972" s="1"/>
      <c r="S972" s="1"/>
      <c r="T972" s="1"/>
      <c r="U972" s="1"/>
      <c r="V972" s="1"/>
      <c r="W972" s="1"/>
      <c r="X972" s="1"/>
      <c r="Y972" s="1"/>
    </row>
    <row r="973" spans="1:25" ht="15.75" customHeight="1" x14ac:dyDescent="0.25">
      <c r="A973" s="1"/>
      <c r="B973" s="1"/>
      <c r="C973" s="15"/>
      <c r="D973" s="17"/>
      <c r="E973" s="1"/>
      <c r="F973" s="17"/>
      <c r="G973" s="1"/>
      <c r="H973" s="1"/>
      <c r="I973" s="17"/>
      <c r="J973" s="17"/>
      <c r="K973" s="1"/>
      <c r="L973" s="1"/>
      <c r="M973" s="1"/>
      <c r="N973" s="1"/>
      <c r="O973" s="1"/>
      <c r="P973" s="1"/>
      <c r="Q973" s="1"/>
      <c r="R973" s="1"/>
      <c r="S973" s="1"/>
      <c r="T973" s="1"/>
      <c r="U973" s="1"/>
      <c r="V973" s="1"/>
      <c r="W973" s="1"/>
      <c r="X973" s="1"/>
      <c r="Y973" s="1"/>
    </row>
    <row r="974" spans="1:25" ht="15.75" customHeight="1" x14ac:dyDescent="0.25">
      <c r="A974" s="1"/>
      <c r="B974" s="1"/>
      <c r="C974" s="15"/>
      <c r="D974" s="17"/>
      <c r="E974" s="1"/>
      <c r="F974" s="17"/>
      <c r="G974" s="1"/>
      <c r="H974" s="1"/>
      <c r="I974" s="17"/>
      <c r="J974" s="17"/>
      <c r="K974" s="1"/>
      <c r="L974" s="1"/>
      <c r="M974" s="1"/>
      <c r="N974" s="1"/>
      <c r="O974" s="1"/>
      <c r="P974" s="1"/>
      <c r="Q974" s="1"/>
      <c r="R974" s="1"/>
      <c r="S974" s="1"/>
      <c r="T974" s="1"/>
      <c r="U974" s="1"/>
      <c r="V974" s="1"/>
      <c r="W974" s="1"/>
      <c r="X974" s="1"/>
      <c r="Y974" s="1"/>
    </row>
    <row r="975" spans="1:25" ht="15.75" customHeight="1" x14ac:dyDescent="0.25">
      <c r="A975" s="1"/>
      <c r="B975" s="1"/>
      <c r="C975" s="15"/>
      <c r="D975" s="17"/>
      <c r="E975" s="1"/>
      <c r="F975" s="17"/>
      <c r="G975" s="1"/>
      <c r="H975" s="1"/>
      <c r="I975" s="17"/>
      <c r="J975" s="17"/>
      <c r="K975" s="1"/>
      <c r="L975" s="1"/>
      <c r="M975" s="1"/>
      <c r="N975" s="1"/>
      <c r="O975" s="1"/>
      <c r="P975" s="1"/>
      <c r="Q975" s="1"/>
      <c r="R975" s="1"/>
      <c r="S975" s="1"/>
      <c r="T975" s="1"/>
      <c r="U975" s="1"/>
      <c r="V975" s="1"/>
      <c r="W975" s="1"/>
      <c r="X975" s="1"/>
      <c r="Y975" s="1"/>
    </row>
    <row r="976" spans="1:25" ht="15.75" customHeight="1" x14ac:dyDescent="0.25">
      <c r="A976" s="1"/>
      <c r="B976" s="1"/>
      <c r="C976" s="15"/>
      <c r="D976" s="17"/>
      <c r="E976" s="1"/>
      <c r="F976" s="17"/>
      <c r="G976" s="1"/>
      <c r="H976" s="1"/>
      <c r="I976" s="17"/>
      <c r="J976" s="17"/>
      <c r="K976" s="1"/>
      <c r="L976" s="1"/>
      <c r="M976" s="1"/>
      <c r="N976" s="1"/>
      <c r="O976" s="1"/>
      <c r="P976" s="1"/>
      <c r="Q976" s="1"/>
      <c r="R976" s="1"/>
      <c r="S976" s="1"/>
      <c r="T976" s="1"/>
      <c r="U976" s="1"/>
      <c r="V976" s="1"/>
      <c r="W976" s="1"/>
      <c r="X976" s="1"/>
      <c r="Y976" s="1"/>
    </row>
    <row r="977" spans="1:25" ht="15.75" customHeight="1" x14ac:dyDescent="0.25">
      <c r="A977" s="1"/>
      <c r="B977" s="1"/>
      <c r="C977" s="15"/>
      <c r="D977" s="17"/>
      <c r="E977" s="1"/>
      <c r="F977" s="17"/>
      <c r="G977" s="1"/>
      <c r="H977" s="1"/>
      <c r="I977" s="17"/>
      <c r="J977" s="17"/>
      <c r="K977" s="1"/>
      <c r="L977" s="1"/>
      <c r="M977" s="1"/>
      <c r="N977" s="1"/>
      <c r="O977" s="1"/>
      <c r="P977" s="1"/>
      <c r="Q977" s="1"/>
      <c r="R977" s="1"/>
      <c r="S977" s="1"/>
      <c r="T977" s="1"/>
      <c r="U977" s="1"/>
      <c r="V977" s="1"/>
      <c r="W977" s="1"/>
      <c r="X977" s="1"/>
      <c r="Y977" s="1"/>
    </row>
    <row r="978" spans="1:25" ht="15.75" customHeight="1" x14ac:dyDescent="0.25">
      <c r="A978" s="1"/>
      <c r="B978" s="1"/>
      <c r="C978" s="15"/>
      <c r="D978" s="17"/>
      <c r="E978" s="1"/>
      <c r="F978" s="17"/>
      <c r="G978" s="1"/>
      <c r="H978" s="1"/>
      <c r="I978" s="17"/>
      <c r="J978" s="17"/>
      <c r="K978" s="1"/>
      <c r="L978" s="1"/>
      <c r="M978" s="1"/>
      <c r="N978" s="1"/>
      <c r="O978" s="1"/>
      <c r="P978" s="1"/>
      <c r="Q978" s="1"/>
      <c r="R978" s="1"/>
      <c r="S978" s="1"/>
      <c r="T978" s="1"/>
      <c r="U978" s="1"/>
      <c r="V978" s="1"/>
      <c r="W978" s="1"/>
      <c r="X978" s="1"/>
      <c r="Y978" s="1"/>
    </row>
    <row r="979" spans="1:25" ht="15.75" customHeight="1" x14ac:dyDescent="0.25">
      <c r="A979" s="1"/>
      <c r="B979" s="1"/>
      <c r="C979" s="15"/>
      <c r="D979" s="17"/>
      <c r="E979" s="1"/>
      <c r="F979" s="17"/>
      <c r="G979" s="1"/>
      <c r="H979" s="1"/>
      <c r="I979" s="17"/>
      <c r="J979" s="17"/>
      <c r="K979" s="1"/>
      <c r="L979" s="1"/>
      <c r="M979" s="1"/>
      <c r="N979" s="1"/>
      <c r="O979" s="1"/>
      <c r="P979" s="1"/>
      <c r="Q979" s="1"/>
      <c r="R979" s="1"/>
      <c r="S979" s="1"/>
      <c r="T979" s="1"/>
      <c r="U979" s="1"/>
      <c r="V979" s="1"/>
      <c r="W979" s="1"/>
      <c r="X979" s="1"/>
      <c r="Y979" s="1"/>
    </row>
    <row r="980" spans="1:25" ht="15.75" customHeight="1" x14ac:dyDescent="0.25">
      <c r="A980" s="1"/>
      <c r="B980" s="1"/>
      <c r="C980" s="15"/>
      <c r="D980" s="17"/>
      <c r="E980" s="1"/>
      <c r="F980" s="17"/>
      <c r="G980" s="1"/>
      <c r="H980" s="1"/>
      <c r="I980" s="17"/>
      <c r="J980" s="17"/>
      <c r="K980" s="1"/>
      <c r="L980" s="1"/>
      <c r="M980" s="1"/>
      <c r="N980" s="1"/>
      <c r="O980" s="1"/>
      <c r="P980" s="1"/>
      <c r="Q980" s="1"/>
      <c r="R980" s="1"/>
      <c r="S980" s="1"/>
      <c r="T980" s="1"/>
      <c r="U980" s="1"/>
      <c r="V980" s="1"/>
      <c r="W980" s="1"/>
      <c r="X980" s="1"/>
      <c r="Y980" s="1"/>
    </row>
    <row r="981" spans="1:25" ht="15.75" customHeight="1" x14ac:dyDescent="0.25">
      <c r="A981" s="1"/>
      <c r="B981" s="1"/>
      <c r="C981" s="15"/>
      <c r="D981" s="17"/>
      <c r="E981" s="1"/>
      <c r="F981" s="17"/>
      <c r="G981" s="1"/>
      <c r="H981" s="1"/>
      <c r="I981" s="17"/>
      <c r="J981" s="17"/>
      <c r="K981" s="1"/>
      <c r="L981" s="1"/>
      <c r="M981" s="1"/>
      <c r="N981" s="1"/>
      <c r="O981" s="1"/>
      <c r="P981" s="1"/>
      <c r="Q981" s="1"/>
      <c r="R981" s="1"/>
      <c r="S981" s="1"/>
      <c r="T981" s="1"/>
      <c r="U981" s="1"/>
      <c r="V981" s="1"/>
      <c r="W981" s="1"/>
      <c r="X981" s="1"/>
      <c r="Y981" s="1"/>
    </row>
    <row r="982" spans="1:25" ht="15.75" customHeight="1" x14ac:dyDescent="0.25">
      <c r="A982" s="1"/>
      <c r="B982" s="1"/>
      <c r="C982" s="15"/>
      <c r="D982" s="17"/>
      <c r="E982" s="1"/>
      <c r="F982" s="17"/>
      <c r="G982" s="1"/>
      <c r="H982" s="1"/>
      <c r="I982" s="17"/>
      <c r="J982" s="17"/>
      <c r="K982" s="1"/>
      <c r="L982" s="1"/>
      <c r="M982" s="1"/>
      <c r="N982" s="1"/>
      <c r="O982" s="1"/>
      <c r="P982" s="1"/>
      <c r="Q982" s="1"/>
      <c r="R982" s="1"/>
      <c r="S982" s="1"/>
      <c r="T982" s="1"/>
      <c r="U982" s="1"/>
      <c r="V982" s="1"/>
      <c r="W982" s="1"/>
      <c r="X982" s="1"/>
      <c r="Y982" s="1"/>
    </row>
    <row r="983" spans="1:25" ht="15.75" customHeight="1" x14ac:dyDescent="0.25">
      <c r="A983" s="1"/>
      <c r="B983" s="1"/>
      <c r="C983" s="15"/>
      <c r="D983" s="17"/>
      <c r="E983" s="1"/>
      <c r="F983" s="17"/>
      <c r="G983" s="1"/>
      <c r="H983" s="1"/>
      <c r="I983" s="17"/>
      <c r="J983" s="17"/>
      <c r="K983" s="1"/>
      <c r="L983" s="1"/>
      <c r="M983" s="1"/>
      <c r="N983" s="1"/>
      <c r="O983" s="1"/>
      <c r="P983" s="1"/>
      <c r="Q983" s="1"/>
      <c r="R983" s="1"/>
      <c r="S983" s="1"/>
      <c r="T983" s="1"/>
      <c r="U983" s="1"/>
      <c r="V983" s="1"/>
      <c r="W983" s="1"/>
      <c r="X983" s="1"/>
      <c r="Y983" s="1"/>
    </row>
    <row r="984" spans="1:25" ht="15.75" customHeight="1" x14ac:dyDescent="0.25">
      <c r="A984" s="1"/>
      <c r="B984" s="1"/>
      <c r="C984" s="15"/>
      <c r="D984" s="17"/>
      <c r="E984" s="1"/>
      <c r="F984" s="17"/>
      <c r="G984" s="1"/>
      <c r="H984" s="1"/>
      <c r="I984" s="17"/>
      <c r="J984" s="17"/>
      <c r="K984" s="1"/>
      <c r="L984" s="1"/>
      <c r="M984" s="1"/>
      <c r="N984" s="1"/>
      <c r="O984" s="1"/>
      <c r="P984" s="1"/>
      <c r="Q984" s="1"/>
      <c r="R984" s="1"/>
      <c r="S984" s="1"/>
      <c r="T984" s="1"/>
      <c r="U984" s="1"/>
      <c r="V984" s="1"/>
      <c r="W984" s="1"/>
      <c r="X984" s="1"/>
      <c r="Y984" s="1"/>
    </row>
    <row r="985" spans="1:25" ht="15.75" customHeight="1" x14ac:dyDescent="0.25">
      <c r="A985" s="1"/>
      <c r="B985" s="1"/>
      <c r="C985" s="15"/>
      <c r="D985" s="17"/>
      <c r="E985" s="1"/>
      <c r="F985" s="17"/>
      <c r="G985" s="1"/>
      <c r="H985" s="1"/>
      <c r="I985" s="17"/>
      <c r="J985" s="17"/>
      <c r="K985" s="1"/>
      <c r="L985" s="1"/>
      <c r="M985" s="1"/>
      <c r="N985" s="1"/>
      <c r="O985" s="1"/>
      <c r="P985" s="1"/>
      <c r="Q985" s="1"/>
      <c r="R985" s="1"/>
      <c r="S985" s="1"/>
      <c r="T985" s="1"/>
      <c r="U985" s="1"/>
      <c r="V985" s="1"/>
      <c r="W985" s="1"/>
      <c r="X985" s="1"/>
      <c r="Y985" s="1"/>
    </row>
    <row r="986" spans="1:25" ht="15.75" customHeight="1" x14ac:dyDescent="0.25">
      <c r="A986" s="1"/>
      <c r="B986" s="1"/>
      <c r="C986" s="15"/>
      <c r="D986" s="17"/>
      <c r="E986" s="1"/>
      <c r="F986" s="17"/>
      <c r="G986" s="1"/>
      <c r="H986" s="1"/>
      <c r="I986" s="17"/>
      <c r="J986" s="17"/>
      <c r="K986" s="1"/>
      <c r="L986" s="1"/>
      <c r="M986" s="1"/>
      <c r="N986" s="1"/>
      <c r="O986" s="1"/>
      <c r="P986" s="1"/>
      <c r="Q986" s="1"/>
      <c r="R986" s="1"/>
      <c r="S986" s="1"/>
      <c r="T986" s="1"/>
      <c r="U986" s="1"/>
      <c r="V986" s="1"/>
      <c r="W986" s="1"/>
      <c r="X986" s="1"/>
      <c r="Y986" s="1"/>
    </row>
    <row r="987" spans="1:25" ht="15.75" customHeight="1" x14ac:dyDescent="0.25">
      <c r="A987" s="1"/>
      <c r="B987" s="1"/>
      <c r="C987" s="15"/>
      <c r="D987" s="17"/>
      <c r="E987" s="1"/>
      <c r="F987" s="17"/>
      <c r="G987" s="1"/>
      <c r="H987" s="1"/>
      <c r="I987" s="17"/>
      <c r="J987" s="17"/>
      <c r="K987" s="1"/>
      <c r="L987" s="1"/>
      <c r="M987" s="1"/>
      <c r="N987" s="1"/>
      <c r="O987" s="1"/>
      <c r="P987" s="1"/>
      <c r="Q987" s="1"/>
      <c r="R987" s="1"/>
      <c r="S987" s="1"/>
      <c r="T987" s="1"/>
      <c r="U987" s="1"/>
      <c r="V987" s="1"/>
      <c r="W987" s="1"/>
      <c r="X987" s="1"/>
      <c r="Y987" s="1"/>
    </row>
    <row r="988" spans="1:25" ht="15.75" customHeight="1" x14ac:dyDescent="0.25">
      <c r="A988" s="1"/>
      <c r="B988" s="1"/>
      <c r="C988" s="15"/>
      <c r="D988" s="17"/>
      <c r="E988" s="1"/>
      <c r="F988" s="17"/>
      <c r="G988" s="1"/>
      <c r="H988" s="1"/>
      <c r="I988" s="17"/>
      <c r="J988" s="17"/>
      <c r="K988" s="1"/>
      <c r="L988" s="1"/>
      <c r="M988" s="1"/>
      <c r="N988" s="1"/>
      <c r="O988" s="1"/>
      <c r="P988" s="1"/>
      <c r="Q988" s="1"/>
      <c r="R988" s="1"/>
      <c r="S988" s="1"/>
      <c r="T988" s="1"/>
      <c r="U988" s="1"/>
      <c r="V988" s="1"/>
      <c r="W988" s="1"/>
      <c r="X988" s="1"/>
      <c r="Y988" s="1"/>
    </row>
    <row r="989" spans="1:25" ht="15.75" customHeight="1" x14ac:dyDescent="0.25">
      <c r="A989" s="1"/>
      <c r="B989" s="1"/>
      <c r="C989" s="15"/>
      <c r="D989" s="17"/>
      <c r="E989" s="1"/>
      <c r="F989" s="17"/>
      <c r="G989" s="1"/>
      <c r="H989" s="1"/>
      <c r="I989" s="17"/>
      <c r="J989" s="17"/>
      <c r="K989" s="1"/>
      <c r="L989" s="1"/>
      <c r="M989" s="1"/>
      <c r="N989" s="1"/>
      <c r="O989" s="1"/>
      <c r="P989" s="1"/>
      <c r="Q989" s="1"/>
      <c r="R989" s="1"/>
      <c r="S989" s="1"/>
      <c r="T989" s="1"/>
      <c r="U989" s="1"/>
      <c r="V989" s="1"/>
      <c r="W989" s="1"/>
      <c r="X989" s="1"/>
      <c r="Y989" s="1"/>
    </row>
    <row r="990" spans="1:25" ht="15.75" customHeight="1" x14ac:dyDescent="0.25">
      <c r="A990" s="1"/>
      <c r="B990" s="1"/>
      <c r="C990" s="15"/>
      <c r="D990" s="17"/>
      <c r="E990" s="1"/>
      <c r="F990" s="17"/>
      <c r="G990" s="1"/>
      <c r="H990" s="1"/>
      <c r="I990" s="17"/>
      <c r="J990" s="17"/>
      <c r="K990" s="1"/>
      <c r="L990" s="1"/>
      <c r="M990" s="1"/>
      <c r="N990" s="1"/>
      <c r="O990" s="1"/>
      <c r="P990" s="1"/>
      <c r="Q990" s="1"/>
      <c r="R990" s="1"/>
      <c r="S990" s="1"/>
      <c r="T990" s="1"/>
      <c r="U990" s="1"/>
      <c r="V990" s="1"/>
      <c r="W990" s="1"/>
      <c r="X990" s="1"/>
      <c r="Y990" s="1"/>
    </row>
    <row r="991" spans="1:25" ht="15.75" customHeight="1" x14ac:dyDescent="0.25">
      <c r="A991" s="1"/>
      <c r="B991" s="1"/>
      <c r="C991" s="15"/>
      <c r="D991" s="17"/>
      <c r="E991" s="1"/>
      <c r="F991" s="17"/>
      <c r="G991" s="1"/>
      <c r="H991" s="1"/>
      <c r="I991" s="17"/>
      <c r="J991" s="17"/>
      <c r="K991" s="1"/>
      <c r="L991" s="1"/>
      <c r="M991" s="1"/>
      <c r="N991" s="1"/>
      <c r="O991" s="1"/>
      <c r="P991" s="1"/>
      <c r="Q991" s="1"/>
      <c r="R991" s="1"/>
      <c r="S991" s="1"/>
      <c r="T991" s="1"/>
      <c r="U991" s="1"/>
      <c r="V991" s="1"/>
      <c r="W991" s="1"/>
      <c r="X991" s="1"/>
      <c r="Y991" s="1"/>
    </row>
    <row r="992" spans="1:25" ht="15.75" customHeight="1" x14ac:dyDescent="0.25">
      <c r="A992" s="1"/>
      <c r="B992" s="1"/>
      <c r="C992" s="15"/>
      <c r="D992" s="17"/>
      <c r="E992" s="1"/>
      <c r="F992" s="17"/>
      <c r="G992" s="1"/>
      <c r="H992" s="1"/>
      <c r="I992" s="17"/>
      <c r="J992" s="17"/>
      <c r="K992" s="1"/>
      <c r="L992" s="1"/>
      <c r="M992" s="1"/>
      <c r="N992" s="1"/>
      <c r="O992" s="1"/>
      <c r="P992" s="1"/>
      <c r="Q992" s="1"/>
      <c r="R992" s="1"/>
      <c r="S992" s="1"/>
      <c r="T992" s="1"/>
      <c r="U992" s="1"/>
      <c r="V992" s="1"/>
      <c r="W992" s="1"/>
      <c r="X992" s="1"/>
      <c r="Y992" s="1"/>
    </row>
    <row r="993" spans="1:25" ht="15.75" customHeight="1" x14ac:dyDescent="0.25">
      <c r="A993" s="1"/>
      <c r="B993" s="1"/>
      <c r="C993" s="15"/>
      <c r="D993" s="17"/>
      <c r="E993" s="1"/>
      <c r="F993" s="17"/>
      <c r="G993" s="1"/>
      <c r="H993" s="1"/>
      <c r="I993" s="17"/>
      <c r="J993" s="17"/>
      <c r="K993" s="1"/>
      <c r="L993" s="1"/>
      <c r="M993" s="1"/>
      <c r="N993" s="1"/>
      <c r="O993" s="1"/>
      <c r="P993" s="1"/>
      <c r="Q993" s="1"/>
      <c r="R993" s="1"/>
      <c r="S993" s="1"/>
      <c r="T993" s="1"/>
      <c r="U993" s="1"/>
      <c r="V993" s="1"/>
      <c r="W993" s="1"/>
      <c r="X993" s="1"/>
      <c r="Y993" s="1"/>
    </row>
    <row r="994" spans="1:25" ht="15.75" customHeight="1" x14ac:dyDescent="0.25">
      <c r="A994" s="1"/>
      <c r="B994" s="1"/>
      <c r="C994" s="15"/>
      <c r="D994" s="17"/>
      <c r="E994" s="1"/>
      <c r="F994" s="17"/>
      <c r="G994" s="1"/>
      <c r="H994" s="1"/>
      <c r="I994" s="17"/>
      <c r="J994" s="17"/>
      <c r="K994" s="1"/>
      <c r="L994" s="1"/>
      <c r="M994" s="1"/>
      <c r="N994" s="1"/>
      <c r="O994" s="1"/>
      <c r="P994" s="1"/>
      <c r="Q994" s="1"/>
      <c r="R994" s="1"/>
      <c r="S994" s="1"/>
      <c r="T994" s="1"/>
      <c r="U994" s="1"/>
      <c r="V994" s="1"/>
      <c r="W994" s="1"/>
      <c r="X994" s="1"/>
      <c r="Y994" s="1"/>
    </row>
    <row r="995" spans="1:25" ht="15.75" customHeight="1" x14ac:dyDescent="0.25">
      <c r="A995" s="1"/>
      <c r="B995" s="1"/>
      <c r="C995" s="15"/>
      <c r="D995" s="17"/>
      <c r="E995" s="1"/>
      <c r="F995" s="17"/>
      <c r="G995" s="1"/>
      <c r="H995" s="1"/>
      <c r="I995" s="17"/>
      <c r="J995" s="17"/>
      <c r="K995" s="1"/>
      <c r="L995" s="1"/>
      <c r="M995" s="1"/>
      <c r="N995" s="1"/>
      <c r="O995" s="1"/>
      <c r="P995" s="1"/>
      <c r="Q995" s="1"/>
      <c r="R995" s="1"/>
      <c r="S995" s="1"/>
      <c r="T995" s="1"/>
      <c r="U995" s="1"/>
      <c r="V995" s="1"/>
      <c r="W995" s="1"/>
      <c r="X995" s="1"/>
      <c r="Y995" s="1"/>
    </row>
    <row r="996" spans="1:25" ht="15.75" customHeight="1" x14ac:dyDescent="0.25">
      <c r="A996" s="1"/>
      <c r="B996" s="1"/>
      <c r="C996" s="15"/>
      <c r="D996" s="17"/>
      <c r="E996" s="1"/>
      <c r="F996" s="17"/>
      <c r="G996" s="1"/>
      <c r="H996" s="1"/>
      <c r="I996" s="17"/>
      <c r="J996" s="17"/>
      <c r="K996" s="1"/>
      <c r="L996" s="1"/>
      <c r="M996" s="1"/>
      <c r="N996" s="1"/>
      <c r="O996" s="1"/>
      <c r="P996" s="1"/>
      <c r="Q996" s="1"/>
      <c r="R996" s="1"/>
      <c r="S996" s="1"/>
      <c r="T996" s="1"/>
      <c r="U996" s="1"/>
      <c r="V996" s="1"/>
      <c r="W996" s="1"/>
      <c r="X996" s="1"/>
      <c r="Y996" s="1"/>
    </row>
    <row r="997" spans="1:25" ht="15.75" customHeight="1" x14ac:dyDescent="0.25">
      <c r="A997" s="1"/>
      <c r="B997" s="1"/>
      <c r="C997" s="15"/>
      <c r="D997" s="17"/>
      <c r="E997" s="1"/>
      <c r="F997" s="17"/>
      <c r="G997" s="1"/>
      <c r="H997" s="1"/>
      <c r="I997" s="17"/>
      <c r="J997" s="17"/>
      <c r="K997" s="1"/>
      <c r="L997" s="1"/>
      <c r="M997" s="1"/>
      <c r="N997" s="1"/>
      <c r="O997" s="1"/>
      <c r="P997" s="1"/>
      <c r="Q997" s="1"/>
      <c r="R997" s="1"/>
      <c r="S997" s="1"/>
      <c r="T997" s="1"/>
      <c r="U997" s="1"/>
      <c r="V997" s="1"/>
      <c r="W997" s="1"/>
      <c r="X997" s="1"/>
      <c r="Y997" s="1"/>
    </row>
    <row r="998" spans="1:25" ht="15.75" customHeight="1" x14ac:dyDescent="0.25">
      <c r="A998" s="1"/>
      <c r="B998" s="1"/>
      <c r="C998" s="15"/>
      <c r="D998" s="17"/>
      <c r="E998" s="1"/>
      <c r="F998" s="17"/>
      <c r="G998" s="1"/>
      <c r="H998" s="1"/>
      <c r="I998" s="17"/>
      <c r="J998" s="17"/>
      <c r="K998" s="1"/>
      <c r="L998" s="1"/>
      <c r="M998" s="1"/>
      <c r="N998" s="1"/>
      <c r="O998" s="1"/>
      <c r="P998" s="1"/>
      <c r="Q998" s="1"/>
      <c r="R998" s="1"/>
      <c r="S998" s="1"/>
      <c r="T998" s="1"/>
      <c r="U998" s="1"/>
      <c r="V998" s="1"/>
      <c r="W998" s="1"/>
      <c r="X998" s="1"/>
      <c r="Y998" s="1"/>
    </row>
    <row r="999" spans="1:25" ht="15.75" customHeight="1" x14ac:dyDescent="0.25">
      <c r="A999" s="1"/>
      <c r="B999" s="1"/>
      <c r="C999" s="15"/>
      <c r="D999" s="17"/>
      <c r="E999" s="1"/>
      <c r="F999" s="17"/>
      <c r="G999" s="1"/>
      <c r="H999" s="1"/>
      <c r="I999" s="17"/>
      <c r="J999" s="17"/>
      <c r="K999" s="1"/>
      <c r="L999" s="1"/>
      <c r="M999" s="1"/>
      <c r="N999" s="1"/>
      <c r="O999" s="1"/>
      <c r="P999" s="1"/>
      <c r="Q999" s="1"/>
      <c r="R999" s="1"/>
      <c r="S999" s="1"/>
      <c r="T999" s="1"/>
      <c r="U999" s="1"/>
      <c r="V999" s="1"/>
      <c r="W999" s="1"/>
      <c r="X999" s="1"/>
      <c r="Y999" s="1"/>
    </row>
    <row r="1000" spans="1:25" ht="15.75" customHeight="1" x14ac:dyDescent="0.25">
      <c r="A1000" s="1"/>
      <c r="B1000" s="1"/>
      <c r="C1000" s="15"/>
      <c r="D1000" s="17"/>
      <c r="E1000" s="1"/>
      <c r="F1000" s="17"/>
      <c r="G1000" s="1"/>
      <c r="H1000" s="1"/>
      <c r="I1000" s="17"/>
      <c r="J1000" s="17"/>
      <c r="K1000" s="1"/>
      <c r="L1000" s="1"/>
      <c r="M1000" s="1"/>
      <c r="N1000" s="1"/>
      <c r="O1000" s="1"/>
      <c r="P1000" s="1"/>
      <c r="Q1000" s="1"/>
      <c r="R1000" s="1"/>
      <c r="S1000" s="1"/>
      <c r="T1000" s="1"/>
      <c r="U1000" s="1"/>
      <c r="V1000" s="1"/>
      <c r="W1000" s="1"/>
      <c r="X1000" s="1"/>
      <c r="Y1000" s="1"/>
    </row>
  </sheetData>
  <autoFilter ref="A1:I1000" xr:uid="{00000000-0009-0000-0000-000001000000}"/>
  <customSheetViews>
    <customSheetView guid="{C537AADB-B486-4F6B-AC41-900D493E9823}" filter="1" showAutoFilter="1">
      <pageMargins left="0.7" right="0.7" top="0.75" bottom="0.75" header="0.3" footer="0.3"/>
      <autoFilter ref="A1:J1000" xr:uid="{44BFCA29-9771-4106-942B-DDC047C3D67E}"/>
      <extLst>
        <ext uri="GoogleSheetsCustomDataVersion1">
          <go:sheetsCustomData xmlns:go="http://customooxmlschemas.google.com/" filterViewId="1402314852"/>
        </ext>
      </extLst>
    </customSheetView>
  </customSheetView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0"/>
  <sheetViews>
    <sheetView showGridLines="0" workbookViewId="0">
      <selection activeCell="E1" sqref="E1:F1048576"/>
    </sheetView>
  </sheetViews>
  <sheetFormatPr baseColWidth="10" defaultColWidth="14.42578125" defaultRowHeight="15" customHeight="1" x14ac:dyDescent="0.25"/>
  <cols>
    <col min="1" max="1" width="7.7109375" customWidth="1"/>
    <col min="2" max="2" width="9.7109375" customWidth="1"/>
    <col min="3" max="3" width="24.85546875" customWidth="1"/>
    <col min="4" max="4" width="29.42578125" customWidth="1"/>
    <col min="5" max="5" width="50.85546875" style="35" customWidth="1"/>
    <col min="6" max="6" width="48.28515625" style="35" customWidth="1"/>
    <col min="7" max="7" width="5.28515625" customWidth="1"/>
    <col min="8" max="8" width="4.5703125" bestFit="1" customWidth="1"/>
    <col min="9" max="10" width="20.85546875" customWidth="1"/>
    <col min="11" max="25" width="9.140625" customWidth="1"/>
  </cols>
  <sheetData>
    <row r="1" spans="1:10" s="25" customFormat="1" ht="25.5" x14ac:dyDescent="0.25">
      <c r="A1" s="32" t="s">
        <v>0</v>
      </c>
      <c r="B1" s="32" t="s">
        <v>1</v>
      </c>
      <c r="C1" s="33" t="s">
        <v>1036</v>
      </c>
      <c r="D1" s="34" t="str">
        <f ca="1">IFERROR(__xludf.DUMMYFUNCTION("GOOGLETRANSLATE(C1,""ES"",""EN"")"),"Code")</f>
        <v>Code</v>
      </c>
      <c r="E1" s="33" t="s">
        <v>3</v>
      </c>
      <c r="F1" s="34" t="str">
        <f ca="1">IFERROR(__xludf.DUMMYFUNCTION("GOOGLETRANSLATE(E1,""ES"",""EN"")"),"Coded segment")</f>
        <v>Coded segment</v>
      </c>
      <c r="G1" s="32" t="s">
        <v>1152</v>
      </c>
      <c r="H1" s="32" t="s">
        <v>1153</v>
      </c>
      <c r="I1" s="22" t="s">
        <v>4</v>
      </c>
      <c r="J1" s="34" t="str">
        <f ca="1">IFERROR(__xludf.DUMMYFUNCTION("GOOGLETRANSLATE(I1,""ES"",""EN"")"),"Comment Axial coding")</f>
        <v>Comment Axial coding</v>
      </c>
    </row>
    <row r="2" spans="1:10" ht="114.75" x14ac:dyDescent="0.25">
      <c r="A2" s="6" t="s">
        <v>5</v>
      </c>
      <c r="B2" s="17" t="s">
        <v>47</v>
      </c>
      <c r="C2" s="17" t="s">
        <v>1037</v>
      </c>
      <c r="D2" s="17" t="str">
        <f ca="1">IFERROR(__xludf.DUMMYFUNCTION("GOOGLETRANSLATE(C2,""ES"",""EN"")"),"Financing \ Intervention \ Desired payment method")</f>
        <v>Financing \ Intervention \ Desired payment method</v>
      </c>
      <c r="E2" s="17" t="s">
        <v>1038</v>
      </c>
      <c r="F2" s="17" t="str">
        <f ca="1">IFERROR(__xludf.DUMMYFUNCTION("GOOGLETRANSLATE(E2,""ES"",""EN"")"),"Of course youth infant is super important. Above all, there should be a mental health prevention that should begin in gestation. To pregnant women who are with problems, whether alcohol and drugs or psychiatric problems, should be treated in a cosam to pr"&amp;"event the future mental illness of the baby, that is, it should leave there and all Cosam should have a youthful child psychiatrist and attend to All kinds of age and social status. Without discrimination")</f>
        <v>Of course youth infant is super important. Above all, there should be a mental health prevention that should begin in gestation. To pregnant women who are with problems, whether alcohol and drugs or psychiatric problems, should be treated in a cosam to prevent the future mental illness of the baby, that is, it should leave there and all Cosam should have a youthful child psychiatrist and attend to All kinds of age and social status. Without discrimination</v>
      </c>
      <c r="G2" s="18">
        <v>484</v>
      </c>
      <c r="H2" s="19">
        <v>0.76969562036830896</v>
      </c>
      <c r="I2" s="16" t="s">
        <v>1039</v>
      </c>
      <c r="J2" s="17" t="str">
        <f ca="1">IFERROR(__xludf.DUMMYFUNCTION("GOOGLETRANSLATE(I2,""ES"",""EN"")"),"Concordant actions with the community model: preventive")</f>
        <v>Concordant actions with the community model: preventive</v>
      </c>
    </row>
    <row r="3" spans="1:10" ht="51" x14ac:dyDescent="0.25">
      <c r="A3" s="6" t="s">
        <v>5</v>
      </c>
      <c r="B3" s="17" t="s">
        <v>47</v>
      </c>
      <c r="C3" s="17" t="s">
        <v>1037</v>
      </c>
      <c r="D3" s="17" t="str">
        <f ca="1">IFERROR(__xludf.DUMMYFUNCTION("GOOGLETRANSLATE(C3,""ES"",""EN"")"),"Financing \ Intervention \ Desired payment method")</f>
        <v>Financing \ Intervention \ Desired payment method</v>
      </c>
      <c r="E3" s="17" t="s">
        <v>1040</v>
      </c>
      <c r="F3" s="17" t="str">
        <f ca="1">IFERROR(__xludf.DUMMYFUNCTION("GOOGLETRANSLATE(E3,""ES"",""EN"")"),"And children should be treated in Cosam directly with a youthful child psychiatrist who attended them and with specialists in child psychology. That is essential.")</f>
        <v>And children should be treated in Cosam directly with a youthful child psychiatrist who attended them and with specialists in child psychology. That is essential.</v>
      </c>
      <c r="G3" s="18">
        <v>181</v>
      </c>
      <c r="H3" s="19">
        <v>0.28784071753442958</v>
      </c>
      <c r="I3" s="16" t="s">
        <v>1041</v>
      </c>
      <c r="J3" s="17" t="str">
        <f ca="1">IFERROR(__xludf.DUMMYFUNCTION("GOOGLETRANSLATE(I3,""ES"",""EN"")"),"Incentives for the retention of professionals")</f>
        <v>Incentives for the retention of professionals</v>
      </c>
    </row>
    <row r="4" spans="1:10" ht="89.25" x14ac:dyDescent="0.25">
      <c r="A4" s="6" t="s">
        <v>5</v>
      </c>
      <c r="B4" s="17" t="s">
        <v>109</v>
      </c>
      <c r="C4" s="17" t="s">
        <v>1037</v>
      </c>
      <c r="D4" s="17" t="str">
        <f ca="1">IFERROR(__xludf.DUMMYFUNCTION("GOOGLETRANSLATE(C4,""ES"",""EN"")"),"Financing \ Intervention \ Desired payment method")</f>
        <v>Financing \ Intervention \ Desired payment method</v>
      </c>
      <c r="E4" s="17" t="s">
        <v>1042</v>
      </c>
      <c r="F4" s="17" t="str">
        <f ca="1">IFERROR(__xludf.DUMMYFUNCTION("GOOGLETRANSLATE(E4,""ES"",""EN"")"),"I think there is an important thing that have said it repeatedly. It turns out that the orientations of the World Health Organization are not respecting here. Irene just mentioned it that by so many inhabitants by a psychiatrist, it turns out that we woul"&amp;"d have to get a little closer to, say, to WHO's recommendations,")</f>
        <v>I think there is an important thing that have said it repeatedly. It turns out that the orientations of the World Health Organization are not respecting here. Irene just mentioned it that by so many inhabitants by a psychiatrist, it turns out that we would have to get a little closer to, say, to WHO's recommendations,</v>
      </c>
      <c r="G4" s="18">
        <v>338</v>
      </c>
      <c r="H4" s="19">
        <v>0.5375147100919182</v>
      </c>
      <c r="I4" s="16" t="s">
        <v>1041</v>
      </c>
      <c r="J4" s="17" t="str">
        <f ca="1">IFERROR(__xludf.DUMMYFUNCTION("GOOGLETRANSLATE(I4,""ES"",""EN"")"),"Incentives for the retention of professionals")</f>
        <v>Incentives for the retention of professionals</v>
      </c>
    </row>
    <row r="5" spans="1:10" ht="63.75" x14ac:dyDescent="0.25">
      <c r="A5" s="6" t="s">
        <v>5</v>
      </c>
      <c r="B5" s="17" t="s">
        <v>6</v>
      </c>
      <c r="C5" s="17" t="s">
        <v>1037</v>
      </c>
      <c r="D5" s="17" t="str">
        <f ca="1">IFERROR(__xludf.DUMMYFUNCTION("GOOGLETRANSLATE(C5,""ES"",""EN"")"),"Financing \ Intervention \ Desired payment method")</f>
        <v>Financing \ Intervention \ Desired payment method</v>
      </c>
      <c r="E5" s="17" t="s">
        <v>1043</v>
      </c>
      <c r="F5" s="17" t="str">
        <f ca="1">IFERROR(__xludf.DUMMYFUNCTION("GOOGLETRANSLATE(E5,""ES"",""EN"")"),"Which according to what you said of Fonasa and everything. The right thing would be that all patients be treated in Cosam and in all places. Patients either by bonus, because it depends on the treatment that the person has and that is treated in mental he"&amp;"alth.")</f>
        <v>Which according to what you said of Fonasa and everything. The right thing would be that all patients be treated in Cosam and in all places. Patients either by bonus, because it depends on the treatment that the person has and that is treated in mental health.</v>
      </c>
      <c r="G5" s="18">
        <v>263</v>
      </c>
      <c r="H5" s="19">
        <v>0.41824369453897781</v>
      </c>
      <c r="I5" s="16" t="s">
        <v>1044</v>
      </c>
      <c r="J5" s="17" t="str">
        <f ca="1">IFERROR(__xludf.DUMMYFUNCTION("GOOGLETRANSLATE(I5,""ES"",""EN"")"),"It is not just a budget")</f>
        <v>It is not just a budget</v>
      </c>
    </row>
    <row r="6" spans="1:10" ht="45" x14ac:dyDescent="0.25">
      <c r="A6" s="6" t="s">
        <v>5</v>
      </c>
      <c r="B6" s="17" t="s">
        <v>204</v>
      </c>
      <c r="C6" s="17" t="s">
        <v>1037</v>
      </c>
      <c r="D6" s="17" t="str">
        <f ca="1">IFERROR(__xludf.DUMMYFUNCTION("GOOGLETRANSLATE(C6,""ES"",""EN"")"),"Financing \ Intervention \ Desired payment method")</f>
        <v>Financing \ Intervention \ Desired payment method</v>
      </c>
      <c r="E6" s="17" t="s">
        <v>1045</v>
      </c>
      <c r="F6" s="17" t="str">
        <f ca="1">IFERROR(__xludf.DUMMYFUNCTION("GOOGLETRANSLATE(E6,""ES"",""EN"")"),"I believe that the government should do something to encourage these professionals to work on these health devices.")</f>
        <v>I believe that the government should do something to encourage these professionals to work on these health devices.</v>
      </c>
      <c r="G6" s="18">
        <v>125</v>
      </c>
      <c r="H6" s="19">
        <v>0.80864277396817186</v>
      </c>
      <c r="I6" s="16" t="s">
        <v>1041</v>
      </c>
      <c r="J6" s="17" t="str">
        <f ca="1">IFERROR(__xludf.DUMMYFUNCTION("GOOGLETRANSLATE(I6,""ES"",""EN"")"),"Incentives for the retention of professionals")</f>
        <v>Incentives for the retention of professionals</v>
      </c>
    </row>
    <row r="7" spans="1:10" ht="89.25" x14ac:dyDescent="0.25">
      <c r="A7" s="6" t="s">
        <v>5</v>
      </c>
      <c r="B7" s="17" t="s">
        <v>231</v>
      </c>
      <c r="C7" s="17" t="s">
        <v>1037</v>
      </c>
      <c r="D7" s="17" t="str">
        <f ca="1">IFERROR(__xludf.DUMMYFUNCTION("GOOGLETRANSLATE(C7,""ES"",""EN"")"),"Financing \ Intervention \ Desired payment method")</f>
        <v>Financing \ Intervention \ Desired payment method</v>
      </c>
      <c r="E7" s="17" t="s">
        <v>1046</v>
      </c>
      <c r="F7" s="17" t="str">
        <f ca="1">IFERROR(__xludf.DUMMYFUNCTION("GOOGLETRANSLATE(E7,""ES"",""EN"")"),"I think that there, I would bet in the long term for culture and culture, which for me is something essential and that it would be very, immediate is not the effect, but if we bet on more reading of classics, by cinema, for cycles of Cinema, for music, fo"&amp;"r festivals, for poetry. In the long term we will have a better country with much more beautiful, more beautiful mental health.")</f>
        <v>I think that there, I would bet in the long term for culture and culture, which for me is something essential and that it would be very, immediate is not the effect, but if we bet on more reading of classics, by cinema, for cycles of Cinema, for music, for festivals, for poetry. In the long term we will have a better country with much more beautiful, more beautiful mental health.</v>
      </c>
      <c r="G7" s="18">
        <v>365</v>
      </c>
      <c r="H7" s="19">
        <v>1.1457090840605186</v>
      </c>
      <c r="I7" s="16" t="s">
        <v>1039</v>
      </c>
      <c r="J7" s="17" t="str">
        <f ca="1">IFERROR(__xludf.DUMMYFUNCTION("GOOGLETRANSLATE(I7,""ES"",""EN"")"),"Concordant actions with the community model: preventive")</f>
        <v>Concordant actions with the community model: preventive</v>
      </c>
    </row>
    <row r="8" spans="1:10" ht="63.75" x14ac:dyDescent="0.25">
      <c r="A8" s="6" t="s">
        <v>5</v>
      </c>
      <c r="B8" s="17" t="s">
        <v>231</v>
      </c>
      <c r="C8" s="17" t="s">
        <v>1037</v>
      </c>
      <c r="D8" s="17" t="str">
        <f ca="1">IFERROR(__xludf.DUMMYFUNCTION("GOOGLETRANSLATE(C8,""ES"",""EN"")"),"Financing \ Intervention \ Desired payment method")</f>
        <v>Financing \ Intervention \ Desired payment method</v>
      </c>
      <c r="E8" s="17" t="s">
        <v>1047</v>
      </c>
      <c r="F8" s="17" t="str">
        <f ca="1">IFERROR(__xludf.DUMMYFUNCTION("GOOGLETRANSLATE(E8,""ES"",""EN"")"),"It is mine is utopian and that my claims should go rather by economic resource. But I think culture is fundamental, not for nothing is the art school and not the art school, because art contributes to improving the person")</f>
        <v>It is mine is utopian and that my claims should go rather by economic resource. But I think culture is fundamental, not for nothing is the art school and not the art school, because art contributes to improving the person</v>
      </c>
      <c r="G8" s="18">
        <v>239</v>
      </c>
      <c r="H8" s="19">
        <v>0.75020403038483274</v>
      </c>
      <c r="I8" s="16" t="s">
        <v>1039</v>
      </c>
      <c r="J8" s="17" t="str">
        <f ca="1">IFERROR(__xludf.DUMMYFUNCTION("GOOGLETRANSLATE(I8,""ES"",""EN"")"),"Concordant actions with the community model: preventive")</f>
        <v>Concordant actions with the community model: preventive</v>
      </c>
    </row>
    <row r="9" spans="1:10" ht="89.25" x14ac:dyDescent="0.25">
      <c r="A9" s="6" t="s">
        <v>5</v>
      </c>
      <c r="B9" s="17" t="s">
        <v>231</v>
      </c>
      <c r="C9" s="17" t="s">
        <v>1037</v>
      </c>
      <c r="D9" s="17" t="str">
        <f ca="1">IFERROR(__xludf.DUMMYFUNCTION("GOOGLETRANSLATE(C9,""ES"",""EN"")"),"Financing \ Intervention \ Desired payment method")</f>
        <v>Financing \ Intervention \ Desired payment method</v>
      </c>
      <c r="E9" s="17" t="s">
        <v>1048</v>
      </c>
      <c r="F9" s="17" t="str">
        <f ca="1">IFERROR(__xludf.DUMMYFUNCTION("GOOGLETRANSLATE(E9,""ES"",""EN"")"),"Culture is very important and I know that many people are going to say that there are no resources, but for me culture is essential, because we are in a very adverse climate, there is a lot of violence and a lot of trauma and culture helps develop empathy"&amp;" and Know other worlds. That would make this country a more human and more habitable country.")</f>
        <v>Culture is very important and I know that many people are going to say that there are no resources, but for me culture is essential, because we are in a very adverse climate, there is a lot of violence and a lot of trauma and culture helps develop empathy and Know other worlds. That would make this country a more human and more habitable country.</v>
      </c>
      <c r="G9" s="18">
        <v>330</v>
      </c>
      <c r="H9" s="19">
        <v>1.0358465691506058</v>
      </c>
      <c r="I9" s="16" t="s">
        <v>1039</v>
      </c>
      <c r="J9" s="17" t="str">
        <f ca="1">IFERROR(__xludf.DUMMYFUNCTION("GOOGLETRANSLATE(I9,""ES"",""EN"")"),"Concordant actions with the community model: preventive")</f>
        <v>Concordant actions with the community model: preventive</v>
      </c>
    </row>
    <row r="10" spans="1:10" ht="76.5" x14ac:dyDescent="0.25">
      <c r="A10" s="6" t="s">
        <v>5</v>
      </c>
      <c r="B10" s="17" t="s">
        <v>274</v>
      </c>
      <c r="C10" s="17" t="s">
        <v>1037</v>
      </c>
      <c r="D10" s="17" t="str">
        <f ca="1">IFERROR(__xludf.DUMMYFUNCTION("GOOGLETRANSLATE(C10,""ES"",""EN"")"),"Financing \ Intervention \ Desired payment method")</f>
        <v>Financing \ Intervention \ Desired payment method</v>
      </c>
      <c r="E10" s="17" t="s">
        <v>1049</v>
      </c>
      <c r="F10" s="17" t="str">
        <f ca="1">IFERROR(__xludf.DUMMYFUNCTION("GOOGLETRANSLATE(E10,""ES"",""EN"")"),"That is what I just had to have how this multidisciplinary team with people who have some psychiatric disease, as well as there is for diabetes, where they give you all the information about it, what do you have to eat, what do you don't have to eat, go T"&amp;"o the nutritionist, medication, and so on.")</f>
        <v>That is what I just had to have how this multidisciplinary team with people who have some psychiatric disease, as well as there is for diabetes, where they give you all the information about it, what do you have to eat, what do you don't have to eat, go To the nutritionist, medication, and so on.</v>
      </c>
      <c r="G10" s="18">
        <v>308</v>
      </c>
      <c r="H10" s="19">
        <v>1.4247386437228236</v>
      </c>
      <c r="I10" s="16" t="s">
        <v>1050</v>
      </c>
      <c r="J10" s="17" t="str">
        <f ca="1">IFERROR(__xludf.DUMMYFUNCTION("GOOGLETRANSLATE(I10,""ES"",""EN"")"),"Concordant actions with the community model: Comprehensive Care Plan")</f>
        <v>Concordant actions with the community model: Comprehensive Care Plan</v>
      </c>
    </row>
    <row r="11" spans="1:10" ht="89.25" x14ac:dyDescent="0.25">
      <c r="A11" s="6" t="s">
        <v>5</v>
      </c>
      <c r="B11" s="17" t="s">
        <v>274</v>
      </c>
      <c r="C11" s="17" t="s">
        <v>1037</v>
      </c>
      <c r="D11" s="17" t="str">
        <f ca="1">IFERROR(__xludf.DUMMYFUNCTION("GOOGLETRANSLATE(C11,""ES"",""EN"")"),"Financing \ Intervention \ Desired payment method")</f>
        <v>Financing \ Intervention \ Desired payment method</v>
      </c>
      <c r="E11" s="17" t="s">
        <v>1051</v>
      </c>
      <c r="F11" s="17" t="str">
        <f ca="1">IFERROR(__xludf.DUMMYFUNCTION("GOOGLETRANSLATE(E11,""ES"",""EN"")"),"I feel that in terms of mental health in general we are socially and in the health system as well. I think those are the things to improve. We have to have the free access of being able to see ourselves with a higher quality and with having all the minimu"&amp;"m conditions we need to have a good psychiatric treatment.")</f>
        <v>I feel that in terms of mental health in general we are socially and in the health system as well. I think those are the things to improve. We have to have the free access of being able to see ourselves with a higher quality and with having all the minimum conditions we need to have a good psychiatric treatment.</v>
      </c>
      <c r="G11" s="18">
        <v>352</v>
      </c>
      <c r="H11" s="19">
        <v>1.6282727356832269</v>
      </c>
      <c r="I11" s="16" t="s">
        <v>1044</v>
      </c>
      <c r="J11" s="17" t="str">
        <f ca="1">IFERROR(__xludf.DUMMYFUNCTION("GOOGLETRANSLATE(I11,""ES"",""EN"")"),"It is not just a budget")</f>
        <v>It is not just a budget</v>
      </c>
    </row>
    <row r="12" spans="1:10" ht="76.5" x14ac:dyDescent="0.25">
      <c r="A12" s="6" t="s">
        <v>5</v>
      </c>
      <c r="B12" s="17" t="s">
        <v>274</v>
      </c>
      <c r="C12" s="17" t="s">
        <v>1037</v>
      </c>
      <c r="D12" s="17" t="str">
        <f ca="1">IFERROR(__xludf.DUMMYFUNCTION("GOOGLETRANSLATE(C12,""ES"",""EN"")"),"Financing \ Intervention \ Desired payment method")</f>
        <v>Financing \ Intervention \ Desired payment method</v>
      </c>
      <c r="E12" s="17" t="s">
        <v>1052</v>
      </c>
      <c r="F12" s="17" t="str">
        <f ca="1">IFERROR(__xludf.DUMMYFUNCTION("GOOGLETRANSLATE(E12,""ES"",""EN"")"),"I believe that one of the things that would help Cosam a lot and I already mentioned it, but I want to emphasize it because we have seen it from our own experience, how well these support groups have worked, that these groups could be implemented within T"&amp;"he Cosam, I think it would be very helpful.")</f>
        <v>I believe that one of the things that would help Cosam a lot and I already mentioned it, but I want to emphasize it because we have seen it from our own experience, how well these support groups have worked, that these groups could be implemented within The Cosam, I think it would be very helpful.</v>
      </c>
      <c r="G12" s="18">
        <v>304</v>
      </c>
      <c r="H12" s="19">
        <v>1.406235544453696</v>
      </c>
      <c r="I12" s="16" t="s">
        <v>1053</v>
      </c>
      <c r="J12" s="17" t="str">
        <f ca="1">IFERROR(__xludf.DUMMYFUNCTION("GOOGLETRANSLATE(I12,""ES"",""EN"")"),"Concordant actions with the community model: support groups")</f>
        <v>Concordant actions with the community model: support groups</v>
      </c>
    </row>
    <row r="13" spans="1:10" ht="242.25" x14ac:dyDescent="0.25">
      <c r="A13" s="6" t="s">
        <v>5</v>
      </c>
      <c r="B13" s="17" t="s">
        <v>274</v>
      </c>
      <c r="C13" s="17" t="s">
        <v>1037</v>
      </c>
      <c r="D13" s="17" t="str">
        <f ca="1">IFERROR(__xludf.DUMMYFUNCTION("GOOGLETRANSLATE(C13,""ES"",""EN"")"),"Financing \ Intervention \ Desired payment method")</f>
        <v>Financing \ Intervention \ Desired payment method</v>
      </c>
      <c r="E13" s="17" t="s">
        <v>1054</v>
      </c>
      <c r="F13" s="17" t="str">
        <f ca="1">IFERROR(__xludf.DUMMYFUNCTION("GOOGLETRANSLATE(E13,""ES"",""EN"")"),"Because as Foundation we currently have 17 gam. We would love to have more and be able to welcome all the people who need this, because once they find these support groups, they say how I did not know before this, what do you want to have known, I've been"&amp;" in treatment for five years, I had no idea Of what was bipolar disorder, I only live from my mood changes, and so on. But if I had found groups like this or if I had found a doctor who would have explained this well, their life would have changed. That i"&amp;"s, for five years with a treatment, not being the most optimal, where he has not been able to continue working and has not been able to continue studying, because this obviously affects these changes in them. If they had found a support group before, they"&amp;" would clearly know or could have learned much earlier and have already taken bipolar disorder much better in their lives. So I think it would be very good to implement these groups within the Cosam.")</f>
        <v>Because as Foundation we currently have 17 gam. We would love to have more and be able to welcome all the people who need this, because once they find these support groups, they say how I did not know before this, what do you want to have known, I've been in treatment for five years, I had no idea Of what was bipolar disorder, I only live from my mood changes, and so on. But if I had found groups like this or if I had found a doctor who would have explained this well, their life would have changed. That is, for five years with a treatment, not being the most optimal, where he has not been able to continue working and has not been able to continue studying, because this obviously affects these changes in them. If they had found a support group before, they would clearly know or could have learned much earlier and have already taken bipolar disorder much better in their lives. So I think it would be very good to implement these groups within the Cosam.</v>
      </c>
      <c r="G13" s="18">
        <v>1022</v>
      </c>
      <c r="H13" s="19">
        <v>4.727541863262096</v>
      </c>
      <c r="I13" s="16" t="s">
        <v>1053</v>
      </c>
      <c r="J13" s="17" t="str">
        <f ca="1">IFERROR(__xludf.DUMMYFUNCTION("GOOGLETRANSLATE(I13,""ES"",""EN"")"),"Concordant actions with the community model: support groups")</f>
        <v>Concordant actions with the community model: support groups</v>
      </c>
    </row>
    <row r="14" spans="1:10" ht="114.75" x14ac:dyDescent="0.25">
      <c r="A14" s="6" t="s">
        <v>5</v>
      </c>
      <c r="B14" s="17" t="s">
        <v>321</v>
      </c>
      <c r="C14" s="17" t="s">
        <v>1037</v>
      </c>
      <c r="D14" s="17" t="str">
        <f ca="1">IFERROR(__xludf.DUMMYFUNCTION("GOOGLETRANSLATE(C14,""ES"",""EN"")"),"Financing \ Intervention \ Desired payment method")</f>
        <v>Financing \ Intervention \ Desired payment method</v>
      </c>
      <c r="E14" s="17" t="s">
        <v>1055</v>
      </c>
      <c r="F14" s="17" t="str">
        <f ca="1">IFERROR(__xludf.DUMMYFUNCTION("GOOGLETRANSLATE(E14,""ES"",""EN"")"),"Then one could say, of course, there is a lack of an incentive to the best that could account for a greater valuation of those benefits with the community. And there one might think that in the future one should, in quotes, maybe to devise some mechanism "&amp;"that gave an greater valuation of that and there one could say ok, if the center ""A"" has such conditions or has such practice that one might think that it has a different budget element than the one who does not do it and vice versa.")</f>
        <v>Then one could say, of course, there is a lack of an incentive to the best that could account for a greater valuation of those benefits with the community. And there one might think that in the future one should, in quotes, maybe to devise some mechanism that gave an greater valuation of that and there one could say ok, if the center "A" has such conditions or has such practice that one might think that it has a different budget element than the one who does not do it and vice versa.</v>
      </c>
      <c r="G14" s="18">
        <v>502</v>
      </c>
      <c r="H14" s="19">
        <v>1.4311780134564944</v>
      </c>
      <c r="I14" s="16" t="s">
        <v>1056</v>
      </c>
      <c r="J14" s="17" t="str">
        <f ca="1">IFERROR(__xludf.DUMMYFUNCTION("GOOGLETRANSLATE(I14,""ES"",""EN"")"),"Concordant actions with the community model: in the community")</f>
        <v>Concordant actions with the community model: in the community</v>
      </c>
    </row>
    <row r="15" spans="1:10" ht="89.25" x14ac:dyDescent="0.25">
      <c r="A15" s="6" t="s">
        <v>5</v>
      </c>
      <c r="B15" s="17" t="s">
        <v>321</v>
      </c>
      <c r="C15" s="17" t="s">
        <v>1037</v>
      </c>
      <c r="D15" s="17" t="str">
        <f ca="1">IFERROR(__xludf.DUMMYFUNCTION("GOOGLETRANSLATE(C15,""ES"",""EN"")"),"Financing \ Intervention \ Desired payment method")</f>
        <v>Financing \ Intervention \ Desired payment method</v>
      </c>
      <c r="E15" s="17" t="s">
        <v>1057</v>
      </c>
      <c r="F15" s="17" t="str">
        <f ca="1">IFERROR(__xludf.DUMMYFUNCTION("GOOGLETRANSLATE(E15,""ES"",""EN"")"),"I do not know if the current mechanism will favor more or less that the intervention with the community, the institution of the intersector, is also financed, but it is also, so to speak, that the care model is financed in a good way and that in quotes it"&amp;" has The freedom to be able to make a care plan regarding that person's anxiety in different areas.")</f>
        <v>I do not know if the current mechanism will favor more or less that the intervention with the community, the institution of the intersector, is also financed, but it is also, so to speak, that the care model is financed in a good way and that in quotes it has The freedom to be able to make a care plan regarding that person's anxiety in different areas.</v>
      </c>
      <c r="G15" s="18">
        <v>362</v>
      </c>
      <c r="H15" s="19">
        <v>1.0320447029307789</v>
      </c>
      <c r="I15" s="16" t="s">
        <v>1056</v>
      </c>
      <c r="J15" s="17" t="str">
        <f ca="1">IFERROR(__xludf.DUMMYFUNCTION("GOOGLETRANSLATE(I15,""ES"",""EN"")"),"Concordant actions with the community model: in the community")</f>
        <v>Concordant actions with the community model: in the community</v>
      </c>
    </row>
    <row r="16" spans="1:10" ht="45" x14ac:dyDescent="0.25">
      <c r="A16" s="6" t="s">
        <v>5</v>
      </c>
      <c r="B16" s="17" t="s">
        <v>321</v>
      </c>
      <c r="C16" s="17" t="s">
        <v>1037</v>
      </c>
      <c r="D16" s="17" t="str">
        <f ca="1">IFERROR(__xludf.DUMMYFUNCTION("GOOGLETRANSLATE(C16,""ES"",""EN"")"),"Financing \ Intervention \ Desired payment method")</f>
        <v>Financing \ Intervention \ Desired payment method</v>
      </c>
      <c r="E16" s="17" t="s">
        <v>1058</v>
      </c>
      <c r="F16" s="17" t="str">
        <f ca="1">IFERROR(__xludf.DUMMYFUNCTION("GOOGLETRANSLATE(E16,""ES"",""EN"")"),"The basics would probably be the resolution of personnel care.")</f>
        <v>The basics would probably be the resolution of personnel care.</v>
      </c>
      <c r="G16" s="18">
        <v>72</v>
      </c>
      <c r="H16" s="19">
        <v>0.20526855969893945</v>
      </c>
      <c r="I16" s="16" t="s">
        <v>1059</v>
      </c>
      <c r="J16" s="17" t="str">
        <f ca="1">IFERROR(__xludf.DUMMYFUNCTION("GOOGLETRANSLATE(I16,""ES"",""EN"")"),"Payment mechanisms: for clinical results")</f>
        <v>Payment mechanisms: for clinical results</v>
      </c>
    </row>
    <row r="17" spans="1:10" ht="75" x14ac:dyDescent="0.25">
      <c r="A17" s="6" t="s">
        <v>5</v>
      </c>
      <c r="B17" s="17" t="s">
        <v>321</v>
      </c>
      <c r="C17" s="17" t="s">
        <v>1037</v>
      </c>
      <c r="D17" s="17" t="str">
        <f ca="1">IFERROR(__xludf.DUMMYFUNCTION("GOOGLETRANSLATE(C17,""ES"",""EN"")"),"Financing \ Intervention \ Desired payment method")</f>
        <v>Financing \ Intervention \ Desired payment method</v>
      </c>
      <c r="E17" s="17" t="s">
        <v>1060</v>
      </c>
      <c r="F17" s="17" t="str">
        <f ca="1">IFERROR(__xludf.DUMMYFUNCTION("GOOGLETRANSLATE(E17,""ES"",""EN"")"),"A second element is the quality of the intervention and integrality of the intervention that was by a really transdisciplinary team, as the management model raises.")</f>
        <v>A second element is the quality of the intervention and integrality of the intervention that was by a really transdisciplinary team, as the management model raises.</v>
      </c>
      <c r="G17" s="18">
        <v>191</v>
      </c>
      <c r="H17" s="19">
        <v>0.54453187364579769</v>
      </c>
      <c r="I17" s="16" t="s">
        <v>1050</v>
      </c>
      <c r="J17" s="17" t="str">
        <f ca="1">IFERROR(__xludf.DUMMYFUNCTION("GOOGLETRANSLATE(I17,""ES"",""EN"")"),"Concordant actions with the community model: Comprehensive Care Plan")</f>
        <v>Concordant actions with the community model: Comprehensive Care Plan</v>
      </c>
    </row>
    <row r="18" spans="1:10" ht="140.25" x14ac:dyDescent="0.25">
      <c r="A18" s="6" t="s">
        <v>5</v>
      </c>
      <c r="B18" s="17" t="s">
        <v>321</v>
      </c>
      <c r="C18" s="17" t="s">
        <v>1037</v>
      </c>
      <c r="D18" s="17" t="str">
        <f ca="1">IFERROR(__xludf.DUMMYFUNCTION("GOOGLETRANSLATE(C18,""ES"",""EN"")"),"Financing \ Intervention \ Desired payment method")</f>
        <v>Financing \ Intervention \ Desired payment method</v>
      </c>
      <c r="E18" s="17" t="s">
        <v>1061</v>
      </c>
      <c r="F18" s="17" t="str">
        <f ca="1">IFERROR(__xludf.DUMMYFUNCTION("GOOGLETRANSLATE(E18,""ES"",""EN"")"),"And a third element that also incorporates what we have been talking about in the course of meetings as much more intervention elements with the community, management with the intersector and that probably also has a weighing probably more defined around "&amp;"that mechanism of Financing, but one will think of a factorial analysis of quality, probably by a team. And of course, if a team meets such a condition, I can probably finance under an amount x or x+1 versus others that does not, that only an X-1 would pu"&amp;"t.")</f>
        <v>And a third element that also incorporates what we have been talking about in the course of meetings as much more intervention elements with the community, management with the intersector and that probably also has a weighing probably more defined around that mechanism of Financing, but one will think of a factorial analysis of quality, probably by a team. And of course, if a team meets such a condition, I can probably finance under an amount x or x+1 versus others that does not, that only an X-1 would put.</v>
      </c>
      <c r="G18" s="18">
        <v>562</v>
      </c>
      <c r="H18" s="19">
        <v>1.6022351465389439</v>
      </c>
      <c r="I18" s="16" t="s">
        <v>1056</v>
      </c>
      <c r="J18" s="17" t="str">
        <f ca="1">IFERROR(__xludf.DUMMYFUNCTION("GOOGLETRANSLATE(I18,""ES"",""EN"")"),"Concordant actions with the community model: in the community")</f>
        <v>Concordant actions with the community model: in the community</v>
      </c>
    </row>
    <row r="19" spans="1:10" ht="75" x14ac:dyDescent="0.25">
      <c r="A19" s="6" t="s">
        <v>5</v>
      </c>
      <c r="B19" s="17" t="s">
        <v>321</v>
      </c>
      <c r="C19" s="17" t="s">
        <v>1037</v>
      </c>
      <c r="D19" s="17" t="str">
        <f ca="1">IFERROR(__xludf.DUMMYFUNCTION("GOOGLETRANSLATE(C19,""ES"",""EN"")"),"Financing \ Intervention \ Desired payment method")</f>
        <v>Financing \ Intervention \ Desired payment method</v>
      </c>
      <c r="E19" s="17" t="s">
        <v>1062</v>
      </c>
      <c r="F19" s="17" t="str">
        <f ca="1">IFERROR(__xludf.DUMMYFUNCTION("GOOGLETRANSLATE(E19,""ES"",""EN"")"),"A critical point if I would say that there is I believe with the resolutivity, that is, one should think that all those elements that account for greater resolution by the level of specialty, particularly the Cosam.")</f>
        <v>A critical point if I would say that there is I believe with the resolutivity, that is, one should think that all those elements that account for greater resolution by the level of specialty, particularly the Cosam.</v>
      </c>
      <c r="G19" s="18">
        <v>224</v>
      </c>
      <c r="H19" s="19">
        <v>0.63861329684114487</v>
      </c>
      <c r="I19" s="16" t="s">
        <v>1050</v>
      </c>
      <c r="J19" s="17" t="str">
        <f ca="1">IFERROR(__xludf.DUMMYFUNCTION("GOOGLETRANSLATE(I19,""ES"",""EN"")"),"Concordant actions with the community model: Comprehensive Care Plan")</f>
        <v>Concordant actions with the community model: Comprehensive Care Plan</v>
      </c>
    </row>
    <row r="20" spans="1:10" ht="153" x14ac:dyDescent="0.25">
      <c r="A20" s="6" t="s">
        <v>5</v>
      </c>
      <c r="B20" s="17" t="s">
        <v>321</v>
      </c>
      <c r="C20" s="17" t="s">
        <v>1037</v>
      </c>
      <c r="D20" s="17" t="str">
        <f ca="1">IFERROR(__xludf.DUMMYFUNCTION("GOOGLETRANSLATE(C20,""ES"",""EN"")"),"Financing \ Intervention \ Desired payment method")</f>
        <v>Financing \ Intervention \ Desired payment method</v>
      </c>
      <c r="E20" s="17" t="s">
        <v>1063</v>
      </c>
      <c r="F20" s="17" t="str">
        <f ca="1">IFERROR(__xludf.DUMMYFUNCTION("GOOGLETRANSLATE(E20,""ES"",""EN"")"),"And that implies that the center works jointly with the intersectoral offer, with the sector offer, with their community, so that the user can graduate and return faster to their community and that the community can support that user should be better paid"&amp;" than He who does not. I believe that these are vital points, probably of the success or not of a community mental health center. Because until now I probably don't know if it will make a big difference if I pay the same 100 pesos for clinical attention o"&amp;"r community clinical care so to speak, the same 100 pesos are still giving.")</f>
        <v>And that implies that the center works jointly with the intersectoral offer, with the sector offer, with their community, so that the user can graduate and return faster to their community and that the community can support that user should be better paid than He who does not. I believe that these are vital points, probably of the success or not of a community mental health center. Because until now I probably don't know if it will make a big difference if I pay the same 100 pesos for clinical attention or community clinical care so to speak, the same 100 pesos are still giving.</v>
      </c>
      <c r="G20" s="18">
        <v>624</v>
      </c>
      <c r="H20" s="19">
        <v>1.7789941840574752</v>
      </c>
      <c r="I20" s="16" t="s">
        <v>1056</v>
      </c>
      <c r="J20" s="17" t="str">
        <f ca="1">IFERROR(__xludf.DUMMYFUNCTION("GOOGLETRANSLATE(I20,""ES"",""EN"")"),"Concordant actions with the community model: in the community")</f>
        <v>Concordant actions with the community model: in the community</v>
      </c>
    </row>
    <row r="21" spans="1:10" ht="15.75" customHeight="1" x14ac:dyDescent="0.25">
      <c r="A21" s="6" t="s">
        <v>5</v>
      </c>
      <c r="B21" s="17" t="s">
        <v>321</v>
      </c>
      <c r="C21" s="17" t="s">
        <v>1037</v>
      </c>
      <c r="D21" s="17" t="str">
        <f ca="1">IFERROR(__xludf.DUMMYFUNCTION("GOOGLETRANSLATE(C21,""ES"",""EN"")"),"Financing \ Intervention \ Desired payment method")</f>
        <v>Financing \ Intervention \ Desired payment method</v>
      </c>
      <c r="E21" s="17" t="s">
        <v>1064</v>
      </c>
      <c r="F21" s="17" t="str">
        <f ca="1">IFERROR(__xludf.DUMMYFUNCTION("GOOGLETRANSLATE(E21,""ES"",""EN"")"),"One should think that the results and high clinic indicators of those users who are in community mental health centers should be improved due to the integrality of care.")</f>
        <v>One should think that the results and high clinic indicators of those users who are in community mental health centers should be improved due to the integrality of care.</v>
      </c>
      <c r="G21" s="18">
        <v>200</v>
      </c>
      <c r="H21" s="19">
        <v>0.57019044360816518</v>
      </c>
      <c r="I21" s="16" t="s">
        <v>1059</v>
      </c>
      <c r="J21" s="17" t="str">
        <f ca="1">IFERROR(__xludf.DUMMYFUNCTION("GOOGLETRANSLATE(I21,""ES"",""EN"")"),"Payment mechanisms: for clinical results")</f>
        <v>Payment mechanisms: for clinical results</v>
      </c>
    </row>
    <row r="22" spans="1:10" ht="15.75" customHeight="1" x14ac:dyDescent="0.25">
      <c r="A22" s="6" t="s">
        <v>5</v>
      </c>
      <c r="B22" s="17" t="s">
        <v>321</v>
      </c>
      <c r="C22" s="17" t="s">
        <v>1037</v>
      </c>
      <c r="D22" s="17" t="str">
        <f ca="1">IFERROR(__xludf.DUMMYFUNCTION("GOOGLETRANSLATE(C22,""ES"",""EN"")"),"Financing \ Intervention \ Desired payment method")</f>
        <v>Financing \ Intervention \ Desired payment method</v>
      </c>
      <c r="E22" s="17" t="s">
        <v>1065</v>
      </c>
      <c r="F22" s="17" t="str">
        <f ca="1">IFERROR(__xludf.DUMMYFUNCTION("GOOGLETRANSLATE(E22,""ES"",""EN"")"),"But so far I don't know if so, numbers in general do not have such a clear definition about that. And that can probably go against the model if you compare it, I don't know, how much a hospital or CRS resolves that resolves a Cosam. And therefore, one sho"&amp;"uld expect that, under community model there should be a greater resolution of cases and a lower recidivism or less user re -entry, thinking that all this elements of articulation were done well with the community, articulation with the sector than by mod"&amp;"el It must be part of a community mental health center.")</f>
        <v>But so far I don't know if so, numbers in general do not have such a clear definition about that. And that can probably go against the model if you compare it, I don't know, how much a hospital or CRS resolves that resolves a Cosam. And therefore, one should expect that, under community model there should be a greater resolution of cases and a lower recidivism or less user re -entry, thinking that all this elements of articulation were done well with the community, articulation with the sector than by model It must be part of a community mental health center.</v>
      </c>
      <c r="G22" s="18">
        <v>604</v>
      </c>
      <c r="H22" s="19">
        <v>1.7219751396966587</v>
      </c>
      <c r="I22" s="16" t="s">
        <v>1059</v>
      </c>
      <c r="J22" s="17" t="str">
        <f ca="1">IFERROR(__xludf.DUMMYFUNCTION("GOOGLETRANSLATE(I22,""ES"",""EN"")"),"Payment mechanisms: for clinical results")</f>
        <v>Payment mechanisms: for clinical results</v>
      </c>
    </row>
    <row r="23" spans="1:10" ht="15.75" customHeight="1" x14ac:dyDescent="0.25">
      <c r="A23" s="6" t="s">
        <v>5</v>
      </c>
      <c r="B23" s="17" t="s">
        <v>321</v>
      </c>
      <c r="C23" s="17" t="s">
        <v>1037</v>
      </c>
      <c r="D23" s="17" t="str">
        <f ca="1">IFERROR(__xludf.DUMMYFUNCTION("GOOGLETRANSLATE(C23,""ES"",""EN"")"),"Financing \ Intervention \ Desired payment method")</f>
        <v>Financing \ Intervention \ Desired payment method</v>
      </c>
      <c r="E23" s="17" t="s">
        <v>1066</v>
      </c>
      <c r="F23" s="17" t="str">
        <f ca="1">IFERROR(__xludf.DUMMYFUNCTION("GOOGLETRANSLATE(E23,""ES"",""EN"")"),"Probably how to also define financing based on complexity, which is a broader turn, which may not escape the initial question of the study, but one should think that the financing of mental health in general should advance in a proper definition of mental"&amp;" health of what is the complexity that has defined by fonasa with the GRD for example.")</f>
        <v>Probably how to also define financing based on complexity, which is a broader turn, which may not escape the initial question of the study, but one should think that the financing of mental health in general should advance in a proper definition of mental health of what is the complexity that has defined by fonasa with the GRD for example.</v>
      </c>
      <c r="G23" s="18">
        <v>400</v>
      </c>
      <c r="H23" s="19">
        <v>1.1403808872163304</v>
      </c>
      <c r="I23" s="16" t="s">
        <v>1067</v>
      </c>
      <c r="J23" s="17" t="str">
        <f ca="1">IFERROR(__xludf.DUMMYFUNCTION("GOOGLETRANSLATE(I23,""ES"",""EN"")"),"Payment mechanism: for the intensity/complexity of the care plan")</f>
        <v>Payment mechanism: for the intensity/complexity of the care plan</v>
      </c>
    </row>
    <row r="24" spans="1:10" ht="15.75" customHeight="1" x14ac:dyDescent="0.25">
      <c r="A24" s="6" t="s">
        <v>5</v>
      </c>
      <c r="B24" s="17" t="s">
        <v>321</v>
      </c>
      <c r="C24" s="17" t="s">
        <v>1037</v>
      </c>
      <c r="D24" s="17" t="str">
        <f ca="1">IFERROR(__xludf.DUMMYFUNCTION("GOOGLETRANSLATE(C24,""ES"",""EN"")"),"Financing \ Intervention \ Desired payment method")</f>
        <v>Financing \ Intervention \ Desired payment method</v>
      </c>
      <c r="E24" s="17" t="s">
        <v>1068</v>
      </c>
      <c r="F24" s="17" t="str">
        <f ca="1">IFERROR(__xludf.DUMMYFUNCTION("GOOGLETRANSLATE(E24,""ES"",""EN"")"),"Where the social variables probably or of social complexity or vulnerability of this type is not taken and if one thought of that return, particularly on the mental health issue, it is critical how to define what the levels of care are and how much they a"&amp;"re financed I do not remember Each level of care or to each particular situation of a user. Compensated schizophrenia is not going to be the same in a family of Las Condes for the best to a with less social network that lives a situation in La Pintana, si"&amp;"nce it will require greater financing, that is, that is, that is, that is, that is, that is, that is, that is, that is, a greater amount of action. Ergo should be more expensive than a user who has a more compensated network and that requires a lower inte"&amp;"nsity intervention.")</f>
        <v>Where the social variables probably or of social complexity or vulnerability of this type is not taken and if one thought of that return, particularly on the mental health issue, it is critical how to define what the levels of care are and how much they are financed I do not remember Each level of care or to each particular situation of a user. Compensated schizophrenia is not going to be the same in a family of Las Condes for the best to a with less social network that lives a situation in La Pintana, since it will require greater financing, that is, that is, that is, that is, that is, that is, that is, that is, that is, a greater amount of action. Ergo should be more expensive than a user who has a more compensated network and that requires a lower intensity intervention.</v>
      </c>
      <c r="G24" s="18">
        <v>756</v>
      </c>
      <c r="H24" s="19">
        <v>2.1553198768388642</v>
      </c>
      <c r="I24" s="16" t="s">
        <v>1067</v>
      </c>
      <c r="J24" s="17" t="str">
        <f ca="1">IFERROR(__xludf.DUMMYFUNCTION("GOOGLETRANSLATE(I24,""ES"",""EN"")"),"Payment mechanism: for the intensity/complexity of the care plan")</f>
        <v>Payment mechanism: for the intensity/complexity of the care plan</v>
      </c>
    </row>
    <row r="25" spans="1:10" ht="15.75" customHeight="1" x14ac:dyDescent="0.25">
      <c r="A25" s="6" t="s">
        <v>5</v>
      </c>
      <c r="B25" s="17" t="s">
        <v>321</v>
      </c>
      <c r="C25" s="17" t="s">
        <v>1037</v>
      </c>
      <c r="D25" s="17" t="str">
        <f ca="1">IFERROR(__xludf.DUMMYFUNCTION("GOOGLETRANSLATE(C25,""ES"",""EN"")"),"Financing \ Intervention \ Desired payment method")</f>
        <v>Financing \ Intervention \ Desired payment method</v>
      </c>
      <c r="E25" s="17" t="s">
        <v>1069</v>
      </c>
      <c r="F25" s="17" t="str">
        <f ca="1">IFERROR(__xludf.DUMMYFUNCTION("GOOGLETRANSLATE(E25,""ES"",""EN"")"),"One should think that complexity should be associated with a greater intensity of intervention and that probably to greater valuation. And that probably I think it is a fundamental element not only for mental health centers or Cosam, but for the entire ne"&amp;"twork")</f>
        <v>One should think that complexity should be associated with a greater intensity of intervention and that probably to greater valuation. And that probably I think it is a fundamental element not only for mental health centers or Cosam, but for the entire network</v>
      </c>
      <c r="G25" s="18">
        <v>295</v>
      </c>
      <c r="H25" s="19">
        <v>0.84103090432204353</v>
      </c>
      <c r="I25" s="16" t="s">
        <v>1067</v>
      </c>
      <c r="J25" s="17" t="str">
        <f ca="1">IFERROR(__xludf.DUMMYFUNCTION("GOOGLETRANSLATE(I25,""ES"",""EN"")"),"Payment mechanism: for the intensity/complexity of the care plan")</f>
        <v>Payment mechanism: for the intensity/complexity of the care plan</v>
      </c>
    </row>
    <row r="26" spans="1:10" ht="15.75" customHeight="1" x14ac:dyDescent="0.25">
      <c r="A26" s="6" t="s">
        <v>5</v>
      </c>
      <c r="B26" s="17" t="s">
        <v>371</v>
      </c>
      <c r="C26" s="17" t="s">
        <v>1037</v>
      </c>
      <c r="D26" s="17" t="str">
        <f ca="1">IFERROR(__xludf.DUMMYFUNCTION("GOOGLETRANSLATE(C26,""ES"",""EN"")"),"Financing \ Intervention \ Desired payment method")</f>
        <v>Financing \ Intervention \ Desired payment method</v>
      </c>
      <c r="E26" s="17" t="s">
        <v>1070</v>
      </c>
      <c r="F26" s="17" t="str">
        <f ca="1">IFERROR(__xludf.DUMMYFUNCTION("GOOGLETRANSLATE(E26,""ES"",""EN"")"),"I believe that it should be generated independent of the place where they are, true, if it is of service dependency, municipal dependence, whatever, generate a gloss within or as marked that is for the operation of the community mental health center when "&amp;"the transfers are made.")</f>
        <v>I believe that it should be generated independent of the place where they are, true, if it is of service dependency, municipal dependence, whatever, generate a gloss within or as marked that is for the operation of the community mental health center when the transfers are made.</v>
      </c>
      <c r="G26" s="18">
        <v>280</v>
      </c>
      <c r="H26" s="19">
        <v>0.91899698043849276</v>
      </c>
      <c r="I26" s="16" t="s">
        <v>1044</v>
      </c>
      <c r="J26" s="17" t="str">
        <f ca="1">IFERROR(__xludf.DUMMYFUNCTION("GOOGLETRANSLATE(I26,""ES"",""EN"")"),"It is not just a budget")</f>
        <v>It is not just a budget</v>
      </c>
    </row>
    <row r="27" spans="1:10" ht="15.75" customHeight="1" x14ac:dyDescent="0.25">
      <c r="A27" s="6" t="s">
        <v>5</v>
      </c>
      <c r="B27" s="17" t="s">
        <v>371</v>
      </c>
      <c r="C27" s="17" t="s">
        <v>1037</v>
      </c>
      <c r="D27" s="17" t="str">
        <f ca="1">IFERROR(__xludf.DUMMYFUNCTION("GOOGLETRANSLATE(C27,""ES"",""EN"")"),"Financing \ Intervention \ Desired payment method")</f>
        <v>Financing \ Intervention \ Desired payment method</v>
      </c>
      <c r="E27" s="17" t="s">
        <v>1071</v>
      </c>
      <c r="F27" s="17" t="str">
        <f ca="1">IFERROR(__xludf.DUMMYFUNCTION("GOOGLETRANSLATE(E27,""ES"",""EN"")"),"Incorporate them, but for it to be marked as a ministerial program of I do not know what is the same Mental Health Program Community Mental Health as a specific way and that adjusts as to the needs of each center.")</f>
        <v>Incorporate them, but for it to be marked as a ministerial program of I do not know what is the same Mental Health Program Community Mental Health as a specific way and that adjusts as to the needs of each center.</v>
      </c>
      <c r="G27" s="18">
        <v>239</v>
      </c>
      <c r="H27" s="19">
        <v>0.78442956544571352</v>
      </c>
      <c r="I27" s="16" t="s">
        <v>1044</v>
      </c>
      <c r="J27" s="17" t="str">
        <f ca="1">IFERROR(__xludf.DUMMYFUNCTION("GOOGLETRANSLATE(I27,""ES"",""EN"")"),"It is not just a budget")</f>
        <v>It is not just a budget</v>
      </c>
    </row>
    <row r="28" spans="1:10" ht="15.75" customHeight="1" x14ac:dyDescent="0.25">
      <c r="A28" s="6" t="s">
        <v>5</v>
      </c>
      <c r="B28" s="17" t="s">
        <v>371</v>
      </c>
      <c r="C28" s="17" t="s">
        <v>1037</v>
      </c>
      <c r="D28" s="17" t="str">
        <f ca="1">IFERROR(__xludf.DUMMYFUNCTION("GOOGLETRANSLATE(C28,""ES"",""EN"")"),"Financing \ Intervention \ Desired payment method")</f>
        <v>Financing \ Intervention \ Desired payment method</v>
      </c>
      <c r="E28" s="17" t="s">
        <v>1072</v>
      </c>
      <c r="F28" s="17" t="str">
        <f ca="1">IFERROR(__xludf.DUMMYFUNCTION("GOOGLETRANSLATE(E28,""ES"",""EN"")"),"In primary care, per capita is used. I do not know if the per capita is the best for us, but but a way of being able to put a minimum of financing in assessing the benefits according to the codes that Fonasa has and from there to be able to transfer a lit"&amp;"tle more resources and that they arrive for the centers.")</f>
        <v>In primary care, per capita is used. I do not know if the per capita is the best for us, but but a way of being able to put a minimum of financing in assessing the benefits according to the codes that Fonasa has and from there to be able to transfer a little more resources and that they arrive for the centers.</v>
      </c>
      <c r="G28" s="18">
        <v>317</v>
      </c>
      <c r="H28" s="19">
        <v>1.0404358671392937</v>
      </c>
      <c r="I28" s="16" t="s">
        <v>1073</v>
      </c>
      <c r="J28" s="17" t="str">
        <f ca="1">IFERROR(__xludf.DUMMYFUNCTION("GOOGLETRANSLATE(I28,""ES"",""EN"")"),"Payment mechanism: per capita")</f>
        <v>Payment mechanism: per capita</v>
      </c>
    </row>
    <row r="29" spans="1:10" ht="15.75" customHeight="1" x14ac:dyDescent="0.25">
      <c r="A29" s="6" t="s">
        <v>5</v>
      </c>
      <c r="B29" s="17" t="s">
        <v>371</v>
      </c>
      <c r="C29" s="17" t="s">
        <v>1037</v>
      </c>
      <c r="D29" s="17" t="str">
        <f ca="1">IFERROR(__xludf.DUMMYFUNCTION("GOOGLETRANSLATE(C29,""ES"",""EN"")"),"Financing \ Intervention \ Desired payment method")</f>
        <v>Financing \ Intervention \ Desired payment method</v>
      </c>
      <c r="E29" s="17" t="s">
        <v>1074</v>
      </c>
      <c r="F29" s="17" t="str">
        <f ca="1">IFERROR(__xludf.DUMMYFUNCTION("GOOGLETRANSLATE(E29,""ES"",""EN"")"),"regardless of whether we are not all the same at the country level. That you know that I do not know the benefit so much to have such value and that value is transferred according to the number of users, for example.")</f>
        <v>regardless of whether we are not all the same at the country level. That you know that I do not know the benefit so much to have such value and that value is transferred according to the number of users, for example.</v>
      </c>
      <c r="G29" s="18">
        <v>197</v>
      </c>
      <c r="H29" s="19">
        <v>0.64658001837993961</v>
      </c>
      <c r="I29" s="16" t="s">
        <v>1075</v>
      </c>
      <c r="J29" s="17" t="str">
        <f ca="1">IFERROR(__xludf.DUMMYFUNCTION("GOOGLETRANSLATE(I29,""ES"",""EN"")"),"Payment mechanism: baskets/packages")</f>
        <v>Payment mechanism: baskets/packages</v>
      </c>
    </row>
    <row r="30" spans="1:10" ht="15.75" customHeight="1" x14ac:dyDescent="0.25">
      <c r="A30" s="6" t="s">
        <v>5</v>
      </c>
      <c r="B30" s="17" t="s">
        <v>371</v>
      </c>
      <c r="C30" s="17" t="s">
        <v>1037</v>
      </c>
      <c r="D30" s="17" t="str">
        <f ca="1">IFERROR(__xludf.DUMMYFUNCTION("GOOGLETRANSLATE(C30,""ES"",""EN"")"),"Financing \ Intervention \ Desired payment method")</f>
        <v>Financing \ Intervention \ Desired payment method</v>
      </c>
      <c r="E30" s="17" t="s">
        <v>1076</v>
      </c>
      <c r="F30" s="17" t="str">
        <f ca="1">IFERROR(__xludf.DUMMYFUNCTION("GOOGLETRANSLATE(E30,""ES"",""EN"")"),"But not only assess a benefit, because here we deliver the portfolio of benefits quite wide or generate a certain minimum of the value of the benefit portfolio and be able to transfer a bit based on that, making the certain proof of what all the variables"&amp;" means That we have to contemplate drugs, nursing supplies, other clinical supplies, other office supplies, mobilization, basic services and based on that, generate a minimum transfer floor.")</f>
        <v>But not only assess a benefit, because here we deliver the portfolio of benefits quite wide or generate a certain minimum of the value of the benefit portfolio and be able to transfer a bit based on that, making the certain proof of what all the variables means That we have to contemplate drugs, nursing supplies, other clinical supplies, other office supplies, mobilization, basic services and based on that, generate a minimum transfer floor.</v>
      </c>
      <c r="G30" s="18">
        <v>502</v>
      </c>
      <c r="H30" s="19">
        <v>1.647630300643298</v>
      </c>
      <c r="I30" s="16" t="s">
        <v>1075</v>
      </c>
      <c r="J30" s="17" t="str">
        <f ca="1">IFERROR(__xludf.DUMMYFUNCTION("GOOGLETRANSLATE(I30,""ES"",""EN"")"),"Payment mechanism: baskets/packages")</f>
        <v>Payment mechanism: baskets/packages</v>
      </c>
    </row>
    <row r="31" spans="1:10" ht="15.75" customHeight="1" x14ac:dyDescent="0.25">
      <c r="A31" s="6" t="s">
        <v>5</v>
      </c>
      <c r="B31" s="17" t="s">
        <v>371</v>
      </c>
      <c r="C31" s="17" t="s">
        <v>1037</v>
      </c>
      <c r="D31" s="17" t="str">
        <f ca="1">IFERROR(__xludf.DUMMYFUNCTION("GOOGLETRANSLATE(C31,""ES"",""EN"")"),"Financing \ Intervention \ Desired payment method")</f>
        <v>Financing \ Intervention \ Desired payment method</v>
      </c>
      <c r="E31" s="17" t="s">
        <v>1077</v>
      </c>
      <c r="F31" s="17" t="str">
        <f ca="1">IFERROR(__xludf.DUMMYFUNCTION("GOOGLETRANSLATE(E31,""ES"",""EN"")"),"You have to look for as a parallel system, because if all services have dependent centers and not all will probably be able to have their sub -direction, you have to look for a way to transfer more resources that allow you to improve different conditions")</f>
        <v>You have to look for as a parallel system, because if all services have dependent centers and not all will probably be able to have their sub -direction, you have to look for a way to transfer more resources that allow you to improve different conditions</v>
      </c>
      <c r="G31" s="18">
        <v>274</v>
      </c>
      <c r="H31" s="19">
        <v>0.89930418800052514</v>
      </c>
      <c r="I31" s="16" t="s">
        <v>1044</v>
      </c>
      <c r="J31" s="17" t="str">
        <f ca="1">IFERROR(__xludf.DUMMYFUNCTION("GOOGLETRANSLATE(I31,""ES"",""EN"")"),"It is not just a budget")</f>
        <v>It is not just a budget</v>
      </c>
    </row>
    <row r="32" spans="1:10" ht="15.75" customHeight="1" x14ac:dyDescent="0.25">
      <c r="A32" s="6" t="s">
        <v>5</v>
      </c>
      <c r="B32" s="17" t="s">
        <v>410</v>
      </c>
      <c r="C32" s="17" t="s">
        <v>1037</v>
      </c>
      <c r="D32" s="17" t="str">
        <f ca="1">IFERROR(__xludf.DUMMYFUNCTION("GOOGLETRANSLATE(C32,""ES"",""EN"")"),"Financing \ Intervention \ Desired payment method")</f>
        <v>Financing \ Intervention \ Desired payment method</v>
      </c>
      <c r="E32" s="17" t="s">
        <v>1078</v>
      </c>
      <c r="F32" s="17" t="str">
        <f ca="1">IFERROR(__xludf.DUMMYFUNCTION("GOOGLETRANSLATE(E32,""ES"",""EN"")"),"First, I have always imagined a system that more than associated with a diagnosis that often does not account for what the care needs of people are and could be more effectively associated as to requirements such as treatment intensity.")</f>
        <v>First, I have always imagined a system that more than associated with a diagnosis that often does not account for what the care needs of people are and could be more effectively associated as to requirements such as treatment intensity.</v>
      </c>
      <c r="G32" s="18">
        <v>268</v>
      </c>
      <c r="H32" s="19">
        <v>1.2160813140938378</v>
      </c>
      <c r="I32" s="16" t="s">
        <v>1067</v>
      </c>
      <c r="J32" s="17" t="str">
        <f ca="1">IFERROR(__xludf.DUMMYFUNCTION("GOOGLETRANSLATE(I32,""ES"",""EN"")"),"Payment mechanism: for the intensity/complexity of the care plan")</f>
        <v>Payment mechanism: for the intensity/complexity of the care plan</v>
      </c>
    </row>
    <row r="33" spans="1:10" ht="15.75" customHeight="1" x14ac:dyDescent="0.25">
      <c r="A33" s="6" t="s">
        <v>5</v>
      </c>
      <c r="B33" s="17" t="s">
        <v>410</v>
      </c>
      <c r="C33" s="17" t="s">
        <v>1037</v>
      </c>
      <c r="D33" s="17" t="str">
        <f ca="1">IFERROR(__xludf.DUMMYFUNCTION("GOOGLETRANSLATE(C33,""ES"",""EN"")"),"Financing \ Intervention \ Desired payment method")</f>
        <v>Financing \ Intervention \ Desired payment method</v>
      </c>
      <c r="E33" s="17" t="s">
        <v>1079</v>
      </c>
      <c r="F33" s="17" t="str">
        <f ca="1">IFERROR(__xludf.DUMMYFUNCTION("GOOGLETRANSLATE(E33,""ES"",""EN"")"),"That in a logic of understanding that beyond diagnosis, in their health-disease process, people are requiring more or less intensity or frequency in the intervention and that the payment mechanism had rather associated with those elements than to the diag"&amp;"nosis itself properly as it is now.")</f>
        <v>That in a logic of understanding that beyond diagnosis, in their health-disease process, people are requiring more or less intensity or frequency in the intervention and that the payment mechanism had rather associated with those elements than to the diagnosis itself properly as it is now.</v>
      </c>
      <c r="G33" s="18">
        <v>300</v>
      </c>
      <c r="H33" s="19">
        <v>1.361285053090117</v>
      </c>
      <c r="I33" s="16" t="s">
        <v>1067</v>
      </c>
      <c r="J33" s="17" t="str">
        <f ca="1">IFERROR(__xludf.DUMMYFUNCTION("GOOGLETRANSLATE(I33,""ES"",""EN"")"),"Payment mechanism: for the intensity/complexity of the care plan")</f>
        <v>Payment mechanism: for the intensity/complexity of the care plan</v>
      </c>
    </row>
    <row r="34" spans="1:10" ht="15.75" customHeight="1" x14ac:dyDescent="0.25">
      <c r="A34" s="6" t="s">
        <v>5</v>
      </c>
      <c r="B34" s="17" t="s">
        <v>410</v>
      </c>
      <c r="C34" s="17" t="s">
        <v>1037</v>
      </c>
      <c r="D34" s="17" t="str">
        <f ca="1">IFERROR(__xludf.DUMMYFUNCTION("GOOGLETRANSLATE(C34,""ES"",""EN"")"),"Financing \ Intervention \ Desired payment method")</f>
        <v>Financing \ Intervention \ Desired payment method</v>
      </c>
      <c r="E34" s="17" t="s">
        <v>1080</v>
      </c>
      <c r="F34" s="17" t="str">
        <f ca="1">IFERROR(__xludf.DUMMYFUNCTION("GOOGLETRANSLATE(E34,""ES"",""EN"")"),"Perhaps some specific actions that could not be so linked to the attention of a specific person, say, but rather linked as the model. And of course it has to do with this as I do not know, what you said, the link with organizations or elements rather asso"&amp;"ciated with the recovery of people, I do not know that as one might think.")</f>
        <v>Perhaps some specific actions that could not be so linked to the attention of a specific person, say, but rather linked as the model. And of course it has to do with this as I do not know, what you said, the link with organizations or elements rather associated with the recovery of people, I do not know that as one might think.</v>
      </c>
      <c r="G34" s="18">
        <v>383</v>
      </c>
      <c r="H34" s="19">
        <v>1.7379072511117162</v>
      </c>
      <c r="I34" s="16" t="s">
        <v>1081</v>
      </c>
      <c r="J34" s="17" t="str">
        <f ca="1">IFERROR(__xludf.DUMMYFUNCTION("GOOGLETRANSLATE(I34,""ES"",""EN"")"),"Concordant actions with the community model: Comprehensive Care Plan: Recovery")</f>
        <v>Concordant actions with the community model: Comprehensive Care Plan: Recovery</v>
      </c>
    </row>
    <row r="35" spans="1:10" ht="15.75" customHeight="1" x14ac:dyDescent="0.25">
      <c r="A35" s="6" t="s">
        <v>5</v>
      </c>
      <c r="B35" s="17" t="s">
        <v>456</v>
      </c>
      <c r="C35" s="17" t="s">
        <v>1037</v>
      </c>
      <c r="D35" s="17" t="str">
        <f ca="1">IFERROR(__xludf.DUMMYFUNCTION("GOOGLETRANSLATE(C35,""ES"",""EN"")"),"Financing \ Intervention \ Desired payment method")</f>
        <v>Financing \ Intervention \ Desired payment method</v>
      </c>
      <c r="E35" s="17" t="s">
        <v>1082</v>
      </c>
      <c r="F35" s="17" t="str">
        <f ca="1">IFERROR(__xludf.DUMMYFUNCTION("GOOGLETRANSLATE(E35,""ES"",""EN"")"),"Today, maybe something is being taken that I do not know if it is going to take to port or not, which is the rehabilitation in Covid, it is to put it, to incorporate it to GES and there it is from almost the diagnosis is a bit and incorporates something M"&amp;"ental health, psychiatrist control, psychologist control, but that is about to be seen as an intention, right? That has to go through the resource of GES and all that, but there is little, it is very little in mental health")</f>
        <v>Today, maybe something is being taken that I do not know if it is going to take to port or not, which is the rehabilitation in Covid, it is to put it, to incorporate it to GES and there it is from almost the diagnosis is a bit and incorporates something Mental health, psychiatrist control, psychologist control, but that is about to be seen as an intention, right? That has to go through the resource of GES and all that, but there is little, it is very little in mental health</v>
      </c>
      <c r="G35" s="18">
        <v>436</v>
      </c>
      <c r="H35" s="19">
        <v>2.3234745536903811</v>
      </c>
      <c r="I35" s="16" t="s">
        <v>1083</v>
      </c>
      <c r="J35" s="17" t="str">
        <f ca="1">IFERROR(__xludf.DUMMYFUNCTION("GOOGLETRANSLATE(I35,""ES"",""EN"")"),"Payment mechanism: new incorporations in the GES")</f>
        <v>Payment mechanism: new incorporations in the GES</v>
      </c>
    </row>
    <row r="36" spans="1:10" ht="15.75" customHeight="1" x14ac:dyDescent="0.25">
      <c r="A36" s="6" t="s">
        <v>5</v>
      </c>
      <c r="B36" s="17" t="s">
        <v>456</v>
      </c>
      <c r="C36" s="17" t="s">
        <v>1037</v>
      </c>
      <c r="D36" s="17" t="str">
        <f ca="1">IFERROR(__xludf.DUMMYFUNCTION("GOOGLETRANSLATE(C36,""ES"",""EN"")"),"Financing \ Intervention \ Desired payment method")</f>
        <v>Financing \ Intervention \ Desired payment method</v>
      </c>
      <c r="E36" s="17" t="s">
        <v>1084</v>
      </c>
      <c r="F36" s="17" t="str">
        <f ca="1">IFERROR(__xludf.DUMMYFUNCTION("GOOGLETRANSLATE(E36,""ES"",""EN"")"),"So sometimes it costs to build that a bit and then the priority and the basket have a whole benefit. It is neither management, nor is it a clinical guide, nor is it protocol that people confuse in all programs, be it the health plan. We, PPV, EX-PV, GRD, "&amp;"everything is a kind of package, package to value how intervention costs you, how many results and how. And if we did more in depth, it would have to be like a cost study, you look, to reach that total value.")</f>
        <v>So sometimes it costs to build that a bit and then the priority and the basket have a whole benefit. It is neither management, nor is it a clinical guide, nor is it protocol that people confuse in all programs, be it the health plan. We, PPV, EX-PV, GRD, everything is a kind of package, package to value how intervention costs you, how many results and how. And if we did more in depth, it would have to be like a cost study, you look, to reach that total value.</v>
      </c>
      <c r="G36" s="18">
        <v>650</v>
      </c>
      <c r="H36" s="19">
        <v>3.4638955502264852</v>
      </c>
      <c r="I36" s="16" t="s">
        <v>1075</v>
      </c>
      <c r="J36" s="17" t="str">
        <f ca="1">IFERROR(__xludf.DUMMYFUNCTION("GOOGLETRANSLATE(I36,""ES"",""EN"")"),"Payment mechanism: baskets/packages")</f>
        <v>Payment mechanism: baskets/packages</v>
      </c>
    </row>
    <row r="37" spans="1:10" ht="15.75" customHeight="1" x14ac:dyDescent="0.25">
      <c r="A37" s="6" t="s">
        <v>5</v>
      </c>
      <c r="B37" s="17" t="s">
        <v>456</v>
      </c>
      <c r="C37" s="17" t="s">
        <v>1037</v>
      </c>
      <c r="D37" s="17" t="str">
        <f ca="1">IFERROR(__xludf.DUMMYFUNCTION("GOOGLETRANSLATE(C37,""ES"",""EN"")"),"Financing \ Intervention \ Desired payment method")</f>
        <v>Financing \ Intervention \ Desired payment method</v>
      </c>
      <c r="E37" s="17" t="s">
        <v>1085</v>
      </c>
      <c r="F37" s="17" t="str">
        <f ca="1">IFERROR(__xludf.DUMMYFUNCTION("GOOGLETRANSLATE(E37,""ES"",""EN"")"),"For what I have seen now with this Covid and everything that comes from last year, that we are trying to do some covid rehabilitation and that has a lot to do with mental health, I believe that the fundamental thing is reinforcement in the Primary Care Er"&amp;", because in closed attention there is some way there is some relationship with or with the specialist or the psychologist. Hospitals have psychologist have some mental health. But where people also go, for example in this case that we are working with th"&amp;"eir sequel is primary care. And there they will have to have some level of attention to, let's say, pay the corresponding attention, because your primary care at this time tells you that he cannot do it, he cannot do it, he cannot do it because he has no "&amp;"resources, no It has financial resources, human resource. Does not have. Then that part reinforce it. If he goes up. Primary care, whether the patient has arrived from hospitalization, as I go to a first consultation, I see that. Reinforcement in every wa"&amp;"y, in every way. Primary Care")</f>
        <v>For what I have seen now with this Covid and everything that comes from last year, that we are trying to do some covid rehabilitation and that has a lot to do with mental health, I believe that the fundamental thing is reinforcement in the Primary Care Er, because in closed attention there is some way there is some relationship with or with the specialist or the psychologist. Hospitals have psychologist have some mental health. But where people also go, for example in this case that we are working with their sequel is primary care. And there they will have to have some level of attention to, let's say, pay the corresponding attention, because your primary care at this time tells you that he cannot do it, he cannot do it, he cannot do it because he has no resources, no It has financial resources, human resource. Does not have. Then that part reinforce it. If he goes up. Primary care, whether the patient has arrived from hospitalization, as I go to a first consultation, I see that. Reinforcement in every way, in every way. Primary Care</v>
      </c>
      <c r="G37" s="18">
        <v>1139</v>
      </c>
      <c r="H37" s="19">
        <v>6.0698108180122574</v>
      </c>
      <c r="I37" s="16" t="s">
        <v>1044</v>
      </c>
      <c r="J37" s="17" t="str">
        <f ca="1">IFERROR(__xludf.DUMMYFUNCTION("GOOGLETRANSLATE(I37,""ES"",""EN"")"),"It is not just a budget")</f>
        <v>It is not just a budget</v>
      </c>
    </row>
    <row r="38" spans="1:10" ht="15.75" customHeight="1" x14ac:dyDescent="0.25">
      <c r="A38" s="6" t="s">
        <v>5</v>
      </c>
      <c r="B38" s="17" t="s">
        <v>462</v>
      </c>
      <c r="C38" s="17" t="s">
        <v>1037</v>
      </c>
      <c r="D38" s="17" t="str">
        <f ca="1">IFERROR(__xludf.DUMMYFUNCTION("GOOGLETRANSLATE(C38,""ES"",""EN"")"),"Financing \ Intervention \ Desired payment method")</f>
        <v>Financing \ Intervention \ Desired payment method</v>
      </c>
      <c r="E38" s="17" t="s">
        <v>1086</v>
      </c>
      <c r="F38" s="17" t="str">
        <f ca="1">IFERROR(__xludf.DUMMYFUNCTION("GOOGLETRANSLATE(E38,""ES"",""EN"")"),"You will have a potential population that will be installed. If I have loaded two million population, I will not pay 8 Lucas per person, but I am going to tell you monthly I am going to pay you to the best for mental attention 0.5 of what I pay in high sc"&amp;"hool, in primary care. Then the basal value is going to go directly to secondary care and that will generate that in each hospital or center of Ah I forgot the figure of these centers to be financed and I perform them. And the same happens with the center"&amp;"s, the municipal offices that are served, which are, which are financed by the health service, which should also enter the logic per capita.")</f>
        <v>You will have a potential population that will be installed. If I have loaded two million population, I will not pay 8 Lucas per person, but I am going to tell you monthly I am going to pay you to the best for mental attention 0.5 of what I pay in high school, in primary care. Then the basal value is going to go directly to secondary care and that will generate that in each hospital or center of Ah I forgot the figure of these centers to be financed and I perform them. And the same happens with the centers, the municipal offices that are served, which are, which are financed by the health service, which should also enter the logic per capita.</v>
      </c>
      <c r="G38" s="18">
        <v>694</v>
      </c>
      <c r="H38" s="19">
        <v>2.0487084870848706</v>
      </c>
      <c r="I38" s="16" t="s">
        <v>1073</v>
      </c>
      <c r="J38" s="17" t="str">
        <f ca="1">IFERROR(__xludf.DUMMYFUNCTION("GOOGLETRANSLATE(I38,""ES"",""EN"")"),"Payment mechanism: per capita")</f>
        <v>Payment mechanism: per capita</v>
      </c>
    </row>
    <row r="39" spans="1:10" ht="15.75" customHeight="1" x14ac:dyDescent="0.25">
      <c r="A39" s="6" t="s">
        <v>5</v>
      </c>
      <c r="B39" s="17" t="s">
        <v>466</v>
      </c>
      <c r="C39" s="17" t="s">
        <v>1037</v>
      </c>
      <c r="D39" s="17" t="str">
        <f ca="1">IFERROR(__xludf.DUMMYFUNCTION("GOOGLETRANSLATE(C39,""ES"",""EN"")"),"Financing \ Intervention \ Desired payment method")</f>
        <v>Financing \ Intervention \ Desired payment method</v>
      </c>
      <c r="E39" s="17" t="s">
        <v>1087</v>
      </c>
      <c r="F39" s="17" t="str">
        <f ca="1">IFERROR(__xludf.DUMMYFUNCTION("GOOGLETRANSLATE(E39,""ES"",""EN"")"),"As for the payment mechanism, I believe that we should move towards a mechanism perhaps similar to the mechanism it has, which has a path in some aspects.")</f>
        <v>As for the payment mechanism, I believe that we should move towards a mechanism perhaps similar to the mechanism it has, which has a path in some aspects.</v>
      </c>
      <c r="G39" s="18">
        <v>157</v>
      </c>
      <c r="H39" s="19">
        <v>0.43559082207363425</v>
      </c>
      <c r="I39" s="16" t="s">
        <v>1075</v>
      </c>
      <c r="J39" s="17" t="str">
        <f ca="1">IFERROR(__xludf.DUMMYFUNCTION("GOOGLETRANSLATE(I39,""ES"",""EN"")"),"Payment mechanism: baskets/packages")</f>
        <v>Payment mechanism: baskets/packages</v>
      </c>
    </row>
    <row r="40" spans="1:10" ht="15.75" customHeight="1" x14ac:dyDescent="0.25">
      <c r="A40" s="6" t="s">
        <v>5</v>
      </c>
      <c r="B40" s="17" t="s">
        <v>466</v>
      </c>
      <c r="C40" s="17" t="s">
        <v>1037</v>
      </c>
      <c r="D40" s="17" t="str">
        <f ca="1">IFERROR(__xludf.DUMMYFUNCTION("GOOGLETRANSLATE(C40,""ES"",""EN"")"),"Financing \ Intervention \ Desired payment method")</f>
        <v>Financing \ Intervention \ Desired payment method</v>
      </c>
      <c r="E40" s="17" t="s">
        <v>1088</v>
      </c>
      <c r="F40" s="17" t="str">
        <f ca="1">IFERROR(__xludf.DUMMYFUNCTION("GOOGLETRANSLATE(E40,""ES"",""EN"")"),"I do not want to say that in the end that some benefits could or some, or perhaps stop paying for an individual benefit and pay for plans, or by basket, and that this basket of benefits sign up for a better health outcome. And that this basket is valued, "&amp;"valued and regularly paid. Because I think that doesn't happen.")</f>
        <v>I do not want to say that in the end that some benefits could or some, or perhaps stop paying for an individual benefit and pay for plans, or by basket, and that this basket of benefits sign up for a better health outcome. And that this basket is valued, valued and regularly paid. Because I think that doesn't happen.</v>
      </c>
      <c r="G40" s="18">
        <v>333</v>
      </c>
      <c r="H40" s="19">
        <v>0.92389645700968281</v>
      </c>
      <c r="I40" s="16" t="s">
        <v>1075</v>
      </c>
      <c r="J40" s="17" t="str">
        <f ca="1">IFERROR(__xludf.DUMMYFUNCTION("GOOGLETRANSLATE(I40,""ES"",""EN"")"),"Payment mechanism: baskets/packages")</f>
        <v>Payment mechanism: baskets/packages</v>
      </c>
    </row>
    <row r="41" spans="1:10" ht="15.75" customHeight="1" x14ac:dyDescent="0.25">
      <c r="A41" s="6" t="s">
        <v>5</v>
      </c>
      <c r="B41" s="17" t="s">
        <v>466</v>
      </c>
      <c r="C41" s="17" t="s">
        <v>1037</v>
      </c>
      <c r="D41" s="17" t="str">
        <f ca="1">IFERROR(__xludf.DUMMYFUNCTION("GOOGLETRANSLATE(C41,""ES"",""EN"")"),"Financing \ Intervention \ Desired payment method")</f>
        <v>Financing \ Intervention \ Desired payment method</v>
      </c>
      <c r="E41" s="17" t="s">
        <v>1089</v>
      </c>
      <c r="F41" s="17" t="str">
        <f ca="1">IFERROR(__xludf.DUMMYFUNCTION("GOOGLETRANSLATE(E41,""ES"",""EN"")"),"And it also doesn't happen that there is someone who sees if this basket effectively, well that happens everywhere in health, let's say, but in that basket effectively granted and comply with one, with one, with a quality that points to the user having be"&amp;"tter improvements In your health situation. Then I would do that, massed. And those baskets would also apply to several offenders, because populations are populations that are much more complex than others.")</f>
        <v>And it also doesn't happen that there is someone who sees if this basket effectively, well that happens everywhere in health, let's say, but in that basket effectively granted and comply with one, with one, with a quality that points to the user having better improvements In your health situation. Then I would do that, massed. And those baskets would also apply to several offenders, because populations are populations that are much more complex than others.</v>
      </c>
      <c r="G41" s="18">
        <v>461</v>
      </c>
      <c r="H41" s="19">
        <v>1.2790278278722638</v>
      </c>
      <c r="I41" s="16" t="s">
        <v>1075</v>
      </c>
      <c r="J41" s="17" t="str">
        <f ca="1">IFERROR(__xludf.DUMMYFUNCTION("GOOGLETRANSLATE(I41,""ES"",""EN"")"),"Payment mechanism: baskets/packages")</f>
        <v>Payment mechanism: baskets/packages</v>
      </c>
    </row>
    <row r="42" spans="1:10" ht="15.75" customHeight="1" x14ac:dyDescent="0.25">
      <c r="A42" s="6" t="s">
        <v>5</v>
      </c>
      <c r="B42" s="17" t="s">
        <v>466</v>
      </c>
      <c r="C42" s="17" t="s">
        <v>1037</v>
      </c>
      <c r="D42" s="17" t="str">
        <f ca="1">IFERROR(__xludf.DUMMYFUNCTION("GOOGLETRANSLATE(C42,""ES"",""EN"")"),"Financing \ Intervention \ Desired payment method")</f>
        <v>Financing \ Intervention \ Desired payment method</v>
      </c>
      <c r="E42" s="17" t="s">
        <v>1090</v>
      </c>
      <c r="F42" s="17" t="str">
        <f ca="1">IFERROR(__xludf.DUMMYFUNCTION("GOOGLETRANSLATE(E42,""ES"",""EN"")"),"I believe that there are conditions of rurality, ailation, suicide rate, intrafamily violence rate that of course could generate some different level of offender.")</f>
        <v>I believe that there are conditions of rurality, ailation, suicide rate, intrafamily violence rate that of course could generate some different level of offender.</v>
      </c>
      <c r="G42" s="18">
        <v>176</v>
      </c>
      <c r="H42" s="19">
        <v>0.48830563493604862</v>
      </c>
      <c r="I42" s="16" t="s">
        <v>1091</v>
      </c>
      <c r="J42" s="17" t="str">
        <f ca="1">IFERROR(__xludf.DUMMYFUNCTION("GOOGLETRANSLATE(I42,""ES"",""EN"")"),"Payment mechanism: risks and inflators")</f>
        <v>Payment mechanism: risks and inflators</v>
      </c>
    </row>
    <row r="43" spans="1:10" ht="15.75" customHeight="1" x14ac:dyDescent="0.25">
      <c r="A43" s="6" t="s">
        <v>5</v>
      </c>
      <c r="B43" s="17" t="s">
        <v>466</v>
      </c>
      <c r="C43" s="17" t="s">
        <v>1037</v>
      </c>
      <c r="D43" s="17" t="str">
        <f ca="1">IFERROR(__xludf.DUMMYFUNCTION("GOOGLETRANSLATE(C43,""ES"",""EN"")"),"Financing \ Intervention \ Desired payment method")</f>
        <v>Financing \ Intervention \ Desired payment method</v>
      </c>
      <c r="E43" s="17" t="s">
        <v>1092</v>
      </c>
      <c r="F43" s="17" t="str">
        <f ca="1">IFERROR(__xludf.DUMMYFUNCTION("GOOGLETRANSLATE(E43,""ES"",""EN"")"),"Because, because of course, the truth is that for me it is not the same, it is not the same, for example, to serve a user who has a problematic consumption of alcohol and drugs in Valparaíso where there is a number of other devices that can generate suppo"&amp;"rt of the intersectoral network, how to do it in San Antonio or the communes of the central coast, where the network is much smaller and much smaller and the transfers are more expensive.")</f>
        <v>Because, because of course, the truth is that for me it is not the same, it is not the same, for example, to serve a user who has a problematic consumption of alcohol and drugs in Valparaíso where there is a number of other devices that can generate support of the intersectoral network, how to do it in San Antonio or the communes of the central coast, where the network is much smaller and much smaller and the transfers are more expensive.</v>
      </c>
      <c r="G43" s="18">
        <v>418</v>
      </c>
      <c r="H43" s="19">
        <v>1.1597258829731154</v>
      </c>
      <c r="I43" s="16" t="s">
        <v>1091</v>
      </c>
      <c r="J43" s="17" t="str">
        <f ca="1">IFERROR(__xludf.DUMMYFUNCTION("GOOGLETRANSLATE(I43,""ES"",""EN"")"),"Payment mechanism: risks and inflators")</f>
        <v>Payment mechanism: risks and inflators</v>
      </c>
    </row>
    <row r="44" spans="1:10" ht="15.75" customHeight="1" x14ac:dyDescent="0.25">
      <c r="A44" s="6" t="s">
        <v>5</v>
      </c>
      <c r="B44" s="17" t="s">
        <v>466</v>
      </c>
      <c r="C44" s="17" t="s">
        <v>1037</v>
      </c>
      <c r="D44" s="17" t="str">
        <f ca="1">IFERROR(__xludf.DUMMYFUNCTION("GOOGLETRANSLATE(C44,""ES"",""EN"")"),"Financing \ Intervention \ Desired payment method")</f>
        <v>Financing \ Intervention \ Desired payment method</v>
      </c>
      <c r="E44" s="17" t="s">
        <v>1093</v>
      </c>
      <c r="F44" s="17" t="str">
        <f ca="1">IFERROR(__xludf.DUMMYFUNCTION("GOOGLETRANSLATE(E44,""ES"",""EN"")"),"But, but of course, in the fund finance basket, basket of benefits and with good financing adequate, appropriate to the times. And that this basket considers perhaps a broad spectrum of benefits from individual clinics to community, and the issue of user "&amp;"participation in their community.")</f>
        <v>But, but of course, in the fund finance basket, basket of benefits and with good financing adequate, appropriate to the times. And that this basket considers perhaps a broad spectrum of benefits from individual clinics to community, and the issue of user participation in their community.</v>
      </c>
      <c r="G44" s="18">
        <v>313</v>
      </c>
      <c r="H44" s="19">
        <v>0.8684071803124046</v>
      </c>
      <c r="I44" s="16" t="s">
        <v>1075</v>
      </c>
      <c r="J44" s="17" t="str">
        <f ca="1">IFERROR(__xludf.DUMMYFUNCTION("GOOGLETRANSLATE(I44,""ES"",""EN"")"),"Payment mechanism: baskets/packages")</f>
        <v>Payment mechanism: baskets/packages</v>
      </c>
    </row>
    <row r="45" spans="1:10" ht="15.75" customHeight="1" x14ac:dyDescent="0.25">
      <c r="A45" s="6" t="s">
        <v>5</v>
      </c>
      <c r="B45" s="17" t="s">
        <v>466</v>
      </c>
      <c r="C45" s="17" t="s">
        <v>1037</v>
      </c>
      <c r="D45" s="17" t="str">
        <f ca="1">IFERROR(__xludf.DUMMYFUNCTION("GOOGLETRANSLATE(C45,""ES"",""EN"")"),"Financing \ Intervention \ Desired payment method")</f>
        <v>Financing \ Intervention \ Desired payment method</v>
      </c>
      <c r="E45" s="17" t="s">
        <v>1094</v>
      </c>
      <c r="F45" s="17" t="str">
        <f ca="1">IFERROR(__xludf.DUMMYFUNCTION("GOOGLETRANSLATE(E45,""ES"",""EN"")"),"Stimulate certain things, also stimulate certain activities, the involvement of the teams in the promotional preventive activities of the community that is around.")</f>
        <v>Stimulate certain things, also stimulate certain activities, the involvement of the teams in the promotional preventive activities of the community that is around.</v>
      </c>
      <c r="G45" s="18">
        <v>186</v>
      </c>
      <c r="H45" s="19">
        <v>0.51605027328468778</v>
      </c>
      <c r="I45" s="16" t="s">
        <v>1039</v>
      </c>
      <c r="J45" s="17" t="str">
        <f ca="1">IFERROR(__xludf.DUMMYFUNCTION("GOOGLETRANSLATE(I45,""ES"",""EN"")"),"Concordant actions with the community model: preventive")</f>
        <v>Concordant actions with the community model: preventive</v>
      </c>
    </row>
    <row r="46" spans="1:10" ht="15.75" customHeight="1" x14ac:dyDescent="0.25">
      <c r="A46" s="6" t="s">
        <v>5</v>
      </c>
      <c r="B46" s="17" t="s">
        <v>466</v>
      </c>
      <c r="C46" s="17" t="s">
        <v>1037</v>
      </c>
      <c r="D46" s="17" t="str">
        <f ca="1">IFERROR(__xludf.DUMMYFUNCTION("GOOGLETRANSLATE(C46,""ES"",""EN"")"),"Financing \ Intervention \ Desired payment method")</f>
        <v>Financing \ Intervention \ Desired payment method</v>
      </c>
      <c r="E46" s="17" t="s">
        <v>1095</v>
      </c>
      <c r="F46" s="17" t="str">
        <f ca="1">IFERROR(__xludf.DUMMYFUNCTION("GOOGLETRANSLATE(E46,""ES"",""EN"")"),"For example, I would like the Cosam to also be much more open, in the sense that people could arrive, because in arriving and not necessarily entering, but in the background reach the device and have guidance, be sent Assisted to primary care, in case of "&amp;"or if the case merits that they could enter.")</f>
        <v>For example, I would like the Cosam to also be much more open, in the sense that people could arrive, because in arriving and not necessarily entering, but in the background reach the device and have guidance, be sent Assisted to primary care, in case of or if the case merits that they could enter.</v>
      </c>
      <c r="G46" s="18">
        <v>349</v>
      </c>
      <c r="H46" s="19">
        <v>0.96828787836750541</v>
      </c>
      <c r="I46" s="16" t="s">
        <v>1039</v>
      </c>
      <c r="J46" s="17" t="str">
        <f ca="1">IFERROR(__xludf.DUMMYFUNCTION("GOOGLETRANSLATE(I46,""ES"",""EN"")"),"Concordant actions with the community model: preventive")</f>
        <v>Concordant actions with the community model: preventive</v>
      </c>
    </row>
    <row r="47" spans="1:10" ht="15.75" customHeight="1" x14ac:dyDescent="0.25">
      <c r="A47" s="6" t="s">
        <v>5</v>
      </c>
      <c r="B47" s="17" t="s">
        <v>466</v>
      </c>
      <c r="C47" s="17" t="s">
        <v>1037</v>
      </c>
      <c r="D47" s="17" t="str">
        <f ca="1">IFERROR(__xludf.DUMMYFUNCTION("GOOGLETRANSLATE(C47,""ES"",""EN"")"),"Financing \ Intervention \ Desired payment method")</f>
        <v>Financing \ Intervention \ Desired payment method</v>
      </c>
      <c r="E47" s="17" t="s">
        <v>1096</v>
      </c>
      <c r="F47" s="17" t="str">
        <f ca="1">IFERROR(__xludf.DUMMYFUNCTION("GOOGLETRANSLATE(E47,""ES"",""EN"")"),"But of course, I think one would have to stimulate the remuneration and two activities that end up being key to the model.")</f>
        <v>But of course, I think one would have to stimulate the remuneration and two activities that end up being key to the model.</v>
      </c>
      <c r="G47" s="18">
        <v>137</v>
      </c>
      <c r="H47" s="19">
        <v>0.38010154537635604</v>
      </c>
      <c r="I47" s="16" t="s">
        <v>1041</v>
      </c>
      <c r="J47" s="17" t="str">
        <f ca="1">IFERROR(__xludf.DUMMYFUNCTION("GOOGLETRANSLATE(I47,""ES"",""EN"")"),"Incentives for the retention of professionals")</f>
        <v>Incentives for the retention of professionals</v>
      </c>
    </row>
    <row r="48" spans="1:10" ht="15.75" customHeight="1" x14ac:dyDescent="0.25">
      <c r="A48" s="6" t="s">
        <v>5</v>
      </c>
      <c r="B48" s="17" t="s">
        <v>466</v>
      </c>
      <c r="C48" s="17" t="s">
        <v>1037</v>
      </c>
      <c r="D48" s="17" t="str">
        <f ca="1">IFERROR(__xludf.DUMMYFUNCTION("GOOGLETRANSLATE(C48,""ES"",""EN"")"),"Financing \ Intervention \ Desired payment method")</f>
        <v>Financing \ Intervention \ Desired payment method</v>
      </c>
      <c r="E48" s="17" t="s">
        <v>1097</v>
      </c>
      <c r="F48" s="17" t="str">
        <f ca="1">IFERROR(__xludf.DUMMYFUNCTION("GOOGLETRANSLATE(E48,""ES"",""EN"")"),"Shared care activities in relation to primary care")</f>
        <v>Shared care activities in relation to primary care</v>
      </c>
      <c r="G48" s="18">
        <v>72</v>
      </c>
      <c r="H48" s="19">
        <v>0.19976139611020172</v>
      </c>
      <c r="I48" s="16" t="s">
        <v>1098</v>
      </c>
      <c r="J48" s="17" t="str">
        <f ca="1">IFERROR(__xludf.DUMMYFUNCTION("GOOGLETRANSLATE(I48,""ES"",""EN"")"),"Concordant actions with the community model: Comprehensive Care Plan: Shared care")</f>
        <v>Concordant actions with the community model: Comprehensive Care Plan: Shared care</v>
      </c>
    </row>
    <row r="49" spans="1:10" ht="15.75" customHeight="1" x14ac:dyDescent="0.25">
      <c r="A49" s="6" t="s">
        <v>5</v>
      </c>
      <c r="B49" s="17" t="s">
        <v>466</v>
      </c>
      <c r="C49" s="17" t="s">
        <v>1037</v>
      </c>
      <c r="D49" s="17" t="str">
        <f ca="1">IFERROR(__xludf.DUMMYFUNCTION("GOOGLETRANSLATE(C49,""ES"",""EN"")"),"Financing \ Intervention \ Desired payment method")</f>
        <v>Financing \ Intervention \ Desired payment method</v>
      </c>
      <c r="E49" s="17" t="s">
        <v>1099</v>
      </c>
      <c r="F49" s="17" t="str">
        <f ca="1">IFERROR(__xludf.DUMMYFUNCTION("GOOGLETRANSLATE(E49,""ES"",""EN"")"),"user satisfaction. Mental health users are rarely asked. We have here a bonus to the User Treatment in Public Health that I have never seen where the user's treatment bonus is measured and I have never seen that someone of mental health at Cosam asked him"&amp;" how he feels treated. The truth is that I have never seen it and I believe that mental health, it has peculiarities that are very noticeable.")</f>
        <v>user satisfaction. Mental health users are rarely asked. We have here a bonus to the User Treatment in Public Health that I have never seen where the user's treatment bonus is measured and I have never seen that someone of mental health at Cosam asked him how he feels treated. The truth is that I have never seen it and I believe that mental health, it has peculiarities that are very noticeable.</v>
      </c>
      <c r="G49" s="18">
        <v>427</v>
      </c>
      <c r="H49" s="19">
        <v>1.1846960574868906</v>
      </c>
      <c r="I49" s="16" t="s">
        <v>1100</v>
      </c>
      <c r="J49" s="17" t="str">
        <f ca="1">IFERROR(__xludf.DUMMYFUNCTION("GOOGLETRANSLATE(I49,""ES"",""EN"")"),"Concordant actions with the community model")</f>
        <v>Concordant actions with the community model</v>
      </c>
    </row>
    <row r="50" spans="1:10" ht="15.75" customHeight="1" x14ac:dyDescent="0.25">
      <c r="A50" s="6" t="s">
        <v>5</v>
      </c>
      <c r="B50" s="17" t="s">
        <v>501</v>
      </c>
      <c r="C50" s="17" t="s">
        <v>1037</v>
      </c>
      <c r="D50" s="17" t="str">
        <f ca="1">IFERROR(__xludf.DUMMYFUNCTION("GOOGLETRANSLATE(C50,""ES"",""EN"")"),"Financing \ Intervention \ Desired payment method")</f>
        <v>Financing \ Intervention \ Desired payment method</v>
      </c>
      <c r="E50" s="17" t="s">
        <v>1101</v>
      </c>
      <c r="F50" s="17" t="str">
        <f ca="1">IFERROR(__xludf.DUMMYFUNCTION("GOOGLETRANSLATE(E50,""ES"",""EN"")"),"I believe that health technology has been collaborating in terms of medications, I believe that the outpatient must be defined a mechanism that is very similar to packaging to put it in Spanish, the gringos speak a lot about the XXX-Payment. It is not tru"&amp;"e that a way of packaging and packaging but with a packaging with a certain incorporated risk. That is, the value that I pay incorporates, not a comprehensive resolution or resolution, so to speak, with a certain level of risk. That is, there are populati"&amp;"ons more risky than others and therefore I must incorporate the risk of that population in that price, in that package.")</f>
        <v>I believe that health technology has been collaborating in terms of medications, I believe that the outpatient must be defined a mechanism that is very similar to packaging to put it in Spanish, the gringos speak a lot about the XXX-Payment. It is not true that a way of packaging and packaging but with a packaging with a certain incorporated risk. That is, the value that I pay incorporates, not a comprehensive resolution or resolution, so to speak, with a certain level of risk. That is, there are populations more risky than others and therefore I must incorporate the risk of that population in that price, in that package.</v>
      </c>
      <c r="G50" s="18">
        <v>622</v>
      </c>
      <c r="H50" s="19">
        <v>1.4480607161149137</v>
      </c>
      <c r="I50" s="16" t="s">
        <v>1091</v>
      </c>
      <c r="J50" s="17" t="str">
        <f ca="1">IFERROR(__xludf.DUMMYFUNCTION("GOOGLETRANSLATE(I50,""ES"",""EN"")"),"Payment mechanism: risks and inflators")</f>
        <v>Payment mechanism: risks and inflators</v>
      </c>
    </row>
    <row r="51" spans="1:10" ht="15.75" customHeight="1" x14ac:dyDescent="0.25">
      <c r="A51" s="6" t="s">
        <v>5</v>
      </c>
      <c r="B51" s="17" t="s">
        <v>501</v>
      </c>
      <c r="C51" s="17" t="s">
        <v>1037</v>
      </c>
      <c r="D51" s="17" t="str">
        <f ca="1">IFERROR(__xludf.DUMMYFUNCTION("GOOGLETRANSLATE(C51,""ES"",""EN"")"),"Financing \ Intervention \ Desired payment method")</f>
        <v>Financing \ Intervention \ Desired payment method</v>
      </c>
      <c r="E51" s="17" t="s">
        <v>1102</v>
      </c>
      <c r="F51" s="17" t="str">
        <f ca="1">IFERROR(__xludf.DUMMYFUNCTION("GOOGLETRANSLATE(E51,""ES"",""EN"")"),"That is, it cannot be that this is at the discretion of a budget discussion or a price update. I think it is a matter that is much broader. It has to do with a technical, academic, evidence and bibliography judgment, so to speak from a point of view of kn"&amp;"owing. I stand there and accept it because I think it is a mechanism that is explicit, it is easy to understand and allows you to define in some minute the 1 package 2, package 3, package 4 or whatever. But I insist with this concept of how it introduces "&amp;"risk.")</f>
        <v>That is, it cannot be that this is at the discretion of a budget discussion or a price update. I think it is a matter that is much broader. It has to do with a technical, academic, evidence and bibliography judgment, so to speak from a point of view of knowing. I stand there and accept it because I think it is a mechanism that is explicit, it is easy to understand and allows you to define in some minute the 1 package 2, package 3, package 4 or whatever. But I insist with this concept of how it introduces risk.</v>
      </c>
      <c r="G51" s="18">
        <v>554</v>
      </c>
      <c r="H51" s="19">
        <v>1.2897518275364344</v>
      </c>
      <c r="I51" s="16" t="s">
        <v>1091</v>
      </c>
      <c r="J51" s="17" t="str">
        <f ca="1">IFERROR(__xludf.DUMMYFUNCTION("GOOGLETRANSLATE(I51,""ES"",""EN"")"),"Payment mechanism: risks and inflators")</f>
        <v>Payment mechanism: risks and inflators</v>
      </c>
    </row>
    <row r="52" spans="1:10" ht="15.75" customHeight="1" x14ac:dyDescent="0.25">
      <c r="A52" s="6" t="s">
        <v>5</v>
      </c>
      <c r="B52" s="17" t="s">
        <v>501</v>
      </c>
      <c r="C52" s="17" t="s">
        <v>1037</v>
      </c>
      <c r="D52" s="17" t="str">
        <f ca="1">IFERROR(__xludf.DUMMYFUNCTION("GOOGLETRANSLATE(C52,""ES"",""EN"")"),"Financing \ Intervention \ Desired payment method")</f>
        <v>Financing \ Intervention \ Desired payment method</v>
      </c>
      <c r="E52" s="17" t="s">
        <v>1103</v>
      </c>
      <c r="F52" s="17" t="str">
        <f ca="1">IFERROR(__xludf.DUMMYFUNCTION("GOOGLETRANSLATE(E52,""ES"",""EN"")"),"The GRD values ​​your risk, because in the background defines and identifies complexity, but it also tends to think that resources are associated with that complexity. And the package should be more or less social security domain, the resources that I mus"&amp;"t consume for this, in terms of consultation number, the built -in drug, group therapies or follow -ups, somehow imply human resources and others are He has associated that. And I prefer to think like that because I think it is easier to understand the po"&amp;"int of view not true of the mechanism and to be more explicit as simple as possible.")</f>
        <v>The GRD values ​​your risk, because in the background defines and identifies complexity, but it also tends to think that resources are associated with that complexity. And the package should be more or less social security domain, the resources that I must consume for this, in terms of consultation number, the built -in drug, group therapies or follow -ups, somehow imply human resources and others are He has associated that. And I prefer to think like that because I think it is easier to understand the point of view not true of the mechanism and to be more explicit as simple as possible.</v>
      </c>
      <c r="G52" s="18">
        <v>604</v>
      </c>
      <c r="H52" s="19">
        <v>1.4061554220794339</v>
      </c>
      <c r="I52" s="16" t="s">
        <v>1067</v>
      </c>
      <c r="J52" s="17" t="str">
        <f ca="1">IFERROR(__xludf.DUMMYFUNCTION("GOOGLETRANSLATE(I52,""ES"",""EN"")"),"Payment mechanism: for the intensity/complexity of the care plan")</f>
        <v>Payment mechanism: for the intensity/complexity of the care plan</v>
      </c>
    </row>
    <row r="53" spans="1:10" ht="15.75" customHeight="1" x14ac:dyDescent="0.25">
      <c r="A53" s="6" t="s">
        <v>5</v>
      </c>
      <c r="B53" s="17" t="s">
        <v>518</v>
      </c>
      <c r="C53" s="17" t="s">
        <v>1037</v>
      </c>
      <c r="D53" s="17" t="str">
        <f ca="1">IFERROR(__xludf.DUMMYFUNCTION("GOOGLETRANSLATE(C53,""ES"",""EN"")"),"Financing \ Intervention \ Desired payment method")</f>
        <v>Financing \ Intervention \ Desired payment method</v>
      </c>
      <c r="E53" s="17" t="s">
        <v>1104</v>
      </c>
      <c r="F53" s="17" t="str">
        <f ca="1">IFERROR(__xludf.DUMMYFUNCTION("GOOGLETRANSLATE(E53,""ES"",""EN"")"),"I believe that there it has to do a bit with the per capita, that is, with the center it is installed in which population, which population number is planned to attend or evaluate.")</f>
        <v>I believe that there it has to do a bit with the per capita, that is, with the center it is installed in which population, which population number is planned to attend or evaluate.</v>
      </c>
      <c r="G53" s="18">
        <v>165</v>
      </c>
      <c r="H53" s="19">
        <v>0.69676111650690431</v>
      </c>
      <c r="I53" s="16" t="s">
        <v>1073</v>
      </c>
      <c r="J53" s="17" t="str">
        <f ca="1">IFERROR(__xludf.DUMMYFUNCTION("GOOGLETRANSLATE(I53,""ES"",""EN"")"),"Payment mechanism: per capita")</f>
        <v>Payment mechanism: per capita</v>
      </c>
    </row>
    <row r="54" spans="1:10" ht="15.75" customHeight="1" x14ac:dyDescent="0.25">
      <c r="A54" s="6" t="s">
        <v>5</v>
      </c>
      <c r="B54" s="17" t="s">
        <v>518</v>
      </c>
      <c r="C54" s="17" t="s">
        <v>1037</v>
      </c>
      <c r="D54" s="17" t="str">
        <f ca="1">IFERROR(__xludf.DUMMYFUNCTION("GOOGLETRANSLATE(C54,""ES"",""EN"")"),"Financing \ Intervention \ Desired payment method")</f>
        <v>Financing \ Intervention \ Desired payment method</v>
      </c>
      <c r="E54" s="17" t="s">
        <v>1105</v>
      </c>
      <c r="F54" s="17" t="str">
        <f ca="1">IFERROR(__xludf.DUMMYFUNCTION("GOOGLETRANSLATE(E54,""ES"",""EN"")"),"tiene que ver con la localidad, probablemente centros urbanos son distintos acentos con una alta tasa de población rural, como el caso de nosotros, la distancia geográfica, porque por ejemplo, nosotros estamos insertos en algo que se llama el nuevo coster"&amp;"o, o sea toda The coastal zone as of the South Araucanía.")</f>
        <v>tiene que ver con la localidad, probablemente centros urbanos son distintos acentos con una alta tasa de población rural, como el caso de nosotros, la distancia geográfica, porque por ejemplo, nosotros estamos insertos en algo que se llama el nuevo costero, o sea toda The coastal zone as of the South Araucanía.</v>
      </c>
      <c r="G54" s="18">
        <v>310</v>
      </c>
      <c r="H54" s="19">
        <v>1.3090663401038807</v>
      </c>
      <c r="I54" s="16" t="s">
        <v>1091</v>
      </c>
      <c r="J54" s="17" t="str">
        <f ca="1">IFERROR(__xludf.DUMMYFUNCTION("GOOGLETRANSLATE(I54,""ES"",""EN"")"),"Payment mechanism: risks and inflators")</f>
        <v>Payment mechanism: risks and inflators</v>
      </c>
    </row>
    <row r="55" spans="1:10" ht="15.75" customHeight="1" x14ac:dyDescent="0.25">
      <c r="A55" s="6" t="s">
        <v>5</v>
      </c>
      <c r="B55" s="17" t="s">
        <v>518</v>
      </c>
      <c r="C55" s="17" t="s">
        <v>1037</v>
      </c>
      <c r="D55" s="17" t="str">
        <f ca="1">IFERROR(__xludf.DUMMYFUNCTION("GOOGLETRANSLATE(C55,""ES"",""EN"")"),"Financing \ Intervention \ Desired payment method")</f>
        <v>Financing \ Intervention \ Desired payment method</v>
      </c>
      <c r="E55" s="17" t="s">
        <v>1106</v>
      </c>
      <c r="F55" s="17" t="str">
        <f ca="1">IFERROR(__xludf.DUMMYFUNCTION("GOOGLETRANSLATE(E55,""ES"",""EN"")"),"Therefore, what per capita said, how much population will have, the location, the geographical dimension or the territory that will cover and probably a little more specific elements that have probably to see with the type of population with which He is g"&amp;"oing to work. We here are high prevalence of, for example, alcohol consumption.")</f>
        <v>Therefore, what per capita said, how much population will have, the location, the geographical dimension or the territory that will cover and probably a little more specific elements that have probably to see with the type of population with which He is going to work. We here are high prevalence of, for example, alcohol consumption.</v>
      </c>
      <c r="G55" s="18">
        <v>363</v>
      </c>
      <c r="H55" s="19">
        <v>1.5328744563151893</v>
      </c>
      <c r="I55" s="16" t="s">
        <v>1073</v>
      </c>
      <c r="J55" s="17" t="str">
        <f ca="1">IFERROR(__xludf.DUMMYFUNCTION("GOOGLETRANSLATE(I55,""ES"",""EN"")"),"Payment mechanism: per capita")</f>
        <v>Payment mechanism: per capita</v>
      </c>
    </row>
    <row r="56" spans="1:10" ht="15.75" customHeight="1" x14ac:dyDescent="0.25">
      <c r="A56" s="6" t="s">
        <v>5</v>
      </c>
      <c r="B56" s="17" t="s">
        <v>518</v>
      </c>
      <c r="C56" s="17" t="s">
        <v>1037</v>
      </c>
      <c r="D56" s="17" t="str">
        <f ca="1">IFERROR(__xludf.DUMMYFUNCTION("GOOGLETRANSLATE(C56,""ES"",""EN"")"),"Financing \ Intervention \ Desired payment method")</f>
        <v>Financing \ Intervention \ Desired payment method</v>
      </c>
      <c r="E56" s="17" t="s">
        <v>1107</v>
      </c>
      <c r="F56" s="17" t="str">
        <f ca="1">IFERROR(__xludf.DUMMYFUNCTION("GOOGLETRANSLATE(E56,""ES"",""EN"")"),"Therefore, each center should probably be different and should be thought uniquely with local realities. Therefore, we should have one more approach, a little towards consumption and therefore we should receive a little, perhaps more money from that.")</f>
        <v>Therefore, each center should probably be different and should be thought uniquely with local realities. Therefore, we should have one more approach, a little towards consumption and therefore we should receive a little, perhaps more money from that.</v>
      </c>
      <c r="G56" s="18">
        <v>284</v>
      </c>
      <c r="H56" s="19">
        <v>1.1992736793209746</v>
      </c>
      <c r="I56" s="16" t="s">
        <v>1091</v>
      </c>
      <c r="J56" s="17" t="str">
        <f ca="1">IFERROR(__xludf.DUMMYFUNCTION("GOOGLETRANSLATE(I56,""ES"",""EN"")"),"Payment mechanism: risks and inflators")</f>
        <v>Payment mechanism: risks and inflators</v>
      </c>
    </row>
    <row r="57" spans="1:10" ht="15.75" customHeight="1" x14ac:dyDescent="0.25">
      <c r="A57" s="6" t="s">
        <v>5</v>
      </c>
      <c r="B57" s="17" t="s">
        <v>518</v>
      </c>
      <c r="C57" s="17" t="s">
        <v>1037</v>
      </c>
      <c r="D57" s="17" t="str">
        <f ca="1">IFERROR(__xludf.DUMMYFUNCTION("GOOGLETRANSLATE(C57,""ES"",""EN"")"),"Financing \ Intervention \ Desired payment method")</f>
        <v>Financing \ Intervention \ Desired payment method</v>
      </c>
      <c r="E57" s="17" t="s">
        <v>1108</v>
      </c>
      <c r="F57" s="17" t="str">
        <f ca="1">IFERROR(__xludf.DUMMYFUNCTION("GOOGLETRANSLATE(E57,""ES"",""EN"")"),"The same interculturality that we have talked about here, that the hospital is effectively intercultural, that has a module and we have tried to work near them. But we as a center, for example, do not have an intercultural facilitator, but we do work with"&amp;" primary care, where primary care in its mental health program, if there is an intercultural facilitator, but we, although we are specialty, we do not We have our own. Therefore, perhaps that should also be included, thought, denters of the budgets to hav"&amp;"e that resource here within the center.")</f>
        <v>The same interculturality that we have talked about here, that the hospital is effectively intercultural, that has a module and we have tried to work near them. But we as a center, for example, do not have an intercultural facilitator, but we do work with primary care, where primary care in its mental health program, if there is an intercultural facilitator, but we, although we are specialty, we do not We have our own. Therefore, perhaps that should also be included, thought, denters of the budgets to have that resource here within the center.</v>
      </c>
      <c r="G57" s="18">
        <v>621</v>
      </c>
      <c r="H57" s="19">
        <v>2.6223554748532578</v>
      </c>
      <c r="I57" s="16" t="s">
        <v>1091</v>
      </c>
      <c r="J57" s="17" t="str">
        <f ca="1">IFERROR(__xludf.DUMMYFUNCTION("GOOGLETRANSLATE(I57,""ES"",""EN"")"),"Payment mechanism: risks and inflators")</f>
        <v>Payment mechanism: risks and inflators</v>
      </c>
    </row>
    <row r="58" spans="1:10" ht="15.75" customHeight="1" x14ac:dyDescent="0.25">
      <c r="A58" s="6" t="s">
        <v>5</v>
      </c>
      <c r="B58" s="17" t="s">
        <v>521</v>
      </c>
      <c r="C58" s="17" t="s">
        <v>1037</v>
      </c>
      <c r="D58" s="17" t="str">
        <f ca="1">IFERROR(__xludf.DUMMYFUNCTION("GOOGLETRANSLATE(C58,""ES"",""EN"")"),"Financing \ Intervention \ Desired payment method")</f>
        <v>Financing \ Intervention \ Desired payment method</v>
      </c>
      <c r="E58" s="17" t="s">
        <v>1109</v>
      </c>
      <c r="F58" s="17" t="str">
        <f ca="1">IFERROR(__xludf.DUMMYFUNCTION("GOOGLETRANSLATE(E58,""ES"",""EN"")"),"It would be necessary to have people there to know community mental health. That they knew what is done, what is important that, that if you have to do a system of collection, value, of resources allocation, knew what it is necessary to spend the money, w"&amp;"hat you have to spend . As I tell you, not only the MAI would have to finance, but it gives the impression that mental health is treated as if it were any other pathology. And that is far. Is not the same.")</f>
        <v>It would be necessary to have people there to know community mental health. That they knew what is done, what is important that, that if you have to do a system of collection, value, of resources allocation, knew what it is necessary to spend the money, what you have to spend . As I tell you, not only the MAI would have to finance, but it gives the impression that mental health is treated as if it were any other pathology. And that is far. Is not the same.</v>
      </c>
      <c r="G58" s="18">
        <v>470</v>
      </c>
      <c r="H58" s="19">
        <v>1.6664302935753792</v>
      </c>
      <c r="I58" s="16" t="s">
        <v>1044</v>
      </c>
      <c r="J58" s="17" t="str">
        <f ca="1">IFERROR(__xludf.DUMMYFUNCTION("GOOGLETRANSLATE(I58,""ES"",""EN"")"),"It is not just a budget")</f>
        <v>It is not just a budget</v>
      </c>
    </row>
    <row r="59" spans="1:10" ht="15.75" customHeight="1" x14ac:dyDescent="0.25">
      <c r="A59" s="6" t="s">
        <v>5</v>
      </c>
      <c r="B59" s="17" t="s">
        <v>564</v>
      </c>
      <c r="C59" s="17" t="s">
        <v>1037</v>
      </c>
      <c r="D59" s="17" t="str">
        <f ca="1">IFERROR(__xludf.DUMMYFUNCTION("GOOGLETRANSLATE(C59,""ES"",""EN"")"),"Financing \ Intervention \ Desired payment method")</f>
        <v>Financing \ Intervention \ Desired payment method</v>
      </c>
      <c r="E59" s="17" t="s">
        <v>1110</v>
      </c>
      <c r="F59" s="17" t="str">
        <f ca="1">IFERROR(__xludf.DUMMYFUNCTION("GOOGLETRANSLATE(E59,""ES"",""EN"")"),"And as I tell you, if one to one would pay him for what one really does, I think that maybe we would be in a balance, no more or less balanced than the population under control that has what they should really surrender The system, that is, fonasa")</f>
        <v>And as I tell you, if one to one would pay him for what one really does, I think that maybe we would be in a balance, no more or less balanced than the population under control that has what they should really surrender The system, that is, fonasa</v>
      </c>
      <c r="G59" s="18">
        <v>265</v>
      </c>
      <c r="H59" s="19">
        <v>0.78583713895972951</v>
      </c>
      <c r="I59" s="16" t="s">
        <v>1075</v>
      </c>
      <c r="J59" s="17" t="str">
        <f ca="1">IFERROR(__xludf.DUMMYFUNCTION("GOOGLETRANSLATE(I59,""ES"",""EN"")"),"Payment mechanism: baskets/packages")</f>
        <v>Payment mechanism: baskets/packages</v>
      </c>
    </row>
    <row r="60" spans="1:10" ht="15.75" customHeight="1" x14ac:dyDescent="0.25">
      <c r="A60" s="6" t="s">
        <v>5</v>
      </c>
      <c r="B60" s="17" t="s">
        <v>564</v>
      </c>
      <c r="C60" s="17" t="s">
        <v>1037</v>
      </c>
      <c r="D60" s="17" t="str">
        <f ca="1">IFERROR(__xludf.DUMMYFUNCTION("GOOGLETRANSLATE(C60,""ES"",""EN"")"),"Financing \ Intervention \ Desired payment method")</f>
        <v>Financing \ Intervention \ Desired payment method</v>
      </c>
      <c r="E60" s="17" t="s">
        <v>1111</v>
      </c>
      <c r="F60" s="17" t="str">
        <f ca="1">IFERROR(__xludf.DUMMYFUNCTION("GOOGLETRANSLATE(E60,""ES"",""EN"")"),"If you will pay [Fonasa] for what you really produce, maybe you would not have such great definance, it would have equal definance, because the benefits are much more than what makes what you pay you.")</f>
        <v>If you will pay [Fonasa] for what you really produce, maybe you would not have such great definance, it would have equal definance, because the benefits are much more than what makes what you pay you.</v>
      </c>
      <c r="G60" s="18">
        <v>216</v>
      </c>
      <c r="H60" s="19">
        <v>0.64053140383132667</v>
      </c>
      <c r="I60" s="16" t="s">
        <v>1075</v>
      </c>
      <c r="J60" s="17" t="str">
        <f ca="1">IFERROR(__xludf.DUMMYFUNCTION("GOOGLETRANSLATE(I60,""ES"",""EN"")"),"Payment mechanism: baskets/packages")</f>
        <v>Payment mechanism: baskets/packages</v>
      </c>
    </row>
    <row r="61" spans="1:10" ht="15.75" customHeight="1" x14ac:dyDescent="0.25">
      <c r="A61" s="6" t="s">
        <v>5</v>
      </c>
      <c r="B61" s="17" t="s">
        <v>564</v>
      </c>
      <c r="C61" s="17" t="s">
        <v>1037</v>
      </c>
      <c r="D61" s="17" t="str">
        <f ca="1">IFERROR(__xludf.DUMMYFUNCTION("GOOGLETRANSLATE(C61,""ES"",""EN"")"),"Financing \ Intervention \ Desired payment method")</f>
        <v>Financing \ Intervention \ Desired payment method</v>
      </c>
      <c r="E61" s="17" t="s">
        <v>1112</v>
      </c>
      <c r="F61" s="17" t="str">
        <f ca="1">IFERROR(__xludf.DUMMYFUNCTION("GOOGLETRANSLATE(E61,""ES"",""EN"")"),"I think there would be fewer financial gaps if this were paid accordingly. The same would be missing, the same would be missing financing, but I would bring the gap a little more.")</f>
        <v>I think there would be fewer financial gaps if this were paid accordingly. The same would be missing, the same would be missing financing, but I would bring the gap a little more.</v>
      </c>
      <c r="G61" s="18">
        <v>181</v>
      </c>
      <c r="H61" s="19">
        <v>0.53674159302532476</v>
      </c>
      <c r="I61" s="16" t="s">
        <v>1075</v>
      </c>
      <c r="J61" s="17" t="str">
        <f ca="1">IFERROR(__xludf.DUMMYFUNCTION("GOOGLETRANSLATE(I61,""ES"",""EN"")"),"Payment mechanism: baskets/packages")</f>
        <v>Payment mechanism: baskets/packages</v>
      </c>
    </row>
    <row r="62" spans="1:10" ht="15.75" customHeight="1" x14ac:dyDescent="0.25">
      <c r="A62" s="6" t="s">
        <v>5</v>
      </c>
      <c r="B62" s="17" t="s">
        <v>564</v>
      </c>
      <c r="C62" s="17" t="s">
        <v>1037</v>
      </c>
      <c r="D62" s="17" t="str">
        <f ca="1">IFERROR(__xludf.DUMMYFUNCTION("GOOGLETRANSLATE(C62,""ES"",""EN"")"),"Financing \ Intervention \ Desired payment method")</f>
        <v>Financing \ Intervention \ Desired payment method</v>
      </c>
      <c r="E62" s="17" t="s">
        <v>1113</v>
      </c>
      <c r="F62" s="17" t="str">
        <f ca="1">IFERROR(__xludf.DUMMYFUNCTION("GOOGLETRANSLATE(E62,""ES"",""EN"")"),"I would like someone to do as well as two community indicators and say Mira, we are going to finance the fact that psychologists or psychiatrists and everyone will make a diagnosis to the house of the person who is studying or starting a dementia or study"&amp;"ing the beginning of a parenting.")</f>
        <v>I would like someone to do as well as two community indicators and say Mira, we are going to finance the fact that psychologists or psychiatrists and everyone will make a diagnosis to the house of the person who is studying or starting a dementia or studying the beginning of a parenting.</v>
      </c>
      <c r="G62" s="18">
        <v>290</v>
      </c>
      <c r="H62" s="19">
        <v>0.85997271810687381</v>
      </c>
      <c r="I62" s="16" t="s">
        <v>1039</v>
      </c>
      <c r="J62" s="17" t="str">
        <f ca="1">IFERROR(__xludf.DUMMYFUNCTION("GOOGLETRANSLATE(I62,""ES"",""EN"")"),"Concordant actions with the community model: preventive")</f>
        <v>Concordant actions with the community model: preventive</v>
      </c>
    </row>
    <row r="63" spans="1:10" ht="15.75" customHeight="1" x14ac:dyDescent="0.25">
      <c r="A63" s="6" t="s">
        <v>5</v>
      </c>
      <c r="B63" s="17" t="s">
        <v>564</v>
      </c>
      <c r="C63" s="17" t="s">
        <v>1037</v>
      </c>
      <c r="D63" s="17" t="str">
        <f ca="1">IFERROR(__xludf.DUMMYFUNCTION("GOOGLETRANSLATE(C63,""ES"",""EN"")"),"Financing \ Intervention \ Desired payment method")</f>
        <v>Financing \ Intervention \ Desired payment method</v>
      </c>
      <c r="E63" s="17" t="s">
        <v>1114</v>
      </c>
      <c r="F63" s="17" t="str">
        <f ca="1">IFERROR(__xludf.DUMMYFUNCTION("GOOGLETRANSLATE(E63,""ES"",""EN"")"),"That it would be wonderful that if we go to the house of a pregnant woman and talk about attachment and talk about everything that comes from the life cycle, all the crises that a person may have. Pucha, it would be wonderful, because maybe we are doing a"&amp;" lot of prevention. But that does not exist anywhere.")</f>
        <v>That it would be wonderful that if we go to the house of a pregnant woman and talk about attachment and talk about everything that comes from the life cycle, all the crises that a person may have. Pucha, it would be wonderful, because maybe we are doing a lot of prevention. But that does not exist anywhere.</v>
      </c>
      <c r="G63" s="18">
        <v>310</v>
      </c>
      <c r="H63" s="19">
        <v>0.91928118142458937</v>
      </c>
      <c r="I63" s="16" t="s">
        <v>1039</v>
      </c>
      <c r="J63" s="17" t="str">
        <f ca="1">IFERROR(__xludf.DUMMYFUNCTION("GOOGLETRANSLATE(I63,""ES"",""EN"")"),"Concordant actions with the community model: preventive")</f>
        <v>Concordant actions with the community model: preventive</v>
      </c>
    </row>
    <row r="64" spans="1:10" ht="15.75" customHeight="1" x14ac:dyDescent="0.25">
      <c r="A64" s="6" t="s">
        <v>5</v>
      </c>
      <c r="B64" s="17" t="s">
        <v>564</v>
      </c>
      <c r="C64" s="17" t="s">
        <v>1037</v>
      </c>
      <c r="D64" s="17" t="str">
        <f ca="1">IFERROR(__xludf.DUMMYFUNCTION("GOOGLETRANSLATE(C64,""ES"",""EN"")"),"Financing \ Intervention \ Desired payment method")</f>
        <v>Financing \ Intervention \ Desired payment method</v>
      </c>
      <c r="E64" s="17" t="s">
        <v>1115</v>
      </c>
      <c r="F64" s="17" t="str">
        <f ca="1">IFERROR(__xludf.DUMMYFUNCTION("GOOGLETRANSLATE(E64,""ES"",""EN"")"),"Or I think that if one could look at the detailed financing, how much the real baskets cost, what are all the benefits that are made in the Cosam, it would be much easier, because in general throughout the country it is quite ordered what It is mental hea"&amp;"lth in the Cosam, I would say.")</f>
        <v>Or I think that if one could look at the detailed financing, how much the real baskets cost, what are all the benefits that are made in the Cosam, it would be much easier, because in general throughout the country it is quite ordered what It is mental health in the Cosam, I would say.</v>
      </c>
      <c r="G64" s="18">
        <v>301</v>
      </c>
      <c r="H64" s="19">
        <v>0.89259237293161742</v>
      </c>
      <c r="I64" s="16" t="s">
        <v>1075</v>
      </c>
      <c r="J64" s="17" t="str">
        <f ca="1">IFERROR(__xludf.DUMMYFUNCTION("GOOGLETRANSLATE(I64,""ES"",""EN"")"),"Payment mechanism: baskets/packages")</f>
        <v>Payment mechanism: baskets/packages</v>
      </c>
    </row>
    <row r="65" spans="1:10" ht="15.75" customHeight="1" x14ac:dyDescent="0.25">
      <c r="A65" s="6" t="s">
        <v>5</v>
      </c>
      <c r="B65" s="17" t="s">
        <v>564</v>
      </c>
      <c r="C65" s="17" t="s">
        <v>1037</v>
      </c>
      <c r="D65" s="17" t="str">
        <f ca="1">IFERROR(__xludf.DUMMYFUNCTION("GOOGLETRANSLATE(C65,""ES"",""EN"")"),"Financing \ Intervention \ Desired payment method")</f>
        <v>Financing \ Intervention \ Desired payment method</v>
      </c>
      <c r="E65" s="17" t="s">
        <v>1116</v>
      </c>
      <c r="F65" s="17" t="str">
        <f ca="1">IFERROR(__xludf.DUMMYFUNCTION("GOOGLETRANSLATE(E65,""ES"",""EN"")"),"as well as thinking about the ideal hair and from the utopian and from the desire that in this country mental health is visible, looking at poverty, the economic situation, the lack of recognition of what is mental health, the I do not know if of politics"&amp;" itself, but, but of prevention and promotion policies in the secondary more than in the primary, because the primary exists, I do not know, as well as mixed systems, as well as that there are already me I would get a 7 percent fonasa tail and I would say"&amp;" already look at the 7 percent that we tell all Chileans by areas up to zero eats two percent, zero eats four percent, I don't know how much money is intended for health mental specifically. I would be so happy because I have already taken out the calcula"&amp;"tions, taking out as the population only wins four hundred Lucas throughout the country and there is a lot of money, a lot, a lot of money, that it would really be very good for the mental health of being there.")</f>
        <v>as well as thinking about the ideal hair and from the utopian and from the desire that in this country mental health is visible, looking at poverty, the economic situation, the lack of recognition of what is mental health, the I do not know if of politics itself, but, but of prevention and promotion policies in the secondary more than in the primary, because the primary exists, I do not know, as well as mixed systems, as well as that there are already me I would get a 7 percent fonasa tail and I would say already look at the 7 percent that we tell all Chileans by areas up to zero eats two percent, zero eats four percent, I don't know how much money is intended for health mental specifically. I would be so happy because I have already taken out the calculations, taking out as the population only wins four hundred Lucas throughout the country and there is a lot of money, a lot, a lot of money, that it would really be very good for the mental health of being there.</v>
      </c>
      <c r="G65" s="18">
        <v>997</v>
      </c>
      <c r="H65" s="19">
        <v>2.9565268963881146</v>
      </c>
      <c r="I65" s="16" t="s">
        <v>1039</v>
      </c>
      <c r="J65" s="17" t="str">
        <f ca="1">IFERROR(__xludf.DUMMYFUNCTION("GOOGLETRANSLATE(I65,""ES"",""EN"")"),"Concordant actions with the community model: preventive")</f>
        <v>Concordant actions with the community model: preventive</v>
      </c>
    </row>
    <row r="66" spans="1:10" ht="15.75" customHeight="1" x14ac:dyDescent="0.25">
      <c r="A66" s="6" t="s">
        <v>5</v>
      </c>
      <c r="B66" s="17" t="s">
        <v>564</v>
      </c>
      <c r="C66" s="17" t="s">
        <v>1037</v>
      </c>
      <c r="D66" s="17" t="str">
        <f ca="1">IFERROR(__xludf.DUMMYFUNCTION("GOOGLETRANSLATE(C66,""ES"",""EN"")"),"Financing \ Intervention \ Desired payment method")</f>
        <v>Financing \ Intervention \ Desired payment method</v>
      </c>
      <c r="E66" s="17" t="s">
        <v>1117</v>
      </c>
      <c r="F66" s="17" t="str">
        <f ca="1">IFERROR(__xludf.DUMMYFUNCTION("GOOGLETRANSLATE(E66,""ES"",""EN"")"),"Or I say Dreaming costs nothing. That would be ideal for me to get a ponasa tail, of what are individual individual quotes, right?")</f>
        <v>Or I say Dreaming costs nothing. That would be ideal for me to get a ponasa tail, of what are individual individual quotes, right?</v>
      </c>
      <c r="G66" s="18">
        <v>150</v>
      </c>
      <c r="H66" s="19">
        <v>0.44481347488286582</v>
      </c>
      <c r="I66" s="16" t="s">
        <v>1044</v>
      </c>
      <c r="J66" s="17" t="str">
        <f ca="1">IFERROR(__xludf.DUMMYFUNCTION("GOOGLETRANSLATE(I66,""ES"",""EN"")"),"It is not just a budget")</f>
        <v>It is not just a budget</v>
      </c>
    </row>
    <row r="67" spans="1:10" ht="15.75" customHeight="1" x14ac:dyDescent="0.25">
      <c r="A67" s="6" t="s">
        <v>5</v>
      </c>
      <c r="B67" s="17" t="s">
        <v>564</v>
      </c>
      <c r="C67" s="17" t="s">
        <v>1037</v>
      </c>
      <c r="D67" s="17" t="str">
        <f ca="1">IFERROR(__xludf.DUMMYFUNCTION("GOOGLETRANSLATE(C67,""ES"",""EN"")"),"Financing \ Intervention \ Desired payment method")</f>
        <v>Financing \ Intervention \ Desired payment method</v>
      </c>
      <c r="E67" s="17" t="s">
        <v>1118</v>
      </c>
      <c r="F67" s="17" t="str">
        <f ca="1">IFERROR(__xludf.DUMMYFUNCTION("GOOGLETRANSLATE(E67,""ES"",""EN"")"),"Then I say now. They pay us for what we really produce. Because I think it would just shorten the gap.")</f>
        <v>Then I say now. They pay us for what we really produce. Because I think it would just shorten the gap.</v>
      </c>
      <c r="G67" s="18">
        <v>113</v>
      </c>
      <c r="H67" s="19">
        <v>0.33509281774509225</v>
      </c>
      <c r="I67" s="16" t="s">
        <v>1075</v>
      </c>
      <c r="J67" s="17" t="str">
        <f ca="1">IFERROR(__xludf.DUMMYFUNCTION("GOOGLETRANSLATE(I67,""ES"",""EN"")"),"Payment mechanism: baskets/packages")</f>
        <v>Payment mechanism: baskets/packages</v>
      </c>
    </row>
    <row r="68" spans="1:10" ht="15.75" customHeight="1" x14ac:dyDescent="0.25">
      <c r="A68" s="6" t="s">
        <v>5</v>
      </c>
      <c r="B68" s="17" t="s">
        <v>564</v>
      </c>
      <c r="C68" s="17" t="s">
        <v>1037</v>
      </c>
      <c r="D68" s="17" t="str">
        <f ca="1">IFERROR(__xludf.DUMMYFUNCTION("GOOGLETRANSLATE(C68,""ES"",""EN"")"),"Financing \ Intervention \ Desired payment method")</f>
        <v>Financing \ Intervention \ Desired payment method</v>
      </c>
      <c r="E68" s="17" t="s">
        <v>1119</v>
      </c>
      <c r="F68" s="17" t="str">
        <f ca="1">IFERROR(__xludf.DUMMYFUNCTION("GOOGLETRANSLATE(E68,""ES"",""EN"")"),"But there are some who do pay. I have learned that in the northern area they pay for production and negotiated with Fonasa that they had to pay production.")</f>
        <v>But there are some who do pay. I have learned that in the northern area they pay for production and negotiated with Fonasa that they had to pay production.</v>
      </c>
      <c r="G68" s="18">
        <v>153</v>
      </c>
      <c r="H68" s="19">
        <v>0.45370974438052308</v>
      </c>
      <c r="I68" s="16" t="s">
        <v>1075</v>
      </c>
      <c r="J68" s="17" t="str">
        <f ca="1">IFERROR(__xludf.DUMMYFUNCTION("GOOGLETRANSLATE(I68,""ES"",""EN"")"),"Payment mechanism: baskets/packages")</f>
        <v>Payment mechanism: baskets/packages</v>
      </c>
    </row>
    <row r="69" spans="1:10" ht="15.75" customHeight="1" x14ac:dyDescent="0.25">
      <c r="A69" s="6" t="s">
        <v>5</v>
      </c>
      <c r="B69" s="17" t="s">
        <v>564</v>
      </c>
      <c r="C69" s="17" t="s">
        <v>1037</v>
      </c>
      <c r="D69" s="17" t="str">
        <f ca="1">IFERROR(__xludf.DUMMYFUNCTION("GOOGLETRANSLATE(C69,""ES"",""EN"")"),"Financing \ Intervention \ Desired payment method")</f>
        <v>Financing \ Intervention \ Desired payment method</v>
      </c>
      <c r="E69" s="17" t="s">
        <v>1120</v>
      </c>
      <c r="F69" s="17" t="str">
        <f ca="1">IFERROR(__xludf.DUMMYFUNCTION("GOOGLETRANSLATE(E69,""ES"",""EN"")"),"I believe that I ever did the exercise of really what was done and all the baskets. Then he had the anxiety basket, he had the basket of generalized developmental disorders, as well as the alcohol and drug program and how to get depression. Then I put the"&amp;" different disorder and I was ganging them. If so, it would really be wonderful and we would not have this conversation that we are having today because the financing would have it.")</f>
        <v>I believe that I ever did the exercise of really what was done and all the baskets. Then he had the anxiety basket, he had the basket of generalized developmental disorders, as well as the alcohol and drug program and how to get depression. Then I put the different disorder and I was ganging them. If so, it would really be wonderful and we would not have this conversation that we are having today because the financing would have it.</v>
      </c>
      <c r="G69" s="18">
        <v>511</v>
      </c>
      <c r="H69" s="19">
        <v>1.5153312377676296</v>
      </c>
      <c r="I69" s="16" t="s">
        <v>1075</v>
      </c>
      <c r="J69" s="17" t="str">
        <f ca="1">IFERROR(__xludf.DUMMYFUNCTION("GOOGLETRANSLATE(I69,""ES"",""EN"")"),"Payment mechanism: baskets/packages")</f>
        <v>Payment mechanism: baskets/packages</v>
      </c>
    </row>
    <row r="70" spans="1:10" ht="15.75" customHeight="1" x14ac:dyDescent="0.25">
      <c r="A70" s="6" t="s">
        <v>5</v>
      </c>
      <c r="B70" s="17" t="s">
        <v>615</v>
      </c>
      <c r="C70" s="17" t="s">
        <v>1037</v>
      </c>
      <c r="D70" s="17" t="str">
        <f ca="1">IFERROR(__xludf.DUMMYFUNCTION("GOOGLETRANSLATE(C70,""ES"",""EN"")"),"Financing \ Intervention \ Desired payment method")</f>
        <v>Financing \ Intervention \ Desired payment method</v>
      </c>
      <c r="E70" s="17" t="s">
        <v>1121</v>
      </c>
      <c r="F70" s="17" t="str">
        <f ca="1">IFERROR(__xludf.DUMMYFUNCTION("GOOGLETRANSLATE(E70,""ES"",""EN"")"),"I believe that if a political position is achieved in the near future in terms of delivering to mental health what corresponds and the importance it has, we will see new fruits in terms of the intervention, because it will be able to work territorially, R"&amp;"egardless, with social participation of patients, with groups.")</f>
        <v>I believe that if a political position is achieved in the near future in terms of delivering to mental health what corresponds and the importance it has, we will see new fruits in terms of the intervention, because it will be able to work territorially, Regardless, with social participation of patients, with groups.</v>
      </c>
      <c r="G70" s="18">
        <v>346</v>
      </c>
      <c r="H70" s="19">
        <v>1.2922019719151479</v>
      </c>
      <c r="I70" s="16" t="s">
        <v>1044</v>
      </c>
      <c r="J70" s="17" t="str">
        <f ca="1">IFERROR(__xludf.DUMMYFUNCTION("GOOGLETRANSLATE(I70,""ES"",""EN"")"),"It is not just a budget")</f>
        <v>It is not just a budget</v>
      </c>
    </row>
    <row r="71" spans="1:10" ht="15.75" customHeight="1" x14ac:dyDescent="0.25">
      <c r="A71" s="6" t="s">
        <v>5</v>
      </c>
      <c r="B71" s="17" t="s">
        <v>655</v>
      </c>
      <c r="C71" s="17" t="s">
        <v>1037</v>
      </c>
      <c r="D71" s="17" t="str">
        <f ca="1">IFERROR(__xludf.DUMMYFUNCTION("GOOGLETRANSLATE(C71,""ES"",""EN"")"),"Financing \ Intervention \ Desired payment method")</f>
        <v>Financing \ Intervention \ Desired payment method</v>
      </c>
      <c r="E71" s="17" t="s">
        <v>1122</v>
      </c>
      <c r="F71" s="17" t="str">
        <f ca="1">IFERROR(__xludf.DUMMYFUNCTION("GOOGLETRANSLATE(E71,""ES"",""EN"")"),"I hope a person who can choose us and hopefully a person who wants to attend to this system")</f>
        <v>I hope a person who can choose us and hopefully a person who wants to attend to this system</v>
      </c>
      <c r="G71" s="18">
        <v>94</v>
      </c>
      <c r="H71" s="19">
        <v>0.11597779148673658</v>
      </c>
      <c r="I71" s="16" t="s">
        <v>1044</v>
      </c>
      <c r="J71" s="17" t="str">
        <f ca="1">IFERROR(__xludf.DUMMYFUNCTION("GOOGLETRANSLATE(I71,""ES"",""EN"")"),"It is not just a budget")</f>
        <v>It is not just a budget</v>
      </c>
    </row>
    <row r="72" spans="1:10" ht="15.75" customHeight="1" x14ac:dyDescent="0.25">
      <c r="A72" s="6" t="s">
        <v>5</v>
      </c>
      <c r="B72" s="17" t="s">
        <v>655</v>
      </c>
      <c r="C72" s="17" t="s">
        <v>1037</v>
      </c>
      <c r="D72" s="17" t="str">
        <f ca="1">IFERROR(__xludf.DUMMYFUNCTION("GOOGLETRANSLATE(C72,""ES"",""EN"")"),"Financing \ Intervention \ Desired payment method")</f>
        <v>Financing \ Intervention \ Desired payment method</v>
      </c>
      <c r="E72" s="17" t="s">
        <v>1123</v>
      </c>
      <c r="F72" s="17" t="str">
        <f ca="1">IFERROR(__xludf.DUMMYFUNCTION("GOOGLETRANSLATE(E72,""ES"",""EN"")"),"Maybe the Cosam should have an open budget or a small box to do activities. With others, with others, not even with users or users, others with others, with people like people. When you want to do self -help groups, if you can give up before. Now with the"&amp;" pandemia, but I'm going to give my coffee. But it is not Café just, because if not the Comptroller will look at you that is buying things that do not correspond because no? And deep down there is a series as an obstacles or not understanding, that we are"&amp;" all very alone and that we need to associate and that together we can leave.")</f>
        <v>Maybe the Cosam should have an open budget or a small box to do activities. With others, with others, not even with users or users, others with others, with people like people. When you want to do self -help groups, if you can give up before. Now with the pandemia, but I'm going to give my coffee. But it is not Café just, because if not the Comptroller will look at you that is buying things that do not correspond because no? And deep down there is a series as an obstacles or not understanding, that we are all very alone and that we need to associate and that together we can leave.</v>
      </c>
      <c r="G72" s="18">
        <v>619</v>
      </c>
      <c r="H72" s="19">
        <v>0.76372609500308453</v>
      </c>
      <c r="I72" s="16" t="s">
        <v>1053</v>
      </c>
      <c r="J72" s="17" t="str">
        <f ca="1">IFERROR(__xludf.DUMMYFUNCTION("GOOGLETRANSLATE(I72,""ES"",""EN"")"),"Concordant actions with the community model: support groups")</f>
        <v>Concordant actions with the community model: support groups</v>
      </c>
    </row>
    <row r="73" spans="1:10" ht="15.75" customHeight="1" x14ac:dyDescent="0.25">
      <c r="A73" s="6" t="s">
        <v>5</v>
      </c>
      <c r="B73" s="17" t="s">
        <v>655</v>
      </c>
      <c r="C73" s="17" t="s">
        <v>1037</v>
      </c>
      <c r="D73" s="17" t="str">
        <f ca="1">IFERROR(__xludf.DUMMYFUNCTION("GOOGLETRANSLATE(C73,""ES"",""EN"")"),"Financing \ Intervention \ Desired payment method")</f>
        <v>Financing \ Intervention \ Desired payment method</v>
      </c>
      <c r="E73" s="17" t="s">
        <v>1124</v>
      </c>
      <c r="F73" s="17" t="str">
        <f ca="1">IFERROR(__xludf.DUMMYFUNCTION("GOOGLETRANSLATE(E73,""ES"",""EN"")"),"Another financing system where if you have a compensated patient who meets a certain goal of compensation and care, maybe he should gain more than someone who is with half of his population and there more or less decompensated, without care.")</f>
        <v>Another financing system where if you have a compensated patient who meets a certain goal of compensation and care, maybe he should gain more than someone who is with half of his population and there more or less decompensated, without care.</v>
      </c>
      <c r="G73" s="18">
        <v>249</v>
      </c>
      <c r="H73" s="19">
        <v>0.30721776681061075</v>
      </c>
      <c r="I73" s="16" t="s">
        <v>1059</v>
      </c>
      <c r="J73" s="17" t="str">
        <f ca="1">IFERROR(__xludf.DUMMYFUNCTION("GOOGLETRANSLATE(I73,""ES"",""EN"")"),"Payment mechanisms: for clinical results")</f>
        <v>Payment mechanisms: for clinical results</v>
      </c>
    </row>
    <row r="74" spans="1:10" ht="15.75" customHeight="1" x14ac:dyDescent="0.25">
      <c r="A74" s="6" t="s">
        <v>5</v>
      </c>
      <c r="B74" s="17" t="s">
        <v>655</v>
      </c>
      <c r="C74" s="17" t="s">
        <v>1037</v>
      </c>
      <c r="D74" s="17" t="str">
        <f ca="1">IFERROR(__xludf.DUMMYFUNCTION("GOOGLETRANSLATE(C74,""ES"",""EN"")"),"Financing \ Intervention \ Desired payment method")</f>
        <v>Financing \ Intervention \ Desired payment method</v>
      </c>
      <c r="E74" s="17" t="s">
        <v>1125</v>
      </c>
      <c r="F74" s="17" t="str">
        <f ca="1">IFERROR(__xludf.DUMMYFUNCTION("GOOGLETRANSLATE(E74,""ES"",""EN"")"),"I would think and advance that a professional who is capable of. Keep their population more compensated or do community activities that install population capabilities should eventually have an incentive. Reasonable indicator, that although every indicato"&amp;"r has the risk of being a bit perverse, in the long run or cut, let's say, we can do something that is more or less interesting.")</f>
        <v>I would think and advance that a professional who is capable of. Keep their population more compensated or do community activities that install population capabilities should eventually have an incentive. Reasonable indicator, that although every indicator has the risk of being a bit perverse, in the long run or cut, let's say, we can do something that is more or less interesting.</v>
      </c>
      <c r="G74" s="18">
        <v>530</v>
      </c>
      <c r="H74" s="19">
        <v>0.65391733497840843</v>
      </c>
      <c r="I74" s="16" t="s">
        <v>1100</v>
      </c>
      <c r="J74" s="17" t="str">
        <f ca="1">IFERROR(__xludf.DUMMYFUNCTION("GOOGLETRANSLATE(I74,""ES"",""EN"")"),"Concordant actions with the community model")</f>
        <v>Concordant actions with the community model</v>
      </c>
    </row>
    <row r="75" spans="1:10" ht="15.75" customHeight="1" x14ac:dyDescent="0.25">
      <c r="A75" s="6" t="s">
        <v>5</v>
      </c>
      <c r="B75" s="17" t="s">
        <v>655</v>
      </c>
      <c r="C75" s="17" t="s">
        <v>1037</v>
      </c>
      <c r="D75" s="17" t="str">
        <f ca="1">IFERROR(__xludf.DUMMYFUNCTION("GOOGLETRANSLATE(C75,""ES"",""EN"")"),"Financing \ Intervention \ Desired payment method")</f>
        <v>Financing \ Intervention \ Desired payment method</v>
      </c>
      <c r="E75" s="17" t="s">
        <v>1126</v>
      </c>
      <c r="F75" s="17" t="str">
        <f ca="1">IFERROR(__xludf.DUMMYFUNCTION("GOOGLETRANSLATE(E75,""ES"",""EN"")"),"For example, I don't know, let's set certain goals or compensation indices, whatever we think among all. I think that is also important among everything, between scientific communities and also your users, not only between all the two commercial engineers"&amp;" who see the budget there at the heights for four years.")</f>
        <v>For example, I don't know, let's set certain goals or compensation indices, whatever we think among all. I think that is also important among everything, between scientific communities and also your users, not only between all the two commercial engineers who see the budget there at the heights for four years.</v>
      </c>
      <c r="G75" s="18">
        <v>327</v>
      </c>
      <c r="H75" s="19">
        <v>0.40345465761875388</v>
      </c>
      <c r="I75" s="16" t="s">
        <v>1044</v>
      </c>
      <c r="J75" s="17" t="str">
        <f ca="1">IFERROR(__xludf.DUMMYFUNCTION("GOOGLETRANSLATE(I75,""ES"",""EN"")"),"It is not just a budget")</f>
        <v>It is not just a budget</v>
      </c>
    </row>
    <row r="76" spans="1:10" ht="15.75" customHeight="1" x14ac:dyDescent="0.25">
      <c r="A76" s="6" t="s">
        <v>5</v>
      </c>
      <c r="B76" s="17" t="s">
        <v>655</v>
      </c>
      <c r="C76" s="17" t="s">
        <v>1037</v>
      </c>
      <c r="D76" s="17" t="str">
        <f ca="1">IFERROR(__xludf.DUMMYFUNCTION("GOOGLETRANSLATE(C76,""ES"",""EN"")"),"Financing \ Intervention \ Desired payment method")</f>
        <v>Financing \ Intervention \ Desired payment method</v>
      </c>
      <c r="E76" s="17" t="s">
        <v>1127</v>
      </c>
      <c r="F76" s="17" t="str">
        <f ca="1">IFERROR(__xludf.DUMMYFUNCTION("GOOGLETRANSLATE(E76,""ES"",""EN"")"),"The incentive is a powerful weapon.
Speaker2: [01:20:43] The most powerful financing that is believed. Not only for others, as for our work towards others, but also with respect to the assistance of our own practices. When it is said and this is somethin"&amp;"g that I have talked, I did not know whether to study philosophy or psychology, it seems to me that it is over. When the health budget is in 2 percent, the budget must be uploaded, the budget must be raised, we are already 100 percent, 10 percent. What ar"&amp;"e we going to do with that 10 percent? We are going to do 8 times more than what we do now, just like what we do now. Is it just a need for organic growth? I do not think so. I do not think so. I think it's not just more money for the same.")</f>
        <v>The incentive is a powerful weapon.
Speaker2: [01:20:43] The most powerful financing that is believed. Not only for others, as for our work towards others, but also with respect to the assistance of our own practices. When it is said and this is something that I have talked, I did not know whether to study philosophy or psychology, it seems to me that it is over. When the health budget is in 2 percent, the budget must be uploaded, the budget must be raised, we are already 100 percent, 10 percent. What are we going to do with that 10 percent? We are going to do 8 times more than what we do now, just like what we do now. Is it just a need for organic growth? I do not think so. I do not think so. I think it's not just more money for the same.</v>
      </c>
      <c r="G76" s="18">
        <v>774</v>
      </c>
      <c r="H76" s="19">
        <v>0.95496607032695868</v>
      </c>
      <c r="I76" s="16" t="s">
        <v>1044</v>
      </c>
      <c r="J76" s="17" t="str">
        <f ca="1">IFERROR(__xludf.DUMMYFUNCTION("GOOGLETRANSLATE(I76,""ES"",""EN"")"),"It is not just a budget")</f>
        <v>It is not just a budget</v>
      </c>
    </row>
    <row r="77" spans="1:10" ht="15.75" customHeight="1" x14ac:dyDescent="0.25">
      <c r="A77" s="6" t="s">
        <v>5</v>
      </c>
      <c r="B77" s="17" t="s">
        <v>655</v>
      </c>
      <c r="C77" s="17" t="s">
        <v>1037</v>
      </c>
      <c r="D77" s="17" t="str">
        <f ca="1">IFERROR(__xludf.DUMMYFUNCTION("GOOGLETRANSLATE(C77,""ES"",""EN"")"),"Financing \ Intervention \ Desired payment method")</f>
        <v>Financing \ Intervention \ Desired payment method</v>
      </c>
      <c r="E77" s="17" t="s">
        <v>1128</v>
      </c>
      <c r="F77" s="17" t="str">
        <f ca="1">IFERROR(__xludf.DUMMYFUNCTION("GOOGLETRANSLATE(E77,""ES"",""EN"")"),"It is not that mental health has little budget only for what to do, that I am going to do the update that I do believe that there is little financing. But in addition to that, I think more financing. But also to do other things, other things are encourage"&amp;"d or other ways to do clinic, other practices. Because if not, I don't think we solve the gap with the needs in the population")</f>
        <v>It is not that mental health has little budget only for what to do, that I am going to do the update that I do believe that there is little financing. But in addition to that, I think more financing. But also to do other things, other things are encouraged or other ways to do clinic, other practices. Because if not, I don't think we solve the gap with the needs in the population</v>
      </c>
      <c r="G77" s="18">
        <v>448</v>
      </c>
      <c r="H77" s="19">
        <v>0.55274521900061691</v>
      </c>
      <c r="I77" s="16" t="s">
        <v>1044</v>
      </c>
      <c r="J77" s="17" t="str">
        <f ca="1">IFERROR(__xludf.DUMMYFUNCTION("GOOGLETRANSLATE(I77,""ES"",""EN"")"),"It is not just a budget")</f>
        <v>It is not just a budget</v>
      </c>
    </row>
    <row r="78" spans="1:10" ht="15.75" customHeight="1" x14ac:dyDescent="0.25">
      <c r="A78" s="6" t="s">
        <v>5</v>
      </c>
      <c r="B78" s="17" t="s">
        <v>655</v>
      </c>
      <c r="C78" s="17" t="s">
        <v>1037</v>
      </c>
      <c r="D78" s="17" t="str">
        <f ca="1">IFERROR(__xludf.DUMMYFUNCTION("GOOGLETRANSLATE(C78,""ES"",""EN"")"),"Financing \ Intervention \ Desired payment method")</f>
        <v>Financing \ Intervention \ Desired payment method</v>
      </c>
      <c r="E78" s="17" t="s">
        <v>1129</v>
      </c>
      <c r="F78" s="17" t="str">
        <f ca="1">IFERROR(__xludf.DUMMYFUNCTION("GOOGLETRANSLATE(E78,""ES"",""EN"")"),"more flexible or some articulated in the financing that were more susceptible to a local adaptation, for example, or that had different incentives with respect to deliberative participation, of construction of local policy, of.
Speaker2: [01:30:43] Space"&amp;"s as opening and not just. As an emission of knowledge, as of the recipe, in the broad meaning, as you have to do this, you have to do the other as more horizontal spaces of dialogue. And with that there is a space, even if it is limited and allows us. Ho"&amp;"w to be, how? As a critic regarding some things that we have considered a lot of immovable time, I think it would be an advance.")</f>
        <v>more flexible or some articulated in the financing that were more susceptible to a local adaptation, for example, or that had different incentives with respect to deliberative participation, of construction of local policy, of.
Speaker2: [01:30:43] Spaces as opening and not just. As an emission of knowledge, as of the recipe, in the broad meaning, as you have to do this, you have to do the other as more horizontal spaces of dialogue. And with that there is a space, even if it is limited and allows us. How to be, how? As a critic regarding some things that we have considered a lot of immovable time, I think it would be an advance.</v>
      </c>
      <c r="G78" s="18">
        <v>675</v>
      </c>
      <c r="H78" s="19">
        <v>0.8328192473781616</v>
      </c>
      <c r="I78" s="16" t="s">
        <v>1130</v>
      </c>
      <c r="J78" s="17" t="str">
        <f ca="1">IFERROR(__xludf.DUMMYFUNCTION("GOOGLETRANSLATE(I78,""ES"",""EN"")"),"Concordant actions with the community model: local adaptation")</f>
        <v>Concordant actions with the community model: local adaptation</v>
      </c>
    </row>
    <row r="79" spans="1:10" ht="15.75" customHeight="1" x14ac:dyDescent="0.25">
      <c r="A79" s="6" t="s">
        <v>5</v>
      </c>
      <c r="B79" s="17" t="s">
        <v>655</v>
      </c>
      <c r="C79" s="17" t="s">
        <v>1037</v>
      </c>
      <c r="D79" s="17" t="str">
        <f ca="1">IFERROR(__xludf.DUMMYFUNCTION("GOOGLETRANSLATE(C79,""ES"",""EN"")"),"Financing \ Intervention \ Desired payment method")</f>
        <v>Financing \ Intervention \ Desired payment method</v>
      </c>
      <c r="E79" s="17" t="s">
        <v>1131</v>
      </c>
      <c r="F79" s="17" t="str">
        <f ca="1">IFERROR(__xludf.DUMMYFUNCTION("GOOGLETRANSLATE(E79,""ES"",""EN"")"),"I imagine the man of the Treasury thinking about these things. I don't imagine the truth. Well, it no longer enters the Variable Excel as a variable formula error. Then we will have to have enough cunning to translate some of this. He. Somehow I do not th"&amp;"ink that we are much more thinking than the non -thinking about saying good, why we do not introduce this variable or this field, or leave me a budget of the percentage that has such a possibility of a small box.")</f>
        <v>I imagine the man of the Treasury thinking about these things. I don't imagine the truth. Well, it no longer enters the Variable Excel as a variable formula error. Then we will have to have enough cunning to translate some of this. He. Somehow I do not think that we are much more thinking than the non -thinking about saying good, why we do not introduce this variable or this field, or leave me a budget of the percentage that has such a possibility of a small box.</v>
      </c>
      <c r="G79" s="18">
        <v>489</v>
      </c>
      <c r="H79" s="19">
        <v>0.60333127698951272</v>
      </c>
      <c r="I79" s="16" t="s">
        <v>1044</v>
      </c>
      <c r="J79" s="17" t="str">
        <f ca="1">IFERROR(__xludf.DUMMYFUNCTION("GOOGLETRANSLATE(I79,""ES"",""EN"")"),"It is not just a budget")</f>
        <v>It is not just a budget</v>
      </c>
    </row>
    <row r="80" spans="1:10" ht="15.75" customHeight="1" x14ac:dyDescent="0.25">
      <c r="A80" s="6" t="s">
        <v>5</v>
      </c>
      <c r="B80" s="17" t="s">
        <v>655</v>
      </c>
      <c r="C80" s="17" t="s">
        <v>1037</v>
      </c>
      <c r="D80" s="17" t="str">
        <f ca="1">IFERROR(__xludf.DUMMYFUNCTION("GOOGLETRANSLATE(C80,""ES"",""EN"")"),"Financing \ Intervention \ Desired payment method")</f>
        <v>Financing \ Intervention \ Desired payment method</v>
      </c>
      <c r="E80" s="17" t="s">
        <v>1132</v>
      </c>
      <c r="F80" s="17" t="str">
        <f ca="1">IFERROR(__xludf.DUMMYFUNCTION("GOOGLETRANSLATE(E80,""ES"",""EN"")"),"Give me space to try other ways. Other therapeutics. I think that is the great lesson of these times, that we have to build together and grabbed and walking through the shadow. How? How to advance?")</f>
        <v>Give me space to try other ways. Other therapeutics. I think that is the great lesson of these times, that we have to build together and grabbed and walking through the shadow. How? How to advance?</v>
      </c>
      <c r="G80" s="18">
        <v>227</v>
      </c>
      <c r="H80" s="19">
        <v>0.28007402837754469</v>
      </c>
      <c r="I80" s="16" t="s">
        <v>1044</v>
      </c>
      <c r="J80" s="17" t="str">
        <f ca="1">IFERROR(__xludf.DUMMYFUNCTION("GOOGLETRANSLATE(I80,""ES"",""EN"")"),"It is not just a budget")</f>
        <v>It is not just a budget</v>
      </c>
    </row>
    <row r="81" spans="1:10" ht="15.75" customHeight="1" x14ac:dyDescent="0.25">
      <c r="A81" s="6" t="s">
        <v>5</v>
      </c>
      <c r="B81" s="17" t="s">
        <v>655</v>
      </c>
      <c r="C81" s="17" t="s">
        <v>1037</v>
      </c>
      <c r="D81" s="17" t="str">
        <f ca="1">IFERROR(__xludf.DUMMYFUNCTION("GOOGLETRANSLATE(C81,""ES"",""EN"")"),"Financing \ Intervention \ Desired payment method")</f>
        <v>Financing \ Intervention \ Desired payment method</v>
      </c>
      <c r="E81" s="17" t="s">
        <v>1133</v>
      </c>
      <c r="F81" s="17" t="str">
        <f ca="1">IFERROR(__xludf.DUMMYFUNCTION("GOOGLETRANSLATE(E81,""ES"",""EN"")"),"But when not only counters or engineers are thought of a budget, I think they can be counted or financing systems, formulas can be found in which one can be innovating without having that anxious, negative anticipation, that it is not going to square, tha"&amp;"t it will not work")</f>
        <v>But when not only counters or engineers are thought of a budget, I think they can be counted or financing systems, formulas can be found in which one can be innovating without having that anxious, negative anticipation, that it is not going to square, that it will not work</v>
      </c>
      <c r="G81" s="18">
        <v>298</v>
      </c>
      <c r="H81" s="19">
        <v>0.36767427513880324</v>
      </c>
      <c r="I81" s="16" t="s">
        <v>1044</v>
      </c>
      <c r="J81" s="17" t="str">
        <f ca="1">IFERROR(__xludf.DUMMYFUNCTION("GOOGLETRANSLATE(I81,""ES"",""EN"")"),"It is not just a budget")</f>
        <v>It is not just a budget</v>
      </c>
    </row>
    <row r="82" spans="1:10" ht="15.75" customHeight="1" x14ac:dyDescent="0.25">
      <c r="A82" s="6" t="s">
        <v>5</v>
      </c>
      <c r="B82" s="17" t="s">
        <v>655</v>
      </c>
      <c r="C82" s="17" t="s">
        <v>1037</v>
      </c>
      <c r="D82" s="17" t="str">
        <f ca="1">IFERROR(__xludf.DUMMYFUNCTION("GOOGLETRANSLATE(C82,""ES"",""EN"")"),"Financing \ Intervention \ Desired payment method")</f>
        <v>Financing \ Intervention \ Desired payment method</v>
      </c>
      <c r="E82" s="17" t="s">
        <v>1134</v>
      </c>
      <c r="F82" s="17" t="str">
        <f ca="1">IFERROR(__xludf.DUMMYFUNCTION("GOOGLETRANSLATE(E82,""ES"",""EN"")"),"I think there is something of the human scale that has to take place again in financing systems, that the complexization of systems or industrialization")</f>
        <v>I think there is something of the human scale that has to take place again in financing systems, that the complexization of systems or industrialization</v>
      </c>
      <c r="G82" s="18">
        <v>168</v>
      </c>
      <c r="H82" s="19">
        <v>0.20727945712523135</v>
      </c>
      <c r="I82" s="16" t="s">
        <v>1044</v>
      </c>
      <c r="J82" s="17" t="str">
        <f ca="1">IFERROR(__xludf.DUMMYFUNCTION("GOOGLETRANSLATE(I82,""ES"",""EN"")"),"It is not just a budget")</f>
        <v>It is not just a budget</v>
      </c>
    </row>
    <row r="83" spans="1:10" ht="15.75" customHeight="1" x14ac:dyDescent="0.25">
      <c r="A83" s="6" t="s">
        <v>5</v>
      </c>
      <c r="B83" s="17" t="s">
        <v>655</v>
      </c>
      <c r="C83" s="17" t="s">
        <v>1037</v>
      </c>
      <c r="D83" s="17" t="str">
        <f ca="1">IFERROR(__xludf.DUMMYFUNCTION("GOOGLETRANSLATE(C83,""ES"",""EN"")"),"Financing \ Intervention \ Desired payment method")</f>
        <v>Financing \ Intervention \ Desired payment method</v>
      </c>
      <c r="E83" s="17" t="s">
        <v>1135</v>
      </c>
      <c r="F83" s="17" t="str">
        <f ca="1">IFERROR(__xludf.DUMMYFUNCTION("GOOGLETRANSLATE(E83,""ES"",""EN"")"),"Give them a space to innovate. No, because they have knowledge. And so I should encourage local research and all who are going to be outside will want to return and eventually one and the other will not want to stay out.
Speaker2: [01:36:28] or there wil"&amp;"l be some type of incentive to return and try. No, I think Chile is very fearful and very anesthetized, with a model that gave us a way. He showed us a way that today we found a quite outdated and quite distrustful time. Put all the control mechanisms you"&amp;" want, but think that one is encouraging several things where you put the money, right? Not only the practice and final attention to the user, but also the practice of professionals and the solutions of the future.")</f>
        <v>Give them a space to innovate. No, because they have knowledge. And so I should encourage local research and all who are going to be outside will want to return and eventually one and the other will not want to stay out.
Speaker2: [01:36:28] or there will be some type of incentive to return and try. No, I think Chile is very fearful and very anesthetized, with a model that gave us a way. He showed us a way that today we found a quite outdated and quite distrustful time. Put all the control mechanisms you want, but think that one is encouraging several things where you put the money, right? Not only the practice and final attention to the user, but also the practice of professionals and the solutions of the future.</v>
      </c>
      <c r="G83" s="18">
        <v>784</v>
      </c>
      <c r="H83" s="19">
        <v>0.96730413325107956</v>
      </c>
      <c r="I83" s="16" t="s">
        <v>1044</v>
      </c>
      <c r="J83" s="17" t="str">
        <f ca="1">IFERROR(__xludf.DUMMYFUNCTION("GOOGLETRANSLATE(I83,""ES"",""EN"")"),"It is not just a budget")</f>
        <v>It is not just a budget</v>
      </c>
    </row>
    <row r="84" spans="1:10" ht="15.75" customHeight="1" x14ac:dyDescent="0.25">
      <c r="A84" s="6" t="s">
        <v>5</v>
      </c>
      <c r="B84" s="17" t="s">
        <v>655</v>
      </c>
      <c r="C84" s="17" t="s">
        <v>1037</v>
      </c>
      <c r="D84" s="17" t="str">
        <f ca="1">IFERROR(__xludf.DUMMYFUNCTION("GOOGLETRANSLATE(C84,""ES"",""EN"")"),"Financing \ Intervention \ Desired payment method")</f>
        <v>Financing \ Intervention \ Desired payment method</v>
      </c>
      <c r="E84" s="17" t="s">
        <v>1136</v>
      </c>
      <c r="F84" s="17" t="str">
        <f ca="1">IFERROR(__xludf.DUMMYFUNCTION("GOOGLETRANSLATE(E84,""ES"",""EN"")"),"These are the questions to be asked today, but how and try, try today different work hypothesis with people. If we already stop being the ones who know versus those who come to learn from us. But that has to understand someone who has the vision and convi"&amp;"ction and the Lucas in a timely manner. That is, now, if it does not happen now, that now that all these things are happening, when. That is not a thought from left to right, a thought that has to do with an elite tradition and I imagine that from the beg"&amp;"inning of time people want to be. Do you have your satisfied needs? Being able to achieve your projects has nothing to do with a presidential flag. That are not very human needs. Why does the management come off from that? The efforts are people attending"&amp;" people.")</f>
        <v>These are the questions to be asked today, but how and try, try today different work hypothesis with people. If we already stop being the ones who know versus those who come to learn from us. But that has to understand someone who has the vision and conviction and the Lucas in a timely manner. That is, now, if it does not happen now, that now that all these things are happening, when. That is not a thought from left to right, a thought that has to do with an elite tradition and I imagine that from the beginning of time people want to be. Do you have your satisfied needs? Being able to achieve your projects has nothing to do with a presidential flag. That are not very human needs. Why does the management come off from that? The efforts are people attending people.</v>
      </c>
      <c r="G84" s="18">
        <v>844</v>
      </c>
      <c r="H84" s="19">
        <v>1.0413325107958049</v>
      </c>
      <c r="I84" s="16" t="s">
        <v>1044</v>
      </c>
      <c r="J84" s="17" t="str">
        <f ca="1">IFERROR(__xludf.DUMMYFUNCTION("GOOGLETRANSLATE(I84,""ES"",""EN"")"),"It is not just a budget")</f>
        <v>It is not just a budget</v>
      </c>
    </row>
    <row r="85" spans="1:10" ht="15.75" customHeight="1" x14ac:dyDescent="0.25">
      <c r="A85" s="6" t="s">
        <v>5</v>
      </c>
      <c r="B85" s="17" t="s">
        <v>719</v>
      </c>
      <c r="C85" s="17" t="s">
        <v>1037</v>
      </c>
      <c r="D85" s="17" t="str">
        <f ca="1">IFERROR(__xludf.DUMMYFUNCTION("GOOGLETRANSLATE(C85,""ES"",""EN"")"),"Financing \ Intervention \ Desired payment method")</f>
        <v>Financing \ Intervention \ Desired payment method</v>
      </c>
      <c r="E85" s="17" t="s">
        <v>1137</v>
      </c>
      <c r="F85" s="17" t="str">
        <f ca="1">IFERROR(__xludf.DUMMYFUNCTION("GOOGLETRANSLATE(E85,""ES"",""EN"")"),"I believe that in my opinion, we as a center and what is projected within the models, we should have this autonomy of having as an item of a budget to know what are the main expenses that we have as a center. If within the efforts to have fixed funds that"&amp;" are typical of the center")</f>
        <v>I believe that in my opinion, we as a center and what is projected within the models, we should have this autonomy of having as an item of a budget to know what are the main expenses that we have as a center. If within the efforts to have fixed funds that are typical of the center</v>
      </c>
      <c r="G85" s="18">
        <v>324</v>
      </c>
      <c r="H85" s="19">
        <v>0.83286206364711324</v>
      </c>
      <c r="I85" s="16" t="s">
        <v>1044</v>
      </c>
      <c r="J85" s="17" t="str">
        <f ca="1">IFERROR(__xludf.DUMMYFUNCTION("GOOGLETRANSLATE(I85,""ES"",""EN"")"),"It is not just a budget")</f>
        <v>It is not just a budget</v>
      </c>
    </row>
    <row r="86" spans="1:10" ht="15.75" customHeight="1" x14ac:dyDescent="0.25">
      <c r="A86" s="6" t="s">
        <v>5</v>
      </c>
      <c r="B86" s="17" t="s">
        <v>719</v>
      </c>
      <c r="C86" s="17" t="s">
        <v>1037</v>
      </c>
      <c r="D86" s="17" t="str">
        <f ca="1">IFERROR(__xludf.DUMMYFUNCTION("GOOGLETRANSLATE(C86,""ES"",""EN"")"),"Financing \ Intervention \ Desired payment method")</f>
        <v>Financing \ Intervention \ Desired payment method</v>
      </c>
      <c r="E86" s="17" t="s">
        <v>1138</v>
      </c>
      <c r="F86" s="17" t="str">
        <f ca="1">IFERROR(__xludf.DUMMYFUNCTION("GOOGLETRANSLATE(E86,""ES"",""EN"")"),"But if we may have a budget for mental health with the items of what one is spending during the year or for the activities that are required, because the community model and speaks of high activities with the community and doing activities with the commun"&amp;"ity also It means investing expense.")</f>
        <v>But if we may have a budget for mental health with the items of what one is spending during the year or for the activities that are required, because the community model and speaks of high activities with the community and doing activities with the community also It means investing expense.</v>
      </c>
      <c r="G86" s="18">
        <v>308</v>
      </c>
      <c r="H86" s="19">
        <v>0.79173307284972494</v>
      </c>
      <c r="I86" s="16" t="s">
        <v>1044</v>
      </c>
      <c r="J86" s="17" t="str">
        <f ca="1">IFERROR(__xludf.DUMMYFUNCTION("GOOGLETRANSLATE(I86,""ES"",""EN"")"),"It is not just a budget")</f>
        <v>It is not just a budget</v>
      </c>
    </row>
    <row r="87" spans="1:10" ht="15.75" customHeight="1" x14ac:dyDescent="0.25">
      <c r="A87" s="6" t="s">
        <v>5</v>
      </c>
      <c r="B87" s="17" t="s">
        <v>719</v>
      </c>
      <c r="C87" s="17" t="s">
        <v>1037</v>
      </c>
      <c r="D87" s="17" t="str">
        <f ca="1">IFERROR(__xludf.DUMMYFUNCTION("GOOGLETRANSLATE(C87,""ES"",""EN"")"),"Financing \ Intervention \ Desired payment method")</f>
        <v>Financing \ Intervention \ Desired payment method</v>
      </c>
      <c r="E87" s="17" t="s">
        <v>1139</v>
      </c>
      <c r="F87" s="17" t="str">
        <f ca="1">IFERROR(__xludf.DUMMYFUNCTION("GOOGLETRANSLATE(E87,""ES"",""EN"")"),"And if they cannot have it for administrative reasons, unless there is a different budget. In what sense? Where you pay? It's true.")</f>
        <v>And if they cannot have it for administrative reasons, unless there is a different budget. In what sense? Where you pay? It's true.</v>
      </c>
      <c r="G87" s="18">
        <v>147</v>
      </c>
      <c r="H87" s="19">
        <v>0.37787260295100505</v>
      </c>
      <c r="I87" s="16" t="s">
        <v>1044</v>
      </c>
      <c r="J87" s="17" t="str">
        <f ca="1">IFERROR(__xludf.DUMMYFUNCTION("GOOGLETRANSLATE(I87,""ES"",""EN"")"),"It is not just a budget")</f>
        <v>It is not just a budget</v>
      </c>
    </row>
    <row r="88" spans="1:10" ht="15.75" customHeight="1" x14ac:dyDescent="0.25">
      <c r="A88" s="6" t="s">
        <v>5</v>
      </c>
      <c r="B88" s="17" t="s">
        <v>719</v>
      </c>
      <c r="C88" s="17" t="s">
        <v>1037</v>
      </c>
      <c r="D88" s="17" t="str">
        <f ca="1">IFERROR(__xludf.DUMMYFUNCTION("GOOGLETRANSLATE(C88,""ES"",""EN"")"),"Financing \ Intervention \ Desired payment method")</f>
        <v>Financing \ Intervention \ Desired payment method</v>
      </c>
      <c r="E88" s="17" t="s">
        <v>1140</v>
      </c>
      <c r="F88" s="17" t="str">
        <f ca="1">IFERROR(__xludf.DUMMYFUNCTION("GOOGLETRANSLATE(E88,""ES"",""EN"")"),"How much the ministry assigns us to work on certain things and one will not adjust to that budget and see where you can program certain activities that we can fulfill. Maybe if we had a budget that was alone of us, of mental health, we could do many more "&amp;"things we are currently doing. We could generate benefits.")</f>
        <v>How much the ministry assigns us to work on certain things and one will not adjust to that budget and see where you can program certain activities that we can fulfill. Maybe if we had a budget that was alone of us, of mental health, we could do many more things we are currently doing. We could generate benefits.</v>
      </c>
      <c r="G88" s="18">
        <v>357</v>
      </c>
      <c r="H88" s="19">
        <v>0.91769060716672657</v>
      </c>
      <c r="I88" s="16" t="s">
        <v>1044</v>
      </c>
      <c r="J88" s="17" t="str">
        <f ca="1">IFERROR(__xludf.DUMMYFUNCTION("GOOGLETRANSLATE(I88,""ES"",""EN"")"),"It is not just a budget")</f>
        <v>It is not just a budget</v>
      </c>
    </row>
    <row r="89" spans="1:10" ht="15.75" customHeight="1" x14ac:dyDescent="0.25">
      <c r="A89" s="6" t="s">
        <v>5</v>
      </c>
      <c r="B89" s="17" t="s">
        <v>719</v>
      </c>
      <c r="C89" s="17" t="s">
        <v>1037</v>
      </c>
      <c r="D89" s="17" t="str">
        <f ca="1">IFERROR(__xludf.DUMMYFUNCTION("GOOGLETRANSLATE(C89,""ES"",""EN"")"),"Financing \ Intervention \ Desired payment method")</f>
        <v>Financing \ Intervention \ Desired payment method</v>
      </c>
      <c r="E89" s="17" t="s">
        <v>1141</v>
      </c>
      <c r="F89" s="17" t="str">
        <f ca="1">IFERROR(__xludf.DUMMYFUNCTION("GOOGLETRANSLATE(E89,""ES"",""EN"")"),"The periodicity that is required and is also removing needs that sometimes have themselves have but that we cannot meet because we do not have a budget, it may be that public policy, a certain mental health, see this.")</f>
        <v>The periodicity that is required and is also removing needs that sometimes have themselves have but that we cannot meet because we do not have a budget, it may be that public policy, a certain mental health, see this.</v>
      </c>
      <c r="G89" s="18">
        <v>244</v>
      </c>
      <c r="H89" s="19">
        <v>0.62721710966017175</v>
      </c>
      <c r="I89" s="16" t="s">
        <v>1044</v>
      </c>
      <c r="J89" s="17" t="str">
        <f ca="1">IFERROR(__xludf.DUMMYFUNCTION("GOOGLETRANSLATE(I89,""ES"",""EN"")"),"It is not just a budget")</f>
        <v>It is not just a budget</v>
      </c>
    </row>
    <row r="90" spans="1:10" ht="15.75" customHeight="1" x14ac:dyDescent="0.25">
      <c r="A90" s="6" t="s">
        <v>5</v>
      </c>
      <c r="B90" s="17" t="s">
        <v>770</v>
      </c>
      <c r="C90" s="17" t="s">
        <v>1037</v>
      </c>
      <c r="D90" s="17" t="str">
        <f ca="1">IFERROR(__xludf.DUMMYFUNCTION("GOOGLETRANSLATE(C90,""ES"",""EN"")"),"Financing \ Intervention \ Desired payment method")</f>
        <v>Financing \ Intervention \ Desired payment method</v>
      </c>
      <c r="E90" s="17" t="s">
        <v>1142</v>
      </c>
      <c r="F90" s="17" t="str">
        <f ca="1">IFERROR(__xludf.DUMMYFUNCTION("GOOGLETRANSLATE(E90,""ES"",""EN"")"),"I think that the concept of benefit basket seems to me that it would be closer whenever it was a more real basket, if not. Not the one we know for the PPVs, but if we collected the technical standard of frequency, how much the treatment of a user should l"&amp;"ast, of the amount of benefits required for each professional, we could have an estimate of the cost that this has , that would be within the center and that associates it with a payment. In relation to the number of users attended. That would cover at le"&amp;"ast the clinical part, not the community part.")</f>
        <v>I think that the concept of benefit basket seems to me that it would be closer whenever it was a more real basket, if not. Not the one we know for the PPVs, but if we collected the technical standard of frequency, how much the treatment of a user should last, of the amount of benefits required for each professional, we could have an estimate of the cost that this has , that would be within the center and that associates it with a payment. In relation to the number of users attended. That would cover at least the clinical part, not the community part.</v>
      </c>
      <c r="G90" s="18">
        <v>585</v>
      </c>
      <c r="H90" s="19">
        <v>2.3074192403265887</v>
      </c>
      <c r="I90" s="16" t="s">
        <v>1075</v>
      </c>
      <c r="J90" s="17" t="str">
        <f ca="1">IFERROR(__xludf.DUMMYFUNCTION("GOOGLETRANSLATE(I90,""ES"",""EN"")"),"Payment mechanism: baskets/packages")</f>
        <v>Payment mechanism: baskets/packages</v>
      </c>
    </row>
    <row r="91" spans="1:10" ht="15.75" customHeight="1" x14ac:dyDescent="0.25">
      <c r="A91" s="6" t="s">
        <v>5</v>
      </c>
      <c r="B91" s="17" t="s">
        <v>770</v>
      </c>
      <c r="C91" s="17" t="s">
        <v>1037</v>
      </c>
      <c r="D91" s="17" t="str">
        <f ca="1">IFERROR(__xludf.DUMMYFUNCTION("GOOGLETRANSLATE(C91,""ES"",""EN"")"),"Financing \ Intervention \ Desired payment method")</f>
        <v>Financing \ Intervention \ Desired payment method</v>
      </c>
      <c r="E91" s="17" t="s">
        <v>1143</v>
      </c>
      <c r="F91" s="17" t="str">
        <f ca="1">IFERROR(__xludf.DUMMYFUNCTION("GOOGLETRANSLATE(E91,""ES"",""EN"")"),"I believe that the community part should be covered by the service that gives us an operating floor for those other element that are not of those that can be reported through a person's rout.")</f>
        <v>I believe that the community part should be covered by the service that gives us an operating floor for those other element that are not of those that can be reported through a person's rout.</v>
      </c>
      <c r="G91" s="18">
        <v>227</v>
      </c>
      <c r="H91" s="19">
        <v>0.89535755137459072</v>
      </c>
      <c r="I91" s="16" t="s">
        <v>1056</v>
      </c>
      <c r="J91" s="17" t="str">
        <f ca="1">IFERROR(__xludf.DUMMYFUNCTION("GOOGLETRANSLATE(I91,""ES"",""EN"")"),"Concordant actions with the community model: in the community")</f>
        <v>Concordant actions with the community model: in the community</v>
      </c>
    </row>
    <row r="92" spans="1:10" ht="15.75" customHeight="1" x14ac:dyDescent="0.25">
      <c r="A92" s="6" t="s">
        <v>5</v>
      </c>
      <c r="B92" s="17" t="s">
        <v>770</v>
      </c>
      <c r="C92" s="17" t="s">
        <v>1037</v>
      </c>
      <c r="D92" s="17" t="str">
        <f ca="1">IFERROR(__xludf.DUMMYFUNCTION("GOOGLETRANSLATE(C92,""ES"",""EN"")"),"Financing \ Intervention \ Desired payment method")</f>
        <v>Financing \ Intervention \ Desired payment method</v>
      </c>
      <c r="E92" s="17" t="s">
        <v>1144</v>
      </c>
      <c r="F92" s="17" t="str">
        <f ca="1">IFERROR(__xludf.DUMMYFUNCTION("GOOGLETRANSLATE(E92,""ES"",""EN"")"),"We know more or less on average, how many attention a person has in the center per month. And with what kind of professionals, and that will draw a more real calculation of the cost that implies and that means in relation to the payment of human resource,"&amp;" to the basic expenses of the place.")</f>
        <v>We know more or less on average, how many attention a person has in the center per month. And with what kind of professionals, and that will draw a more real calculation of the cost that implies and that means in relation to the payment of human resource, to the basic expenses of the place.</v>
      </c>
      <c r="G92" s="18">
        <v>282</v>
      </c>
      <c r="H92" s="19">
        <v>1.1122944030292272</v>
      </c>
      <c r="I92" s="16" t="s">
        <v>1044</v>
      </c>
      <c r="J92" s="17" t="str">
        <f ca="1">IFERROR(__xludf.DUMMYFUNCTION("GOOGLETRANSLATE(I92,""ES"",""EN"")"),"It is not just a budget")</f>
        <v>It is not just a budget</v>
      </c>
    </row>
    <row r="93" spans="1:10" ht="15.75" customHeight="1" x14ac:dyDescent="0.25">
      <c r="A93" s="6" t="s">
        <v>5</v>
      </c>
      <c r="B93" s="17" t="s">
        <v>770</v>
      </c>
      <c r="C93" s="17" t="s">
        <v>1037</v>
      </c>
      <c r="D93" s="17" t="str">
        <f ca="1">IFERROR(__xludf.DUMMYFUNCTION("GOOGLETRANSLATE(C93,""ES"",""EN"")"),"Financing \ Intervention \ Desired payment method")</f>
        <v>Financing \ Intervention \ Desired payment method</v>
      </c>
      <c r="E93" s="17" t="s">
        <v>1145</v>
      </c>
      <c r="F93" s="17" t="str">
        <f ca="1">IFERROR(__xludf.DUMMYFUNCTION("GOOGLETRANSLATE(E93,""ES"",""EN"")"),"I think that I should be associated with the coverage of the territory that one must handle to be able to cover community activity with APS, consulting, promotion, prevention, those other elements, collateral links with community groups.")</f>
        <v>I think that I should be associated with the coverage of the territory that one must handle to be able to cover community activity with APS, consulting, promotion, prevention, those other elements, collateral links with community groups.</v>
      </c>
      <c r="G93" s="18">
        <v>273</v>
      </c>
      <c r="H93" s="19">
        <v>1.0767956454857412</v>
      </c>
      <c r="I93" s="16" t="s">
        <v>1100</v>
      </c>
      <c r="J93" s="17" t="str">
        <f ca="1">IFERROR(__xludf.DUMMYFUNCTION("GOOGLETRANSLATE(I93,""ES"",""EN"")"),"Concordant actions with the community model")</f>
        <v>Concordant actions with the community model</v>
      </c>
    </row>
    <row r="94" spans="1:10" ht="15.75" customHeight="1" x14ac:dyDescent="0.25">
      <c r="A94" s="6" t="s">
        <v>5</v>
      </c>
      <c r="B94" s="17" t="s">
        <v>790</v>
      </c>
      <c r="C94" s="17" t="s">
        <v>1037</v>
      </c>
      <c r="D94" s="17" t="str">
        <f ca="1">IFERROR(__xludf.DUMMYFUNCTION("GOOGLETRANSLATE(C94,""ES"",""EN"")"),"Financing \ Intervention \ Desired payment method")</f>
        <v>Financing \ Intervention \ Desired payment method</v>
      </c>
      <c r="E94" s="17" t="s">
        <v>1146</v>
      </c>
      <c r="F94" s="17" t="str">
        <f ca="1">IFERROR(__xludf.DUMMYFUNCTION("GOOGLETRANSLATE(E94,""ES"",""EN"")"),"I do not know if GRD is also working on the baskets of the community mental health centers, because for example I saw it and I see it years ago in the hospitals that work the related diagnostic groups to be able to basastal more real values ​​of the benef"&amp;"its. I do not know if the GRD also contemplates the model.")</f>
        <v>I do not know if GRD is also working on the baskets of the community mental health centers, because for example I saw it and I see it years ago in the hospitals that work the related diagnostic groups to be able to basastal more real values ​​of the benefits. I do not know if the GRD also contemplates the model.</v>
      </c>
      <c r="G94" s="18">
        <v>331</v>
      </c>
      <c r="H94" s="19">
        <v>1.30556541632154</v>
      </c>
      <c r="I94" s="16" t="s">
        <v>1075</v>
      </c>
      <c r="J94" s="17" t="str">
        <f ca="1">IFERROR(__xludf.DUMMYFUNCTION("GOOGLETRANSLATE(I94,""ES"",""EN"")"),"Payment mechanism: baskets/packages")</f>
        <v>Payment mechanism: baskets/packages</v>
      </c>
    </row>
    <row r="95" spans="1:10" ht="15.75" customHeight="1" x14ac:dyDescent="0.25">
      <c r="A95" s="6" t="s">
        <v>5</v>
      </c>
      <c r="B95" s="17" t="s">
        <v>790</v>
      </c>
      <c r="C95" s="17" t="s">
        <v>1037</v>
      </c>
      <c r="D95" s="17" t="str">
        <f ca="1">IFERROR(__xludf.DUMMYFUNCTION("GOOGLETRANSLATE(C95,""ES"",""EN"")"),"Financing \ Intervention \ Desired payment method")</f>
        <v>Financing \ Intervention \ Desired payment method</v>
      </c>
      <c r="E95" s="17" t="s">
        <v>1147</v>
      </c>
      <c r="F95" s="17" t="str">
        <f ca="1">IFERROR(__xludf.DUMMYFUNCTION("GOOGLETRANSLATE(E95,""ES"",""EN"")"),"The important thing is that Fonasa recognizes the benefits, because we carry out several benefits that are not valued, because as monthly we have to send the REM and also the BS series, which is the one who values, for example, the home visits of other pr"&amp;"ofessionals or of a Doctor and a professional, that is not valued. Nursing procedures are not valued either. There is a benefit that in general that psychologists are either valued. So, although it is true we inform it on the one hand in the REM, in the B"&amp;"S form they are not informed because they do not have a fonasa code and there in the portfolio of benefits we realize all those that have no code")</f>
        <v>The important thing is that Fonasa recognizes the benefits, because we carry out several benefits that are not valued, because as monthly we have to send the REM and also the BS series, which is the one who values, for example, the home visits of other professionals or of a Doctor and a professional, that is not valued. Nursing procedures are not valued either. There is a benefit that in general that psychologists are either valued. So, although it is true we inform it on the one hand in the REM, in the BS form they are not informed because they do not have a fonasa code and there in the portfolio of benefits we realize all those that have no code</v>
      </c>
      <c r="G95" s="18">
        <v>694</v>
      </c>
      <c r="H95" s="19">
        <v>2.7373486372421407</v>
      </c>
      <c r="I95" s="16" t="s">
        <v>1075</v>
      </c>
      <c r="J95" s="17" t="str">
        <f ca="1">IFERROR(__xludf.DUMMYFUNCTION("GOOGLETRANSLATE(I95,""ES"",""EN"")"),"Payment mechanism: baskets/packages")</f>
        <v>Payment mechanism: baskets/packages</v>
      </c>
    </row>
    <row r="96" spans="1:10" ht="15.75" customHeight="1" x14ac:dyDescent="0.25">
      <c r="A96" s="6" t="s">
        <v>5</v>
      </c>
      <c r="B96" s="13" t="s">
        <v>812</v>
      </c>
      <c r="C96" s="17" t="s">
        <v>1037</v>
      </c>
      <c r="D96" s="17" t="str">
        <f ca="1">IFERROR(__xludf.DUMMYFUNCTION("GOOGLETRANSLATE(C96,""ES"",""EN"")"),"Financing \ Intervention \ Desired payment method")</f>
        <v>Financing \ Intervention \ Desired payment method</v>
      </c>
      <c r="E96" s="21" t="s">
        <v>1148</v>
      </c>
      <c r="F96" s="17" t="str">
        <f ca="1">IFERROR(__xludf.DUMMYFUNCTION("GOOGLETRANSLATE(E96,""ES"",""EN"")"),"Do not leave out. The first would not be left out that medications will never be missing, the pharmacy, for the family that are treated, so that they do not decompens. (Coquimboorg_revised, pos. 34)")</f>
        <v>Do not leave out. The first would not be left out that medications will never be missing, the pharmacy, for the family that are treated, so that they do not decompens. (Coquimboorg_revised, pos. 34)</v>
      </c>
      <c r="G96" s="1"/>
      <c r="H96" s="1"/>
      <c r="I96" s="16" t="s">
        <v>1050</v>
      </c>
      <c r="J96" s="17" t="str">
        <f ca="1">IFERROR(__xludf.DUMMYFUNCTION("GOOGLETRANSLATE(I96,""ES"",""EN"")"),"Concordant actions with the community model: Comprehensive Care Plan")</f>
        <v>Concordant actions with the community model: Comprehensive Care Plan</v>
      </c>
    </row>
    <row r="97" spans="1:10" ht="15.75" customHeight="1" x14ac:dyDescent="0.25">
      <c r="A97" s="6" t="s">
        <v>5</v>
      </c>
      <c r="B97" s="13" t="s">
        <v>169</v>
      </c>
      <c r="C97" s="17" t="s">
        <v>1037</v>
      </c>
      <c r="D97" s="17" t="str">
        <f ca="1">IFERROR(__xludf.DUMMYFUNCTION("GOOGLETRANSLATE(C97,""ES"",""EN"")"),"Financing \ Intervention \ Desired payment method")</f>
        <v>Financing \ Intervention \ Desired payment method</v>
      </c>
      <c r="E97" s="21" t="s">
        <v>1149</v>
      </c>
      <c r="F97" s="17" t="str">
        <f ca="1">IFERROR(__xludf.DUMMYFUNCTION("GOOGLETRANSLATE(E97,""ES"",""EN"")"),"If there were more mobilization to make visits. To visit people who need to attend at home. (Coquimboorg_revised, pos. 34)")</f>
        <v>If there were more mobilization to make visits. To visit people who need to attend at home. (Coquimboorg_revised, pos. 34)</v>
      </c>
      <c r="G97" s="1"/>
      <c r="H97" s="1"/>
      <c r="I97" s="16" t="s">
        <v>1050</v>
      </c>
      <c r="J97" s="17" t="str">
        <f ca="1">IFERROR(__xludf.DUMMYFUNCTION("GOOGLETRANSLATE(I97,""ES"",""EN"")"),"Concordant actions with the community model: Comprehensive Care Plan")</f>
        <v>Concordant actions with the community model: Comprehensive Care Plan</v>
      </c>
    </row>
    <row r="98" spans="1:10" ht="15.75" customHeight="1" x14ac:dyDescent="0.25">
      <c r="A98" s="6" t="s">
        <v>5</v>
      </c>
      <c r="B98" s="13" t="s">
        <v>1150</v>
      </c>
      <c r="C98" s="17" t="s">
        <v>1037</v>
      </c>
      <c r="D98" s="17" t="str">
        <f ca="1">IFERROR(__xludf.DUMMYFUNCTION("GOOGLETRANSLATE(C98,""ES"",""EN"")"),"Financing \ Intervention \ Desired payment method")</f>
        <v>Financing \ Intervention \ Desired payment method</v>
      </c>
      <c r="E98" s="21" t="s">
        <v>1151</v>
      </c>
      <c r="F98" s="17" t="str">
        <f ca="1">IFERROR(__xludf.DUMMYFUNCTION("GOOGLETRANSLATE(E98,""ES"",""EN"")"),"That there are more psychoeducation so that they, so that they know what their rights are, how Fonasa works, how it works in the boom, how it works to learn more about the GES. More information. More education. (Coquimboorg_revised, pos. 34)")</f>
        <v>That there are more psychoeducation so that they, so that they know what their rights are, how Fonasa works, how it works in the boom, how it works to learn more about the GES. More information. More education. (Coquimboorg_revised, pos. 34)</v>
      </c>
      <c r="G98" s="1"/>
      <c r="H98" s="1"/>
      <c r="I98" s="16" t="s">
        <v>1050</v>
      </c>
      <c r="J98" s="17" t="str">
        <f ca="1">IFERROR(__xludf.DUMMYFUNCTION("GOOGLETRANSLATE(I98,""ES"",""EN"")"),"Concordant actions with the community model: Comprehensive Care Plan")</f>
        <v>Concordant actions with the community model: Comprehensive Care Plan</v>
      </c>
    </row>
    <row r="99" spans="1:10" ht="15.75" customHeight="1" x14ac:dyDescent="0.25">
      <c r="A99" s="1"/>
      <c r="B99" s="1"/>
      <c r="C99" s="15"/>
      <c r="D99" s="17"/>
      <c r="E99" s="30"/>
      <c r="F99" s="17"/>
      <c r="G99" s="1"/>
      <c r="H99" s="1"/>
      <c r="I99" s="16"/>
      <c r="J99" s="17"/>
    </row>
    <row r="100" spans="1:10" ht="15.75" customHeight="1" x14ac:dyDescent="0.25">
      <c r="A100" s="1"/>
      <c r="B100" s="1"/>
      <c r="C100" s="15"/>
      <c r="D100" s="17"/>
      <c r="E100" s="30"/>
      <c r="F100" s="17"/>
      <c r="G100" s="1"/>
      <c r="H100" s="1"/>
      <c r="I100" s="16"/>
      <c r="J100" s="17"/>
    </row>
    <row r="101" spans="1:10" ht="15.75" customHeight="1" x14ac:dyDescent="0.25">
      <c r="A101" s="1"/>
      <c r="B101" s="1"/>
      <c r="C101" s="15"/>
      <c r="D101" s="17"/>
      <c r="E101" s="30"/>
      <c r="F101" s="17"/>
      <c r="G101" s="1"/>
      <c r="H101" s="1"/>
      <c r="I101" s="16"/>
      <c r="J101" s="17"/>
    </row>
    <row r="102" spans="1:10" ht="15.75" customHeight="1" x14ac:dyDescent="0.25">
      <c r="A102" s="1"/>
      <c r="B102" s="1"/>
      <c r="C102" s="15"/>
      <c r="D102" s="17"/>
      <c r="E102" s="30"/>
      <c r="F102" s="17"/>
      <c r="G102" s="1"/>
      <c r="H102" s="1"/>
      <c r="I102" s="16"/>
      <c r="J102" s="17"/>
    </row>
    <row r="103" spans="1:10" ht="15.75" customHeight="1" x14ac:dyDescent="0.25">
      <c r="A103" s="1"/>
      <c r="B103" s="1"/>
      <c r="C103" s="15"/>
      <c r="D103" s="17"/>
      <c r="E103" s="30"/>
      <c r="F103" s="17"/>
      <c r="G103" s="1"/>
      <c r="H103" s="1"/>
      <c r="I103" s="16"/>
      <c r="J103" s="17"/>
    </row>
    <row r="104" spans="1:10" ht="15.75" customHeight="1" x14ac:dyDescent="0.25">
      <c r="A104" s="1"/>
      <c r="B104" s="1"/>
      <c r="C104" s="15"/>
      <c r="D104" s="17"/>
      <c r="E104" s="30"/>
      <c r="F104" s="17"/>
      <c r="G104" s="1"/>
      <c r="H104" s="1"/>
      <c r="I104" s="16"/>
      <c r="J104" s="17"/>
    </row>
    <row r="105" spans="1:10" ht="15.75" customHeight="1" x14ac:dyDescent="0.25">
      <c r="A105" s="1"/>
      <c r="B105" s="1"/>
      <c r="C105" s="15"/>
      <c r="D105" s="17"/>
      <c r="E105" s="30"/>
      <c r="F105" s="17"/>
      <c r="G105" s="1"/>
      <c r="H105" s="1"/>
      <c r="I105" s="16"/>
      <c r="J105" s="17"/>
    </row>
    <row r="106" spans="1:10" ht="15.75" customHeight="1" x14ac:dyDescent="0.25">
      <c r="A106" s="1"/>
      <c r="B106" s="1"/>
      <c r="C106" s="15"/>
      <c r="D106" s="17"/>
      <c r="E106" s="30"/>
      <c r="F106" s="17"/>
      <c r="G106" s="1"/>
      <c r="H106" s="1"/>
      <c r="I106" s="16"/>
      <c r="J106" s="17"/>
    </row>
    <row r="107" spans="1:10" ht="15.75" customHeight="1" x14ac:dyDescent="0.25">
      <c r="A107" s="1"/>
      <c r="B107" s="1"/>
      <c r="C107" s="15"/>
      <c r="D107" s="17"/>
      <c r="E107" s="30"/>
      <c r="F107" s="17"/>
      <c r="G107" s="1"/>
      <c r="H107" s="1"/>
      <c r="I107" s="16"/>
      <c r="J107" s="17"/>
    </row>
    <row r="108" spans="1:10" ht="15.75" customHeight="1" x14ac:dyDescent="0.25">
      <c r="A108" s="1"/>
      <c r="B108" s="1"/>
      <c r="C108" s="15"/>
      <c r="D108" s="17"/>
      <c r="E108" s="30"/>
      <c r="F108" s="17"/>
      <c r="G108" s="1"/>
      <c r="H108" s="1"/>
      <c r="I108" s="16"/>
      <c r="J108" s="17"/>
    </row>
    <row r="109" spans="1:10" ht="15.75" customHeight="1" x14ac:dyDescent="0.25">
      <c r="A109" s="1"/>
      <c r="B109" s="1"/>
      <c r="C109" s="15"/>
      <c r="D109" s="17"/>
      <c r="E109" s="30"/>
      <c r="F109" s="17"/>
      <c r="G109" s="1"/>
      <c r="H109" s="1"/>
      <c r="I109" s="16"/>
      <c r="J109" s="17"/>
    </row>
    <row r="110" spans="1:10" ht="15.75" customHeight="1" x14ac:dyDescent="0.25">
      <c r="A110" s="1"/>
      <c r="B110" s="1"/>
      <c r="C110" s="15"/>
      <c r="D110" s="17"/>
      <c r="E110" s="30"/>
      <c r="F110" s="17"/>
      <c r="G110" s="1"/>
      <c r="H110" s="1"/>
      <c r="I110" s="16"/>
      <c r="J110" s="17"/>
    </row>
    <row r="111" spans="1:10" ht="15.75" customHeight="1" x14ac:dyDescent="0.25">
      <c r="A111" s="1"/>
      <c r="B111" s="1"/>
      <c r="C111" s="15"/>
      <c r="D111" s="17"/>
      <c r="E111" s="30"/>
      <c r="F111" s="17"/>
      <c r="G111" s="1"/>
      <c r="H111" s="1"/>
      <c r="I111" s="16"/>
      <c r="J111" s="17"/>
    </row>
    <row r="112" spans="1:10" ht="15.75" customHeight="1" x14ac:dyDescent="0.25">
      <c r="A112" s="1"/>
      <c r="B112" s="1"/>
      <c r="C112" s="15"/>
      <c r="D112" s="17"/>
      <c r="E112" s="30"/>
      <c r="F112" s="17"/>
      <c r="G112" s="1"/>
      <c r="H112" s="1"/>
      <c r="I112" s="16"/>
      <c r="J112" s="17"/>
    </row>
    <row r="113" spans="1:10" ht="15.75" customHeight="1" x14ac:dyDescent="0.25">
      <c r="A113" s="1"/>
      <c r="B113" s="1"/>
      <c r="C113" s="15"/>
      <c r="D113" s="17"/>
      <c r="E113" s="30"/>
      <c r="F113" s="17"/>
      <c r="G113" s="1"/>
      <c r="H113" s="1"/>
      <c r="I113" s="16"/>
      <c r="J113" s="17"/>
    </row>
    <row r="114" spans="1:10" ht="15.75" customHeight="1" x14ac:dyDescent="0.25">
      <c r="A114" s="1"/>
      <c r="B114" s="1"/>
      <c r="C114" s="15"/>
      <c r="D114" s="17"/>
      <c r="E114" s="30"/>
      <c r="F114" s="17"/>
      <c r="G114" s="1"/>
      <c r="H114" s="1"/>
      <c r="I114" s="16"/>
      <c r="J114" s="17"/>
    </row>
    <row r="115" spans="1:10" ht="15.75" customHeight="1" x14ac:dyDescent="0.25">
      <c r="A115" s="1"/>
      <c r="B115" s="1"/>
      <c r="C115" s="15"/>
      <c r="D115" s="17"/>
      <c r="E115" s="30"/>
      <c r="F115" s="17"/>
      <c r="G115" s="1"/>
      <c r="H115" s="1"/>
      <c r="I115" s="16"/>
      <c r="J115" s="17"/>
    </row>
    <row r="116" spans="1:10" ht="15.75" customHeight="1" x14ac:dyDescent="0.25">
      <c r="A116" s="1"/>
      <c r="B116" s="1"/>
      <c r="C116" s="15"/>
      <c r="D116" s="17"/>
      <c r="E116" s="30"/>
      <c r="F116" s="17"/>
      <c r="G116" s="1"/>
      <c r="H116" s="1"/>
      <c r="I116" s="16"/>
      <c r="J116" s="17"/>
    </row>
    <row r="117" spans="1:10" ht="15.75" customHeight="1" x14ac:dyDescent="0.25">
      <c r="A117" s="1"/>
      <c r="B117" s="1"/>
      <c r="C117" s="15"/>
      <c r="D117" s="17"/>
      <c r="E117" s="30"/>
      <c r="F117" s="17"/>
      <c r="G117" s="1"/>
      <c r="H117" s="1"/>
      <c r="I117" s="16"/>
      <c r="J117" s="17"/>
    </row>
    <row r="118" spans="1:10" ht="15.75" customHeight="1" x14ac:dyDescent="0.25">
      <c r="A118" s="1"/>
      <c r="B118" s="1"/>
      <c r="C118" s="15"/>
      <c r="D118" s="17"/>
      <c r="E118" s="30"/>
      <c r="F118" s="17"/>
      <c r="G118" s="1"/>
      <c r="H118" s="1"/>
      <c r="I118" s="16"/>
      <c r="J118" s="17"/>
    </row>
    <row r="119" spans="1:10" ht="15.75" customHeight="1" x14ac:dyDescent="0.25">
      <c r="A119" s="1"/>
      <c r="B119" s="1"/>
      <c r="C119" s="15"/>
      <c r="D119" s="17"/>
      <c r="E119" s="30"/>
      <c r="F119" s="17"/>
      <c r="G119" s="1"/>
      <c r="H119" s="1"/>
      <c r="I119" s="16"/>
      <c r="J119" s="17"/>
    </row>
    <row r="120" spans="1:10" ht="15.75" customHeight="1" x14ac:dyDescent="0.25">
      <c r="A120" s="1"/>
      <c r="B120" s="1"/>
      <c r="C120" s="15"/>
      <c r="D120" s="17"/>
      <c r="E120" s="30"/>
      <c r="F120" s="17"/>
      <c r="G120" s="1"/>
      <c r="H120" s="1"/>
      <c r="I120" s="16"/>
      <c r="J120" s="17"/>
    </row>
    <row r="121" spans="1:10" ht="15.75" customHeight="1" x14ac:dyDescent="0.25">
      <c r="A121" s="1"/>
      <c r="B121" s="1"/>
      <c r="C121" s="15"/>
      <c r="D121" s="17"/>
      <c r="E121" s="30"/>
      <c r="F121" s="17"/>
      <c r="G121" s="1"/>
      <c r="H121" s="1"/>
      <c r="I121" s="16"/>
      <c r="J121" s="17"/>
    </row>
    <row r="122" spans="1:10" ht="15.75" customHeight="1" x14ac:dyDescent="0.25">
      <c r="A122" s="1"/>
      <c r="B122" s="1"/>
      <c r="C122" s="15"/>
      <c r="D122" s="17"/>
      <c r="E122" s="30"/>
      <c r="F122" s="17"/>
      <c r="G122" s="1"/>
      <c r="H122" s="1"/>
      <c r="I122" s="16"/>
      <c r="J122" s="17"/>
    </row>
    <row r="123" spans="1:10" ht="15.75" customHeight="1" x14ac:dyDescent="0.25">
      <c r="A123" s="1"/>
      <c r="B123" s="1"/>
      <c r="C123" s="15"/>
      <c r="D123" s="17"/>
      <c r="E123" s="30"/>
      <c r="F123" s="17"/>
      <c r="G123" s="1"/>
      <c r="H123" s="1"/>
      <c r="I123" s="16"/>
      <c r="J123" s="17"/>
    </row>
    <row r="124" spans="1:10" ht="15.75" customHeight="1" x14ac:dyDescent="0.25">
      <c r="A124" s="1"/>
      <c r="B124" s="1"/>
      <c r="C124" s="15"/>
      <c r="D124" s="17"/>
      <c r="E124" s="30"/>
      <c r="F124" s="17"/>
      <c r="G124" s="1"/>
      <c r="H124" s="1"/>
      <c r="I124" s="16"/>
      <c r="J124" s="17"/>
    </row>
    <row r="125" spans="1:10" ht="15.75" customHeight="1" x14ac:dyDescent="0.25">
      <c r="A125" s="1"/>
      <c r="B125" s="1"/>
      <c r="C125" s="15"/>
      <c r="D125" s="17"/>
      <c r="E125" s="30"/>
      <c r="F125" s="17"/>
      <c r="G125" s="1"/>
      <c r="H125" s="1"/>
      <c r="I125" s="16"/>
      <c r="J125" s="17"/>
    </row>
    <row r="126" spans="1:10" ht="15.75" customHeight="1" x14ac:dyDescent="0.25">
      <c r="A126" s="1"/>
      <c r="B126" s="1"/>
      <c r="C126" s="15"/>
      <c r="D126" s="17"/>
      <c r="E126" s="30"/>
      <c r="F126" s="17"/>
      <c r="G126" s="1"/>
      <c r="H126" s="1"/>
      <c r="I126" s="16"/>
      <c r="J126" s="17"/>
    </row>
    <row r="127" spans="1:10" ht="15.75" customHeight="1" x14ac:dyDescent="0.25">
      <c r="A127" s="1"/>
      <c r="B127" s="1"/>
      <c r="C127" s="15"/>
      <c r="D127" s="17"/>
      <c r="E127" s="30"/>
      <c r="F127" s="17"/>
      <c r="G127" s="1"/>
      <c r="H127" s="1"/>
      <c r="I127" s="16"/>
      <c r="J127" s="17"/>
    </row>
    <row r="128" spans="1:10" ht="15.75" customHeight="1" x14ac:dyDescent="0.25">
      <c r="A128" s="1"/>
      <c r="B128" s="1"/>
      <c r="C128" s="15"/>
      <c r="D128" s="17"/>
      <c r="E128" s="30"/>
      <c r="F128" s="17"/>
      <c r="G128" s="1"/>
      <c r="H128" s="1"/>
      <c r="I128" s="16"/>
      <c r="J128" s="17"/>
    </row>
    <row r="129" spans="1:10" ht="15.75" customHeight="1" x14ac:dyDescent="0.25">
      <c r="A129" s="1"/>
      <c r="B129" s="1"/>
      <c r="C129" s="15"/>
      <c r="D129" s="17"/>
      <c r="E129" s="30"/>
      <c r="F129" s="17"/>
      <c r="G129" s="1"/>
      <c r="H129" s="1"/>
      <c r="I129" s="16"/>
      <c r="J129" s="17"/>
    </row>
    <row r="130" spans="1:10" ht="15.75" customHeight="1" x14ac:dyDescent="0.25">
      <c r="A130" s="1"/>
      <c r="B130" s="1"/>
      <c r="C130" s="15"/>
      <c r="D130" s="17"/>
      <c r="E130" s="30"/>
      <c r="F130" s="17"/>
      <c r="G130" s="1"/>
      <c r="H130" s="1"/>
      <c r="I130" s="16"/>
      <c r="J130" s="17"/>
    </row>
    <row r="131" spans="1:10" ht="15.75" customHeight="1" x14ac:dyDescent="0.25">
      <c r="A131" s="1"/>
      <c r="B131" s="1"/>
      <c r="C131" s="15"/>
      <c r="D131" s="17"/>
      <c r="E131" s="30"/>
      <c r="F131" s="17"/>
      <c r="G131" s="1"/>
      <c r="H131" s="1"/>
      <c r="I131" s="16"/>
      <c r="J131" s="17"/>
    </row>
    <row r="132" spans="1:10" ht="15.75" customHeight="1" x14ac:dyDescent="0.25">
      <c r="A132" s="1"/>
      <c r="B132" s="1"/>
      <c r="C132" s="15"/>
      <c r="D132" s="17"/>
      <c r="E132" s="30"/>
      <c r="F132" s="17"/>
      <c r="G132" s="1"/>
      <c r="H132" s="1"/>
      <c r="I132" s="16"/>
      <c r="J132" s="17"/>
    </row>
    <row r="133" spans="1:10" ht="15.75" customHeight="1" x14ac:dyDescent="0.25">
      <c r="A133" s="1"/>
      <c r="B133" s="1"/>
      <c r="C133" s="15"/>
      <c r="D133" s="17"/>
      <c r="E133" s="30"/>
      <c r="F133" s="17"/>
      <c r="G133" s="1"/>
      <c r="H133" s="1"/>
      <c r="I133" s="16"/>
      <c r="J133" s="17"/>
    </row>
    <row r="134" spans="1:10" ht="15.75" customHeight="1" x14ac:dyDescent="0.25">
      <c r="A134" s="1"/>
      <c r="B134" s="1"/>
      <c r="C134" s="15"/>
      <c r="D134" s="17"/>
      <c r="E134" s="30"/>
      <c r="F134" s="17"/>
      <c r="G134" s="1"/>
      <c r="H134" s="1"/>
      <c r="I134" s="16"/>
      <c r="J134" s="17"/>
    </row>
    <row r="135" spans="1:10" ht="15.75" customHeight="1" x14ac:dyDescent="0.25">
      <c r="A135" s="1"/>
      <c r="B135" s="1"/>
      <c r="C135" s="15"/>
      <c r="D135" s="17"/>
      <c r="E135" s="30"/>
      <c r="F135" s="17"/>
      <c r="G135" s="1"/>
      <c r="H135" s="1"/>
      <c r="I135" s="16"/>
      <c r="J135" s="17"/>
    </row>
    <row r="136" spans="1:10" ht="15.75" customHeight="1" x14ac:dyDescent="0.25">
      <c r="A136" s="1"/>
      <c r="B136" s="1"/>
      <c r="C136" s="15"/>
      <c r="D136" s="17"/>
      <c r="E136" s="30"/>
      <c r="F136" s="17"/>
      <c r="G136" s="1"/>
      <c r="H136" s="1"/>
      <c r="I136" s="16"/>
      <c r="J136" s="17"/>
    </row>
    <row r="137" spans="1:10" ht="15.75" customHeight="1" x14ac:dyDescent="0.25">
      <c r="A137" s="1"/>
      <c r="B137" s="1"/>
      <c r="C137" s="15"/>
      <c r="D137" s="17"/>
      <c r="E137" s="30"/>
      <c r="F137" s="17"/>
      <c r="G137" s="1"/>
      <c r="H137" s="1"/>
      <c r="I137" s="16"/>
      <c r="J137" s="17"/>
    </row>
    <row r="138" spans="1:10" ht="15.75" customHeight="1" x14ac:dyDescent="0.25">
      <c r="A138" s="1"/>
      <c r="B138" s="1"/>
      <c r="C138" s="15"/>
      <c r="D138" s="17"/>
      <c r="E138" s="30"/>
      <c r="F138" s="17"/>
      <c r="G138" s="1"/>
      <c r="H138" s="1"/>
      <c r="I138" s="16"/>
      <c r="J138" s="17"/>
    </row>
    <row r="139" spans="1:10" ht="15.75" customHeight="1" x14ac:dyDescent="0.25">
      <c r="A139" s="1"/>
      <c r="B139" s="1"/>
      <c r="C139" s="15"/>
      <c r="D139" s="17"/>
      <c r="E139" s="30"/>
      <c r="F139" s="17"/>
      <c r="G139" s="1"/>
      <c r="H139" s="1"/>
      <c r="I139" s="16"/>
      <c r="J139" s="17"/>
    </row>
    <row r="140" spans="1:10" ht="15.75" customHeight="1" x14ac:dyDescent="0.25">
      <c r="A140" s="1"/>
      <c r="B140" s="1"/>
      <c r="C140" s="15"/>
      <c r="D140" s="17"/>
      <c r="E140" s="30"/>
      <c r="F140" s="17"/>
      <c r="G140" s="1"/>
      <c r="H140" s="1"/>
      <c r="I140" s="16"/>
      <c r="J140" s="17"/>
    </row>
    <row r="141" spans="1:10" ht="15.75" customHeight="1" x14ac:dyDescent="0.25">
      <c r="A141" s="1"/>
      <c r="B141" s="1"/>
      <c r="C141" s="15"/>
      <c r="D141" s="17"/>
      <c r="E141" s="30"/>
      <c r="F141" s="17"/>
      <c r="G141" s="1"/>
      <c r="H141" s="1"/>
      <c r="I141" s="16"/>
      <c r="J141" s="17"/>
    </row>
    <row r="142" spans="1:10" ht="15.75" customHeight="1" x14ac:dyDescent="0.25">
      <c r="A142" s="1"/>
      <c r="B142" s="1"/>
      <c r="C142" s="15"/>
      <c r="D142" s="17"/>
      <c r="E142" s="30"/>
      <c r="F142" s="17"/>
      <c r="G142" s="1"/>
      <c r="H142" s="1"/>
      <c r="I142" s="16"/>
      <c r="J142" s="17"/>
    </row>
    <row r="143" spans="1:10" ht="15.75" customHeight="1" x14ac:dyDescent="0.25">
      <c r="A143" s="1"/>
      <c r="B143" s="1"/>
      <c r="C143" s="15"/>
      <c r="D143" s="17"/>
      <c r="E143" s="30"/>
      <c r="F143" s="17"/>
      <c r="G143" s="1"/>
      <c r="H143" s="1"/>
      <c r="I143" s="16"/>
      <c r="J143" s="17"/>
    </row>
    <row r="144" spans="1:10" ht="15.75" customHeight="1" x14ac:dyDescent="0.25">
      <c r="A144" s="1"/>
      <c r="B144" s="1"/>
      <c r="C144" s="15"/>
      <c r="D144" s="17"/>
      <c r="E144" s="30"/>
      <c r="F144" s="17"/>
      <c r="G144" s="1"/>
      <c r="H144" s="1"/>
      <c r="I144" s="16"/>
      <c r="J144" s="17"/>
    </row>
    <row r="145" spans="1:10" ht="15.75" customHeight="1" x14ac:dyDescent="0.25">
      <c r="A145" s="1"/>
      <c r="B145" s="1"/>
      <c r="C145" s="15"/>
      <c r="D145" s="17"/>
      <c r="E145" s="30"/>
      <c r="F145" s="17"/>
      <c r="G145" s="1"/>
      <c r="H145" s="1"/>
      <c r="I145" s="16"/>
      <c r="J145" s="17"/>
    </row>
    <row r="146" spans="1:10" ht="15.75" customHeight="1" x14ac:dyDescent="0.25">
      <c r="A146" s="1"/>
      <c r="B146" s="1"/>
      <c r="C146" s="15"/>
      <c r="D146" s="17"/>
      <c r="E146" s="30"/>
      <c r="F146" s="17"/>
      <c r="G146" s="1"/>
      <c r="H146" s="1"/>
      <c r="I146" s="16"/>
      <c r="J146" s="17"/>
    </row>
    <row r="147" spans="1:10" ht="15.75" customHeight="1" x14ac:dyDescent="0.25">
      <c r="A147" s="1"/>
      <c r="B147" s="1"/>
      <c r="C147" s="15"/>
      <c r="D147" s="17"/>
      <c r="E147" s="30"/>
      <c r="F147" s="17"/>
      <c r="G147" s="1"/>
      <c r="H147" s="1"/>
      <c r="I147" s="16"/>
      <c r="J147" s="17"/>
    </row>
    <row r="148" spans="1:10" ht="15.75" customHeight="1" x14ac:dyDescent="0.25">
      <c r="A148" s="1"/>
      <c r="B148" s="1"/>
      <c r="C148" s="15"/>
      <c r="D148" s="17"/>
      <c r="E148" s="30"/>
      <c r="F148" s="17"/>
      <c r="G148" s="1"/>
      <c r="H148" s="1"/>
      <c r="I148" s="16"/>
      <c r="J148" s="17"/>
    </row>
    <row r="149" spans="1:10" ht="15.75" customHeight="1" x14ac:dyDescent="0.25">
      <c r="A149" s="1"/>
      <c r="B149" s="1"/>
      <c r="C149" s="15"/>
      <c r="D149" s="17"/>
      <c r="E149" s="30"/>
      <c r="F149" s="17"/>
      <c r="G149" s="1"/>
      <c r="H149" s="1"/>
      <c r="I149" s="16"/>
      <c r="J149" s="17"/>
    </row>
    <row r="150" spans="1:10" ht="15.75" customHeight="1" x14ac:dyDescent="0.25">
      <c r="A150" s="1"/>
      <c r="B150" s="1"/>
      <c r="C150" s="15"/>
      <c r="D150" s="17"/>
      <c r="E150" s="30"/>
      <c r="F150" s="17"/>
      <c r="G150" s="1"/>
      <c r="H150" s="1"/>
      <c r="I150" s="16"/>
      <c r="J150" s="17"/>
    </row>
    <row r="151" spans="1:10" ht="15.75" customHeight="1" x14ac:dyDescent="0.25">
      <c r="A151" s="1"/>
      <c r="B151" s="1"/>
      <c r="C151" s="15"/>
      <c r="D151" s="17"/>
      <c r="E151" s="30"/>
      <c r="F151" s="17"/>
      <c r="G151" s="1"/>
      <c r="H151" s="1"/>
      <c r="I151" s="16"/>
      <c r="J151" s="17"/>
    </row>
    <row r="152" spans="1:10" ht="15.75" customHeight="1" x14ac:dyDescent="0.25">
      <c r="A152" s="1"/>
      <c r="B152" s="1"/>
      <c r="C152" s="15"/>
      <c r="D152" s="17"/>
      <c r="E152" s="30"/>
      <c r="F152" s="17"/>
      <c r="G152" s="1"/>
      <c r="H152" s="1"/>
      <c r="I152" s="16"/>
      <c r="J152" s="17"/>
    </row>
    <row r="153" spans="1:10" ht="15.75" customHeight="1" x14ac:dyDescent="0.25">
      <c r="A153" s="1"/>
      <c r="B153" s="1"/>
      <c r="C153" s="15"/>
      <c r="D153" s="17"/>
      <c r="E153" s="30"/>
      <c r="F153" s="17"/>
      <c r="G153" s="1"/>
      <c r="H153" s="1"/>
      <c r="I153" s="16"/>
      <c r="J153" s="17"/>
    </row>
    <row r="154" spans="1:10" ht="15.75" customHeight="1" x14ac:dyDescent="0.25">
      <c r="A154" s="1"/>
      <c r="B154" s="1"/>
      <c r="C154" s="15"/>
      <c r="D154" s="17"/>
      <c r="E154" s="30"/>
      <c r="F154" s="17"/>
      <c r="G154" s="1"/>
      <c r="H154" s="1"/>
      <c r="I154" s="16"/>
      <c r="J154" s="17"/>
    </row>
    <row r="155" spans="1:10" ht="15.75" customHeight="1" x14ac:dyDescent="0.25">
      <c r="A155" s="1"/>
      <c r="B155" s="1"/>
      <c r="C155" s="15"/>
      <c r="D155" s="17"/>
      <c r="E155" s="30"/>
      <c r="F155" s="17"/>
      <c r="G155" s="1"/>
      <c r="H155" s="1"/>
      <c r="I155" s="16"/>
      <c r="J155" s="17"/>
    </row>
    <row r="156" spans="1:10" ht="15.75" customHeight="1" x14ac:dyDescent="0.25">
      <c r="A156" s="1"/>
      <c r="B156" s="1"/>
      <c r="C156" s="15"/>
      <c r="D156" s="17"/>
      <c r="E156" s="30"/>
      <c r="F156" s="17"/>
      <c r="G156" s="1"/>
      <c r="H156" s="1"/>
      <c r="I156" s="16"/>
      <c r="J156" s="17"/>
    </row>
    <row r="157" spans="1:10" ht="15.75" customHeight="1" x14ac:dyDescent="0.25">
      <c r="A157" s="1"/>
      <c r="B157" s="1"/>
      <c r="C157" s="15"/>
      <c r="D157" s="17"/>
      <c r="E157" s="30"/>
      <c r="F157" s="17"/>
      <c r="G157" s="1"/>
      <c r="H157" s="1"/>
      <c r="I157" s="16"/>
      <c r="J157" s="17"/>
    </row>
    <row r="158" spans="1:10" ht="15.75" customHeight="1" x14ac:dyDescent="0.25">
      <c r="A158" s="1"/>
      <c r="B158" s="1"/>
      <c r="C158" s="15"/>
      <c r="D158" s="17"/>
      <c r="E158" s="30"/>
      <c r="F158" s="17"/>
      <c r="G158" s="1"/>
      <c r="H158" s="1"/>
      <c r="I158" s="16"/>
      <c r="J158" s="17"/>
    </row>
    <row r="159" spans="1:10" ht="15.75" customHeight="1" x14ac:dyDescent="0.25">
      <c r="A159" s="1"/>
      <c r="B159" s="1"/>
      <c r="C159" s="15"/>
      <c r="D159" s="17"/>
      <c r="E159" s="30"/>
      <c r="F159" s="17"/>
      <c r="G159" s="1"/>
      <c r="H159" s="1"/>
      <c r="I159" s="16"/>
      <c r="J159" s="17"/>
    </row>
    <row r="160" spans="1:10" ht="15.75" customHeight="1" x14ac:dyDescent="0.25">
      <c r="A160" s="1"/>
      <c r="B160" s="1"/>
      <c r="C160" s="15"/>
      <c r="D160" s="17"/>
      <c r="E160" s="30"/>
      <c r="F160" s="17"/>
      <c r="G160" s="1"/>
      <c r="H160" s="1"/>
      <c r="I160" s="16"/>
      <c r="J160" s="17"/>
    </row>
    <row r="161" spans="1:10" ht="15.75" customHeight="1" x14ac:dyDescent="0.25">
      <c r="A161" s="1"/>
      <c r="B161" s="1"/>
      <c r="C161" s="15"/>
      <c r="D161" s="17"/>
      <c r="E161" s="30"/>
      <c r="F161" s="17"/>
      <c r="G161" s="1"/>
      <c r="H161" s="1"/>
      <c r="I161" s="16"/>
      <c r="J161" s="17"/>
    </row>
    <row r="162" spans="1:10" ht="15.75" customHeight="1" x14ac:dyDescent="0.25">
      <c r="A162" s="1"/>
      <c r="B162" s="1"/>
      <c r="C162" s="15"/>
      <c r="D162" s="17"/>
      <c r="E162" s="30"/>
      <c r="F162" s="17"/>
      <c r="G162" s="1"/>
      <c r="H162" s="1"/>
      <c r="I162" s="16"/>
      <c r="J162" s="17"/>
    </row>
    <row r="163" spans="1:10" ht="15.75" customHeight="1" x14ac:dyDescent="0.25">
      <c r="A163" s="1"/>
      <c r="B163" s="1"/>
      <c r="C163" s="15"/>
      <c r="D163" s="17"/>
      <c r="E163" s="30"/>
      <c r="F163" s="17"/>
      <c r="G163" s="1"/>
      <c r="H163" s="1"/>
      <c r="I163" s="16"/>
      <c r="J163" s="17"/>
    </row>
    <row r="164" spans="1:10" ht="15.75" customHeight="1" x14ac:dyDescent="0.25">
      <c r="A164" s="1"/>
      <c r="B164" s="1"/>
      <c r="C164" s="15"/>
      <c r="D164" s="17"/>
      <c r="E164" s="30"/>
      <c r="F164" s="17"/>
      <c r="G164" s="1"/>
      <c r="H164" s="1"/>
      <c r="I164" s="16"/>
      <c r="J164" s="17"/>
    </row>
    <row r="165" spans="1:10" ht="15.75" customHeight="1" x14ac:dyDescent="0.25">
      <c r="A165" s="1"/>
      <c r="B165" s="1"/>
      <c r="C165" s="15"/>
      <c r="D165" s="17"/>
      <c r="E165" s="30"/>
      <c r="F165" s="17"/>
      <c r="G165" s="1"/>
      <c r="H165" s="1"/>
      <c r="I165" s="16"/>
      <c r="J165" s="17"/>
    </row>
    <row r="166" spans="1:10" ht="15.75" customHeight="1" x14ac:dyDescent="0.25">
      <c r="A166" s="1"/>
      <c r="B166" s="1"/>
      <c r="C166" s="15"/>
      <c r="D166" s="17"/>
      <c r="E166" s="30"/>
      <c r="F166" s="17"/>
      <c r="G166" s="1"/>
      <c r="H166" s="1"/>
      <c r="I166" s="16"/>
      <c r="J166" s="17"/>
    </row>
    <row r="167" spans="1:10" ht="15.75" customHeight="1" x14ac:dyDescent="0.25">
      <c r="A167" s="1"/>
      <c r="B167" s="1"/>
      <c r="C167" s="15"/>
      <c r="D167" s="17"/>
      <c r="E167" s="30"/>
      <c r="F167" s="17"/>
      <c r="G167" s="1"/>
      <c r="H167" s="1"/>
      <c r="I167" s="16"/>
      <c r="J167" s="17"/>
    </row>
    <row r="168" spans="1:10" ht="15.75" customHeight="1" x14ac:dyDescent="0.25">
      <c r="A168" s="1"/>
      <c r="B168" s="1"/>
      <c r="C168" s="15"/>
      <c r="D168" s="17"/>
      <c r="E168" s="30"/>
      <c r="F168" s="17"/>
      <c r="G168" s="1"/>
      <c r="H168" s="1"/>
      <c r="I168" s="16"/>
      <c r="J168" s="17"/>
    </row>
    <row r="169" spans="1:10" ht="15.75" customHeight="1" x14ac:dyDescent="0.25">
      <c r="A169" s="1"/>
      <c r="B169" s="1"/>
      <c r="C169" s="15"/>
      <c r="D169" s="17"/>
      <c r="E169" s="30"/>
      <c r="F169" s="17"/>
      <c r="G169" s="1"/>
      <c r="H169" s="1"/>
      <c r="I169" s="16"/>
      <c r="J169" s="17"/>
    </row>
    <row r="170" spans="1:10" ht="15.75" customHeight="1" x14ac:dyDescent="0.25">
      <c r="A170" s="1"/>
      <c r="B170" s="1"/>
      <c r="C170" s="15"/>
      <c r="D170" s="17"/>
      <c r="E170" s="30"/>
      <c r="F170" s="17"/>
      <c r="G170" s="1"/>
      <c r="H170" s="1"/>
      <c r="I170" s="16"/>
      <c r="J170" s="17"/>
    </row>
    <row r="171" spans="1:10" ht="15.75" customHeight="1" x14ac:dyDescent="0.25">
      <c r="A171" s="1"/>
      <c r="B171" s="1"/>
      <c r="C171" s="15"/>
      <c r="D171" s="17"/>
      <c r="E171" s="30"/>
      <c r="F171" s="17"/>
      <c r="G171" s="1"/>
      <c r="H171" s="1"/>
      <c r="I171" s="16"/>
      <c r="J171" s="17"/>
    </row>
    <row r="172" spans="1:10" ht="15.75" customHeight="1" x14ac:dyDescent="0.25">
      <c r="A172" s="1"/>
      <c r="B172" s="1"/>
      <c r="C172" s="15"/>
      <c r="D172" s="17"/>
      <c r="E172" s="30"/>
      <c r="F172" s="17"/>
      <c r="G172" s="1"/>
      <c r="H172" s="1"/>
      <c r="I172" s="16"/>
      <c r="J172" s="17"/>
    </row>
    <row r="173" spans="1:10" ht="15.75" customHeight="1" x14ac:dyDescent="0.25">
      <c r="A173" s="1"/>
      <c r="B173" s="1"/>
      <c r="C173" s="15"/>
      <c r="D173" s="17"/>
      <c r="E173" s="30"/>
      <c r="F173" s="17"/>
      <c r="G173" s="1"/>
      <c r="H173" s="1"/>
      <c r="I173" s="16"/>
      <c r="J173" s="17"/>
    </row>
    <row r="174" spans="1:10" ht="15.75" customHeight="1" x14ac:dyDescent="0.25">
      <c r="A174" s="1"/>
      <c r="B174" s="1"/>
      <c r="C174" s="15"/>
      <c r="D174" s="17"/>
      <c r="E174" s="30"/>
      <c r="F174" s="17"/>
      <c r="G174" s="1"/>
      <c r="H174" s="1"/>
      <c r="I174" s="16"/>
      <c r="J174" s="17"/>
    </row>
    <row r="175" spans="1:10" ht="15.75" customHeight="1" x14ac:dyDescent="0.25">
      <c r="A175" s="1"/>
      <c r="B175" s="1"/>
      <c r="C175" s="15"/>
      <c r="D175" s="17"/>
      <c r="E175" s="30"/>
      <c r="F175" s="17"/>
      <c r="G175" s="1"/>
      <c r="H175" s="1"/>
      <c r="I175" s="16"/>
      <c r="J175" s="17"/>
    </row>
    <row r="176" spans="1:10" ht="15.75" customHeight="1" x14ac:dyDescent="0.25">
      <c r="A176" s="1"/>
      <c r="B176" s="1"/>
      <c r="C176" s="15"/>
      <c r="D176" s="17"/>
      <c r="E176" s="30"/>
      <c r="F176" s="17"/>
      <c r="G176" s="1"/>
      <c r="H176" s="1"/>
      <c r="I176" s="16"/>
      <c r="J176" s="17"/>
    </row>
    <row r="177" spans="1:10" ht="15.75" customHeight="1" x14ac:dyDescent="0.25">
      <c r="A177" s="1"/>
      <c r="B177" s="1"/>
      <c r="C177" s="15"/>
      <c r="D177" s="17"/>
      <c r="E177" s="30"/>
      <c r="F177" s="17"/>
      <c r="G177" s="1"/>
      <c r="H177" s="1"/>
      <c r="I177" s="16"/>
      <c r="J177" s="17"/>
    </row>
    <row r="178" spans="1:10" ht="15.75" customHeight="1" x14ac:dyDescent="0.25">
      <c r="A178" s="1"/>
      <c r="B178" s="1"/>
      <c r="C178" s="15"/>
      <c r="D178" s="17"/>
      <c r="E178" s="30"/>
      <c r="F178" s="17"/>
      <c r="G178" s="1"/>
      <c r="H178" s="1"/>
      <c r="I178" s="16"/>
      <c r="J178" s="17"/>
    </row>
    <row r="179" spans="1:10" ht="15.75" customHeight="1" x14ac:dyDescent="0.25">
      <c r="A179" s="1"/>
      <c r="B179" s="1"/>
      <c r="C179" s="15"/>
      <c r="D179" s="17"/>
      <c r="E179" s="30"/>
      <c r="F179" s="17"/>
      <c r="G179" s="1"/>
      <c r="H179" s="1"/>
      <c r="I179" s="16"/>
      <c r="J179" s="17"/>
    </row>
    <row r="180" spans="1:10" ht="15.75" customHeight="1" x14ac:dyDescent="0.25">
      <c r="A180" s="1"/>
      <c r="B180" s="1"/>
      <c r="C180" s="15"/>
      <c r="D180" s="17"/>
      <c r="E180" s="30"/>
      <c r="F180" s="17"/>
      <c r="G180" s="1"/>
      <c r="H180" s="1"/>
      <c r="I180" s="16"/>
      <c r="J180" s="17"/>
    </row>
    <row r="181" spans="1:10" ht="15.75" customHeight="1" x14ac:dyDescent="0.25">
      <c r="A181" s="1"/>
      <c r="B181" s="1"/>
      <c r="C181" s="15"/>
      <c r="D181" s="17"/>
      <c r="E181" s="30"/>
      <c r="F181" s="17"/>
      <c r="G181" s="1"/>
      <c r="H181" s="1"/>
      <c r="I181" s="16"/>
      <c r="J181" s="17"/>
    </row>
    <row r="182" spans="1:10" ht="15.75" customHeight="1" x14ac:dyDescent="0.25">
      <c r="A182" s="1"/>
      <c r="B182" s="1"/>
      <c r="C182" s="15"/>
      <c r="D182" s="17"/>
      <c r="E182" s="30"/>
      <c r="F182" s="17"/>
      <c r="G182" s="1"/>
      <c r="H182" s="1"/>
      <c r="I182" s="16"/>
      <c r="J182" s="17"/>
    </row>
    <row r="183" spans="1:10" ht="15.75" customHeight="1" x14ac:dyDescent="0.25">
      <c r="A183" s="1"/>
      <c r="B183" s="1"/>
      <c r="C183" s="15"/>
      <c r="D183" s="17"/>
      <c r="E183" s="30"/>
      <c r="F183" s="17"/>
      <c r="G183" s="1"/>
      <c r="H183" s="1"/>
      <c r="I183" s="16"/>
      <c r="J183" s="17"/>
    </row>
    <row r="184" spans="1:10" ht="15.75" customHeight="1" x14ac:dyDescent="0.25">
      <c r="A184" s="1"/>
      <c r="B184" s="1"/>
      <c r="C184" s="15"/>
      <c r="D184" s="17"/>
      <c r="E184" s="30"/>
      <c r="F184" s="17"/>
      <c r="G184" s="1"/>
      <c r="H184" s="1"/>
      <c r="I184" s="16"/>
      <c r="J184" s="17"/>
    </row>
    <row r="185" spans="1:10" ht="15.75" customHeight="1" x14ac:dyDescent="0.25">
      <c r="A185" s="1"/>
      <c r="B185" s="1"/>
      <c r="C185" s="15"/>
      <c r="D185" s="17"/>
      <c r="E185" s="30"/>
      <c r="F185" s="17"/>
      <c r="G185" s="1"/>
      <c r="H185" s="1"/>
      <c r="I185" s="16"/>
      <c r="J185" s="17"/>
    </row>
    <row r="186" spans="1:10" ht="15.75" customHeight="1" x14ac:dyDescent="0.25">
      <c r="A186" s="1"/>
      <c r="B186" s="1"/>
      <c r="C186" s="15"/>
      <c r="D186" s="17"/>
      <c r="E186" s="30"/>
      <c r="F186" s="17"/>
      <c r="G186" s="1"/>
      <c r="H186" s="1"/>
      <c r="I186" s="16"/>
      <c r="J186" s="17"/>
    </row>
    <row r="187" spans="1:10" ht="15.75" customHeight="1" x14ac:dyDescent="0.25">
      <c r="A187" s="1"/>
      <c r="B187" s="1"/>
      <c r="C187" s="15"/>
      <c r="D187" s="17"/>
      <c r="E187" s="30"/>
      <c r="F187" s="17"/>
      <c r="G187" s="1"/>
      <c r="H187" s="1"/>
      <c r="I187" s="16"/>
      <c r="J187" s="17"/>
    </row>
    <row r="188" spans="1:10" ht="15.75" customHeight="1" x14ac:dyDescent="0.25">
      <c r="A188" s="1"/>
      <c r="B188" s="1"/>
      <c r="C188" s="15"/>
      <c r="D188" s="17"/>
      <c r="E188" s="30"/>
      <c r="F188" s="17"/>
      <c r="G188" s="1"/>
      <c r="H188" s="1"/>
      <c r="I188" s="16"/>
      <c r="J188" s="17"/>
    </row>
    <row r="189" spans="1:10" ht="15.75" customHeight="1" x14ac:dyDescent="0.25">
      <c r="A189" s="1"/>
      <c r="B189" s="1"/>
      <c r="C189" s="15"/>
      <c r="D189" s="17"/>
      <c r="E189" s="30"/>
      <c r="F189" s="17"/>
      <c r="G189" s="1"/>
      <c r="H189" s="1"/>
      <c r="I189" s="16"/>
      <c r="J189" s="17"/>
    </row>
    <row r="190" spans="1:10" ht="15.75" customHeight="1" x14ac:dyDescent="0.25">
      <c r="A190" s="1"/>
      <c r="B190" s="1"/>
      <c r="C190" s="15"/>
      <c r="D190" s="17"/>
      <c r="E190" s="30"/>
      <c r="F190" s="17"/>
      <c r="G190" s="1"/>
      <c r="H190" s="1"/>
      <c r="I190" s="16"/>
      <c r="J190" s="17"/>
    </row>
    <row r="191" spans="1:10" ht="15.75" customHeight="1" x14ac:dyDescent="0.25">
      <c r="A191" s="1"/>
      <c r="B191" s="1"/>
      <c r="C191" s="15"/>
      <c r="D191" s="17"/>
      <c r="E191" s="30"/>
      <c r="F191" s="17"/>
      <c r="G191" s="1"/>
      <c r="H191" s="1"/>
      <c r="I191" s="16"/>
      <c r="J191" s="17"/>
    </row>
    <row r="192" spans="1:10" ht="15.75" customHeight="1" x14ac:dyDescent="0.25">
      <c r="A192" s="1"/>
      <c r="B192" s="1"/>
      <c r="C192" s="15"/>
      <c r="D192" s="17"/>
      <c r="E192" s="30"/>
      <c r="F192" s="17"/>
      <c r="G192" s="1"/>
      <c r="H192" s="1"/>
      <c r="I192" s="16"/>
      <c r="J192" s="17"/>
    </row>
    <row r="193" spans="1:10" ht="15.75" customHeight="1" x14ac:dyDescent="0.25">
      <c r="A193" s="1"/>
      <c r="B193" s="1"/>
      <c r="C193" s="15"/>
      <c r="D193" s="17"/>
      <c r="E193" s="30"/>
      <c r="F193" s="17"/>
      <c r="G193" s="1"/>
      <c r="H193" s="1"/>
      <c r="I193" s="16"/>
      <c r="J193" s="17"/>
    </row>
    <row r="194" spans="1:10" ht="15.75" customHeight="1" x14ac:dyDescent="0.25">
      <c r="A194" s="1"/>
      <c r="B194" s="1"/>
      <c r="C194" s="15"/>
      <c r="D194" s="17"/>
      <c r="E194" s="30"/>
      <c r="F194" s="17"/>
      <c r="G194" s="1"/>
      <c r="H194" s="1"/>
      <c r="I194" s="16"/>
      <c r="J194" s="17"/>
    </row>
    <row r="195" spans="1:10" ht="15.75" customHeight="1" x14ac:dyDescent="0.25">
      <c r="A195" s="1"/>
      <c r="B195" s="1"/>
      <c r="C195" s="15"/>
      <c r="D195" s="17"/>
      <c r="E195" s="30"/>
      <c r="F195" s="17"/>
      <c r="G195" s="1"/>
      <c r="H195" s="1"/>
      <c r="I195" s="16"/>
      <c r="J195" s="17"/>
    </row>
    <row r="196" spans="1:10" ht="15.75" customHeight="1" x14ac:dyDescent="0.25">
      <c r="A196" s="1"/>
      <c r="B196" s="1"/>
      <c r="C196" s="15"/>
      <c r="D196" s="17"/>
      <c r="E196" s="30"/>
      <c r="F196" s="17"/>
      <c r="G196" s="1"/>
      <c r="H196" s="1"/>
      <c r="I196" s="16"/>
      <c r="J196" s="17"/>
    </row>
    <row r="197" spans="1:10" ht="15.75" customHeight="1" x14ac:dyDescent="0.25">
      <c r="A197" s="1"/>
      <c r="B197" s="1"/>
      <c r="C197" s="15"/>
      <c r="D197" s="17"/>
      <c r="E197" s="30"/>
      <c r="F197" s="17"/>
      <c r="G197" s="1"/>
      <c r="H197" s="1"/>
      <c r="I197" s="16"/>
      <c r="J197" s="17"/>
    </row>
    <row r="198" spans="1:10" ht="15.75" customHeight="1" x14ac:dyDescent="0.25">
      <c r="A198" s="1"/>
      <c r="B198" s="1"/>
      <c r="C198" s="15"/>
      <c r="D198" s="17"/>
      <c r="E198" s="30"/>
      <c r="F198" s="17"/>
      <c r="G198" s="1"/>
      <c r="H198" s="1"/>
      <c r="I198" s="16"/>
      <c r="J198" s="17"/>
    </row>
    <row r="199" spans="1:10" ht="15.75" customHeight="1" x14ac:dyDescent="0.25">
      <c r="A199" s="1"/>
      <c r="B199" s="1"/>
      <c r="C199" s="15"/>
      <c r="D199" s="17"/>
      <c r="E199" s="30"/>
      <c r="F199" s="17"/>
      <c r="G199" s="1"/>
      <c r="H199" s="1"/>
      <c r="I199" s="16"/>
      <c r="J199" s="17"/>
    </row>
    <row r="200" spans="1:10" ht="15.75" customHeight="1" x14ac:dyDescent="0.25">
      <c r="A200" s="1"/>
      <c r="B200" s="1"/>
      <c r="C200" s="15"/>
      <c r="D200" s="17"/>
      <c r="E200" s="30"/>
      <c r="F200" s="17"/>
      <c r="G200" s="1"/>
      <c r="H200" s="1"/>
      <c r="I200" s="16"/>
      <c r="J200" s="17"/>
    </row>
    <row r="201" spans="1:10" ht="15.75" customHeight="1" x14ac:dyDescent="0.25">
      <c r="A201" s="1"/>
      <c r="B201" s="1"/>
      <c r="C201" s="15"/>
      <c r="D201" s="17"/>
      <c r="E201" s="30"/>
      <c r="F201" s="17"/>
      <c r="G201" s="1"/>
      <c r="H201" s="1"/>
      <c r="I201" s="16"/>
      <c r="J201" s="17"/>
    </row>
    <row r="202" spans="1:10" ht="15.75" customHeight="1" x14ac:dyDescent="0.25">
      <c r="A202" s="1"/>
      <c r="B202" s="1"/>
      <c r="C202" s="15"/>
      <c r="D202" s="17"/>
      <c r="E202" s="30"/>
      <c r="F202" s="17"/>
      <c r="G202" s="1"/>
      <c r="H202" s="1"/>
      <c r="I202" s="16"/>
      <c r="J202" s="17"/>
    </row>
    <row r="203" spans="1:10" ht="15.75" customHeight="1" x14ac:dyDescent="0.25">
      <c r="A203" s="1"/>
      <c r="B203" s="1"/>
      <c r="C203" s="15"/>
      <c r="D203" s="17"/>
      <c r="E203" s="30"/>
      <c r="F203" s="17"/>
      <c r="G203" s="1"/>
      <c r="H203" s="1"/>
      <c r="I203" s="16"/>
      <c r="J203" s="17"/>
    </row>
    <row r="204" spans="1:10" ht="15.75" customHeight="1" x14ac:dyDescent="0.25">
      <c r="A204" s="1"/>
      <c r="B204" s="1"/>
      <c r="C204" s="15"/>
      <c r="D204" s="17"/>
      <c r="E204" s="30"/>
      <c r="F204" s="17"/>
      <c r="G204" s="1"/>
      <c r="H204" s="1"/>
      <c r="I204" s="16"/>
      <c r="J204" s="17"/>
    </row>
    <row r="205" spans="1:10" ht="15.75" customHeight="1" x14ac:dyDescent="0.25">
      <c r="A205" s="1"/>
      <c r="B205" s="1"/>
      <c r="C205" s="15"/>
      <c r="D205" s="17"/>
      <c r="E205" s="30"/>
      <c r="F205" s="17"/>
      <c r="G205" s="1"/>
      <c r="H205" s="1"/>
      <c r="I205" s="16"/>
      <c r="J205" s="17"/>
    </row>
    <row r="206" spans="1:10" ht="15.75" customHeight="1" x14ac:dyDescent="0.25">
      <c r="A206" s="1"/>
      <c r="B206" s="1"/>
      <c r="C206" s="15"/>
      <c r="D206" s="17"/>
      <c r="E206" s="30"/>
      <c r="F206" s="17"/>
      <c r="G206" s="1"/>
      <c r="H206" s="1"/>
      <c r="I206" s="16"/>
      <c r="J206" s="17"/>
    </row>
    <row r="207" spans="1:10" ht="15.75" customHeight="1" x14ac:dyDescent="0.25">
      <c r="A207" s="1"/>
      <c r="B207" s="1"/>
      <c r="C207" s="15"/>
      <c r="D207" s="17"/>
      <c r="E207" s="30"/>
      <c r="F207" s="17"/>
      <c r="G207" s="1"/>
      <c r="H207" s="1"/>
      <c r="I207" s="16"/>
      <c r="J207" s="17"/>
    </row>
    <row r="208" spans="1:10" ht="15.75" customHeight="1" x14ac:dyDescent="0.25">
      <c r="A208" s="1"/>
      <c r="B208" s="1"/>
      <c r="C208" s="15"/>
      <c r="D208" s="17"/>
      <c r="E208" s="30"/>
      <c r="F208" s="17"/>
      <c r="G208" s="1"/>
      <c r="H208" s="1"/>
      <c r="I208" s="16"/>
      <c r="J208" s="17"/>
    </row>
    <row r="209" spans="1:10" ht="15.75" customHeight="1" x14ac:dyDescent="0.25">
      <c r="A209" s="1"/>
      <c r="B209" s="1"/>
      <c r="C209" s="15"/>
      <c r="D209" s="17"/>
      <c r="E209" s="30"/>
      <c r="F209" s="17"/>
      <c r="G209" s="1"/>
      <c r="H209" s="1"/>
      <c r="I209" s="16"/>
      <c r="J209" s="17"/>
    </row>
    <row r="210" spans="1:10" ht="15.75" customHeight="1" x14ac:dyDescent="0.25">
      <c r="A210" s="1"/>
      <c r="B210" s="1"/>
      <c r="C210" s="15"/>
      <c r="D210" s="17"/>
      <c r="E210" s="30"/>
      <c r="F210" s="17"/>
      <c r="G210" s="1"/>
      <c r="H210" s="1"/>
      <c r="I210" s="16"/>
      <c r="J210" s="17"/>
    </row>
    <row r="211" spans="1:10" ht="15.75" customHeight="1" x14ac:dyDescent="0.25">
      <c r="A211" s="1"/>
      <c r="B211" s="1"/>
      <c r="C211" s="15"/>
      <c r="D211" s="17"/>
      <c r="E211" s="30"/>
      <c r="F211" s="17"/>
      <c r="G211" s="1"/>
      <c r="H211" s="1"/>
      <c r="I211" s="16"/>
      <c r="J211" s="17"/>
    </row>
    <row r="212" spans="1:10" ht="15.75" customHeight="1" x14ac:dyDescent="0.25">
      <c r="A212" s="1"/>
      <c r="B212" s="1"/>
      <c r="C212" s="15"/>
      <c r="D212" s="17"/>
      <c r="E212" s="30"/>
      <c r="F212" s="17"/>
      <c r="G212" s="1"/>
      <c r="H212" s="1"/>
      <c r="I212" s="16"/>
      <c r="J212" s="17"/>
    </row>
    <row r="213" spans="1:10" ht="15.75" customHeight="1" x14ac:dyDescent="0.25">
      <c r="A213" s="1"/>
      <c r="B213" s="1"/>
      <c r="C213" s="15"/>
      <c r="D213" s="17"/>
      <c r="E213" s="30"/>
      <c r="F213" s="17"/>
      <c r="G213" s="1"/>
      <c r="H213" s="1"/>
      <c r="I213" s="16"/>
      <c r="J213" s="17"/>
    </row>
    <row r="214" spans="1:10" ht="15.75" customHeight="1" x14ac:dyDescent="0.25">
      <c r="A214" s="1"/>
      <c r="B214" s="1"/>
      <c r="C214" s="15"/>
      <c r="D214" s="17"/>
      <c r="E214" s="30"/>
      <c r="F214" s="17"/>
      <c r="G214" s="1"/>
      <c r="H214" s="1"/>
      <c r="I214" s="16"/>
      <c r="J214" s="17"/>
    </row>
    <row r="215" spans="1:10" ht="15.75" customHeight="1" x14ac:dyDescent="0.25">
      <c r="A215" s="1"/>
      <c r="B215" s="1"/>
      <c r="C215" s="15"/>
      <c r="D215" s="17"/>
      <c r="E215" s="30"/>
      <c r="F215" s="17"/>
      <c r="G215" s="1"/>
      <c r="H215" s="1"/>
      <c r="I215" s="16"/>
      <c r="J215" s="17"/>
    </row>
    <row r="216" spans="1:10" ht="15.75" customHeight="1" x14ac:dyDescent="0.25">
      <c r="A216" s="1"/>
      <c r="B216" s="1"/>
      <c r="C216" s="15"/>
      <c r="D216" s="17"/>
      <c r="E216" s="30"/>
      <c r="F216" s="17"/>
      <c r="G216" s="1"/>
      <c r="H216" s="1"/>
      <c r="I216" s="16"/>
      <c r="J216" s="17"/>
    </row>
    <row r="217" spans="1:10" ht="15.75" customHeight="1" x14ac:dyDescent="0.25">
      <c r="A217" s="1"/>
      <c r="B217" s="1"/>
      <c r="C217" s="15"/>
      <c r="D217" s="17"/>
      <c r="E217" s="30"/>
      <c r="F217" s="17"/>
      <c r="G217" s="1"/>
      <c r="H217" s="1"/>
      <c r="I217" s="16"/>
      <c r="J217" s="17"/>
    </row>
    <row r="218" spans="1:10" ht="15.75" customHeight="1" x14ac:dyDescent="0.25">
      <c r="A218" s="1"/>
      <c r="B218" s="1"/>
      <c r="C218" s="15"/>
      <c r="D218" s="17"/>
      <c r="E218" s="30"/>
      <c r="F218" s="17"/>
      <c r="G218" s="1"/>
      <c r="H218" s="1"/>
      <c r="I218" s="16"/>
      <c r="J218" s="17"/>
    </row>
    <row r="219" spans="1:10" ht="15.75" customHeight="1" x14ac:dyDescent="0.25">
      <c r="A219" s="1"/>
      <c r="B219" s="1"/>
      <c r="C219" s="15"/>
      <c r="D219" s="17"/>
      <c r="E219" s="30"/>
      <c r="F219" s="17"/>
      <c r="G219" s="1"/>
      <c r="H219" s="1"/>
      <c r="I219" s="16"/>
      <c r="J219" s="17"/>
    </row>
    <row r="220" spans="1:10" ht="15.75" customHeight="1" x14ac:dyDescent="0.25">
      <c r="A220" s="1"/>
      <c r="B220" s="1"/>
      <c r="C220" s="15"/>
      <c r="D220" s="17"/>
      <c r="E220" s="30"/>
      <c r="F220" s="17"/>
      <c r="G220" s="1"/>
      <c r="H220" s="1"/>
      <c r="I220" s="16"/>
      <c r="J220" s="17"/>
    </row>
    <row r="221" spans="1:10" ht="15.75" customHeight="1" x14ac:dyDescent="0.25">
      <c r="A221" s="1"/>
      <c r="B221" s="1"/>
      <c r="C221" s="15"/>
      <c r="D221" s="17"/>
      <c r="E221" s="30"/>
      <c r="F221" s="17"/>
      <c r="G221" s="1"/>
      <c r="H221" s="1"/>
      <c r="I221" s="16"/>
      <c r="J221" s="17"/>
    </row>
    <row r="222" spans="1:10" ht="15.75" customHeight="1" x14ac:dyDescent="0.25">
      <c r="A222" s="1"/>
      <c r="B222" s="1"/>
      <c r="C222" s="15"/>
      <c r="D222" s="17"/>
      <c r="E222" s="30"/>
      <c r="F222" s="17"/>
      <c r="G222" s="1"/>
      <c r="H222" s="1"/>
      <c r="I222" s="16"/>
      <c r="J222" s="17"/>
    </row>
    <row r="223" spans="1:10" ht="15.75" customHeight="1" x14ac:dyDescent="0.25">
      <c r="A223" s="1"/>
      <c r="B223" s="1"/>
      <c r="C223" s="15"/>
      <c r="D223" s="17"/>
      <c r="E223" s="30"/>
      <c r="F223" s="17"/>
      <c r="G223" s="1"/>
      <c r="H223" s="1"/>
      <c r="I223" s="16"/>
      <c r="J223" s="17"/>
    </row>
    <row r="224" spans="1:10" ht="15.75" customHeight="1" x14ac:dyDescent="0.25">
      <c r="A224" s="1"/>
      <c r="B224" s="1"/>
      <c r="C224" s="15"/>
      <c r="D224" s="17"/>
      <c r="E224" s="30"/>
      <c r="F224" s="17"/>
      <c r="G224" s="1"/>
      <c r="H224" s="1"/>
      <c r="I224" s="16"/>
      <c r="J224" s="17"/>
    </row>
    <row r="225" spans="1:10" ht="15.75" customHeight="1" x14ac:dyDescent="0.25">
      <c r="A225" s="1"/>
      <c r="B225" s="1"/>
      <c r="C225" s="15"/>
      <c r="D225" s="17"/>
      <c r="E225" s="30"/>
      <c r="F225" s="17"/>
      <c r="G225" s="1"/>
      <c r="H225" s="1"/>
      <c r="I225" s="16"/>
      <c r="J225" s="17"/>
    </row>
    <row r="226" spans="1:10" ht="15.75" customHeight="1" x14ac:dyDescent="0.25">
      <c r="A226" s="1"/>
      <c r="B226" s="1"/>
      <c r="C226" s="15"/>
      <c r="D226" s="17"/>
      <c r="E226" s="30"/>
      <c r="F226" s="17"/>
      <c r="G226" s="1"/>
      <c r="H226" s="1"/>
      <c r="I226" s="16"/>
      <c r="J226" s="17"/>
    </row>
    <row r="227" spans="1:10" ht="15.75" customHeight="1" x14ac:dyDescent="0.25">
      <c r="A227" s="1"/>
      <c r="B227" s="1"/>
      <c r="C227" s="15"/>
      <c r="D227" s="17"/>
      <c r="E227" s="30"/>
      <c r="F227" s="17"/>
      <c r="G227" s="1"/>
      <c r="H227" s="1"/>
      <c r="I227" s="16"/>
      <c r="J227" s="17"/>
    </row>
    <row r="228" spans="1:10" ht="15.75" customHeight="1" x14ac:dyDescent="0.25">
      <c r="A228" s="1"/>
      <c r="B228" s="1"/>
      <c r="C228" s="15"/>
      <c r="D228" s="17"/>
      <c r="E228" s="30"/>
      <c r="F228" s="17"/>
      <c r="G228" s="1"/>
      <c r="H228" s="1"/>
      <c r="I228" s="16"/>
      <c r="J228" s="17"/>
    </row>
    <row r="229" spans="1:10" ht="15.75" customHeight="1" x14ac:dyDescent="0.25">
      <c r="A229" s="1"/>
      <c r="B229" s="1"/>
      <c r="C229" s="15"/>
      <c r="D229" s="17"/>
      <c r="E229" s="30"/>
      <c r="F229" s="17"/>
      <c r="G229" s="1"/>
      <c r="H229" s="1"/>
      <c r="I229" s="16"/>
      <c r="J229" s="17"/>
    </row>
    <row r="230" spans="1:10" ht="15.75" customHeight="1" x14ac:dyDescent="0.25">
      <c r="A230" s="1"/>
      <c r="B230" s="1"/>
      <c r="C230" s="15"/>
      <c r="D230" s="17"/>
      <c r="E230" s="30"/>
      <c r="F230" s="17"/>
      <c r="G230" s="1"/>
      <c r="H230" s="1"/>
      <c r="I230" s="16"/>
      <c r="J230" s="17"/>
    </row>
    <row r="231" spans="1:10" ht="15.75" customHeight="1" x14ac:dyDescent="0.25">
      <c r="A231" s="1"/>
      <c r="B231" s="1"/>
      <c r="C231" s="15"/>
      <c r="D231" s="17"/>
      <c r="E231" s="30"/>
      <c r="F231" s="17"/>
      <c r="G231" s="1"/>
      <c r="H231" s="1"/>
      <c r="I231" s="16"/>
      <c r="J231" s="17"/>
    </row>
    <row r="232" spans="1:10" ht="15.75" customHeight="1" x14ac:dyDescent="0.25">
      <c r="A232" s="1"/>
      <c r="B232" s="1"/>
      <c r="C232" s="15"/>
      <c r="D232" s="17"/>
      <c r="E232" s="30"/>
      <c r="F232" s="17"/>
      <c r="G232" s="1"/>
      <c r="H232" s="1"/>
      <c r="I232" s="16"/>
      <c r="J232" s="17"/>
    </row>
    <row r="233" spans="1:10" ht="15.75" customHeight="1" x14ac:dyDescent="0.25">
      <c r="A233" s="1"/>
      <c r="B233" s="1"/>
      <c r="C233" s="15"/>
      <c r="D233" s="17"/>
      <c r="E233" s="30"/>
      <c r="F233" s="17"/>
      <c r="G233" s="1"/>
      <c r="H233" s="1"/>
      <c r="I233" s="16"/>
      <c r="J233" s="17"/>
    </row>
    <row r="234" spans="1:10" ht="15.75" customHeight="1" x14ac:dyDescent="0.25">
      <c r="A234" s="1"/>
      <c r="B234" s="1"/>
      <c r="C234" s="15"/>
      <c r="D234" s="17"/>
      <c r="E234" s="30"/>
      <c r="F234" s="17"/>
      <c r="G234" s="1"/>
      <c r="H234" s="1"/>
      <c r="I234" s="16"/>
      <c r="J234" s="17"/>
    </row>
    <row r="235" spans="1:10" ht="15.75" customHeight="1" x14ac:dyDescent="0.25">
      <c r="A235" s="1"/>
      <c r="B235" s="1"/>
      <c r="C235" s="15"/>
      <c r="D235" s="17"/>
      <c r="E235" s="30"/>
      <c r="F235" s="17"/>
      <c r="G235" s="1"/>
      <c r="H235" s="1"/>
      <c r="I235" s="16"/>
      <c r="J235" s="17"/>
    </row>
    <row r="236" spans="1:10" ht="15.75" customHeight="1" x14ac:dyDescent="0.25">
      <c r="A236" s="1"/>
      <c r="B236" s="1"/>
      <c r="C236" s="15"/>
      <c r="D236" s="17"/>
      <c r="E236" s="30"/>
      <c r="F236" s="17"/>
      <c r="G236" s="1"/>
      <c r="H236" s="1"/>
      <c r="I236" s="16"/>
      <c r="J236" s="17"/>
    </row>
    <row r="237" spans="1:10" ht="15.75" customHeight="1" x14ac:dyDescent="0.25">
      <c r="A237" s="1"/>
      <c r="B237" s="1"/>
      <c r="C237" s="15"/>
      <c r="D237" s="17"/>
      <c r="E237" s="30"/>
      <c r="F237" s="17"/>
      <c r="G237" s="1"/>
      <c r="H237" s="1"/>
      <c r="I237" s="16"/>
      <c r="J237" s="17"/>
    </row>
    <row r="238" spans="1:10" ht="15.75" customHeight="1" x14ac:dyDescent="0.25">
      <c r="A238" s="1"/>
      <c r="B238" s="1"/>
      <c r="C238" s="15"/>
      <c r="D238" s="17"/>
      <c r="E238" s="30"/>
      <c r="F238" s="17"/>
      <c r="G238" s="1"/>
      <c r="H238" s="1"/>
      <c r="I238" s="16"/>
      <c r="J238" s="17"/>
    </row>
    <row r="239" spans="1:10" ht="15.75" customHeight="1" x14ac:dyDescent="0.25">
      <c r="A239" s="1"/>
      <c r="B239" s="1"/>
      <c r="C239" s="15"/>
      <c r="D239" s="17"/>
      <c r="E239" s="30"/>
      <c r="F239" s="17"/>
      <c r="G239" s="1"/>
      <c r="H239" s="1"/>
      <c r="I239" s="16"/>
      <c r="J239" s="17"/>
    </row>
    <row r="240" spans="1:10" ht="15.75" customHeight="1" x14ac:dyDescent="0.25">
      <c r="A240" s="1"/>
      <c r="B240" s="1"/>
      <c r="C240" s="15"/>
      <c r="D240" s="17"/>
      <c r="E240" s="30"/>
      <c r="F240" s="17"/>
      <c r="G240" s="1"/>
      <c r="H240" s="1"/>
      <c r="I240" s="16"/>
      <c r="J240" s="17"/>
    </row>
    <row r="241" spans="1:10" ht="15.75" customHeight="1" x14ac:dyDescent="0.25">
      <c r="A241" s="1"/>
      <c r="B241" s="1"/>
      <c r="C241" s="15"/>
      <c r="D241" s="17"/>
      <c r="E241" s="30"/>
      <c r="F241" s="17"/>
      <c r="G241" s="1"/>
      <c r="H241" s="1"/>
      <c r="I241" s="16"/>
      <c r="J241" s="17"/>
    </row>
    <row r="242" spans="1:10" ht="15.75" customHeight="1" x14ac:dyDescent="0.25">
      <c r="A242" s="1"/>
      <c r="B242" s="1"/>
      <c r="C242" s="15"/>
      <c r="D242" s="17"/>
      <c r="E242" s="30"/>
      <c r="F242" s="17"/>
      <c r="G242" s="1"/>
      <c r="H242" s="1"/>
      <c r="I242" s="16"/>
      <c r="J242" s="17"/>
    </row>
    <row r="243" spans="1:10" ht="15.75" customHeight="1" x14ac:dyDescent="0.25">
      <c r="A243" s="1"/>
      <c r="B243" s="1"/>
      <c r="C243" s="15"/>
      <c r="D243" s="17"/>
      <c r="E243" s="30"/>
      <c r="F243" s="17"/>
      <c r="G243" s="1"/>
      <c r="H243" s="1"/>
      <c r="I243" s="16"/>
      <c r="J243" s="17"/>
    </row>
    <row r="244" spans="1:10" ht="15.75" customHeight="1" x14ac:dyDescent="0.25">
      <c r="A244" s="1"/>
      <c r="B244" s="1"/>
      <c r="C244" s="15"/>
      <c r="D244" s="17"/>
      <c r="E244" s="30"/>
      <c r="F244" s="17"/>
      <c r="G244" s="1"/>
      <c r="H244" s="1"/>
      <c r="I244" s="16"/>
      <c r="J244" s="17"/>
    </row>
    <row r="245" spans="1:10" ht="15.75" customHeight="1" x14ac:dyDescent="0.25">
      <c r="A245" s="1"/>
      <c r="B245" s="1"/>
      <c r="C245" s="15"/>
      <c r="D245" s="17"/>
      <c r="E245" s="30"/>
      <c r="F245" s="17"/>
      <c r="G245" s="1"/>
      <c r="H245" s="1"/>
      <c r="I245" s="16"/>
      <c r="J245" s="17"/>
    </row>
    <row r="246" spans="1:10" ht="15.75" customHeight="1" x14ac:dyDescent="0.25">
      <c r="A246" s="1"/>
      <c r="B246" s="1"/>
      <c r="C246" s="15"/>
      <c r="D246" s="17"/>
      <c r="E246" s="30"/>
      <c r="F246" s="17"/>
      <c r="G246" s="1"/>
      <c r="H246" s="1"/>
      <c r="I246" s="16"/>
      <c r="J246" s="17"/>
    </row>
    <row r="247" spans="1:10" ht="15.75" customHeight="1" x14ac:dyDescent="0.25">
      <c r="A247" s="1"/>
      <c r="B247" s="1"/>
      <c r="C247" s="15"/>
      <c r="D247" s="17"/>
      <c r="E247" s="30"/>
      <c r="F247" s="17"/>
      <c r="G247" s="1"/>
      <c r="H247" s="1"/>
      <c r="I247" s="16"/>
      <c r="J247" s="17"/>
    </row>
    <row r="248" spans="1:10" ht="15.75" customHeight="1" x14ac:dyDescent="0.25">
      <c r="A248" s="1"/>
      <c r="B248" s="1"/>
      <c r="C248" s="15"/>
      <c r="D248" s="17"/>
      <c r="E248" s="30"/>
      <c r="F248" s="17"/>
      <c r="G248" s="1"/>
      <c r="H248" s="1"/>
      <c r="I248" s="16"/>
      <c r="J248" s="17"/>
    </row>
    <row r="249" spans="1:10" ht="15.75" customHeight="1" x14ac:dyDescent="0.25">
      <c r="A249" s="1"/>
      <c r="B249" s="1"/>
      <c r="C249" s="15"/>
      <c r="D249" s="17"/>
      <c r="E249" s="30"/>
      <c r="F249" s="17"/>
      <c r="G249" s="1"/>
      <c r="H249" s="1"/>
      <c r="I249" s="16"/>
      <c r="J249" s="17"/>
    </row>
    <row r="250" spans="1:10" ht="15.75" customHeight="1" x14ac:dyDescent="0.25">
      <c r="A250" s="1"/>
      <c r="B250" s="1"/>
      <c r="C250" s="15"/>
      <c r="D250" s="17"/>
      <c r="E250" s="30"/>
      <c r="F250" s="17"/>
      <c r="G250" s="1"/>
      <c r="H250" s="1"/>
      <c r="I250" s="16"/>
      <c r="J250" s="17"/>
    </row>
    <row r="251" spans="1:10" ht="15.75" customHeight="1" x14ac:dyDescent="0.25">
      <c r="A251" s="1"/>
      <c r="B251" s="1"/>
      <c r="C251" s="15"/>
      <c r="D251" s="17"/>
      <c r="E251" s="30"/>
      <c r="F251" s="17"/>
      <c r="G251" s="1"/>
      <c r="H251" s="1"/>
      <c r="I251" s="16"/>
      <c r="J251" s="17"/>
    </row>
    <row r="252" spans="1:10" ht="15.75" customHeight="1" x14ac:dyDescent="0.25">
      <c r="A252" s="1"/>
      <c r="B252" s="1"/>
      <c r="C252" s="15"/>
      <c r="D252" s="17"/>
      <c r="E252" s="30"/>
      <c r="F252" s="17"/>
      <c r="G252" s="1"/>
      <c r="H252" s="1"/>
      <c r="I252" s="16"/>
      <c r="J252" s="17"/>
    </row>
    <row r="253" spans="1:10" ht="15.75" customHeight="1" x14ac:dyDescent="0.25">
      <c r="A253" s="1"/>
      <c r="B253" s="1"/>
      <c r="C253" s="15"/>
      <c r="D253" s="17"/>
      <c r="E253" s="30"/>
      <c r="F253" s="17"/>
      <c r="G253" s="1"/>
      <c r="H253" s="1"/>
      <c r="I253" s="16"/>
      <c r="J253" s="17"/>
    </row>
    <row r="254" spans="1:10" ht="15.75" customHeight="1" x14ac:dyDescent="0.25">
      <c r="A254" s="1"/>
      <c r="B254" s="1"/>
      <c r="C254" s="15"/>
      <c r="D254" s="17"/>
      <c r="E254" s="30"/>
      <c r="F254" s="17"/>
      <c r="G254" s="1"/>
      <c r="H254" s="1"/>
      <c r="I254" s="16"/>
      <c r="J254" s="17"/>
    </row>
    <row r="255" spans="1:10" ht="15.75" customHeight="1" x14ac:dyDescent="0.25">
      <c r="A255" s="1"/>
      <c r="B255" s="1"/>
      <c r="C255" s="15"/>
      <c r="D255" s="17"/>
      <c r="E255" s="30"/>
      <c r="F255" s="17"/>
      <c r="G255" s="1"/>
      <c r="H255" s="1"/>
      <c r="I255" s="16"/>
      <c r="J255" s="17"/>
    </row>
    <row r="256" spans="1:10" ht="15.75" customHeight="1" x14ac:dyDescent="0.25">
      <c r="A256" s="1"/>
      <c r="B256" s="1"/>
      <c r="C256" s="15"/>
      <c r="D256" s="17"/>
      <c r="E256" s="30"/>
      <c r="F256" s="17"/>
      <c r="G256" s="1"/>
      <c r="H256" s="1"/>
      <c r="I256" s="16"/>
      <c r="J256" s="17"/>
    </row>
    <row r="257" spans="1:10" ht="15.75" customHeight="1" x14ac:dyDescent="0.25">
      <c r="A257" s="1"/>
      <c r="B257" s="1"/>
      <c r="C257" s="15"/>
      <c r="D257" s="17"/>
      <c r="E257" s="30"/>
      <c r="F257" s="17"/>
      <c r="G257" s="1"/>
      <c r="H257" s="1"/>
      <c r="I257" s="16"/>
      <c r="J257" s="17"/>
    </row>
    <row r="258" spans="1:10" ht="15.75" customHeight="1" x14ac:dyDescent="0.25">
      <c r="A258" s="1"/>
      <c r="B258" s="1"/>
      <c r="C258" s="15"/>
      <c r="D258" s="17"/>
      <c r="E258" s="30"/>
      <c r="F258" s="17"/>
      <c r="G258" s="1"/>
      <c r="H258" s="1"/>
      <c r="I258" s="16"/>
      <c r="J258" s="17"/>
    </row>
    <row r="259" spans="1:10" ht="15.75" customHeight="1" x14ac:dyDescent="0.25">
      <c r="A259" s="1"/>
      <c r="B259" s="1"/>
      <c r="C259" s="15"/>
      <c r="D259" s="17"/>
      <c r="E259" s="30"/>
      <c r="F259" s="17"/>
      <c r="G259" s="1"/>
      <c r="H259" s="1"/>
      <c r="I259" s="16"/>
      <c r="J259" s="17"/>
    </row>
    <row r="260" spans="1:10" ht="15.75" customHeight="1" x14ac:dyDescent="0.25">
      <c r="A260" s="1"/>
      <c r="B260" s="1"/>
      <c r="C260" s="15"/>
      <c r="D260" s="17"/>
      <c r="E260" s="30"/>
      <c r="F260" s="17"/>
      <c r="G260" s="1"/>
      <c r="H260" s="1"/>
      <c r="I260" s="16"/>
      <c r="J260" s="17"/>
    </row>
    <row r="261" spans="1:10" ht="15.75" customHeight="1" x14ac:dyDescent="0.25">
      <c r="A261" s="1"/>
      <c r="B261" s="1"/>
      <c r="C261" s="15"/>
      <c r="D261" s="17"/>
      <c r="E261" s="30"/>
      <c r="F261" s="17"/>
      <c r="G261" s="1"/>
      <c r="H261" s="1"/>
      <c r="I261" s="16"/>
      <c r="J261" s="17"/>
    </row>
    <row r="262" spans="1:10" ht="15.75" customHeight="1" x14ac:dyDescent="0.25">
      <c r="A262" s="1"/>
      <c r="B262" s="1"/>
      <c r="C262" s="15"/>
      <c r="D262" s="17"/>
      <c r="E262" s="30"/>
      <c r="F262" s="17"/>
      <c r="G262" s="1"/>
      <c r="H262" s="1"/>
      <c r="I262" s="16"/>
      <c r="J262" s="17"/>
    </row>
    <row r="263" spans="1:10" ht="15.75" customHeight="1" x14ac:dyDescent="0.25">
      <c r="A263" s="1"/>
      <c r="B263" s="1"/>
      <c r="C263" s="15"/>
      <c r="D263" s="17"/>
      <c r="E263" s="30"/>
      <c r="F263" s="17"/>
      <c r="G263" s="1"/>
      <c r="H263" s="1"/>
      <c r="I263" s="16"/>
      <c r="J263" s="17"/>
    </row>
    <row r="264" spans="1:10" ht="15.75" customHeight="1" x14ac:dyDescent="0.25">
      <c r="A264" s="1"/>
      <c r="B264" s="1"/>
      <c r="C264" s="15"/>
      <c r="D264" s="17"/>
      <c r="E264" s="30"/>
      <c r="F264" s="17"/>
      <c r="G264" s="1"/>
      <c r="H264" s="1"/>
      <c r="I264" s="16"/>
      <c r="J264" s="17"/>
    </row>
    <row r="265" spans="1:10" ht="15.75" customHeight="1" x14ac:dyDescent="0.25">
      <c r="A265" s="1"/>
      <c r="B265" s="1"/>
      <c r="C265" s="15"/>
      <c r="D265" s="17"/>
      <c r="E265" s="30"/>
      <c r="F265" s="17"/>
      <c r="G265" s="1"/>
      <c r="H265" s="1"/>
      <c r="I265" s="16"/>
      <c r="J265" s="17"/>
    </row>
    <row r="266" spans="1:10" ht="15.75" customHeight="1" x14ac:dyDescent="0.25">
      <c r="A266" s="1"/>
      <c r="B266" s="1"/>
      <c r="C266" s="15"/>
      <c r="D266" s="17"/>
      <c r="E266" s="30"/>
      <c r="F266" s="17"/>
      <c r="G266" s="1"/>
      <c r="H266" s="1"/>
      <c r="I266" s="16"/>
      <c r="J266" s="17"/>
    </row>
    <row r="267" spans="1:10" ht="15.75" customHeight="1" x14ac:dyDescent="0.25">
      <c r="A267" s="1"/>
      <c r="B267" s="1"/>
      <c r="C267" s="15"/>
      <c r="D267" s="17"/>
      <c r="E267" s="30"/>
      <c r="F267" s="17"/>
      <c r="G267" s="1"/>
      <c r="H267" s="1"/>
      <c r="I267" s="16"/>
      <c r="J267" s="17"/>
    </row>
    <row r="268" spans="1:10" ht="15.75" customHeight="1" x14ac:dyDescent="0.25">
      <c r="A268" s="1"/>
      <c r="B268" s="1"/>
      <c r="C268" s="15"/>
      <c r="D268" s="17"/>
      <c r="E268" s="30"/>
      <c r="F268" s="17"/>
      <c r="G268" s="1"/>
      <c r="H268" s="1"/>
      <c r="I268" s="16"/>
      <c r="J268" s="17"/>
    </row>
    <row r="269" spans="1:10" ht="15.75" customHeight="1" x14ac:dyDescent="0.25">
      <c r="A269" s="1"/>
      <c r="B269" s="1"/>
      <c r="C269" s="15"/>
      <c r="D269" s="17"/>
      <c r="E269" s="30"/>
      <c r="F269" s="17"/>
      <c r="G269" s="1"/>
      <c r="H269" s="1"/>
      <c r="I269" s="16"/>
      <c r="J269" s="17"/>
    </row>
    <row r="270" spans="1:10" ht="15.75" customHeight="1" x14ac:dyDescent="0.25">
      <c r="A270" s="1"/>
      <c r="B270" s="1"/>
      <c r="C270" s="15"/>
      <c r="D270" s="17"/>
      <c r="E270" s="30"/>
      <c r="F270" s="17"/>
      <c r="G270" s="1"/>
      <c r="H270" s="1"/>
      <c r="I270" s="16"/>
      <c r="J270" s="17"/>
    </row>
    <row r="271" spans="1:10" ht="15.75" customHeight="1" x14ac:dyDescent="0.25">
      <c r="A271" s="1"/>
      <c r="B271" s="1"/>
      <c r="C271" s="15"/>
      <c r="D271" s="17"/>
      <c r="E271" s="30"/>
      <c r="F271" s="17"/>
      <c r="G271" s="1"/>
      <c r="H271" s="1"/>
      <c r="I271" s="16"/>
      <c r="J271" s="17"/>
    </row>
    <row r="272" spans="1:10" ht="15.75" customHeight="1" x14ac:dyDescent="0.25">
      <c r="A272" s="1"/>
      <c r="B272" s="1"/>
      <c r="C272" s="15"/>
      <c r="D272" s="17"/>
      <c r="E272" s="30"/>
      <c r="F272" s="17"/>
      <c r="G272" s="1"/>
      <c r="H272" s="1"/>
      <c r="I272" s="16"/>
      <c r="J272" s="17"/>
    </row>
    <row r="273" spans="1:10" ht="15.75" customHeight="1" x14ac:dyDescent="0.25">
      <c r="A273" s="1"/>
      <c r="B273" s="1"/>
      <c r="C273" s="15"/>
      <c r="D273" s="17"/>
      <c r="E273" s="30"/>
      <c r="F273" s="17"/>
      <c r="G273" s="1"/>
      <c r="H273" s="1"/>
      <c r="I273" s="16"/>
      <c r="J273" s="17"/>
    </row>
    <row r="274" spans="1:10" ht="15.75" customHeight="1" x14ac:dyDescent="0.25">
      <c r="A274" s="1"/>
      <c r="B274" s="1"/>
      <c r="C274" s="15"/>
      <c r="D274" s="17"/>
      <c r="E274" s="30"/>
      <c r="F274" s="17"/>
      <c r="G274" s="1"/>
      <c r="H274" s="1"/>
      <c r="I274" s="16"/>
      <c r="J274" s="17"/>
    </row>
    <row r="275" spans="1:10" ht="15.75" customHeight="1" x14ac:dyDescent="0.25">
      <c r="A275" s="1"/>
      <c r="B275" s="1"/>
      <c r="C275" s="15"/>
      <c r="D275" s="17"/>
      <c r="E275" s="30"/>
      <c r="F275" s="17"/>
      <c r="G275" s="1"/>
      <c r="H275" s="1"/>
      <c r="I275" s="16"/>
      <c r="J275" s="17"/>
    </row>
    <row r="276" spans="1:10" ht="15.75" customHeight="1" x14ac:dyDescent="0.25">
      <c r="A276" s="1"/>
      <c r="B276" s="1"/>
      <c r="C276" s="15"/>
      <c r="D276" s="17"/>
      <c r="E276" s="30"/>
      <c r="F276" s="17"/>
      <c r="G276" s="1"/>
      <c r="H276" s="1"/>
      <c r="I276" s="16"/>
      <c r="J276" s="17"/>
    </row>
    <row r="277" spans="1:10" ht="15.75" customHeight="1" x14ac:dyDescent="0.25">
      <c r="A277" s="1"/>
      <c r="B277" s="1"/>
      <c r="C277" s="15"/>
      <c r="D277" s="17"/>
      <c r="E277" s="30"/>
      <c r="F277" s="17"/>
      <c r="G277" s="1"/>
      <c r="H277" s="1"/>
      <c r="I277" s="16"/>
      <c r="J277" s="17"/>
    </row>
    <row r="278" spans="1:10" ht="15.75" customHeight="1" x14ac:dyDescent="0.25">
      <c r="A278" s="1"/>
      <c r="B278" s="1"/>
      <c r="C278" s="15"/>
      <c r="D278" s="17"/>
      <c r="E278" s="30"/>
      <c r="F278" s="17"/>
      <c r="G278" s="1"/>
      <c r="H278" s="1"/>
      <c r="I278" s="16"/>
      <c r="J278" s="17"/>
    </row>
    <row r="279" spans="1:10" ht="15.75" customHeight="1" x14ac:dyDescent="0.25">
      <c r="A279" s="1"/>
      <c r="B279" s="1"/>
      <c r="C279" s="15"/>
      <c r="D279" s="17"/>
      <c r="E279" s="30"/>
      <c r="F279" s="17"/>
      <c r="G279" s="1"/>
      <c r="H279" s="1"/>
      <c r="I279" s="16"/>
      <c r="J279" s="17"/>
    </row>
    <row r="280" spans="1:10" ht="15.75" customHeight="1" x14ac:dyDescent="0.25">
      <c r="A280" s="1"/>
      <c r="B280" s="1"/>
      <c r="C280" s="15"/>
      <c r="D280" s="17"/>
      <c r="E280" s="30"/>
      <c r="F280" s="17"/>
      <c r="G280" s="1"/>
      <c r="H280" s="1"/>
      <c r="I280" s="16"/>
      <c r="J280" s="17"/>
    </row>
    <row r="281" spans="1:10" ht="15.75" customHeight="1" x14ac:dyDescent="0.25">
      <c r="A281" s="1"/>
      <c r="B281" s="1"/>
      <c r="C281" s="15"/>
      <c r="D281" s="17"/>
      <c r="E281" s="30"/>
      <c r="F281" s="17"/>
      <c r="G281" s="1"/>
      <c r="H281" s="1"/>
      <c r="I281" s="16"/>
      <c r="J281" s="17"/>
    </row>
    <row r="282" spans="1:10" ht="15.75" customHeight="1" x14ac:dyDescent="0.25">
      <c r="A282" s="1"/>
      <c r="B282" s="1"/>
      <c r="C282" s="15"/>
      <c r="D282" s="17"/>
      <c r="E282" s="30"/>
      <c r="F282" s="17"/>
      <c r="G282" s="1"/>
      <c r="H282" s="1"/>
      <c r="I282" s="16"/>
      <c r="J282" s="17"/>
    </row>
    <row r="283" spans="1:10" ht="15.75" customHeight="1" x14ac:dyDescent="0.25">
      <c r="A283" s="1"/>
      <c r="B283" s="1"/>
      <c r="C283" s="15"/>
      <c r="D283" s="17"/>
      <c r="E283" s="30"/>
      <c r="F283" s="17"/>
      <c r="G283" s="1"/>
      <c r="H283" s="1"/>
      <c r="I283" s="16"/>
      <c r="J283" s="17"/>
    </row>
    <row r="284" spans="1:10" ht="15.75" customHeight="1" x14ac:dyDescent="0.25">
      <c r="A284" s="1"/>
      <c r="B284" s="1"/>
      <c r="C284" s="15"/>
      <c r="D284" s="17"/>
      <c r="E284" s="30"/>
      <c r="F284" s="17"/>
      <c r="G284" s="1"/>
      <c r="H284" s="1"/>
      <c r="I284" s="16"/>
      <c r="J284" s="17"/>
    </row>
    <row r="285" spans="1:10" ht="15.75" customHeight="1" x14ac:dyDescent="0.25">
      <c r="A285" s="1"/>
      <c r="B285" s="1"/>
      <c r="C285" s="15"/>
      <c r="D285" s="17"/>
      <c r="E285" s="30"/>
      <c r="F285" s="17"/>
      <c r="G285" s="1"/>
      <c r="H285" s="1"/>
      <c r="I285" s="16"/>
      <c r="J285" s="17"/>
    </row>
    <row r="286" spans="1:10" ht="15.75" customHeight="1" x14ac:dyDescent="0.25">
      <c r="A286" s="1"/>
      <c r="B286" s="1"/>
      <c r="C286" s="15"/>
      <c r="D286" s="17"/>
      <c r="E286" s="30"/>
      <c r="F286" s="17"/>
      <c r="G286" s="1"/>
      <c r="H286" s="1"/>
      <c r="I286" s="16"/>
      <c r="J286" s="17"/>
    </row>
    <row r="287" spans="1:10" ht="15.75" customHeight="1" x14ac:dyDescent="0.25">
      <c r="A287" s="1"/>
      <c r="B287" s="1"/>
      <c r="C287" s="15"/>
      <c r="D287" s="17"/>
      <c r="E287" s="30"/>
      <c r="F287" s="17"/>
      <c r="G287" s="1"/>
      <c r="H287" s="1"/>
      <c r="I287" s="16"/>
      <c r="J287" s="17"/>
    </row>
    <row r="288" spans="1:10" ht="15.75" customHeight="1" x14ac:dyDescent="0.25">
      <c r="A288" s="1"/>
      <c r="B288" s="1"/>
      <c r="C288" s="15"/>
      <c r="D288" s="17"/>
      <c r="E288" s="30"/>
      <c r="F288" s="17"/>
      <c r="G288" s="1"/>
      <c r="H288" s="1"/>
      <c r="I288" s="16"/>
      <c r="J288" s="17"/>
    </row>
    <row r="289" spans="1:10" ht="15.75" customHeight="1" x14ac:dyDescent="0.25">
      <c r="A289" s="1"/>
      <c r="B289" s="1"/>
      <c r="C289" s="15"/>
      <c r="D289" s="17"/>
      <c r="E289" s="30"/>
      <c r="F289" s="17"/>
      <c r="G289" s="1"/>
      <c r="H289" s="1"/>
      <c r="I289" s="16"/>
      <c r="J289" s="17"/>
    </row>
    <row r="290" spans="1:10" ht="15.75" customHeight="1" x14ac:dyDescent="0.25">
      <c r="A290" s="1"/>
      <c r="B290" s="1"/>
      <c r="C290" s="15"/>
      <c r="D290" s="17"/>
      <c r="E290" s="30"/>
      <c r="F290" s="17"/>
      <c r="G290" s="1"/>
      <c r="H290" s="1"/>
      <c r="I290" s="16"/>
      <c r="J290" s="17"/>
    </row>
    <row r="291" spans="1:10" ht="15.75" customHeight="1" x14ac:dyDescent="0.25">
      <c r="A291" s="1"/>
      <c r="B291" s="1"/>
      <c r="C291" s="15"/>
      <c r="D291" s="17"/>
      <c r="E291" s="30"/>
      <c r="F291" s="17"/>
      <c r="G291" s="1"/>
      <c r="H291" s="1"/>
      <c r="I291" s="16"/>
      <c r="J291" s="17"/>
    </row>
    <row r="292" spans="1:10" ht="15.75" customHeight="1" x14ac:dyDescent="0.25">
      <c r="A292" s="1"/>
      <c r="B292" s="1"/>
      <c r="C292" s="15"/>
      <c r="D292" s="17"/>
      <c r="E292" s="30"/>
      <c r="F292" s="17"/>
      <c r="G292" s="1"/>
      <c r="H292" s="1"/>
      <c r="I292" s="16"/>
      <c r="J292" s="17"/>
    </row>
    <row r="293" spans="1:10" ht="15.75" customHeight="1" x14ac:dyDescent="0.25">
      <c r="A293" s="1"/>
      <c r="B293" s="1"/>
      <c r="C293" s="15"/>
      <c r="D293" s="17"/>
      <c r="E293" s="30"/>
      <c r="F293" s="17"/>
      <c r="G293" s="1"/>
      <c r="H293" s="1"/>
      <c r="I293" s="16"/>
      <c r="J293" s="17"/>
    </row>
    <row r="294" spans="1:10" ht="15.75" customHeight="1" x14ac:dyDescent="0.25">
      <c r="A294" s="1"/>
      <c r="B294" s="1"/>
      <c r="C294" s="15"/>
      <c r="D294" s="17"/>
      <c r="E294" s="30"/>
      <c r="F294" s="17"/>
      <c r="G294" s="1"/>
      <c r="H294" s="1"/>
      <c r="I294" s="16"/>
      <c r="J294" s="17"/>
    </row>
    <row r="295" spans="1:10" ht="15.75" customHeight="1" x14ac:dyDescent="0.25">
      <c r="A295" s="1"/>
      <c r="B295" s="1"/>
      <c r="C295" s="15"/>
      <c r="D295" s="17"/>
      <c r="E295" s="30"/>
      <c r="F295" s="17"/>
      <c r="G295" s="1"/>
      <c r="H295" s="1"/>
      <c r="I295" s="16"/>
      <c r="J295" s="17"/>
    </row>
    <row r="296" spans="1:10" ht="15.75" customHeight="1" x14ac:dyDescent="0.25">
      <c r="A296" s="1"/>
      <c r="B296" s="1"/>
      <c r="C296" s="15"/>
      <c r="D296" s="17"/>
      <c r="E296" s="30"/>
      <c r="F296" s="17"/>
      <c r="G296" s="1"/>
      <c r="H296" s="1"/>
      <c r="I296" s="16"/>
      <c r="J296" s="17"/>
    </row>
    <row r="297" spans="1:10" ht="15.75" customHeight="1" x14ac:dyDescent="0.25">
      <c r="A297" s="1"/>
      <c r="B297" s="1"/>
      <c r="C297" s="15"/>
      <c r="D297" s="17"/>
      <c r="E297" s="30"/>
      <c r="F297" s="17"/>
      <c r="G297" s="1"/>
      <c r="H297" s="1"/>
      <c r="I297" s="16"/>
      <c r="J297" s="17"/>
    </row>
    <row r="298" spans="1:10" ht="15.75" customHeight="1" x14ac:dyDescent="0.25">
      <c r="A298" s="1"/>
      <c r="B298" s="1"/>
      <c r="C298" s="15"/>
      <c r="D298" s="17"/>
      <c r="E298" s="30"/>
      <c r="F298" s="17"/>
      <c r="G298" s="1"/>
      <c r="H298" s="1"/>
      <c r="I298" s="16"/>
      <c r="J298" s="17"/>
    </row>
    <row r="299" spans="1:10" ht="15.75" customHeight="1" x14ac:dyDescent="0.25">
      <c r="A299" s="1"/>
      <c r="B299" s="1"/>
      <c r="C299" s="15"/>
      <c r="D299" s="17"/>
      <c r="E299" s="30"/>
      <c r="F299" s="17"/>
      <c r="G299" s="1"/>
      <c r="H299" s="1"/>
      <c r="I299" s="16"/>
      <c r="J299" s="17"/>
    </row>
    <row r="300" spans="1:10" ht="15.75" customHeight="1" x14ac:dyDescent="0.25">
      <c r="A300" s="1"/>
      <c r="B300" s="1"/>
      <c r="C300" s="15"/>
      <c r="D300" s="17"/>
      <c r="E300" s="30"/>
      <c r="F300" s="17"/>
      <c r="G300" s="1"/>
      <c r="H300" s="1"/>
      <c r="I300" s="16"/>
      <c r="J300" s="17"/>
    </row>
    <row r="301" spans="1:10" ht="15.75" customHeight="1" x14ac:dyDescent="0.25">
      <c r="A301" s="1"/>
      <c r="B301" s="1"/>
      <c r="C301" s="15"/>
      <c r="D301" s="17"/>
      <c r="E301" s="30"/>
      <c r="F301" s="17"/>
      <c r="G301" s="1"/>
      <c r="H301" s="1"/>
      <c r="I301" s="16"/>
      <c r="J301" s="17"/>
    </row>
    <row r="302" spans="1:10" ht="15.75" customHeight="1" x14ac:dyDescent="0.25">
      <c r="A302" s="1"/>
      <c r="B302" s="1"/>
      <c r="C302" s="15"/>
      <c r="D302" s="17"/>
      <c r="E302" s="30"/>
      <c r="F302" s="17"/>
      <c r="G302" s="1"/>
      <c r="H302" s="1"/>
      <c r="I302" s="16"/>
      <c r="J302" s="17"/>
    </row>
    <row r="303" spans="1:10" ht="15.75" customHeight="1" x14ac:dyDescent="0.25">
      <c r="A303" s="1"/>
      <c r="B303" s="1"/>
      <c r="C303" s="15"/>
      <c r="D303" s="17"/>
      <c r="E303" s="30"/>
      <c r="F303" s="17"/>
      <c r="G303" s="1"/>
      <c r="H303" s="1"/>
      <c r="I303" s="16"/>
      <c r="J303" s="17"/>
    </row>
    <row r="304" spans="1:10" ht="15.75" customHeight="1" x14ac:dyDescent="0.25">
      <c r="A304" s="1"/>
      <c r="B304" s="1"/>
      <c r="C304" s="15"/>
      <c r="D304" s="17"/>
      <c r="E304" s="30"/>
      <c r="F304" s="17"/>
      <c r="G304" s="1"/>
      <c r="H304" s="1"/>
      <c r="I304" s="16"/>
      <c r="J304" s="17"/>
    </row>
    <row r="305" spans="1:10" ht="15.75" customHeight="1" x14ac:dyDescent="0.25">
      <c r="A305" s="1"/>
      <c r="B305" s="1"/>
      <c r="C305" s="15"/>
      <c r="D305" s="17"/>
      <c r="E305" s="30"/>
      <c r="F305" s="17"/>
      <c r="G305" s="1"/>
      <c r="H305" s="1"/>
      <c r="I305" s="16"/>
      <c r="J305" s="17"/>
    </row>
    <row r="306" spans="1:10" ht="15.75" customHeight="1" x14ac:dyDescent="0.25">
      <c r="A306" s="1"/>
      <c r="B306" s="1"/>
      <c r="C306" s="15"/>
      <c r="D306" s="17"/>
      <c r="E306" s="30"/>
      <c r="F306" s="17"/>
      <c r="G306" s="1"/>
      <c r="H306" s="1"/>
      <c r="I306" s="16"/>
      <c r="J306" s="17"/>
    </row>
    <row r="307" spans="1:10" ht="15.75" customHeight="1" x14ac:dyDescent="0.25">
      <c r="A307" s="1"/>
      <c r="B307" s="1"/>
      <c r="C307" s="15"/>
      <c r="D307" s="17"/>
      <c r="E307" s="30"/>
      <c r="F307" s="17"/>
      <c r="G307" s="1"/>
      <c r="H307" s="1"/>
      <c r="I307" s="16"/>
      <c r="J307" s="17"/>
    </row>
    <row r="308" spans="1:10" ht="15.75" customHeight="1" x14ac:dyDescent="0.25">
      <c r="A308" s="1"/>
      <c r="B308" s="1"/>
      <c r="C308" s="15"/>
      <c r="D308" s="17"/>
      <c r="E308" s="30"/>
      <c r="F308" s="17"/>
      <c r="G308" s="1"/>
      <c r="H308" s="1"/>
      <c r="I308" s="16"/>
      <c r="J308" s="17"/>
    </row>
    <row r="309" spans="1:10" ht="15.75" customHeight="1" x14ac:dyDescent="0.25">
      <c r="A309" s="1"/>
      <c r="B309" s="1"/>
      <c r="C309" s="15"/>
      <c r="D309" s="17"/>
      <c r="E309" s="30"/>
      <c r="F309" s="17"/>
      <c r="G309" s="1"/>
      <c r="H309" s="1"/>
      <c r="I309" s="16"/>
      <c r="J309" s="17"/>
    </row>
    <row r="310" spans="1:10" ht="15.75" customHeight="1" x14ac:dyDescent="0.25">
      <c r="A310" s="1"/>
      <c r="B310" s="1"/>
      <c r="C310" s="15"/>
      <c r="D310" s="17"/>
      <c r="E310" s="30"/>
      <c r="F310" s="17"/>
      <c r="G310" s="1"/>
      <c r="H310" s="1"/>
      <c r="I310" s="16"/>
      <c r="J310" s="17"/>
    </row>
    <row r="311" spans="1:10" ht="15.75" customHeight="1" x14ac:dyDescent="0.25">
      <c r="A311" s="1"/>
      <c r="B311" s="1"/>
      <c r="C311" s="15"/>
      <c r="D311" s="17"/>
      <c r="E311" s="30"/>
      <c r="F311" s="17"/>
      <c r="G311" s="1"/>
      <c r="H311" s="1"/>
      <c r="I311" s="16"/>
      <c r="J311" s="17"/>
    </row>
    <row r="312" spans="1:10" ht="15.75" customHeight="1" x14ac:dyDescent="0.25">
      <c r="A312" s="1"/>
      <c r="B312" s="1"/>
      <c r="C312" s="15"/>
      <c r="D312" s="17"/>
      <c r="E312" s="30"/>
      <c r="F312" s="17"/>
      <c r="G312" s="1"/>
      <c r="H312" s="1"/>
      <c r="I312" s="16"/>
      <c r="J312" s="17"/>
    </row>
    <row r="313" spans="1:10" ht="15.75" customHeight="1" x14ac:dyDescent="0.25">
      <c r="A313" s="1"/>
      <c r="B313" s="1"/>
      <c r="C313" s="15"/>
      <c r="D313" s="17"/>
      <c r="E313" s="30"/>
      <c r="F313" s="17"/>
      <c r="G313" s="1"/>
      <c r="H313" s="1"/>
      <c r="I313" s="16"/>
      <c r="J313" s="17"/>
    </row>
    <row r="314" spans="1:10" ht="15.75" customHeight="1" x14ac:dyDescent="0.25">
      <c r="A314" s="1"/>
      <c r="B314" s="1"/>
      <c r="C314" s="15"/>
      <c r="D314" s="17"/>
      <c r="E314" s="30"/>
      <c r="F314" s="17"/>
      <c r="G314" s="1"/>
      <c r="H314" s="1"/>
      <c r="I314" s="16"/>
      <c r="J314" s="17"/>
    </row>
    <row r="315" spans="1:10" ht="15.75" customHeight="1" x14ac:dyDescent="0.25">
      <c r="A315" s="1"/>
      <c r="B315" s="1"/>
      <c r="C315" s="15"/>
      <c r="D315" s="17"/>
      <c r="E315" s="30"/>
      <c r="F315" s="17"/>
      <c r="G315" s="1"/>
      <c r="H315" s="1"/>
      <c r="I315" s="16"/>
      <c r="J315" s="17"/>
    </row>
    <row r="316" spans="1:10" ht="15.75" customHeight="1" x14ac:dyDescent="0.25">
      <c r="A316" s="1"/>
      <c r="B316" s="1"/>
      <c r="C316" s="15"/>
      <c r="D316" s="17"/>
      <c r="E316" s="30"/>
      <c r="F316" s="17"/>
      <c r="G316" s="1"/>
      <c r="H316" s="1"/>
      <c r="I316" s="16"/>
      <c r="J316" s="17"/>
    </row>
    <row r="317" spans="1:10" ht="15.75" customHeight="1" x14ac:dyDescent="0.25">
      <c r="A317" s="1"/>
      <c r="B317" s="1"/>
      <c r="C317" s="15"/>
      <c r="D317" s="17"/>
      <c r="E317" s="30"/>
      <c r="F317" s="17"/>
      <c r="G317" s="1"/>
      <c r="H317" s="1"/>
      <c r="I317" s="16"/>
      <c r="J317" s="17"/>
    </row>
    <row r="318" spans="1:10" ht="15.75" customHeight="1" x14ac:dyDescent="0.25">
      <c r="A318" s="1"/>
      <c r="B318" s="1"/>
      <c r="C318" s="15"/>
      <c r="D318" s="17"/>
      <c r="E318" s="30"/>
      <c r="F318" s="17"/>
      <c r="G318" s="1"/>
      <c r="H318" s="1"/>
      <c r="I318" s="16"/>
      <c r="J318" s="17"/>
    </row>
    <row r="319" spans="1:10" ht="15.75" customHeight="1" x14ac:dyDescent="0.25">
      <c r="A319" s="1"/>
      <c r="B319" s="1"/>
      <c r="C319" s="15"/>
      <c r="D319" s="17"/>
      <c r="E319" s="30"/>
      <c r="F319" s="17"/>
      <c r="G319" s="1"/>
      <c r="H319" s="1"/>
      <c r="I319" s="16"/>
      <c r="J319" s="17"/>
    </row>
    <row r="320" spans="1:10" ht="15.75" customHeight="1" x14ac:dyDescent="0.25">
      <c r="A320" s="1"/>
      <c r="B320" s="1"/>
      <c r="C320" s="15"/>
      <c r="D320" s="17"/>
      <c r="E320" s="30"/>
      <c r="F320" s="17"/>
      <c r="G320" s="1"/>
      <c r="H320" s="1"/>
      <c r="I320" s="16"/>
      <c r="J320" s="17"/>
    </row>
    <row r="321" spans="1:10" ht="15.75" customHeight="1" x14ac:dyDescent="0.25">
      <c r="A321" s="1"/>
      <c r="B321" s="1"/>
      <c r="C321" s="15"/>
      <c r="D321" s="17"/>
      <c r="E321" s="30"/>
      <c r="F321" s="17"/>
      <c r="G321" s="1"/>
      <c r="H321" s="1"/>
      <c r="I321" s="16"/>
      <c r="J321" s="17"/>
    </row>
    <row r="322" spans="1:10" ht="15.75" customHeight="1" x14ac:dyDescent="0.25">
      <c r="A322" s="1"/>
      <c r="B322" s="1"/>
      <c r="C322" s="15"/>
      <c r="D322" s="17"/>
      <c r="E322" s="30"/>
      <c r="F322" s="17"/>
      <c r="G322" s="1"/>
      <c r="H322" s="1"/>
      <c r="I322" s="16"/>
      <c r="J322" s="17"/>
    </row>
    <row r="323" spans="1:10" ht="15.75" customHeight="1" x14ac:dyDescent="0.25">
      <c r="A323" s="1"/>
      <c r="B323" s="1"/>
      <c r="C323" s="15"/>
      <c r="D323" s="17"/>
      <c r="E323" s="30"/>
      <c r="F323" s="17"/>
      <c r="G323" s="1"/>
      <c r="H323" s="1"/>
      <c r="I323" s="16"/>
      <c r="J323" s="17"/>
    </row>
    <row r="324" spans="1:10" ht="15.75" customHeight="1" x14ac:dyDescent="0.25">
      <c r="A324" s="1"/>
      <c r="B324" s="1"/>
      <c r="C324" s="15"/>
      <c r="D324" s="17"/>
      <c r="E324" s="30"/>
      <c r="F324" s="17"/>
      <c r="G324" s="1"/>
      <c r="H324" s="1"/>
      <c r="I324" s="16"/>
      <c r="J324" s="17"/>
    </row>
    <row r="325" spans="1:10" ht="15.75" customHeight="1" x14ac:dyDescent="0.25">
      <c r="A325" s="1"/>
      <c r="B325" s="1"/>
      <c r="C325" s="15"/>
      <c r="D325" s="17"/>
      <c r="E325" s="30"/>
      <c r="F325" s="17"/>
      <c r="G325" s="1"/>
      <c r="H325" s="1"/>
      <c r="I325" s="16"/>
      <c r="J325" s="17"/>
    </row>
    <row r="326" spans="1:10" ht="15.75" customHeight="1" x14ac:dyDescent="0.25">
      <c r="A326" s="1"/>
      <c r="B326" s="1"/>
      <c r="C326" s="15"/>
      <c r="D326" s="17"/>
      <c r="E326" s="30"/>
      <c r="F326" s="17"/>
      <c r="G326" s="1"/>
      <c r="H326" s="1"/>
      <c r="I326" s="16"/>
      <c r="J326" s="17"/>
    </row>
    <row r="327" spans="1:10" ht="15.75" customHeight="1" x14ac:dyDescent="0.25">
      <c r="A327" s="1"/>
      <c r="B327" s="1"/>
      <c r="C327" s="15"/>
      <c r="D327" s="17"/>
      <c r="E327" s="30"/>
      <c r="F327" s="17"/>
      <c r="G327" s="1"/>
      <c r="H327" s="1"/>
      <c r="I327" s="16"/>
      <c r="J327" s="17"/>
    </row>
    <row r="328" spans="1:10" ht="15.75" customHeight="1" x14ac:dyDescent="0.25">
      <c r="A328" s="1"/>
      <c r="B328" s="1"/>
      <c r="C328" s="15"/>
      <c r="D328" s="17"/>
      <c r="E328" s="30"/>
      <c r="F328" s="17"/>
      <c r="G328" s="1"/>
      <c r="H328" s="1"/>
      <c r="I328" s="16"/>
      <c r="J328" s="17"/>
    </row>
    <row r="329" spans="1:10" ht="15.75" customHeight="1" x14ac:dyDescent="0.25">
      <c r="A329" s="1"/>
      <c r="B329" s="1"/>
      <c r="C329" s="15"/>
      <c r="D329" s="17"/>
      <c r="E329" s="30"/>
      <c r="F329" s="17"/>
      <c r="G329" s="1"/>
      <c r="H329" s="1"/>
      <c r="I329" s="16"/>
      <c r="J329" s="17"/>
    </row>
    <row r="330" spans="1:10" ht="15.75" customHeight="1" x14ac:dyDescent="0.25">
      <c r="A330" s="1"/>
      <c r="B330" s="1"/>
      <c r="C330" s="15"/>
      <c r="D330" s="17"/>
      <c r="E330" s="30"/>
      <c r="F330" s="17"/>
      <c r="G330" s="1"/>
      <c r="H330" s="1"/>
      <c r="I330" s="16"/>
      <c r="J330" s="17"/>
    </row>
    <row r="331" spans="1:10" ht="15.75" customHeight="1" x14ac:dyDescent="0.25">
      <c r="A331" s="1"/>
      <c r="B331" s="1"/>
      <c r="C331" s="15"/>
      <c r="D331" s="17"/>
      <c r="E331" s="30"/>
      <c r="F331" s="17"/>
      <c r="G331" s="1"/>
      <c r="H331" s="1"/>
      <c r="I331" s="16"/>
      <c r="J331" s="17"/>
    </row>
    <row r="332" spans="1:10" ht="15.75" customHeight="1" x14ac:dyDescent="0.25">
      <c r="A332" s="1"/>
      <c r="B332" s="1"/>
      <c r="C332" s="15"/>
      <c r="D332" s="17"/>
      <c r="E332" s="30"/>
      <c r="F332" s="17"/>
      <c r="G332" s="1"/>
      <c r="H332" s="1"/>
      <c r="I332" s="16"/>
      <c r="J332" s="17"/>
    </row>
    <row r="333" spans="1:10" ht="15.75" customHeight="1" x14ac:dyDescent="0.25">
      <c r="A333" s="1"/>
      <c r="B333" s="1"/>
      <c r="C333" s="15"/>
      <c r="D333" s="17"/>
      <c r="E333" s="30"/>
      <c r="F333" s="17"/>
      <c r="G333" s="1"/>
      <c r="H333" s="1"/>
      <c r="I333" s="16"/>
      <c r="J333" s="17"/>
    </row>
    <row r="334" spans="1:10" ht="15.75" customHeight="1" x14ac:dyDescent="0.25">
      <c r="A334" s="1"/>
      <c r="B334" s="1"/>
      <c r="C334" s="15"/>
      <c r="D334" s="17"/>
      <c r="E334" s="30"/>
      <c r="F334" s="17"/>
      <c r="G334" s="1"/>
      <c r="H334" s="1"/>
      <c r="I334" s="16"/>
      <c r="J334" s="17"/>
    </row>
    <row r="335" spans="1:10" ht="15.75" customHeight="1" x14ac:dyDescent="0.25">
      <c r="A335" s="1"/>
      <c r="B335" s="1"/>
      <c r="C335" s="15"/>
      <c r="D335" s="17"/>
      <c r="E335" s="30"/>
      <c r="F335" s="17"/>
      <c r="G335" s="1"/>
      <c r="H335" s="1"/>
      <c r="I335" s="16"/>
      <c r="J335" s="17"/>
    </row>
    <row r="336" spans="1:10" ht="15.75" customHeight="1" x14ac:dyDescent="0.25">
      <c r="A336" s="1"/>
      <c r="B336" s="1"/>
      <c r="C336" s="15"/>
      <c r="D336" s="17"/>
      <c r="E336" s="30"/>
      <c r="F336" s="17"/>
      <c r="G336" s="1"/>
      <c r="H336" s="1"/>
      <c r="I336" s="16"/>
      <c r="J336" s="17"/>
    </row>
    <row r="337" spans="1:10" ht="15.75" customHeight="1" x14ac:dyDescent="0.25">
      <c r="A337" s="1"/>
      <c r="B337" s="1"/>
      <c r="C337" s="15"/>
      <c r="D337" s="17"/>
      <c r="E337" s="30"/>
      <c r="F337" s="17"/>
      <c r="G337" s="1"/>
      <c r="H337" s="1"/>
      <c r="I337" s="16"/>
      <c r="J337" s="17"/>
    </row>
    <row r="338" spans="1:10" ht="15.75" customHeight="1" x14ac:dyDescent="0.25">
      <c r="A338" s="1"/>
      <c r="B338" s="1"/>
      <c r="C338" s="15"/>
      <c r="D338" s="17"/>
      <c r="E338" s="30"/>
      <c r="F338" s="17"/>
      <c r="G338" s="1"/>
      <c r="H338" s="1"/>
      <c r="I338" s="16"/>
      <c r="J338" s="17"/>
    </row>
    <row r="339" spans="1:10" ht="15.75" customHeight="1" x14ac:dyDescent="0.25">
      <c r="A339" s="1"/>
      <c r="B339" s="1"/>
      <c r="C339" s="15"/>
      <c r="D339" s="17"/>
      <c r="E339" s="30"/>
      <c r="F339" s="17"/>
      <c r="G339" s="1"/>
      <c r="H339" s="1"/>
      <c r="I339" s="16"/>
      <c r="J339" s="17"/>
    </row>
    <row r="340" spans="1:10" ht="15.75" customHeight="1" x14ac:dyDescent="0.25">
      <c r="A340" s="1"/>
      <c r="B340" s="1"/>
      <c r="C340" s="15"/>
      <c r="D340" s="17"/>
      <c r="E340" s="30"/>
      <c r="F340" s="17"/>
      <c r="G340" s="1"/>
      <c r="H340" s="1"/>
      <c r="I340" s="16"/>
      <c r="J340" s="17"/>
    </row>
    <row r="341" spans="1:10" ht="15.75" customHeight="1" x14ac:dyDescent="0.25">
      <c r="A341" s="1"/>
      <c r="B341" s="1"/>
      <c r="C341" s="15"/>
      <c r="D341" s="17"/>
      <c r="E341" s="30"/>
      <c r="F341" s="17"/>
      <c r="G341" s="1"/>
      <c r="H341" s="1"/>
      <c r="I341" s="16"/>
      <c r="J341" s="17"/>
    </row>
    <row r="342" spans="1:10" ht="15.75" customHeight="1" x14ac:dyDescent="0.25">
      <c r="A342" s="1"/>
      <c r="B342" s="1"/>
      <c r="C342" s="15"/>
      <c r="D342" s="17"/>
      <c r="E342" s="30"/>
      <c r="F342" s="17"/>
      <c r="G342" s="1"/>
      <c r="H342" s="1"/>
      <c r="I342" s="16"/>
      <c r="J342" s="17"/>
    </row>
    <row r="343" spans="1:10" ht="15.75" customHeight="1" x14ac:dyDescent="0.25">
      <c r="A343" s="1"/>
      <c r="B343" s="1"/>
      <c r="C343" s="15"/>
      <c r="D343" s="17"/>
      <c r="E343" s="30"/>
      <c r="F343" s="17"/>
      <c r="G343" s="1"/>
      <c r="H343" s="1"/>
      <c r="I343" s="16"/>
      <c r="J343" s="17"/>
    </row>
    <row r="344" spans="1:10" ht="15.75" customHeight="1" x14ac:dyDescent="0.25">
      <c r="A344" s="1"/>
      <c r="B344" s="1"/>
      <c r="C344" s="15"/>
      <c r="D344" s="17"/>
      <c r="E344" s="30"/>
      <c r="F344" s="17"/>
      <c r="G344" s="1"/>
      <c r="H344" s="1"/>
      <c r="I344" s="16"/>
      <c r="J344" s="17"/>
    </row>
    <row r="345" spans="1:10" ht="15.75" customHeight="1" x14ac:dyDescent="0.25">
      <c r="A345" s="1"/>
      <c r="B345" s="1"/>
      <c r="C345" s="15"/>
      <c r="D345" s="17"/>
      <c r="E345" s="30"/>
      <c r="F345" s="17"/>
      <c r="G345" s="1"/>
      <c r="H345" s="1"/>
      <c r="I345" s="16"/>
      <c r="J345" s="17"/>
    </row>
    <row r="346" spans="1:10" ht="15.75" customHeight="1" x14ac:dyDescent="0.25">
      <c r="A346" s="1"/>
      <c r="B346" s="1"/>
      <c r="C346" s="15"/>
      <c r="D346" s="17"/>
      <c r="E346" s="30"/>
      <c r="F346" s="17"/>
      <c r="G346" s="1"/>
      <c r="H346" s="1"/>
      <c r="I346" s="16"/>
      <c r="J346" s="17"/>
    </row>
    <row r="347" spans="1:10" ht="15.75" customHeight="1" x14ac:dyDescent="0.25">
      <c r="A347" s="1"/>
      <c r="B347" s="1"/>
      <c r="C347" s="15"/>
      <c r="D347" s="17"/>
      <c r="E347" s="30"/>
      <c r="F347" s="17"/>
      <c r="G347" s="1"/>
      <c r="H347" s="1"/>
      <c r="I347" s="16"/>
      <c r="J347" s="17"/>
    </row>
    <row r="348" spans="1:10" ht="15.75" customHeight="1" x14ac:dyDescent="0.25">
      <c r="A348" s="1"/>
      <c r="B348" s="1"/>
      <c r="C348" s="15"/>
      <c r="D348" s="17"/>
      <c r="E348" s="30"/>
      <c r="F348" s="17"/>
      <c r="G348" s="1"/>
      <c r="H348" s="1"/>
      <c r="I348" s="16"/>
      <c r="J348" s="17"/>
    </row>
    <row r="349" spans="1:10" ht="15.75" customHeight="1" x14ac:dyDescent="0.25">
      <c r="A349" s="1"/>
      <c r="B349" s="1"/>
      <c r="C349" s="15"/>
      <c r="D349" s="17"/>
      <c r="E349" s="30"/>
      <c r="F349" s="17"/>
      <c r="G349" s="1"/>
      <c r="H349" s="1"/>
      <c r="I349" s="16"/>
      <c r="J349" s="17"/>
    </row>
    <row r="350" spans="1:10" ht="15.75" customHeight="1" x14ac:dyDescent="0.25">
      <c r="A350" s="1"/>
      <c r="B350" s="1"/>
      <c r="C350" s="15"/>
      <c r="D350" s="17"/>
      <c r="E350" s="30"/>
      <c r="F350" s="17"/>
      <c r="G350" s="1"/>
      <c r="H350" s="1"/>
      <c r="I350" s="16"/>
      <c r="J350" s="17"/>
    </row>
    <row r="351" spans="1:10" ht="15.75" customHeight="1" x14ac:dyDescent="0.25">
      <c r="A351" s="1"/>
      <c r="B351" s="1"/>
      <c r="C351" s="15"/>
      <c r="D351" s="17"/>
      <c r="E351" s="30"/>
      <c r="F351" s="17"/>
      <c r="G351" s="1"/>
      <c r="H351" s="1"/>
      <c r="I351" s="16"/>
      <c r="J351" s="17"/>
    </row>
    <row r="352" spans="1:10" ht="15.75" customHeight="1" x14ac:dyDescent="0.25">
      <c r="A352" s="1"/>
      <c r="B352" s="1"/>
      <c r="C352" s="15"/>
      <c r="D352" s="17"/>
      <c r="E352" s="30"/>
      <c r="F352" s="17"/>
      <c r="G352" s="1"/>
      <c r="H352" s="1"/>
      <c r="I352" s="16"/>
      <c r="J352" s="17"/>
    </row>
    <row r="353" spans="1:10" ht="15.75" customHeight="1" x14ac:dyDescent="0.25">
      <c r="A353" s="1"/>
      <c r="B353" s="1"/>
      <c r="C353" s="15"/>
      <c r="D353" s="17"/>
      <c r="E353" s="30"/>
      <c r="F353" s="17"/>
      <c r="G353" s="1"/>
      <c r="H353" s="1"/>
      <c r="I353" s="16"/>
      <c r="J353" s="17"/>
    </row>
    <row r="354" spans="1:10" ht="15.75" customHeight="1" x14ac:dyDescent="0.25">
      <c r="A354" s="1"/>
      <c r="B354" s="1"/>
      <c r="C354" s="15"/>
      <c r="D354" s="17"/>
      <c r="E354" s="30"/>
      <c r="F354" s="17"/>
      <c r="G354" s="1"/>
      <c r="H354" s="1"/>
      <c r="I354" s="16"/>
      <c r="J354" s="17"/>
    </row>
    <row r="355" spans="1:10" ht="15.75" customHeight="1" x14ac:dyDescent="0.25">
      <c r="A355" s="1"/>
      <c r="B355" s="1"/>
      <c r="C355" s="15"/>
      <c r="D355" s="17"/>
      <c r="E355" s="30"/>
      <c r="F355" s="17"/>
      <c r="G355" s="1"/>
      <c r="H355" s="1"/>
      <c r="I355" s="16"/>
      <c r="J355" s="17"/>
    </row>
    <row r="356" spans="1:10" ht="15.75" customHeight="1" x14ac:dyDescent="0.25">
      <c r="A356" s="1"/>
      <c r="B356" s="1"/>
      <c r="C356" s="15"/>
      <c r="D356" s="17"/>
      <c r="E356" s="30"/>
      <c r="F356" s="17"/>
      <c r="G356" s="1"/>
      <c r="H356" s="1"/>
      <c r="I356" s="16"/>
      <c r="J356" s="17"/>
    </row>
    <row r="357" spans="1:10" ht="15.75" customHeight="1" x14ac:dyDescent="0.25">
      <c r="A357" s="1"/>
      <c r="B357" s="1"/>
      <c r="C357" s="15"/>
      <c r="D357" s="17"/>
      <c r="E357" s="30"/>
      <c r="F357" s="17"/>
      <c r="G357" s="1"/>
      <c r="H357" s="1"/>
      <c r="I357" s="16"/>
      <c r="J357" s="17"/>
    </row>
    <row r="358" spans="1:10" ht="15.75" customHeight="1" x14ac:dyDescent="0.25">
      <c r="A358" s="1"/>
      <c r="B358" s="1"/>
      <c r="C358" s="15"/>
      <c r="D358" s="17"/>
      <c r="E358" s="30"/>
      <c r="F358" s="17"/>
      <c r="G358" s="1"/>
      <c r="H358" s="1"/>
      <c r="I358" s="16"/>
      <c r="J358" s="17"/>
    </row>
    <row r="359" spans="1:10" ht="15.75" customHeight="1" x14ac:dyDescent="0.25">
      <c r="A359" s="1"/>
      <c r="B359" s="1"/>
      <c r="C359" s="15"/>
      <c r="D359" s="17"/>
      <c r="E359" s="30"/>
      <c r="F359" s="17"/>
      <c r="G359" s="1"/>
      <c r="H359" s="1"/>
      <c r="I359" s="16"/>
      <c r="J359" s="17"/>
    </row>
    <row r="360" spans="1:10" ht="15.75" customHeight="1" x14ac:dyDescent="0.25">
      <c r="A360" s="1"/>
      <c r="B360" s="1"/>
      <c r="C360" s="15"/>
      <c r="D360" s="17"/>
      <c r="E360" s="30"/>
      <c r="F360" s="17"/>
      <c r="G360" s="1"/>
      <c r="H360" s="1"/>
      <c r="I360" s="16"/>
      <c r="J360" s="17"/>
    </row>
    <row r="361" spans="1:10" ht="15.75" customHeight="1" x14ac:dyDescent="0.25">
      <c r="A361" s="1"/>
      <c r="B361" s="1"/>
      <c r="C361" s="15"/>
      <c r="D361" s="17"/>
      <c r="E361" s="30"/>
      <c r="F361" s="17"/>
      <c r="G361" s="1"/>
      <c r="H361" s="1"/>
      <c r="I361" s="16"/>
      <c r="J361" s="17"/>
    </row>
    <row r="362" spans="1:10" ht="15.75" customHeight="1" x14ac:dyDescent="0.25">
      <c r="A362" s="1"/>
      <c r="B362" s="1"/>
      <c r="C362" s="15"/>
      <c r="D362" s="17"/>
      <c r="E362" s="30"/>
      <c r="F362" s="17"/>
      <c r="G362" s="1"/>
      <c r="H362" s="1"/>
      <c r="I362" s="16"/>
      <c r="J362" s="17"/>
    </row>
    <row r="363" spans="1:10" ht="15.75" customHeight="1" x14ac:dyDescent="0.25">
      <c r="A363" s="1"/>
      <c r="B363" s="1"/>
      <c r="C363" s="15"/>
      <c r="D363" s="17"/>
      <c r="E363" s="30"/>
      <c r="F363" s="17"/>
      <c r="G363" s="1"/>
      <c r="H363" s="1"/>
      <c r="I363" s="16"/>
      <c r="J363" s="17"/>
    </row>
    <row r="364" spans="1:10" ht="15.75" customHeight="1" x14ac:dyDescent="0.25">
      <c r="A364" s="1"/>
      <c r="B364" s="1"/>
      <c r="C364" s="15"/>
      <c r="D364" s="17"/>
      <c r="E364" s="30"/>
      <c r="F364" s="17"/>
      <c r="G364" s="1"/>
      <c r="H364" s="1"/>
      <c r="I364" s="16"/>
      <c r="J364" s="17"/>
    </row>
    <row r="365" spans="1:10" ht="15.75" customHeight="1" x14ac:dyDescent="0.25">
      <c r="A365" s="1"/>
      <c r="B365" s="1"/>
      <c r="C365" s="15"/>
      <c r="D365" s="17"/>
      <c r="E365" s="30"/>
      <c r="F365" s="17"/>
      <c r="G365" s="1"/>
      <c r="H365" s="1"/>
      <c r="I365" s="16"/>
      <c r="J365" s="17"/>
    </row>
    <row r="366" spans="1:10" ht="15.75" customHeight="1" x14ac:dyDescent="0.25">
      <c r="A366" s="1"/>
      <c r="B366" s="1"/>
      <c r="C366" s="15"/>
      <c r="D366" s="17"/>
      <c r="E366" s="30"/>
      <c r="F366" s="17"/>
      <c r="G366" s="1"/>
      <c r="H366" s="1"/>
      <c r="I366" s="16"/>
      <c r="J366" s="17"/>
    </row>
    <row r="367" spans="1:10" ht="15.75" customHeight="1" x14ac:dyDescent="0.25">
      <c r="A367" s="1"/>
      <c r="B367" s="1"/>
      <c r="C367" s="15"/>
      <c r="D367" s="17"/>
      <c r="E367" s="30"/>
      <c r="F367" s="17"/>
      <c r="G367" s="1"/>
      <c r="H367" s="1"/>
      <c r="I367" s="16"/>
      <c r="J367" s="17"/>
    </row>
    <row r="368" spans="1:10" ht="15.75" customHeight="1" x14ac:dyDescent="0.25">
      <c r="A368" s="1"/>
      <c r="B368" s="1"/>
      <c r="C368" s="15"/>
      <c r="D368" s="17"/>
      <c r="E368" s="30"/>
      <c r="F368" s="17"/>
      <c r="G368" s="1"/>
      <c r="H368" s="1"/>
      <c r="I368" s="16"/>
      <c r="J368" s="17"/>
    </row>
    <row r="369" spans="1:10" ht="15.75" customHeight="1" x14ac:dyDescent="0.25">
      <c r="A369" s="1"/>
      <c r="B369" s="1"/>
      <c r="C369" s="15"/>
      <c r="D369" s="17"/>
      <c r="E369" s="30"/>
      <c r="F369" s="17"/>
      <c r="G369" s="1"/>
      <c r="H369" s="1"/>
      <c r="I369" s="16"/>
      <c r="J369" s="17"/>
    </row>
    <row r="370" spans="1:10" ht="15.75" customHeight="1" x14ac:dyDescent="0.25">
      <c r="A370" s="1"/>
      <c r="B370" s="1"/>
      <c r="C370" s="15"/>
      <c r="D370" s="17"/>
      <c r="E370" s="30"/>
      <c r="F370" s="17"/>
      <c r="G370" s="1"/>
      <c r="H370" s="1"/>
      <c r="I370" s="16"/>
      <c r="J370" s="17"/>
    </row>
    <row r="371" spans="1:10" ht="15.75" customHeight="1" x14ac:dyDescent="0.25">
      <c r="A371" s="1"/>
      <c r="B371" s="1"/>
      <c r="C371" s="15"/>
      <c r="D371" s="17"/>
      <c r="E371" s="30"/>
      <c r="F371" s="17"/>
      <c r="G371" s="1"/>
      <c r="H371" s="1"/>
      <c r="I371" s="16"/>
      <c r="J371" s="17"/>
    </row>
    <row r="372" spans="1:10" ht="15.75" customHeight="1" x14ac:dyDescent="0.25">
      <c r="A372" s="1"/>
      <c r="B372" s="1"/>
      <c r="C372" s="15"/>
      <c r="D372" s="17"/>
      <c r="E372" s="30"/>
      <c r="F372" s="17"/>
      <c r="G372" s="1"/>
      <c r="H372" s="1"/>
      <c r="I372" s="16"/>
      <c r="J372" s="17"/>
    </row>
    <row r="373" spans="1:10" ht="15.75" customHeight="1" x14ac:dyDescent="0.25">
      <c r="A373" s="1"/>
      <c r="B373" s="1"/>
      <c r="C373" s="15"/>
      <c r="D373" s="17"/>
      <c r="E373" s="30"/>
      <c r="F373" s="17"/>
      <c r="G373" s="1"/>
      <c r="H373" s="1"/>
      <c r="I373" s="16"/>
      <c r="J373" s="17"/>
    </row>
    <row r="374" spans="1:10" ht="15.75" customHeight="1" x14ac:dyDescent="0.25">
      <c r="A374" s="1"/>
      <c r="B374" s="1"/>
      <c r="C374" s="15"/>
      <c r="D374" s="17"/>
      <c r="E374" s="30"/>
      <c r="F374" s="17"/>
      <c r="G374" s="1"/>
      <c r="H374" s="1"/>
      <c r="I374" s="16"/>
      <c r="J374" s="17"/>
    </row>
    <row r="375" spans="1:10" ht="15.75" customHeight="1" x14ac:dyDescent="0.25">
      <c r="A375" s="1"/>
      <c r="B375" s="1"/>
      <c r="C375" s="15"/>
      <c r="D375" s="17"/>
      <c r="E375" s="30"/>
      <c r="F375" s="17"/>
      <c r="G375" s="1"/>
      <c r="H375" s="1"/>
      <c r="I375" s="16"/>
      <c r="J375" s="17"/>
    </row>
    <row r="376" spans="1:10" ht="15.75" customHeight="1" x14ac:dyDescent="0.25">
      <c r="A376" s="1"/>
      <c r="B376" s="1"/>
      <c r="C376" s="15"/>
      <c r="D376" s="17"/>
      <c r="E376" s="30"/>
      <c r="F376" s="17"/>
      <c r="G376" s="1"/>
      <c r="H376" s="1"/>
      <c r="I376" s="16"/>
      <c r="J376" s="17"/>
    </row>
    <row r="377" spans="1:10" ht="15.75" customHeight="1" x14ac:dyDescent="0.25">
      <c r="A377" s="1"/>
      <c r="B377" s="1"/>
      <c r="C377" s="15"/>
      <c r="D377" s="17"/>
      <c r="E377" s="30"/>
      <c r="F377" s="17"/>
      <c r="G377" s="1"/>
      <c r="H377" s="1"/>
      <c r="I377" s="16"/>
      <c r="J377" s="17"/>
    </row>
    <row r="378" spans="1:10" ht="15.75" customHeight="1" x14ac:dyDescent="0.25">
      <c r="A378" s="1"/>
      <c r="B378" s="1"/>
      <c r="C378" s="15"/>
      <c r="D378" s="17"/>
      <c r="E378" s="30"/>
      <c r="F378" s="17"/>
      <c r="G378" s="1"/>
      <c r="H378" s="1"/>
      <c r="I378" s="16"/>
      <c r="J378" s="17"/>
    </row>
    <row r="379" spans="1:10" ht="15.75" customHeight="1" x14ac:dyDescent="0.25">
      <c r="A379" s="1"/>
      <c r="B379" s="1"/>
      <c r="C379" s="15"/>
      <c r="D379" s="17"/>
      <c r="E379" s="30"/>
      <c r="F379" s="17"/>
      <c r="G379" s="1"/>
      <c r="H379" s="1"/>
      <c r="I379" s="16"/>
      <c r="J379" s="17"/>
    </row>
    <row r="380" spans="1:10" ht="15.75" customHeight="1" x14ac:dyDescent="0.25">
      <c r="A380" s="1"/>
      <c r="B380" s="1"/>
      <c r="C380" s="15"/>
      <c r="D380" s="17"/>
      <c r="E380" s="30"/>
      <c r="F380" s="17"/>
      <c r="G380" s="1"/>
      <c r="H380" s="1"/>
      <c r="I380" s="16"/>
      <c r="J380" s="17"/>
    </row>
    <row r="381" spans="1:10" ht="15.75" customHeight="1" x14ac:dyDescent="0.25">
      <c r="A381" s="1"/>
      <c r="B381" s="1"/>
      <c r="C381" s="15"/>
      <c r="D381" s="17"/>
      <c r="E381" s="30"/>
      <c r="F381" s="17"/>
      <c r="G381" s="1"/>
      <c r="H381" s="1"/>
      <c r="I381" s="16"/>
      <c r="J381" s="17"/>
    </row>
    <row r="382" spans="1:10" ht="15.75" customHeight="1" x14ac:dyDescent="0.25">
      <c r="A382" s="1"/>
      <c r="B382" s="1"/>
      <c r="C382" s="15"/>
      <c r="D382" s="17"/>
      <c r="E382" s="30"/>
      <c r="F382" s="17"/>
      <c r="G382" s="1"/>
      <c r="H382" s="1"/>
      <c r="I382" s="16"/>
      <c r="J382" s="17"/>
    </row>
    <row r="383" spans="1:10" ht="15.75" customHeight="1" x14ac:dyDescent="0.25">
      <c r="A383" s="1"/>
      <c r="B383" s="1"/>
      <c r="C383" s="15"/>
      <c r="D383" s="17"/>
      <c r="E383" s="30"/>
      <c r="F383" s="17"/>
      <c r="G383" s="1"/>
      <c r="H383" s="1"/>
      <c r="I383" s="16"/>
      <c r="J383" s="17"/>
    </row>
    <row r="384" spans="1:10" ht="15.75" customHeight="1" x14ac:dyDescent="0.25">
      <c r="A384" s="1"/>
      <c r="B384" s="1"/>
      <c r="C384" s="15"/>
      <c r="D384" s="17"/>
      <c r="E384" s="30"/>
      <c r="F384" s="17"/>
      <c r="G384" s="1"/>
      <c r="H384" s="1"/>
      <c r="I384" s="16"/>
      <c r="J384" s="17"/>
    </row>
    <row r="385" spans="1:10" ht="15.75" customHeight="1" x14ac:dyDescent="0.25">
      <c r="A385" s="1"/>
      <c r="B385" s="1"/>
      <c r="C385" s="15"/>
      <c r="D385" s="17"/>
      <c r="E385" s="30"/>
      <c r="F385" s="17"/>
      <c r="G385" s="1"/>
      <c r="H385" s="1"/>
      <c r="I385" s="16"/>
      <c r="J385" s="17"/>
    </row>
    <row r="386" spans="1:10" ht="15.75" customHeight="1" x14ac:dyDescent="0.25">
      <c r="A386" s="1"/>
      <c r="B386" s="1"/>
      <c r="C386" s="15"/>
      <c r="D386" s="17"/>
      <c r="E386" s="30"/>
      <c r="F386" s="17"/>
      <c r="G386" s="1"/>
      <c r="H386" s="1"/>
      <c r="I386" s="16"/>
      <c r="J386" s="17"/>
    </row>
    <row r="387" spans="1:10" ht="15.75" customHeight="1" x14ac:dyDescent="0.25">
      <c r="A387" s="1"/>
      <c r="B387" s="1"/>
      <c r="C387" s="15"/>
      <c r="D387" s="17"/>
      <c r="E387" s="30"/>
      <c r="F387" s="17"/>
      <c r="G387" s="1"/>
      <c r="H387" s="1"/>
      <c r="I387" s="16"/>
      <c r="J387" s="17"/>
    </row>
    <row r="388" spans="1:10" ht="15.75" customHeight="1" x14ac:dyDescent="0.25">
      <c r="A388" s="1"/>
      <c r="B388" s="1"/>
      <c r="C388" s="15"/>
      <c r="D388" s="17"/>
      <c r="E388" s="30"/>
      <c r="F388" s="17"/>
      <c r="G388" s="1"/>
      <c r="H388" s="1"/>
      <c r="I388" s="16"/>
      <c r="J388" s="17"/>
    </row>
    <row r="389" spans="1:10" ht="15.75" customHeight="1" x14ac:dyDescent="0.25">
      <c r="A389" s="1"/>
      <c r="B389" s="1"/>
      <c r="C389" s="15"/>
      <c r="D389" s="17"/>
      <c r="E389" s="30"/>
      <c r="F389" s="17"/>
      <c r="G389" s="1"/>
      <c r="H389" s="1"/>
      <c r="I389" s="16"/>
      <c r="J389" s="17"/>
    </row>
    <row r="390" spans="1:10" ht="15.75" customHeight="1" x14ac:dyDescent="0.25">
      <c r="A390" s="1"/>
      <c r="B390" s="1"/>
      <c r="C390" s="15"/>
      <c r="D390" s="17"/>
      <c r="E390" s="30"/>
      <c r="F390" s="17"/>
      <c r="G390" s="1"/>
      <c r="H390" s="1"/>
      <c r="I390" s="16"/>
      <c r="J390" s="17"/>
    </row>
    <row r="391" spans="1:10" ht="15.75" customHeight="1" x14ac:dyDescent="0.25">
      <c r="A391" s="1"/>
      <c r="B391" s="1"/>
      <c r="C391" s="15"/>
      <c r="D391" s="17"/>
      <c r="E391" s="30"/>
      <c r="F391" s="17"/>
      <c r="G391" s="1"/>
      <c r="H391" s="1"/>
      <c r="I391" s="16"/>
      <c r="J391" s="17"/>
    </row>
    <row r="392" spans="1:10" ht="15.75" customHeight="1" x14ac:dyDescent="0.25">
      <c r="A392" s="1"/>
      <c r="B392" s="1"/>
      <c r="C392" s="15"/>
      <c r="D392" s="17"/>
      <c r="E392" s="30"/>
      <c r="F392" s="17"/>
      <c r="G392" s="1"/>
      <c r="H392" s="1"/>
      <c r="I392" s="16"/>
      <c r="J392" s="17"/>
    </row>
    <row r="393" spans="1:10" ht="15.75" customHeight="1" x14ac:dyDescent="0.25">
      <c r="A393" s="1"/>
      <c r="B393" s="1"/>
      <c r="C393" s="15"/>
      <c r="D393" s="17"/>
      <c r="E393" s="30"/>
      <c r="F393" s="17"/>
      <c r="G393" s="1"/>
      <c r="H393" s="1"/>
      <c r="I393" s="16"/>
      <c r="J393" s="17"/>
    </row>
    <row r="394" spans="1:10" ht="15.75" customHeight="1" x14ac:dyDescent="0.25">
      <c r="A394" s="1"/>
      <c r="B394" s="1"/>
      <c r="C394" s="15"/>
      <c r="D394" s="17"/>
      <c r="E394" s="30"/>
      <c r="F394" s="17"/>
      <c r="G394" s="1"/>
      <c r="H394" s="1"/>
      <c r="I394" s="16"/>
      <c r="J394" s="17"/>
    </row>
    <row r="395" spans="1:10" ht="15.75" customHeight="1" x14ac:dyDescent="0.25">
      <c r="A395" s="1"/>
      <c r="B395" s="1"/>
      <c r="C395" s="15"/>
      <c r="D395" s="17"/>
      <c r="E395" s="30"/>
      <c r="F395" s="17"/>
      <c r="G395" s="1"/>
      <c r="H395" s="1"/>
      <c r="I395" s="16"/>
      <c r="J395" s="17"/>
    </row>
    <row r="396" spans="1:10" ht="15.75" customHeight="1" x14ac:dyDescent="0.25">
      <c r="A396" s="1"/>
      <c r="B396" s="1"/>
      <c r="C396" s="15"/>
      <c r="D396" s="17"/>
      <c r="E396" s="30"/>
      <c r="F396" s="17"/>
      <c r="G396" s="1"/>
      <c r="H396" s="1"/>
      <c r="I396" s="16"/>
      <c r="J396" s="17"/>
    </row>
    <row r="397" spans="1:10" ht="15.75" customHeight="1" x14ac:dyDescent="0.25">
      <c r="A397" s="1"/>
      <c r="B397" s="1"/>
      <c r="C397" s="15"/>
      <c r="D397" s="17"/>
      <c r="E397" s="30"/>
      <c r="F397" s="17"/>
      <c r="G397" s="1"/>
      <c r="H397" s="1"/>
      <c r="I397" s="16"/>
      <c r="J397" s="17"/>
    </row>
    <row r="398" spans="1:10" ht="15.75" customHeight="1" x14ac:dyDescent="0.25">
      <c r="A398" s="1"/>
      <c r="B398" s="1"/>
      <c r="C398" s="15"/>
      <c r="D398" s="17"/>
      <c r="E398" s="30"/>
      <c r="F398" s="17"/>
      <c r="G398" s="1"/>
      <c r="H398" s="1"/>
      <c r="I398" s="16"/>
      <c r="J398" s="17"/>
    </row>
    <row r="399" spans="1:10" ht="15.75" customHeight="1" x14ac:dyDescent="0.25">
      <c r="A399" s="1"/>
      <c r="B399" s="1"/>
      <c r="C399" s="15"/>
      <c r="D399" s="17"/>
      <c r="E399" s="30"/>
      <c r="F399" s="17"/>
      <c r="G399" s="1"/>
      <c r="H399" s="1"/>
      <c r="I399" s="16"/>
      <c r="J399" s="17"/>
    </row>
    <row r="400" spans="1:10" ht="15.75" customHeight="1" x14ac:dyDescent="0.25">
      <c r="A400" s="1"/>
      <c r="B400" s="1"/>
      <c r="C400" s="15"/>
      <c r="D400" s="17"/>
      <c r="E400" s="30"/>
      <c r="F400" s="17"/>
      <c r="G400" s="1"/>
      <c r="H400" s="1"/>
      <c r="I400" s="16"/>
      <c r="J400" s="17"/>
    </row>
    <row r="401" spans="1:10" ht="15.75" customHeight="1" x14ac:dyDescent="0.25">
      <c r="A401" s="1"/>
      <c r="B401" s="1"/>
      <c r="C401" s="15"/>
      <c r="D401" s="17"/>
      <c r="E401" s="30"/>
      <c r="F401" s="17"/>
      <c r="G401" s="1"/>
      <c r="H401" s="1"/>
      <c r="I401" s="16"/>
      <c r="J401" s="17"/>
    </row>
    <row r="402" spans="1:10" ht="15.75" customHeight="1" x14ac:dyDescent="0.25">
      <c r="A402" s="1"/>
      <c r="B402" s="1"/>
      <c r="C402" s="15"/>
      <c r="D402" s="17"/>
      <c r="E402" s="30"/>
      <c r="F402" s="17"/>
      <c r="G402" s="1"/>
      <c r="H402" s="1"/>
      <c r="I402" s="16"/>
      <c r="J402" s="17"/>
    </row>
    <row r="403" spans="1:10" ht="15.75" customHeight="1" x14ac:dyDescent="0.25">
      <c r="A403" s="1"/>
      <c r="B403" s="1"/>
      <c r="C403" s="15"/>
      <c r="D403" s="17"/>
      <c r="E403" s="30"/>
      <c r="F403" s="17"/>
      <c r="G403" s="1"/>
      <c r="H403" s="1"/>
      <c r="I403" s="16"/>
      <c r="J403" s="17"/>
    </row>
    <row r="404" spans="1:10" ht="15.75" customHeight="1" x14ac:dyDescent="0.25">
      <c r="A404" s="1"/>
      <c r="B404" s="1"/>
      <c r="C404" s="15"/>
      <c r="D404" s="17"/>
      <c r="E404" s="30"/>
      <c r="F404" s="17"/>
      <c r="G404" s="1"/>
      <c r="H404" s="1"/>
      <c r="I404" s="16"/>
      <c r="J404" s="17"/>
    </row>
    <row r="405" spans="1:10" ht="15.75" customHeight="1" x14ac:dyDescent="0.25">
      <c r="A405" s="1"/>
      <c r="B405" s="1"/>
      <c r="C405" s="15"/>
      <c r="D405" s="17"/>
      <c r="E405" s="30"/>
      <c r="F405" s="17"/>
      <c r="G405" s="1"/>
      <c r="H405" s="1"/>
      <c r="I405" s="16"/>
      <c r="J405" s="17"/>
    </row>
    <row r="406" spans="1:10" ht="15.75" customHeight="1" x14ac:dyDescent="0.25">
      <c r="A406" s="1"/>
      <c r="B406" s="1"/>
      <c r="C406" s="15"/>
      <c r="D406" s="17"/>
      <c r="E406" s="30"/>
      <c r="F406" s="17"/>
      <c r="G406" s="1"/>
      <c r="H406" s="1"/>
      <c r="I406" s="16"/>
      <c r="J406" s="17"/>
    </row>
    <row r="407" spans="1:10" ht="15.75" customHeight="1" x14ac:dyDescent="0.25">
      <c r="A407" s="1"/>
      <c r="B407" s="1"/>
      <c r="C407" s="15"/>
      <c r="D407" s="17"/>
      <c r="E407" s="30"/>
      <c r="F407" s="17"/>
      <c r="G407" s="1"/>
      <c r="H407" s="1"/>
      <c r="I407" s="16"/>
      <c r="J407" s="17"/>
    </row>
    <row r="408" spans="1:10" ht="15.75" customHeight="1" x14ac:dyDescent="0.25">
      <c r="A408" s="1"/>
      <c r="B408" s="1"/>
      <c r="C408" s="15"/>
      <c r="D408" s="17"/>
      <c r="E408" s="30"/>
      <c r="F408" s="17"/>
      <c r="G408" s="1"/>
      <c r="H408" s="1"/>
      <c r="I408" s="16"/>
      <c r="J408" s="17"/>
    </row>
    <row r="409" spans="1:10" ht="15.75" customHeight="1" x14ac:dyDescent="0.25">
      <c r="A409" s="1"/>
      <c r="B409" s="1"/>
      <c r="C409" s="15"/>
      <c r="D409" s="17"/>
      <c r="E409" s="30"/>
      <c r="F409" s="17"/>
      <c r="G409" s="1"/>
      <c r="H409" s="1"/>
      <c r="I409" s="16"/>
      <c r="J409" s="17"/>
    </row>
    <row r="410" spans="1:10" ht="15.75" customHeight="1" x14ac:dyDescent="0.25">
      <c r="A410" s="1"/>
      <c r="B410" s="1"/>
      <c r="C410" s="15"/>
      <c r="D410" s="17"/>
      <c r="E410" s="30"/>
      <c r="F410" s="17"/>
      <c r="G410" s="1"/>
      <c r="H410" s="1"/>
      <c r="I410" s="16"/>
      <c r="J410" s="17"/>
    </row>
    <row r="411" spans="1:10" ht="15.75" customHeight="1" x14ac:dyDescent="0.25">
      <c r="A411" s="1"/>
      <c r="B411" s="1"/>
      <c r="C411" s="15"/>
      <c r="D411" s="17"/>
      <c r="E411" s="30"/>
      <c r="F411" s="17"/>
      <c r="G411" s="1"/>
      <c r="H411" s="1"/>
      <c r="I411" s="16"/>
      <c r="J411" s="17"/>
    </row>
    <row r="412" spans="1:10" ht="15.75" customHeight="1" x14ac:dyDescent="0.25">
      <c r="A412" s="1"/>
      <c r="B412" s="1"/>
      <c r="C412" s="15"/>
      <c r="D412" s="17"/>
      <c r="E412" s="30"/>
      <c r="F412" s="17"/>
      <c r="G412" s="1"/>
      <c r="H412" s="1"/>
      <c r="I412" s="16"/>
      <c r="J412" s="17"/>
    </row>
    <row r="413" spans="1:10" ht="15.75" customHeight="1" x14ac:dyDescent="0.25">
      <c r="A413" s="1"/>
      <c r="B413" s="1"/>
      <c r="C413" s="15"/>
      <c r="D413" s="17"/>
      <c r="E413" s="30"/>
      <c r="F413" s="17"/>
      <c r="G413" s="1"/>
      <c r="H413" s="1"/>
      <c r="I413" s="16"/>
      <c r="J413" s="17"/>
    </row>
    <row r="414" spans="1:10" ht="15.75" customHeight="1" x14ac:dyDescent="0.25">
      <c r="A414" s="1"/>
      <c r="B414" s="1"/>
      <c r="C414" s="15"/>
      <c r="D414" s="17"/>
      <c r="E414" s="30"/>
      <c r="F414" s="17"/>
      <c r="G414" s="1"/>
      <c r="H414" s="1"/>
      <c r="I414" s="16"/>
      <c r="J414" s="17"/>
    </row>
    <row r="415" spans="1:10" ht="15.75" customHeight="1" x14ac:dyDescent="0.25">
      <c r="A415" s="1"/>
      <c r="B415" s="1"/>
      <c r="C415" s="15"/>
      <c r="D415" s="17"/>
      <c r="E415" s="30"/>
      <c r="F415" s="17"/>
      <c r="G415" s="1"/>
      <c r="H415" s="1"/>
      <c r="I415" s="16"/>
      <c r="J415" s="17"/>
    </row>
    <row r="416" spans="1:10" ht="15.75" customHeight="1" x14ac:dyDescent="0.25">
      <c r="A416" s="1"/>
      <c r="B416" s="1"/>
      <c r="C416" s="15"/>
      <c r="D416" s="17"/>
      <c r="E416" s="30"/>
      <c r="F416" s="17"/>
      <c r="G416" s="1"/>
      <c r="H416" s="1"/>
      <c r="I416" s="16"/>
      <c r="J416" s="17"/>
    </row>
    <row r="417" spans="1:10" ht="15.75" customHeight="1" x14ac:dyDescent="0.25">
      <c r="A417" s="1"/>
      <c r="B417" s="1"/>
      <c r="C417" s="15"/>
      <c r="D417" s="17"/>
      <c r="E417" s="30"/>
      <c r="F417" s="17"/>
      <c r="G417" s="1"/>
      <c r="H417" s="1"/>
      <c r="I417" s="16"/>
      <c r="J417" s="17"/>
    </row>
    <row r="418" spans="1:10" ht="15.75" customHeight="1" x14ac:dyDescent="0.25">
      <c r="A418" s="1"/>
      <c r="B418" s="1"/>
      <c r="C418" s="15"/>
      <c r="D418" s="17"/>
      <c r="E418" s="30"/>
      <c r="F418" s="17"/>
      <c r="G418" s="1"/>
      <c r="H418" s="1"/>
      <c r="I418" s="16"/>
      <c r="J418" s="17"/>
    </row>
    <row r="419" spans="1:10" ht="15.75" customHeight="1" x14ac:dyDescent="0.25">
      <c r="A419" s="1"/>
      <c r="B419" s="1"/>
      <c r="C419" s="15"/>
      <c r="D419" s="17"/>
      <c r="E419" s="30"/>
      <c r="F419" s="17"/>
      <c r="G419" s="1"/>
      <c r="H419" s="1"/>
      <c r="I419" s="16"/>
      <c r="J419" s="17"/>
    </row>
    <row r="420" spans="1:10" ht="15.75" customHeight="1" x14ac:dyDescent="0.25">
      <c r="A420" s="1"/>
      <c r="B420" s="1"/>
      <c r="C420" s="15"/>
      <c r="D420" s="17"/>
      <c r="E420" s="30"/>
      <c r="F420" s="17"/>
      <c r="G420" s="1"/>
      <c r="H420" s="1"/>
      <c r="I420" s="16"/>
      <c r="J420" s="17"/>
    </row>
    <row r="421" spans="1:10" ht="15.75" customHeight="1" x14ac:dyDescent="0.25">
      <c r="A421" s="1"/>
      <c r="B421" s="1"/>
      <c r="C421" s="15"/>
      <c r="D421" s="17"/>
      <c r="E421" s="30"/>
      <c r="F421" s="17"/>
      <c r="G421" s="1"/>
      <c r="H421" s="1"/>
      <c r="I421" s="16"/>
      <c r="J421" s="17"/>
    </row>
    <row r="422" spans="1:10" ht="15.75" customHeight="1" x14ac:dyDescent="0.25">
      <c r="A422" s="1"/>
      <c r="B422" s="1"/>
      <c r="C422" s="15"/>
      <c r="D422" s="17"/>
      <c r="E422" s="30"/>
      <c r="F422" s="17"/>
      <c r="G422" s="1"/>
      <c r="H422" s="1"/>
      <c r="I422" s="16"/>
      <c r="J422" s="17"/>
    </row>
    <row r="423" spans="1:10" ht="15.75" customHeight="1" x14ac:dyDescent="0.25">
      <c r="A423" s="1"/>
      <c r="B423" s="1"/>
      <c r="C423" s="15"/>
      <c r="D423" s="17"/>
      <c r="E423" s="30"/>
      <c r="F423" s="17"/>
      <c r="G423" s="1"/>
      <c r="H423" s="1"/>
      <c r="I423" s="16"/>
      <c r="J423" s="17"/>
    </row>
    <row r="424" spans="1:10" ht="15.75" customHeight="1" x14ac:dyDescent="0.25">
      <c r="A424" s="1"/>
      <c r="B424" s="1"/>
      <c r="C424" s="15"/>
      <c r="D424" s="17"/>
      <c r="E424" s="30"/>
      <c r="F424" s="17"/>
      <c r="G424" s="1"/>
      <c r="H424" s="1"/>
      <c r="I424" s="16"/>
      <c r="J424" s="17"/>
    </row>
    <row r="425" spans="1:10" ht="15.75" customHeight="1" x14ac:dyDescent="0.25">
      <c r="A425" s="1"/>
      <c r="B425" s="1"/>
      <c r="C425" s="15"/>
      <c r="D425" s="17"/>
      <c r="E425" s="30"/>
      <c r="F425" s="17"/>
      <c r="G425" s="1"/>
      <c r="H425" s="1"/>
      <c r="I425" s="16"/>
      <c r="J425" s="17"/>
    </row>
    <row r="426" spans="1:10" ht="15.75" customHeight="1" x14ac:dyDescent="0.25">
      <c r="A426" s="1"/>
      <c r="B426" s="1"/>
      <c r="C426" s="15"/>
      <c r="D426" s="17"/>
      <c r="E426" s="30"/>
      <c r="F426" s="17"/>
      <c r="G426" s="1"/>
      <c r="H426" s="1"/>
      <c r="I426" s="16"/>
      <c r="J426" s="17"/>
    </row>
    <row r="427" spans="1:10" ht="15.75" customHeight="1" x14ac:dyDescent="0.25">
      <c r="A427" s="1"/>
      <c r="B427" s="1"/>
      <c r="C427" s="15"/>
      <c r="D427" s="17"/>
      <c r="E427" s="30"/>
      <c r="F427" s="17"/>
      <c r="G427" s="1"/>
      <c r="H427" s="1"/>
      <c r="I427" s="16"/>
      <c r="J427" s="17"/>
    </row>
    <row r="428" spans="1:10" ht="15.75" customHeight="1" x14ac:dyDescent="0.25">
      <c r="A428" s="1"/>
      <c r="B428" s="1"/>
      <c r="C428" s="15"/>
      <c r="D428" s="17"/>
      <c r="E428" s="30"/>
      <c r="F428" s="17"/>
      <c r="G428" s="1"/>
      <c r="H428" s="1"/>
      <c r="I428" s="16"/>
      <c r="J428" s="17"/>
    </row>
    <row r="429" spans="1:10" ht="15.75" customHeight="1" x14ac:dyDescent="0.25">
      <c r="A429" s="1"/>
      <c r="B429" s="1"/>
      <c r="C429" s="15"/>
      <c r="D429" s="17"/>
      <c r="E429" s="30"/>
      <c r="F429" s="17"/>
      <c r="G429" s="1"/>
      <c r="H429" s="1"/>
      <c r="I429" s="16"/>
      <c r="J429" s="17"/>
    </row>
    <row r="430" spans="1:10" ht="15.75" customHeight="1" x14ac:dyDescent="0.25">
      <c r="A430" s="1"/>
      <c r="B430" s="1"/>
      <c r="C430" s="15"/>
      <c r="D430" s="17"/>
      <c r="E430" s="30"/>
      <c r="F430" s="17"/>
      <c r="G430" s="1"/>
      <c r="H430" s="1"/>
      <c r="I430" s="16"/>
      <c r="J430" s="17"/>
    </row>
    <row r="431" spans="1:10" ht="15.75" customHeight="1" x14ac:dyDescent="0.25">
      <c r="A431" s="1"/>
      <c r="B431" s="1"/>
      <c r="C431" s="15"/>
      <c r="D431" s="17"/>
      <c r="E431" s="30"/>
      <c r="F431" s="17"/>
      <c r="G431" s="1"/>
      <c r="H431" s="1"/>
      <c r="I431" s="16"/>
      <c r="J431" s="17"/>
    </row>
    <row r="432" spans="1:10" ht="15.75" customHeight="1" x14ac:dyDescent="0.25">
      <c r="A432" s="1"/>
      <c r="B432" s="1"/>
      <c r="C432" s="15"/>
      <c r="D432" s="17"/>
      <c r="E432" s="30"/>
      <c r="F432" s="17"/>
      <c r="G432" s="1"/>
      <c r="H432" s="1"/>
      <c r="I432" s="16"/>
      <c r="J432" s="17"/>
    </row>
    <row r="433" spans="1:10" ht="15.75" customHeight="1" x14ac:dyDescent="0.25">
      <c r="A433" s="1"/>
      <c r="B433" s="1"/>
      <c r="C433" s="15"/>
      <c r="D433" s="17"/>
      <c r="E433" s="30"/>
      <c r="F433" s="17"/>
      <c r="G433" s="1"/>
      <c r="H433" s="1"/>
      <c r="I433" s="16"/>
      <c r="J433" s="17"/>
    </row>
    <row r="434" spans="1:10" ht="15.75" customHeight="1" x14ac:dyDescent="0.25">
      <c r="A434" s="1"/>
      <c r="B434" s="1"/>
      <c r="C434" s="15"/>
      <c r="D434" s="17"/>
      <c r="E434" s="30"/>
      <c r="F434" s="17"/>
      <c r="G434" s="1"/>
      <c r="H434" s="1"/>
      <c r="I434" s="16"/>
      <c r="J434" s="17"/>
    </row>
    <row r="435" spans="1:10" ht="15.75" customHeight="1" x14ac:dyDescent="0.25">
      <c r="A435" s="1"/>
      <c r="B435" s="1"/>
      <c r="C435" s="15"/>
      <c r="D435" s="17"/>
      <c r="E435" s="30"/>
      <c r="F435" s="17"/>
      <c r="G435" s="1"/>
      <c r="H435" s="1"/>
      <c r="I435" s="16"/>
      <c r="J435" s="17"/>
    </row>
    <row r="436" spans="1:10" ht="15.75" customHeight="1" x14ac:dyDescent="0.25">
      <c r="A436" s="1"/>
      <c r="B436" s="1"/>
      <c r="C436" s="15"/>
      <c r="D436" s="17"/>
      <c r="E436" s="30"/>
      <c r="F436" s="17"/>
      <c r="G436" s="1"/>
      <c r="H436" s="1"/>
      <c r="I436" s="16"/>
      <c r="J436" s="17"/>
    </row>
    <row r="437" spans="1:10" ht="15.75" customHeight="1" x14ac:dyDescent="0.25">
      <c r="A437" s="1"/>
      <c r="B437" s="1"/>
      <c r="C437" s="15"/>
      <c r="D437" s="17"/>
      <c r="E437" s="30"/>
      <c r="F437" s="17"/>
      <c r="G437" s="1"/>
      <c r="H437" s="1"/>
      <c r="I437" s="16"/>
      <c r="J437" s="17"/>
    </row>
    <row r="438" spans="1:10" ht="15.75" customHeight="1" x14ac:dyDescent="0.25">
      <c r="A438" s="1"/>
      <c r="B438" s="1"/>
      <c r="C438" s="15"/>
      <c r="D438" s="17"/>
      <c r="E438" s="30"/>
      <c r="F438" s="17"/>
      <c r="G438" s="1"/>
      <c r="H438" s="1"/>
      <c r="I438" s="16"/>
      <c r="J438" s="17"/>
    </row>
    <row r="439" spans="1:10" ht="15.75" customHeight="1" x14ac:dyDescent="0.25">
      <c r="A439" s="1"/>
      <c r="B439" s="1"/>
      <c r="C439" s="15"/>
      <c r="D439" s="17"/>
      <c r="E439" s="30"/>
      <c r="F439" s="17"/>
      <c r="G439" s="1"/>
      <c r="H439" s="1"/>
      <c r="I439" s="16"/>
      <c r="J439" s="17"/>
    </row>
    <row r="440" spans="1:10" ht="15.75" customHeight="1" x14ac:dyDescent="0.25">
      <c r="A440" s="1"/>
      <c r="B440" s="1"/>
      <c r="C440" s="15"/>
      <c r="D440" s="17"/>
      <c r="E440" s="30"/>
      <c r="F440" s="17"/>
      <c r="G440" s="1"/>
      <c r="H440" s="1"/>
      <c r="I440" s="16"/>
      <c r="J440" s="17"/>
    </row>
    <row r="441" spans="1:10" ht="15.75" customHeight="1" x14ac:dyDescent="0.25">
      <c r="A441" s="1"/>
      <c r="B441" s="1"/>
      <c r="C441" s="15"/>
      <c r="D441" s="17"/>
      <c r="E441" s="30"/>
      <c r="F441" s="17"/>
      <c r="G441" s="1"/>
      <c r="H441" s="1"/>
      <c r="I441" s="16"/>
      <c r="J441" s="17"/>
    </row>
    <row r="442" spans="1:10" ht="15.75" customHeight="1" x14ac:dyDescent="0.25">
      <c r="A442" s="1"/>
      <c r="B442" s="1"/>
      <c r="C442" s="15"/>
      <c r="D442" s="17"/>
      <c r="E442" s="30"/>
      <c r="F442" s="17"/>
      <c r="G442" s="1"/>
      <c r="H442" s="1"/>
      <c r="I442" s="16"/>
      <c r="J442" s="17"/>
    </row>
    <row r="443" spans="1:10" ht="15.75" customHeight="1" x14ac:dyDescent="0.25">
      <c r="A443" s="1"/>
      <c r="B443" s="1"/>
      <c r="C443" s="15"/>
      <c r="D443" s="17"/>
      <c r="E443" s="30"/>
      <c r="F443" s="17"/>
      <c r="G443" s="1"/>
      <c r="H443" s="1"/>
      <c r="I443" s="16"/>
      <c r="J443" s="17"/>
    </row>
    <row r="444" spans="1:10" ht="15.75" customHeight="1" x14ac:dyDescent="0.25">
      <c r="A444" s="1"/>
      <c r="B444" s="1"/>
      <c r="C444" s="15"/>
      <c r="D444" s="17"/>
      <c r="E444" s="30"/>
      <c r="F444" s="17"/>
      <c r="G444" s="1"/>
      <c r="H444" s="1"/>
      <c r="I444" s="16"/>
      <c r="J444" s="17"/>
    </row>
    <row r="445" spans="1:10" ht="15.75" customHeight="1" x14ac:dyDescent="0.25">
      <c r="A445" s="1"/>
      <c r="B445" s="1"/>
      <c r="C445" s="15"/>
      <c r="D445" s="17"/>
      <c r="E445" s="30"/>
      <c r="F445" s="17"/>
      <c r="G445" s="1"/>
      <c r="H445" s="1"/>
      <c r="I445" s="16"/>
      <c r="J445" s="17"/>
    </row>
    <row r="446" spans="1:10" ht="15.75" customHeight="1" x14ac:dyDescent="0.25">
      <c r="A446" s="1"/>
      <c r="B446" s="1"/>
      <c r="C446" s="15"/>
      <c r="D446" s="17"/>
      <c r="E446" s="30"/>
      <c r="F446" s="17"/>
      <c r="G446" s="1"/>
      <c r="H446" s="1"/>
      <c r="I446" s="16"/>
      <c r="J446" s="17"/>
    </row>
    <row r="447" spans="1:10" ht="15.75" customHeight="1" x14ac:dyDescent="0.25">
      <c r="A447" s="1"/>
      <c r="B447" s="1"/>
      <c r="C447" s="15"/>
      <c r="D447" s="17"/>
      <c r="E447" s="30"/>
      <c r="F447" s="17"/>
      <c r="G447" s="1"/>
      <c r="H447" s="1"/>
      <c r="I447" s="16"/>
      <c r="J447" s="17"/>
    </row>
    <row r="448" spans="1:10" ht="15.75" customHeight="1" x14ac:dyDescent="0.25">
      <c r="A448" s="1"/>
      <c r="B448" s="1"/>
      <c r="C448" s="15"/>
      <c r="D448" s="17"/>
      <c r="E448" s="30"/>
      <c r="F448" s="17"/>
      <c r="G448" s="1"/>
      <c r="H448" s="1"/>
      <c r="I448" s="16"/>
      <c r="J448" s="17"/>
    </row>
    <row r="449" spans="1:10" ht="15.75" customHeight="1" x14ac:dyDescent="0.25">
      <c r="A449" s="1"/>
      <c r="B449" s="1"/>
      <c r="C449" s="15"/>
      <c r="D449" s="17"/>
      <c r="E449" s="30"/>
      <c r="F449" s="17"/>
      <c r="G449" s="1"/>
      <c r="H449" s="1"/>
      <c r="I449" s="16"/>
      <c r="J449" s="17"/>
    </row>
    <row r="450" spans="1:10" ht="15.75" customHeight="1" x14ac:dyDescent="0.25">
      <c r="A450" s="1"/>
      <c r="B450" s="1"/>
      <c r="C450" s="15"/>
      <c r="D450" s="17"/>
      <c r="E450" s="30"/>
      <c r="F450" s="17"/>
      <c r="G450" s="1"/>
      <c r="H450" s="1"/>
      <c r="I450" s="16"/>
      <c r="J450" s="17"/>
    </row>
    <row r="451" spans="1:10" ht="15.75" customHeight="1" x14ac:dyDescent="0.25">
      <c r="A451" s="1"/>
      <c r="B451" s="1"/>
      <c r="C451" s="15"/>
      <c r="D451" s="17"/>
      <c r="E451" s="30"/>
      <c r="F451" s="17"/>
      <c r="G451" s="1"/>
      <c r="H451" s="1"/>
      <c r="I451" s="16"/>
      <c r="J451" s="17"/>
    </row>
    <row r="452" spans="1:10" ht="15.75" customHeight="1" x14ac:dyDescent="0.25">
      <c r="A452" s="1"/>
      <c r="B452" s="1"/>
      <c r="C452" s="15"/>
      <c r="D452" s="17"/>
      <c r="E452" s="30"/>
      <c r="F452" s="17"/>
      <c r="G452" s="1"/>
      <c r="H452" s="1"/>
      <c r="I452" s="16"/>
      <c r="J452" s="17"/>
    </row>
    <row r="453" spans="1:10" ht="15.75" customHeight="1" x14ac:dyDescent="0.25">
      <c r="A453" s="1"/>
      <c r="B453" s="1"/>
      <c r="C453" s="15"/>
      <c r="D453" s="17"/>
      <c r="E453" s="30"/>
      <c r="F453" s="17"/>
      <c r="G453" s="1"/>
      <c r="H453" s="1"/>
      <c r="I453" s="16"/>
      <c r="J453" s="17"/>
    </row>
    <row r="454" spans="1:10" ht="15.75" customHeight="1" x14ac:dyDescent="0.25">
      <c r="A454" s="1"/>
      <c r="B454" s="1"/>
      <c r="C454" s="15"/>
      <c r="D454" s="17"/>
      <c r="E454" s="30"/>
      <c r="F454" s="17"/>
      <c r="G454" s="1"/>
      <c r="H454" s="1"/>
      <c r="I454" s="16"/>
      <c r="J454" s="17"/>
    </row>
    <row r="455" spans="1:10" ht="15.75" customHeight="1" x14ac:dyDescent="0.25">
      <c r="A455" s="1"/>
      <c r="B455" s="1"/>
      <c r="C455" s="15"/>
      <c r="D455" s="17"/>
      <c r="E455" s="30"/>
      <c r="F455" s="17"/>
      <c r="G455" s="1"/>
      <c r="H455" s="1"/>
      <c r="I455" s="16"/>
      <c r="J455" s="17"/>
    </row>
    <row r="456" spans="1:10" ht="15.75" customHeight="1" x14ac:dyDescent="0.25">
      <c r="A456" s="1"/>
      <c r="B456" s="1"/>
      <c r="C456" s="15"/>
      <c r="D456" s="17"/>
      <c r="E456" s="30"/>
      <c r="F456" s="17"/>
      <c r="G456" s="1"/>
      <c r="H456" s="1"/>
      <c r="I456" s="16"/>
      <c r="J456" s="17"/>
    </row>
    <row r="457" spans="1:10" ht="15.75" customHeight="1" x14ac:dyDescent="0.25">
      <c r="A457" s="1"/>
      <c r="B457" s="1"/>
      <c r="C457" s="15"/>
      <c r="D457" s="17"/>
      <c r="E457" s="30"/>
      <c r="F457" s="17"/>
      <c r="G457" s="1"/>
      <c r="H457" s="1"/>
      <c r="I457" s="16"/>
      <c r="J457" s="17"/>
    </row>
    <row r="458" spans="1:10" ht="15.75" customHeight="1" x14ac:dyDescent="0.25">
      <c r="A458" s="1"/>
      <c r="B458" s="1"/>
      <c r="C458" s="15"/>
      <c r="D458" s="17"/>
      <c r="E458" s="30"/>
      <c r="F458" s="17"/>
      <c r="G458" s="1"/>
      <c r="H458" s="1"/>
      <c r="I458" s="16"/>
      <c r="J458" s="17"/>
    </row>
    <row r="459" spans="1:10" ht="15.75" customHeight="1" x14ac:dyDescent="0.25">
      <c r="A459" s="1"/>
      <c r="B459" s="1"/>
      <c r="C459" s="15"/>
      <c r="D459" s="17"/>
      <c r="E459" s="30"/>
      <c r="F459" s="17"/>
      <c r="G459" s="1"/>
      <c r="H459" s="1"/>
      <c r="I459" s="16"/>
      <c r="J459" s="17"/>
    </row>
    <row r="460" spans="1:10" ht="15.75" customHeight="1" x14ac:dyDescent="0.25">
      <c r="A460" s="1"/>
      <c r="B460" s="1"/>
      <c r="C460" s="15"/>
      <c r="D460" s="17"/>
      <c r="E460" s="30"/>
      <c r="F460" s="17"/>
      <c r="G460" s="1"/>
      <c r="H460" s="1"/>
      <c r="I460" s="16"/>
      <c r="J460" s="17"/>
    </row>
    <row r="461" spans="1:10" ht="15.75" customHeight="1" x14ac:dyDescent="0.25">
      <c r="A461" s="1"/>
      <c r="B461" s="1"/>
      <c r="C461" s="15"/>
      <c r="D461" s="17"/>
      <c r="E461" s="30"/>
      <c r="F461" s="17"/>
      <c r="G461" s="1"/>
      <c r="H461" s="1"/>
      <c r="I461" s="16"/>
      <c r="J461" s="17"/>
    </row>
    <row r="462" spans="1:10" ht="15.75" customHeight="1" x14ac:dyDescent="0.25">
      <c r="A462" s="1"/>
      <c r="B462" s="1"/>
      <c r="C462" s="15"/>
      <c r="D462" s="17"/>
      <c r="E462" s="30"/>
      <c r="F462" s="17"/>
      <c r="G462" s="1"/>
      <c r="H462" s="1"/>
      <c r="I462" s="16"/>
      <c r="J462" s="17"/>
    </row>
    <row r="463" spans="1:10" ht="15.75" customHeight="1" x14ac:dyDescent="0.25">
      <c r="A463" s="1"/>
      <c r="B463" s="1"/>
      <c r="C463" s="15"/>
      <c r="D463" s="17"/>
      <c r="E463" s="30"/>
      <c r="F463" s="17"/>
      <c r="G463" s="1"/>
      <c r="H463" s="1"/>
      <c r="I463" s="16"/>
      <c r="J463" s="17"/>
    </row>
    <row r="464" spans="1:10" ht="15.75" customHeight="1" x14ac:dyDescent="0.25">
      <c r="A464" s="1"/>
      <c r="B464" s="1"/>
      <c r="C464" s="15"/>
      <c r="D464" s="17"/>
      <c r="E464" s="30"/>
      <c r="F464" s="17"/>
      <c r="G464" s="1"/>
      <c r="H464" s="1"/>
      <c r="I464" s="16"/>
      <c r="J464" s="17"/>
    </row>
    <row r="465" spans="1:10" ht="15.75" customHeight="1" x14ac:dyDescent="0.25">
      <c r="A465" s="1"/>
      <c r="B465" s="1"/>
      <c r="C465" s="15"/>
      <c r="D465" s="17"/>
      <c r="E465" s="30"/>
      <c r="F465" s="17"/>
      <c r="G465" s="1"/>
      <c r="H465" s="1"/>
      <c r="I465" s="16"/>
      <c r="J465" s="17"/>
    </row>
    <row r="466" spans="1:10" ht="15.75" customHeight="1" x14ac:dyDescent="0.25">
      <c r="A466" s="1"/>
      <c r="B466" s="1"/>
      <c r="C466" s="15"/>
      <c r="D466" s="17"/>
      <c r="E466" s="30"/>
      <c r="F466" s="17"/>
      <c r="G466" s="1"/>
      <c r="H466" s="1"/>
      <c r="I466" s="16"/>
      <c r="J466" s="17"/>
    </row>
    <row r="467" spans="1:10" ht="15.75" customHeight="1" x14ac:dyDescent="0.25">
      <c r="A467" s="1"/>
      <c r="B467" s="1"/>
      <c r="C467" s="15"/>
      <c r="D467" s="17"/>
      <c r="E467" s="30"/>
      <c r="F467" s="17"/>
      <c r="G467" s="1"/>
      <c r="H467" s="1"/>
      <c r="I467" s="16"/>
      <c r="J467" s="17"/>
    </row>
    <row r="468" spans="1:10" ht="15.75" customHeight="1" x14ac:dyDescent="0.25">
      <c r="A468" s="1"/>
      <c r="B468" s="1"/>
      <c r="C468" s="15"/>
      <c r="D468" s="17"/>
      <c r="E468" s="30"/>
      <c r="F468" s="17"/>
      <c r="G468" s="1"/>
      <c r="H468" s="1"/>
      <c r="I468" s="16"/>
      <c r="J468" s="17"/>
    </row>
    <row r="469" spans="1:10" ht="15.75" customHeight="1" x14ac:dyDescent="0.25">
      <c r="A469" s="1"/>
      <c r="B469" s="1"/>
      <c r="C469" s="15"/>
      <c r="D469" s="17"/>
      <c r="E469" s="30"/>
      <c r="F469" s="17"/>
      <c r="G469" s="1"/>
      <c r="H469" s="1"/>
      <c r="I469" s="16"/>
      <c r="J469" s="17"/>
    </row>
    <row r="470" spans="1:10" ht="15.75" customHeight="1" x14ac:dyDescent="0.25">
      <c r="A470" s="1"/>
      <c r="B470" s="1"/>
      <c r="C470" s="15"/>
      <c r="D470" s="17"/>
      <c r="E470" s="30"/>
      <c r="F470" s="17"/>
      <c r="G470" s="1"/>
      <c r="H470" s="1"/>
      <c r="I470" s="16"/>
      <c r="J470" s="17"/>
    </row>
    <row r="471" spans="1:10" ht="15.75" customHeight="1" x14ac:dyDescent="0.25">
      <c r="A471" s="1"/>
      <c r="B471" s="1"/>
      <c r="C471" s="15"/>
      <c r="D471" s="17"/>
      <c r="E471" s="30"/>
      <c r="F471" s="17"/>
      <c r="G471" s="1"/>
      <c r="H471" s="1"/>
      <c r="I471" s="16"/>
      <c r="J471" s="17"/>
    </row>
    <row r="472" spans="1:10" ht="15.75" customHeight="1" x14ac:dyDescent="0.25">
      <c r="A472" s="1"/>
      <c r="B472" s="1"/>
      <c r="C472" s="15"/>
      <c r="D472" s="17"/>
      <c r="E472" s="30"/>
      <c r="F472" s="17"/>
      <c r="G472" s="1"/>
      <c r="H472" s="1"/>
      <c r="I472" s="16"/>
      <c r="J472" s="17"/>
    </row>
    <row r="473" spans="1:10" ht="15.75" customHeight="1" x14ac:dyDescent="0.25">
      <c r="A473" s="1"/>
      <c r="B473" s="1"/>
      <c r="C473" s="15"/>
      <c r="D473" s="17"/>
      <c r="E473" s="30"/>
      <c r="F473" s="17"/>
      <c r="G473" s="1"/>
      <c r="H473" s="1"/>
      <c r="I473" s="16"/>
      <c r="J473" s="17"/>
    </row>
    <row r="474" spans="1:10" ht="15.75" customHeight="1" x14ac:dyDescent="0.25">
      <c r="A474" s="1"/>
      <c r="B474" s="1"/>
      <c r="C474" s="15"/>
      <c r="D474" s="17"/>
      <c r="E474" s="30"/>
      <c r="F474" s="17"/>
      <c r="G474" s="1"/>
      <c r="H474" s="1"/>
      <c r="I474" s="16"/>
      <c r="J474" s="17"/>
    </row>
    <row r="475" spans="1:10" ht="15.75" customHeight="1" x14ac:dyDescent="0.25">
      <c r="A475" s="1"/>
      <c r="B475" s="1"/>
      <c r="C475" s="15"/>
      <c r="D475" s="17"/>
      <c r="E475" s="30"/>
      <c r="F475" s="17"/>
      <c r="G475" s="1"/>
      <c r="H475" s="1"/>
      <c r="I475" s="16"/>
      <c r="J475" s="17"/>
    </row>
    <row r="476" spans="1:10" ht="15.75" customHeight="1" x14ac:dyDescent="0.25">
      <c r="A476" s="1"/>
      <c r="B476" s="1"/>
      <c r="C476" s="15"/>
      <c r="D476" s="17"/>
      <c r="E476" s="30"/>
      <c r="F476" s="17"/>
      <c r="G476" s="1"/>
      <c r="H476" s="1"/>
      <c r="I476" s="16"/>
      <c r="J476" s="17"/>
    </row>
    <row r="477" spans="1:10" ht="15.75" customHeight="1" x14ac:dyDescent="0.25">
      <c r="A477" s="1"/>
      <c r="B477" s="1"/>
      <c r="C477" s="15"/>
      <c r="D477" s="17"/>
      <c r="E477" s="30"/>
      <c r="F477" s="17"/>
      <c r="G477" s="1"/>
      <c r="H477" s="1"/>
      <c r="I477" s="16"/>
      <c r="J477" s="17"/>
    </row>
    <row r="478" spans="1:10" ht="15.75" customHeight="1" x14ac:dyDescent="0.25">
      <c r="A478" s="1"/>
      <c r="B478" s="1"/>
      <c r="C478" s="15"/>
      <c r="D478" s="17"/>
      <c r="E478" s="30"/>
      <c r="F478" s="17"/>
      <c r="G478" s="1"/>
      <c r="H478" s="1"/>
      <c r="I478" s="16"/>
      <c r="J478" s="17"/>
    </row>
    <row r="479" spans="1:10" ht="15.75" customHeight="1" x14ac:dyDescent="0.25">
      <c r="A479" s="1"/>
      <c r="B479" s="1"/>
      <c r="C479" s="15"/>
      <c r="D479" s="17"/>
      <c r="E479" s="30"/>
      <c r="F479" s="17"/>
      <c r="G479" s="1"/>
      <c r="H479" s="1"/>
      <c r="I479" s="16"/>
      <c r="J479" s="17"/>
    </row>
    <row r="480" spans="1:10" ht="15.75" customHeight="1" x14ac:dyDescent="0.25">
      <c r="A480" s="1"/>
      <c r="B480" s="1"/>
      <c r="C480" s="15"/>
      <c r="D480" s="17"/>
      <c r="E480" s="30"/>
      <c r="F480" s="17"/>
      <c r="G480" s="1"/>
      <c r="H480" s="1"/>
      <c r="I480" s="16"/>
      <c r="J480" s="17"/>
    </row>
    <row r="481" spans="1:10" ht="15.75" customHeight="1" x14ac:dyDescent="0.25">
      <c r="A481" s="1"/>
      <c r="B481" s="1"/>
      <c r="C481" s="15"/>
      <c r="D481" s="17"/>
      <c r="E481" s="30"/>
      <c r="F481" s="17"/>
      <c r="G481" s="1"/>
      <c r="H481" s="1"/>
      <c r="I481" s="16"/>
      <c r="J481" s="17"/>
    </row>
    <row r="482" spans="1:10" ht="15.75" customHeight="1" x14ac:dyDescent="0.25">
      <c r="A482" s="1"/>
      <c r="B482" s="1"/>
      <c r="C482" s="15"/>
      <c r="D482" s="17"/>
      <c r="E482" s="30"/>
      <c r="F482" s="17"/>
      <c r="G482" s="1"/>
      <c r="H482" s="1"/>
      <c r="I482" s="16"/>
      <c r="J482" s="17"/>
    </row>
    <row r="483" spans="1:10" ht="15.75" customHeight="1" x14ac:dyDescent="0.25">
      <c r="A483" s="1"/>
      <c r="B483" s="1"/>
      <c r="C483" s="15"/>
      <c r="D483" s="17"/>
      <c r="E483" s="30"/>
      <c r="F483" s="17"/>
      <c r="G483" s="1"/>
      <c r="H483" s="1"/>
      <c r="I483" s="16"/>
      <c r="J483" s="17"/>
    </row>
    <row r="484" spans="1:10" ht="15.75" customHeight="1" x14ac:dyDescent="0.25">
      <c r="A484" s="1"/>
      <c r="B484" s="1"/>
      <c r="C484" s="15"/>
      <c r="D484" s="17"/>
      <c r="E484" s="30"/>
      <c r="F484" s="17"/>
      <c r="G484" s="1"/>
      <c r="H484" s="1"/>
      <c r="I484" s="16"/>
      <c r="J484" s="17"/>
    </row>
    <row r="485" spans="1:10" ht="15.75" customHeight="1" x14ac:dyDescent="0.25">
      <c r="A485" s="1"/>
      <c r="B485" s="1"/>
      <c r="C485" s="15"/>
      <c r="D485" s="17"/>
      <c r="E485" s="30"/>
      <c r="F485" s="17"/>
      <c r="G485" s="1"/>
      <c r="H485" s="1"/>
      <c r="I485" s="16"/>
      <c r="J485" s="17"/>
    </row>
    <row r="486" spans="1:10" ht="15.75" customHeight="1" x14ac:dyDescent="0.25">
      <c r="A486" s="1"/>
      <c r="B486" s="1"/>
      <c r="C486" s="15"/>
      <c r="D486" s="17"/>
      <c r="E486" s="30"/>
      <c r="F486" s="17"/>
      <c r="G486" s="1"/>
      <c r="H486" s="1"/>
      <c r="I486" s="16"/>
      <c r="J486" s="17"/>
    </row>
    <row r="487" spans="1:10" ht="15.75" customHeight="1" x14ac:dyDescent="0.25">
      <c r="A487" s="1"/>
      <c r="B487" s="1"/>
      <c r="C487" s="15"/>
      <c r="D487" s="17"/>
      <c r="E487" s="30"/>
      <c r="F487" s="17"/>
      <c r="G487" s="1"/>
      <c r="H487" s="1"/>
      <c r="I487" s="16"/>
      <c r="J487" s="17"/>
    </row>
    <row r="488" spans="1:10" ht="15.75" customHeight="1" x14ac:dyDescent="0.25">
      <c r="A488" s="1"/>
      <c r="B488" s="1"/>
      <c r="C488" s="15"/>
      <c r="D488" s="17"/>
      <c r="E488" s="30"/>
      <c r="F488" s="17"/>
      <c r="G488" s="1"/>
      <c r="H488" s="1"/>
      <c r="I488" s="16"/>
      <c r="J488" s="17"/>
    </row>
    <row r="489" spans="1:10" ht="15.75" customHeight="1" x14ac:dyDescent="0.25">
      <c r="A489" s="1"/>
      <c r="B489" s="1"/>
      <c r="C489" s="15"/>
      <c r="D489" s="17"/>
      <c r="E489" s="30"/>
      <c r="F489" s="17"/>
      <c r="G489" s="1"/>
      <c r="H489" s="1"/>
      <c r="I489" s="16"/>
      <c r="J489" s="17"/>
    </row>
    <row r="490" spans="1:10" ht="15.75" customHeight="1" x14ac:dyDescent="0.25">
      <c r="A490" s="1"/>
      <c r="B490" s="1"/>
      <c r="C490" s="15"/>
      <c r="D490" s="17"/>
      <c r="E490" s="30"/>
      <c r="F490" s="17"/>
      <c r="G490" s="1"/>
      <c r="H490" s="1"/>
      <c r="I490" s="16"/>
      <c r="J490" s="17"/>
    </row>
    <row r="491" spans="1:10" ht="15.75" customHeight="1" x14ac:dyDescent="0.25">
      <c r="A491" s="1"/>
      <c r="B491" s="1"/>
      <c r="C491" s="15"/>
      <c r="D491" s="17"/>
      <c r="E491" s="30"/>
      <c r="F491" s="17"/>
      <c r="G491" s="1"/>
      <c r="H491" s="1"/>
      <c r="I491" s="16"/>
      <c r="J491" s="17"/>
    </row>
    <row r="492" spans="1:10" ht="15.75" customHeight="1" x14ac:dyDescent="0.25">
      <c r="A492" s="1"/>
      <c r="B492" s="1"/>
      <c r="C492" s="15"/>
      <c r="D492" s="17"/>
      <c r="E492" s="30"/>
      <c r="F492" s="17"/>
      <c r="G492" s="1"/>
      <c r="H492" s="1"/>
      <c r="I492" s="16"/>
      <c r="J492" s="17"/>
    </row>
    <row r="493" spans="1:10" ht="15.75" customHeight="1" x14ac:dyDescent="0.25">
      <c r="A493" s="1"/>
      <c r="B493" s="1"/>
      <c r="C493" s="15"/>
      <c r="D493" s="17"/>
      <c r="E493" s="30"/>
      <c r="F493" s="17"/>
      <c r="G493" s="1"/>
      <c r="H493" s="1"/>
      <c r="I493" s="16"/>
      <c r="J493" s="17"/>
    </row>
    <row r="494" spans="1:10" ht="15.75" customHeight="1" x14ac:dyDescent="0.25">
      <c r="A494" s="1"/>
      <c r="B494" s="1"/>
      <c r="C494" s="15"/>
      <c r="D494" s="17"/>
      <c r="E494" s="30"/>
      <c r="F494" s="17"/>
      <c r="G494" s="1"/>
      <c r="H494" s="1"/>
      <c r="I494" s="16"/>
      <c r="J494" s="17"/>
    </row>
    <row r="495" spans="1:10" ht="15.75" customHeight="1" x14ac:dyDescent="0.25">
      <c r="A495" s="1"/>
      <c r="B495" s="1"/>
      <c r="C495" s="15"/>
      <c r="D495" s="17"/>
      <c r="E495" s="30"/>
      <c r="F495" s="17"/>
      <c r="G495" s="1"/>
      <c r="H495" s="1"/>
      <c r="I495" s="16"/>
      <c r="J495" s="17"/>
    </row>
    <row r="496" spans="1:10" ht="15.75" customHeight="1" x14ac:dyDescent="0.25">
      <c r="A496" s="1"/>
      <c r="B496" s="1"/>
      <c r="C496" s="15"/>
      <c r="D496" s="17"/>
      <c r="E496" s="30"/>
      <c r="F496" s="17"/>
      <c r="G496" s="1"/>
      <c r="H496" s="1"/>
      <c r="I496" s="16"/>
      <c r="J496" s="17"/>
    </row>
    <row r="497" spans="1:10" ht="15.75" customHeight="1" x14ac:dyDescent="0.25">
      <c r="A497" s="1"/>
      <c r="B497" s="1"/>
      <c r="C497" s="15"/>
      <c r="D497" s="17"/>
      <c r="E497" s="30"/>
      <c r="F497" s="17"/>
      <c r="G497" s="1"/>
      <c r="H497" s="1"/>
      <c r="I497" s="16"/>
      <c r="J497" s="17"/>
    </row>
    <row r="498" spans="1:10" ht="15.75" customHeight="1" x14ac:dyDescent="0.25">
      <c r="A498" s="1"/>
      <c r="B498" s="1"/>
      <c r="C498" s="15"/>
      <c r="D498" s="17"/>
      <c r="E498" s="30"/>
      <c r="F498" s="17"/>
      <c r="G498" s="1"/>
      <c r="H498" s="1"/>
      <c r="I498" s="16"/>
      <c r="J498" s="17"/>
    </row>
    <row r="499" spans="1:10" ht="15.75" customHeight="1" x14ac:dyDescent="0.25">
      <c r="A499" s="1"/>
      <c r="B499" s="1"/>
      <c r="C499" s="15"/>
      <c r="D499" s="17"/>
      <c r="E499" s="30"/>
      <c r="F499" s="17"/>
      <c r="G499" s="1"/>
      <c r="H499" s="1"/>
      <c r="I499" s="16"/>
      <c r="J499" s="17"/>
    </row>
    <row r="500" spans="1:10" ht="15.75" customHeight="1" x14ac:dyDescent="0.25">
      <c r="A500" s="1"/>
      <c r="B500" s="1"/>
      <c r="C500" s="15"/>
      <c r="D500" s="17"/>
      <c r="E500" s="30"/>
      <c r="F500" s="17"/>
      <c r="G500" s="1"/>
      <c r="H500" s="1"/>
      <c r="I500" s="16"/>
      <c r="J500" s="17"/>
    </row>
    <row r="501" spans="1:10" ht="15.75" customHeight="1" x14ac:dyDescent="0.25">
      <c r="A501" s="1"/>
      <c r="B501" s="1"/>
      <c r="C501" s="15"/>
      <c r="D501" s="17"/>
      <c r="E501" s="30"/>
      <c r="F501" s="17"/>
      <c r="G501" s="1"/>
      <c r="H501" s="1"/>
      <c r="I501" s="16"/>
      <c r="J501" s="17"/>
    </row>
    <row r="502" spans="1:10" ht="15.75" customHeight="1" x14ac:dyDescent="0.25">
      <c r="A502" s="1"/>
      <c r="B502" s="1"/>
      <c r="C502" s="15"/>
      <c r="D502" s="17"/>
      <c r="E502" s="30"/>
      <c r="F502" s="17"/>
      <c r="G502" s="1"/>
      <c r="H502" s="1"/>
      <c r="I502" s="16"/>
      <c r="J502" s="17"/>
    </row>
    <row r="503" spans="1:10" ht="15.75" customHeight="1" x14ac:dyDescent="0.25">
      <c r="A503" s="1"/>
      <c r="B503" s="1"/>
      <c r="C503" s="15"/>
      <c r="D503" s="17"/>
      <c r="E503" s="30"/>
      <c r="F503" s="17"/>
      <c r="G503" s="1"/>
      <c r="H503" s="1"/>
      <c r="I503" s="16"/>
      <c r="J503" s="17"/>
    </row>
    <row r="504" spans="1:10" ht="15.75" customHeight="1" x14ac:dyDescent="0.25">
      <c r="A504" s="1"/>
      <c r="B504" s="1"/>
      <c r="C504" s="15"/>
      <c r="D504" s="17"/>
      <c r="E504" s="30"/>
      <c r="F504" s="17"/>
      <c r="G504" s="1"/>
      <c r="H504" s="1"/>
      <c r="I504" s="16"/>
      <c r="J504" s="17"/>
    </row>
    <row r="505" spans="1:10" ht="15.75" customHeight="1" x14ac:dyDescent="0.25">
      <c r="A505" s="1"/>
      <c r="B505" s="1"/>
      <c r="C505" s="15"/>
      <c r="D505" s="17"/>
      <c r="E505" s="30"/>
      <c r="F505" s="17"/>
      <c r="G505" s="1"/>
      <c r="H505" s="1"/>
      <c r="I505" s="16"/>
      <c r="J505" s="17"/>
    </row>
    <row r="506" spans="1:10" ht="15.75" customHeight="1" x14ac:dyDescent="0.25">
      <c r="A506" s="1"/>
      <c r="B506" s="1"/>
      <c r="C506" s="15"/>
      <c r="D506" s="17"/>
      <c r="E506" s="30"/>
      <c r="F506" s="17"/>
      <c r="G506" s="1"/>
      <c r="H506" s="1"/>
      <c r="I506" s="16"/>
      <c r="J506" s="17"/>
    </row>
    <row r="507" spans="1:10" ht="15.75" customHeight="1" x14ac:dyDescent="0.25">
      <c r="A507" s="1"/>
      <c r="B507" s="1"/>
      <c r="C507" s="15"/>
      <c r="D507" s="17"/>
      <c r="E507" s="30"/>
      <c r="F507" s="17"/>
      <c r="G507" s="1"/>
      <c r="H507" s="1"/>
      <c r="I507" s="16"/>
      <c r="J507" s="17"/>
    </row>
    <row r="508" spans="1:10" ht="15.75" customHeight="1" x14ac:dyDescent="0.25">
      <c r="A508" s="1"/>
      <c r="B508" s="1"/>
      <c r="C508" s="15"/>
      <c r="D508" s="17"/>
      <c r="E508" s="30"/>
      <c r="F508" s="17"/>
      <c r="G508" s="1"/>
      <c r="H508" s="1"/>
      <c r="I508" s="16"/>
      <c r="J508" s="17"/>
    </row>
    <row r="509" spans="1:10" ht="15.75" customHeight="1" x14ac:dyDescent="0.25">
      <c r="A509" s="1"/>
      <c r="B509" s="1"/>
      <c r="C509" s="15"/>
      <c r="D509" s="17"/>
      <c r="E509" s="30"/>
      <c r="F509" s="17"/>
      <c r="G509" s="1"/>
      <c r="H509" s="1"/>
      <c r="I509" s="16"/>
      <c r="J509" s="17"/>
    </row>
    <row r="510" spans="1:10" ht="15.75" customHeight="1" x14ac:dyDescent="0.25">
      <c r="A510" s="1"/>
      <c r="B510" s="1"/>
      <c r="C510" s="15"/>
      <c r="D510" s="17"/>
      <c r="E510" s="30"/>
      <c r="F510" s="17"/>
      <c r="G510" s="1"/>
      <c r="H510" s="1"/>
      <c r="I510" s="16"/>
      <c r="J510" s="17"/>
    </row>
    <row r="511" spans="1:10" ht="15.75" customHeight="1" x14ac:dyDescent="0.25">
      <c r="A511" s="1"/>
      <c r="B511" s="1"/>
      <c r="C511" s="15"/>
      <c r="D511" s="17"/>
      <c r="E511" s="30"/>
      <c r="F511" s="17"/>
      <c r="G511" s="1"/>
      <c r="H511" s="1"/>
      <c r="I511" s="16"/>
      <c r="J511" s="17"/>
    </row>
    <row r="512" spans="1:10" ht="15.75" customHeight="1" x14ac:dyDescent="0.25">
      <c r="A512" s="1"/>
      <c r="B512" s="1"/>
      <c r="C512" s="15"/>
      <c r="D512" s="17"/>
      <c r="E512" s="30"/>
      <c r="F512" s="17"/>
      <c r="G512" s="1"/>
      <c r="H512" s="1"/>
      <c r="I512" s="16"/>
      <c r="J512" s="17"/>
    </row>
    <row r="513" spans="1:10" ht="15.75" customHeight="1" x14ac:dyDescent="0.25">
      <c r="A513" s="1"/>
      <c r="B513" s="1"/>
      <c r="C513" s="15"/>
      <c r="D513" s="17"/>
      <c r="E513" s="30"/>
      <c r="F513" s="17"/>
      <c r="G513" s="1"/>
      <c r="H513" s="1"/>
      <c r="I513" s="16"/>
      <c r="J513" s="17"/>
    </row>
    <row r="514" spans="1:10" ht="15.75" customHeight="1" x14ac:dyDescent="0.25">
      <c r="A514" s="1"/>
      <c r="B514" s="1"/>
      <c r="C514" s="15"/>
      <c r="D514" s="17"/>
      <c r="E514" s="30"/>
      <c r="F514" s="17"/>
      <c r="G514" s="1"/>
      <c r="H514" s="1"/>
      <c r="I514" s="16"/>
      <c r="J514" s="17"/>
    </row>
    <row r="515" spans="1:10" ht="15.75" customHeight="1" x14ac:dyDescent="0.25">
      <c r="A515" s="1"/>
      <c r="B515" s="1"/>
      <c r="C515" s="15"/>
      <c r="D515" s="17"/>
      <c r="E515" s="30"/>
      <c r="F515" s="17"/>
      <c r="G515" s="1"/>
      <c r="H515" s="1"/>
      <c r="I515" s="16"/>
      <c r="J515" s="17"/>
    </row>
    <row r="516" spans="1:10" ht="15.75" customHeight="1" x14ac:dyDescent="0.25">
      <c r="A516" s="1"/>
      <c r="B516" s="1"/>
      <c r="C516" s="15"/>
      <c r="D516" s="17"/>
      <c r="E516" s="30"/>
      <c r="F516" s="17"/>
      <c r="G516" s="1"/>
      <c r="H516" s="1"/>
      <c r="I516" s="16"/>
      <c r="J516" s="17"/>
    </row>
    <row r="517" spans="1:10" ht="15.75" customHeight="1" x14ac:dyDescent="0.25">
      <c r="A517" s="1"/>
      <c r="B517" s="1"/>
      <c r="C517" s="15"/>
      <c r="D517" s="17"/>
      <c r="E517" s="30"/>
      <c r="F517" s="17"/>
      <c r="G517" s="1"/>
      <c r="H517" s="1"/>
      <c r="I517" s="16"/>
      <c r="J517" s="17"/>
    </row>
    <row r="518" spans="1:10" ht="15.75" customHeight="1" x14ac:dyDescent="0.25">
      <c r="A518" s="1"/>
      <c r="B518" s="1"/>
      <c r="C518" s="15"/>
      <c r="D518" s="17"/>
      <c r="E518" s="30"/>
      <c r="F518" s="17"/>
      <c r="G518" s="1"/>
      <c r="H518" s="1"/>
      <c r="I518" s="16"/>
      <c r="J518" s="17"/>
    </row>
    <row r="519" spans="1:10" ht="15.75" customHeight="1" x14ac:dyDescent="0.25">
      <c r="A519" s="1"/>
      <c r="B519" s="1"/>
      <c r="C519" s="15"/>
      <c r="D519" s="17"/>
      <c r="E519" s="30"/>
      <c r="F519" s="17"/>
      <c r="G519" s="1"/>
      <c r="H519" s="1"/>
      <c r="I519" s="16"/>
      <c r="J519" s="17"/>
    </row>
    <row r="520" spans="1:10" ht="15.75" customHeight="1" x14ac:dyDescent="0.25">
      <c r="A520" s="1"/>
      <c r="B520" s="1"/>
      <c r="C520" s="15"/>
      <c r="D520" s="17"/>
      <c r="E520" s="30"/>
      <c r="F520" s="17"/>
      <c r="G520" s="1"/>
      <c r="H520" s="1"/>
      <c r="I520" s="16"/>
      <c r="J520" s="17"/>
    </row>
    <row r="521" spans="1:10" ht="15.75" customHeight="1" x14ac:dyDescent="0.25">
      <c r="A521" s="1"/>
      <c r="B521" s="1"/>
      <c r="C521" s="15"/>
      <c r="D521" s="17"/>
      <c r="E521" s="30"/>
      <c r="F521" s="17"/>
      <c r="G521" s="1"/>
      <c r="H521" s="1"/>
      <c r="I521" s="16"/>
      <c r="J521" s="17"/>
    </row>
    <row r="522" spans="1:10" ht="15.75" customHeight="1" x14ac:dyDescent="0.25">
      <c r="A522" s="1"/>
      <c r="B522" s="1"/>
      <c r="C522" s="15"/>
      <c r="D522" s="17"/>
      <c r="E522" s="30"/>
      <c r="F522" s="17"/>
      <c r="G522" s="1"/>
      <c r="H522" s="1"/>
      <c r="I522" s="16"/>
      <c r="J522" s="17"/>
    </row>
    <row r="523" spans="1:10" ht="15.75" customHeight="1" x14ac:dyDescent="0.25">
      <c r="A523" s="1"/>
      <c r="B523" s="1"/>
      <c r="C523" s="15"/>
      <c r="D523" s="17"/>
      <c r="E523" s="30"/>
      <c r="F523" s="17"/>
      <c r="G523" s="1"/>
      <c r="H523" s="1"/>
      <c r="I523" s="16"/>
      <c r="J523" s="17"/>
    </row>
    <row r="524" spans="1:10" ht="15.75" customHeight="1" x14ac:dyDescent="0.25">
      <c r="A524" s="1"/>
      <c r="B524" s="1"/>
      <c r="C524" s="15"/>
      <c r="D524" s="17"/>
      <c r="E524" s="30"/>
      <c r="F524" s="17"/>
      <c r="G524" s="1"/>
      <c r="H524" s="1"/>
      <c r="I524" s="16"/>
      <c r="J524" s="17"/>
    </row>
    <row r="525" spans="1:10" ht="15.75" customHeight="1" x14ac:dyDescent="0.25">
      <c r="A525" s="1"/>
      <c r="B525" s="1"/>
      <c r="C525" s="15"/>
      <c r="D525" s="17"/>
      <c r="E525" s="30"/>
      <c r="F525" s="17"/>
      <c r="G525" s="1"/>
      <c r="H525" s="1"/>
      <c r="I525" s="16"/>
      <c r="J525" s="17"/>
    </row>
    <row r="526" spans="1:10" ht="15.75" customHeight="1" x14ac:dyDescent="0.25">
      <c r="A526" s="1"/>
      <c r="B526" s="1"/>
      <c r="C526" s="15"/>
      <c r="D526" s="17"/>
      <c r="E526" s="30"/>
      <c r="F526" s="17"/>
      <c r="G526" s="1"/>
      <c r="H526" s="1"/>
      <c r="I526" s="16"/>
      <c r="J526" s="17"/>
    </row>
    <row r="527" spans="1:10" ht="15.75" customHeight="1" x14ac:dyDescent="0.25">
      <c r="A527" s="1"/>
      <c r="B527" s="1"/>
      <c r="C527" s="15"/>
      <c r="D527" s="17"/>
      <c r="E527" s="30"/>
      <c r="F527" s="17"/>
      <c r="G527" s="1"/>
      <c r="H527" s="1"/>
      <c r="I527" s="16"/>
      <c r="J527" s="17"/>
    </row>
    <row r="528" spans="1:10" ht="15.75" customHeight="1" x14ac:dyDescent="0.25">
      <c r="A528" s="1"/>
      <c r="B528" s="1"/>
      <c r="C528" s="15"/>
      <c r="D528" s="17"/>
      <c r="E528" s="30"/>
      <c r="F528" s="17"/>
      <c r="G528" s="1"/>
      <c r="H528" s="1"/>
      <c r="I528" s="16"/>
      <c r="J528" s="17"/>
    </row>
    <row r="529" spans="1:10" ht="15.75" customHeight="1" x14ac:dyDescent="0.25">
      <c r="A529" s="1"/>
      <c r="B529" s="1"/>
      <c r="C529" s="15"/>
      <c r="D529" s="17"/>
      <c r="E529" s="30"/>
      <c r="F529" s="17"/>
      <c r="G529" s="1"/>
      <c r="H529" s="1"/>
      <c r="I529" s="16"/>
      <c r="J529" s="17"/>
    </row>
    <row r="530" spans="1:10" ht="15.75" customHeight="1" x14ac:dyDescent="0.25">
      <c r="A530" s="1"/>
      <c r="B530" s="1"/>
      <c r="C530" s="15"/>
      <c r="D530" s="17"/>
      <c r="E530" s="30"/>
      <c r="F530" s="17"/>
      <c r="G530" s="1"/>
      <c r="H530" s="1"/>
      <c r="I530" s="16"/>
      <c r="J530" s="17"/>
    </row>
    <row r="531" spans="1:10" ht="15.75" customHeight="1" x14ac:dyDescent="0.25">
      <c r="A531" s="1"/>
      <c r="B531" s="1"/>
      <c r="C531" s="15"/>
      <c r="D531" s="17"/>
      <c r="E531" s="30"/>
      <c r="F531" s="17"/>
      <c r="G531" s="1"/>
      <c r="H531" s="1"/>
      <c r="I531" s="16"/>
      <c r="J531" s="17"/>
    </row>
    <row r="532" spans="1:10" ht="15.75" customHeight="1" x14ac:dyDescent="0.25">
      <c r="A532" s="1"/>
      <c r="B532" s="1"/>
      <c r="C532" s="15"/>
      <c r="D532" s="17"/>
      <c r="E532" s="30"/>
      <c r="F532" s="17"/>
      <c r="G532" s="1"/>
      <c r="H532" s="1"/>
      <c r="I532" s="16"/>
      <c r="J532" s="17"/>
    </row>
    <row r="533" spans="1:10" ht="15.75" customHeight="1" x14ac:dyDescent="0.25">
      <c r="A533" s="1"/>
      <c r="B533" s="1"/>
      <c r="C533" s="15"/>
      <c r="D533" s="17"/>
      <c r="E533" s="30"/>
      <c r="F533" s="17"/>
      <c r="G533" s="1"/>
      <c r="H533" s="1"/>
      <c r="I533" s="16"/>
      <c r="J533" s="17"/>
    </row>
    <row r="534" spans="1:10" ht="15.75" customHeight="1" x14ac:dyDescent="0.25">
      <c r="A534" s="1"/>
      <c r="B534" s="1"/>
      <c r="C534" s="15"/>
      <c r="D534" s="17"/>
      <c r="E534" s="30"/>
      <c r="F534" s="17"/>
      <c r="G534" s="1"/>
      <c r="H534" s="1"/>
      <c r="I534" s="16"/>
      <c r="J534" s="17"/>
    </row>
    <row r="535" spans="1:10" ht="15.75" customHeight="1" x14ac:dyDescent="0.25">
      <c r="A535" s="1"/>
      <c r="B535" s="1"/>
      <c r="C535" s="15"/>
      <c r="D535" s="17"/>
      <c r="E535" s="30"/>
      <c r="F535" s="17"/>
      <c r="G535" s="1"/>
      <c r="H535" s="1"/>
      <c r="I535" s="16"/>
      <c r="J535" s="17"/>
    </row>
    <row r="536" spans="1:10" ht="15.75" customHeight="1" x14ac:dyDescent="0.25">
      <c r="A536" s="1"/>
      <c r="B536" s="1"/>
      <c r="C536" s="15"/>
      <c r="D536" s="17"/>
      <c r="E536" s="30"/>
      <c r="F536" s="17"/>
      <c r="G536" s="1"/>
      <c r="H536" s="1"/>
      <c r="I536" s="16"/>
      <c r="J536" s="17"/>
    </row>
    <row r="537" spans="1:10" ht="15.75" customHeight="1" x14ac:dyDescent="0.25">
      <c r="A537" s="1"/>
      <c r="B537" s="1"/>
      <c r="C537" s="15"/>
      <c r="D537" s="17"/>
      <c r="E537" s="30"/>
      <c r="F537" s="17"/>
      <c r="G537" s="1"/>
      <c r="H537" s="1"/>
      <c r="I537" s="16"/>
      <c r="J537" s="17"/>
    </row>
    <row r="538" spans="1:10" ht="15.75" customHeight="1" x14ac:dyDescent="0.25">
      <c r="A538" s="1"/>
      <c r="B538" s="1"/>
      <c r="C538" s="15"/>
      <c r="D538" s="17"/>
      <c r="E538" s="30"/>
      <c r="F538" s="17"/>
      <c r="G538" s="1"/>
      <c r="H538" s="1"/>
      <c r="I538" s="16"/>
      <c r="J538" s="17"/>
    </row>
    <row r="539" spans="1:10" ht="15.75" customHeight="1" x14ac:dyDescent="0.25">
      <c r="A539" s="1"/>
      <c r="B539" s="1"/>
      <c r="C539" s="15"/>
      <c r="D539" s="17"/>
      <c r="E539" s="30"/>
      <c r="F539" s="17"/>
      <c r="G539" s="1"/>
      <c r="H539" s="1"/>
      <c r="I539" s="16"/>
      <c r="J539" s="17"/>
    </row>
    <row r="540" spans="1:10" ht="15.75" customHeight="1" x14ac:dyDescent="0.25">
      <c r="A540" s="1"/>
      <c r="B540" s="1"/>
      <c r="C540" s="15"/>
      <c r="D540" s="17"/>
      <c r="E540" s="30"/>
      <c r="F540" s="17"/>
      <c r="G540" s="1"/>
      <c r="H540" s="1"/>
      <c r="I540" s="16"/>
      <c r="J540" s="17"/>
    </row>
    <row r="541" spans="1:10" ht="15.75" customHeight="1" x14ac:dyDescent="0.25">
      <c r="A541" s="1"/>
      <c r="B541" s="1"/>
      <c r="C541" s="15"/>
      <c r="D541" s="17"/>
      <c r="E541" s="30"/>
      <c r="F541" s="17"/>
      <c r="G541" s="1"/>
      <c r="H541" s="1"/>
      <c r="I541" s="16"/>
      <c r="J541" s="17"/>
    </row>
    <row r="542" spans="1:10" ht="15.75" customHeight="1" x14ac:dyDescent="0.25">
      <c r="A542" s="1"/>
      <c r="B542" s="1"/>
      <c r="C542" s="15"/>
      <c r="D542" s="17"/>
      <c r="E542" s="30"/>
      <c r="F542" s="17"/>
      <c r="G542" s="1"/>
      <c r="H542" s="1"/>
      <c r="I542" s="16"/>
      <c r="J542" s="17"/>
    </row>
    <row r="543" spans="1:10" ht="15.75" customHeight="1" x14ac:dyDescent="0.25">
      <c r="A543" s="1"/>
      <c r="B543" s="1"/>
      <c r="C543" s="15"/>
      <c r="D543" s="17"/>
      <c r="E543" s="30"/>
      <c r="F543" s="17"/>
      <c r="G543" s="1"/>
      <c r="H543" s="1"/>
      <c r="I543" s="16"/>
      <c r="J543" s="17"/>
    </row>
    <row r="544" spans="1:10" ht="15.75" customHeight="1" x14ac:dyDescent="0.25">
      <c r="A544" s="1"/>
      <c r="B544" s="1"/>
      <c r="C544" s="15"/>
      <c r="D544" s="17"/>
      <c r="E544" s="30"/>
      <c r="F544" s="17"/>
      <c r="G544" s="1"/>
      <c r="H544" s="1"/>
      <c r="I544" s="16"/>
      <c r="J544" s="17"/>
    </row>
    <row r="545" spans="1:10" ht="15.75" customHeight="1" x14ac:dyDescent="0.25">
      <c r="A545" s="1"/>
      <c r="B545" s="1"/>
      <c r="C545" s="15"/>
      <c r="D545" s="17"/>
      <c r="E545" s="30"/>
      <c r="F545" s="17"/>
      <c r="G545" s="1"/>
      <c r="H545" s="1"/>
      <c r="I545" s="16"/>
      <c r="J545" s="17"/>
    </row>
    <row r="546" spans="1:10" ht="15.75" customHeight="1" x14ac:dyDescent="0.25">
      <c r="A546" s="1"/>
      <c r="B546" s="1"/>
      <c r="C546" s="15"/>
      <c r="D546" s="17"/>
      <c r="E546" s="30"/>
      <c r="F546" s="17"/>
      <c r="G546" s="1"/>
      <c r="H546" s="1"/>
      <c r="I546" s="16"/>
      <c r="J546" s="17"/>
    </row>
    <row r="547" spans="1:10" ht="15.75" customHeight="1" x14ac:dyDescent="0.25">
      <c r="A547" s="1"/>
      <c r="B547" s="1"/>
      <c r="C547" s="15"/>
      <c r="D547" s="17"/>
      <c r="E547" s="30"/>
      <c r="F547" s="17"/>
      <c r="G547" s="1"/>
      <c r="H547" s="1"/>
      <c r="I547" s="16"/>
      <c r="J547" s="17"/>
    </row>
    <row r="548" spans="1:10" ht="15.75" customHeight="1" x14ac:dyDescent="0.25">
      <c r="A548" s="1"/>
      <c r="B548" s="1"/>
      <c r="C548" s="15"/>
      <c r="D548" s="17"/>
      <c r="E548" s="30"/>
      <c r="F548" s="17"/>
      <c r="G548" s="1"/>
      <c r="H548" s="1"/>
      <c r="I548" s="16"/>
      <c r="J548" s="17"/>
    </row>
    <row r="549" spans="1:10" ht="15.75" customHeight="1" x14ac:dyDescent="0.25">
      <c r="A549" s="1"/>
      <c r="B549" s="1"/>
      <c r="C549" s="15"/>
      <c r="D549" s="17"/>
      <c r="E549" s="30"/>
      <c r="F549" s="17"/>
      <c r="G549" s="1"/>
      <c r="H549" s="1"/>
      <c r="I549" s="16"/>
      <c r="J549" s="17"/>
    </row>
    <row r="550" spans="1:10" ht="15.75" customHeight="1" x14ac:dyDescent="0.25">
      <c r="A550" s="1"/>
      <c r="B550" s="1"/>
      <c r="C550" s="15"/>
      <c r="D550" s="17"/>
      <c r="E550" s="30"/>
      <c r="F550" s="17"/>
      <c r="G550" s="1"/>
      <c r="H550" s="1"/>
      <c r="I550" s="16"/>
      <c r="J550" s="17"/>
    </row>
    <row r="551" spans="1:10" ht="15.75" customHeight="1" x14ac:dyDescent="0.25">
      <c r="A551" s="1"/>
      <c r="B551" s="1"/>
      <c r="C551" s="15"/>
      <c r="D551" s="17"/>
      <c r="E551" s="30"/>
      <c r="F551" s="17"/>
      <c r="G551" s="1"/>
      <c r="H551" s="1"/>
      <c r="I551" s="16"/>
      <c r="J551" s="17"/>
    </row>
    <row r="552" spans="1:10" ht="15.75" customHeight="1" x14ac:dyDescent="0.25">
      <c r="A552" s="1"/>
      <c r="B552" s="1"/>
      <c r="C552" s="15"/>
      <c r="D552" s="17"/>
      <c r="E552" s="30"/>
      <c r="F552" s="17"/>
      <c r="G552" s="1"/>
      <c r="H552" s="1"/>
      <c r="I552" s="16"/>
      <c r="J552" s="17"/>
    </row>
    <row r="553" spans="1:10" ht="15.75" customHeight="1" x14ac:dyDescent="0.25">
      <c r="A553" s="1"/>
      <c r="B553" s="1"/>
      <c r="C553" s="15"/>
      <c r="D553" s="17"/>
      <c r="E553" s="30"/>
      <c r="F553" s="17"/>
      <c r="G553" s="1"/>
      <c r="H553" s="1"/>
      <c r="I553" s="16"/>
      <c r="J553" s="17"/>
    </row>
    <row r="554" spans="1:10" ht="15.75" customHeight="1" x14ac:dyDescent="0.25">
      <c r="A554" s="1"/>
      <c r="B554" s="1"/>
      <c r="C554" s="15"/>
      <c r="D554" s="17"/>
      <c r="E554" s="30"/>
      <c r="F554" s="17"/>
      <c r="G554" s="1"/>
      <c r="H554" s="1"/>
      <c r="I554" s="16"/>
      <c r="J554" s="17"/>
    </row>
    <row r="555" spans="1:10" ht="15.75" customHeight="1" x14ac:dyDescent="0.25">
      <c r="A555" s="1"/>
      <c r="B555" s="1"/>
      <c r="C555" s="15"/>
      <c r="D555" s="17"/>
      <c r="E555" s="30"/>
      <c r="F555" s="17"/>
      <c r="G555" s="1"/>
      <c r="H555" s="1"/>
      <c r="I555" s="16"/>
      <c r="J555" s="17"/>
    </row>
    <row r="556" spans="1:10" ht="15.75" customHeight="1" x14ac:dyDescent="0.25">
      <c r="A556" s="1"/>
      <c r="B556" s="1"/>
      <c r="C556" s="15"/>
      <c r="D556" s="17"/>
      <c r="E556" s="30"/>
      <c r="F556" s="17"/>
      <c r="G556" s="1"/>
      <c r="H556" s="1"/>
      <c r="I556" s="16"/>
      <c r="J556" s="17"/>
    </row>
    <row r="557" spans="1:10" ht="15.75" customHeight="1" x14ac:dyDescent="0.25">
      <c r="A557" s="1"/>
      <c r="B557" s="1"/>
      <c r="C557" s="15"/>
      <c r="D557" s="17"/>
      <c r="E557" s="30"/>
      <c r="F557" s="17"/>
      <c r="G557" s="1"/>
      <c r="H557" s="1"/>
      <c r="I557" s="16"/>
      <c r="J557" s="17"/>
    </row>
    <row r="558" spans="1:10" ht="15.75" customHeight="1" x14ac:dyDescent="0.25">
      <c r="A558" s="1"/>
      <c r="B558" s="1"/>
      <c r="C558" s="15"/>
      <c r="D558" s="17"/>
      <c r="E558" s="30"/>
      <c r="F558" s="17"/>
      <c r="G558" s="1"/>
      <c r="H558" s="1"/>
      <c r="I558" s="16"/>
      <c r="J558" s="17"/>
    </row>
    <row r="559" spans="1:10" ht="15.75" customHeight="1" x14ac:dyDescent="0.25">
      <c r="A559" s="1"/>
      <c r="B559" s="1"/>
      <c r="C559" s="15"/>
      <c r="D559" s="17"/>
      <c r="E559" s="30"/>
      <c r="F559" s="17"/>
      <c r="G559" s="1"/>
      <c r="H559" s="1"/>
      <c r="I559" s="16"/>
      <c r="J559" s="17"/>
    </row>
    <row r="560" spans="1:10" ht="15.75" customHeight="1" x14ac:dyDescent="0.25">
      <c r="A560" s="1"/>
      <c r="B560" s="1"/>
      <c r="C560" s="15"/>
      <c r="D560" s="17"/>
      <c r="E560" s="30"/>
      <c r="F560" s="17"/>
      <c r="G560" s="1"/>
      <c r="H560" s="1"/>
      <c r="I560" s="16"/>
      <c r="J560" s="17"/>
    </row>
    <row r="561" spans="1:10" ht="15.75" customHeight="1" x14ac:dyDescent="0.25">
      <c r="A561" s="1"/>
      <c r="B561" s="1"/>
      <c r="C561" s="15"/>
      <c r="D561" s="17"/>
      <c r="E561" s="30"/>
      <c r="F561" s="17"/>
      <c r="G561" s="1"/>
      <c r="H561" s="1"/>
      <c r="I561" s="16"/>
      <c r="J561" s="17"/>
    </row>
    <row r="562" spans="1:10" ht="15.75" customHeight="1" x14ac:dyDescent="0.25">
      <c r="A562" s="1"/>
      <c r="B562" s="1"/>
      <c r="C562" s="15"/>
      <c r="D562" s="17"/>
      <c r="E562" s="30"/>
      <c r="F562" s="17"/>
      <c r="G562" s="1"/>
      <c r="H562" s="1"/>
      <c r="I562" s="16"/>
      <c r="J562" s="17"/>
    </row>
    <row r="563" spans="1:10" ht="15.75" customHeight="1" x14ac:dyDescent="0.25">
      <c r="A563" s="1"/>
      <c r="B563" s="1"/>
      <c r="C563" s="15"/>
      <c r="D563" s="17"/>
      <c r="E563" s="30"/>
      <c r="F563" s="17"/>
      <c r="G563" s="1"/>
      <c r="H563" s="1"/>
      <c r="I563" s="16"/>
      <c r="J563" s="17"/>
    </row>
    <row r="564" spans="1:10" ht="15.75" customHeight="1" x14ac:dyDescent="0.25">
      <c r="A564" s="1"/>
      <c r="B564" s="1"/>
      <c r="C564" s="15"/>
      <c r="D564" s="17"/>
      <c r="E564" s="30"/>
      <c r="F564" s="17"/>
      <c r="G564" s="1"/>
      <c r="H564" s="1"/>
      <c r="I564" s="16"/>
      <c r="J564" s="17"/>
    </row>
    <row r="565" spans="1:10" ht="15.75" customHeight="1" x14ac:dyDescent="0.25">
      <c r="A565" s="1"/>
      <c r="B565" s="1"/>
      <c r="C565" s="15"/>
      <c r="D565" s="17"/>
      <c r="E565" s="30"/>
      <c r="F565" s="17"/>
      <c r="G565" s="1"/>
      <c r="H565" s="1"/>
      <c r="I565" s="16"/>
      <c r="J565" s="17"/>
    </row>
    <row r="566" spans="1:10" ht="15.75" customHeight="1" x14ac:dyDescent="0.25">
      <c r="A566" s="1"/>
      <c r="B566" s="1"/>
      <c r="C566" s="15"/>
      <c r="D566" s="17"/>
      <c r="E566" s="30"/>
      <c r="F566" s="17"/>
      <c r="G566" s="1"/>
      <c r="H566" s="1"/>
      <c r="I566" s="16"/>
      <c r="J566" s="17"/>
    </row>
    <row r="567" spans="1:10" ht="15.75" customHeight="1" x14ac:dyDescent="0.25">
      <c r="A567" s="1"/>
      <c r="B567" s="1"/>
      <c r="C567" s="15"/>
      <c r="D567" s="17"/>
      <c r="E567" s="30"/>
      <c r="F567" s="17"/>
      <c r="G567" s="1"/>
      <c r="H567" s="1"/>
      <c r="I567" s="16"/>
      <c r="J567" s="17"/>
    </row>
    <row r="568" spans="1:10" ht="15.75" customHeight="1" x14ac:dyDescent="0.25">
      <c r="A568" s="1"/>
      <c r="B568" s="1"/>
      <c r="C568" s="15"/>
      <c r="D568" s="17"/>
      <c r="E568" s="30"/>
      <c r="F568" s="17"/>
      <c r="G568" s="1"/>
      <c r="H568" s="1"/>
      <c r="I568" s="16"/>
      <c r="J568" s="17"/>
    </row>
    <row r="569" spans="1:10" ht="15.75" customHeight="1" x14ac:dyDescent="0.25">
      <c r="A569" s="1"/>
      <c r="B569" s="1"/>
      <c r="C569" s="15"/>
      <c r="D569" s="17"/>
      <c r="E569" s="30"/>
      <c r="F569" s="17"/>
      <c r="G569" s="1"/>
      <c r="H569" s="1"/>
      <c r="I569" s="16"/>
      <c r="J569" s="17"/>
    </row>
    <row r="570" spans="1:10" ht="15.75" customHeight="1" x14ac:dyDescent="0.25">
      <c r="A570" s="1"/>
      <c r="B570" s="1"/>
      <c r="C570" s="15"/>
      <c r="D570" s="17"/>
      <c r="E570" s="30"/>
      <c r="F570" s="17"/>
      <c r="G570" s="1"/>
      <c r="H570" s="1"/>
      <c r="I570" s="16"/>
      <c r="J570" s="17"/>
    </row>
    <row r="571" spans="1:10" ht="15.75" customHeight="1" x14ac:dyDescent="0.25">
      <c r="A571" s="1"/>
      <c r="B571" s="1"/>
      <c r="C571" s="15"/>
      <c r="D571" s="17"/>
      <c r="E571" s="30"/>
      <c r="F571" s="17"/>
      <c r="G571" s="1"/>
      <c r="H571" s="1"/>
      <c r="I571" s="16"/>
      <c r="J571" s="17"/>
    </row>
    <row r="572" spans="1:10" ht="15.75" customHeight="1" x14ac:dyDescent="0.25">
      <c r="A572" s="1"/>
      <c r="B572" s="1"/>
      <c r="C572" s="15"/>
      <c r="D572" s="17"/>
      <c r="E572" s="30"/>
      <c r="F572" s="17"/>
      <c r="G572" s="1"/>
      <c r="H572" s="1"/>
      <c r="I572" s="16"/>
      <c r="J572" s="17"/>
    </row>
    <row r="573" spans="1:10" ht="15.75" customHeight="1" x14ac:dyDescent="0.25">
      <c r="A573" s="1"/>
      <c r="B573" s="1"/>
      <c r="C573" s="15"/>
      <c r="D573" s="17"/>
      <c r="E573" s="30"/>
      <c r="F573" s="17"/>
      <c r="G573" s="1"/>
      <c r="H573" s="1"/>
      <c r="I573" s="16"/>
      <c r="J573" s="17"/>
    </row>
    <row r="574" spans="1:10" ht="15.75" customHeight="1" x14ac:dyDescent="0.25">
      <c r="A574" s="1"/>
      <c r="B574" s="1"/>
      <c r="C574" s="15"/>
      <c r="D574" s="17"/>
      <c r="E574" s="30"/>
      <c r="F574" s="17"/>
      <c r="G574" s="1"/>
      <c r="H574" s="1"/>
      <c r="I574" s="16"/>
      <c r="J574" s="17"/>
    </row>
    <row r="575" spans="1:10" ht="15.75" customHeight="1" x14ac:dyDescent="0.25">
      <c r="A575" s="1"/>
      <c r="B575" s="1"/>
      <c r="C575" s="15"/>
      <c r="D575" s="17"/>
      <c r="E575" s="30"/>
      <c r="F575" s="17"/>
      <c r="G575" s="1"/>
      <c r="H575" s="1"/>
      <c r="I575" s="16"/>
      <c r="J575" s="17"/>
    </row>
    <row r="576" spans="1:10" ht="15.75" customHeight="1" x14ac:dyDescent="0.25">
      <c r="A576" s="1"/>
      <c r="B576" s="1"/>
      <c r="C576" s="15"/>
      <c r="D576" s="17"/>
      <c r="E576" s="30"/>
      <c r="F576" s="17"/>
      <c r="G576" s="1"/>
      <c r="H576" s="1"/>
      <c r="I576" s="16"/>
      <c r="J576" s="17"/>
    </row>
    <row r="577" spans="1:10" ht="15.75" customHeight="1" x14ac:dyDescent="0.25">
      <c r="A577" s="1"/>
      <c r="B577" s="1"/>
      <c r="C577" s="15"/>
      <c r="D577" s="17"/>
      <c r="E577" s="30"/>
      <c r="F577" s="17"/>
      <c r="G577" s="1"/>
      <c r="H577" s="1"/>
      <c r="I577" s="16"/>
      <c r="J577" s="17"/>
    </row>
    <row r="578" spans="1:10" ht="15.75" customHeight="1" x14ac:dyDescent="0.25">
      <c r="A578" s="1"/>
      <c r="B578" s="1"/>
      <c r="C578" s="15"/>
      <c r="D578" s="17"/>
      <c r="E578" s="30"/>
      <c r="F578" s="17"/>
      <c r="G578" s="1"/>
      <c r="H578" s="1"/>
      <c r="I578" s="16"/>
      <c r="J578" s="17"/>
    </row>
    <row r="579" spans="1:10" ht="15.75" customHeight="1" x14ac:dyDescent="0.25">
      <c r="A579" s="1"/>
      <c r="B579" s="1"/>
      <c r="C579" s="15"/>
      <c r="D579" s="17"/>
      <c r="E579" s="30"/>
      <c r="F579" s="17"/>
      <c r="G579" s="1"/>
      <c r="H579" s="1"/>
      <c r="I579" s="16"/>
      <c r="J579" s="17"/>
    </row>
    <row r="580" spans="1:10" ht="15.75" customHeight="1" x14ac:dyDescent="0.25">
      <c r="A580" s="1"/>
      <c r="B580" s="1"/>
      <c r="C580" s="15"/>
      <c r="D580" s="17"/>
      <c r="E580" s="30"/>
      <c r="F580" s="17"/>
      <c r="G580" s="1"/>
      <c r="H580" s="1"/>
      <c r="I580" s="16"/>
      <c r="J580" s="17"/>
    </row>
    <row r="581" spans="1:10" ht="15.75" customHeight="1" x14ac:dyDescent="0.25">
      <c r="A581" s="1"/>
      <c r="B581" s="1"/>
      <c r="C581" s="15"/>
      <c r="D581" s="17"/>
      <c r="E581" s="30"/>
      <c r="F581" s="17"/>
      <c r="G581" s="1"/>
      <c r="H581" s="1"/>
      <c r="I581" s="16"/>
      <c r="J581" s="17"/>
    </row>
    <row r="582" spans="1:10" ht="15.75" customHeight="1" x14ac:dyDescent="0.25">
      <c r="A582" s="1"/>
      <c r="B582" s="1"/>
      <c r="C582" s="15"/>
      <c r="D582" s="17"/>
      <c r="E582" s="30"/>
      <c r="F582" s="17"/>
      <c r="G582" s="1"/>
      <c r="H582" s="1"/>
      <c r="I582" s="16"/>
      <c r="J582" s="17"/>
    </row>
    <row r="583" spans="1:10" ht="15.75" customHeight="1" x14ac:dyDescent="0.25">
      <c r="A583" s="1"/>
      <c r="B583" s="1"/>
      <c r="C583" s="15"/>
      <c r="D583" s="17"/>
      <c r="E583" s="30"/>
      <c r="F583" s="17"/>
      <c r="G583" s="1"/>
      <c r="H583" s="1"/>
      <c r="I583" s="16"/>
      <c r="J583" s="17"/>
    </row>
    <row r="584" spans="1:10" ht="15.75" customHeight="1" x14ac:dyDescent="0.25">
      <c r="A584" s="1"/>
      <c r="B584" s="1"/>
      <c r="C584" s="15"/>
      <c r="D584" s="17"/>
      <c r="E584" s="30"/>
      <c r="F584" s="17"/>
      <c r="G584" s="1"/>
      <c r="H584" s="1"/>
      <c r="I584" s="16"/>
      <c r="J584" s="17"/>
    </row>
    <row r="585" spans="1:10" ht="15.75" customHeight="1" x14ac:dyDescent="0.25">
      <c r="A585" s="1"/>
      <c r="B585" s="1"/>
      <c r="C585" s="15"/>
      <c r="D585" s="17"/>
      <c r="E585" s="30"/>
      <c r="F585" s="17"/>
      <c r="G585" s="1"/>
      <c r="H585" s="1"/>
      <c r="I585" s="16"/>
      <c r="J585" s="17"/>
    </row>
    <row r="586" spans="1:10" ht="15.75" customHeight="1" x14ac:dyDescent="0.25">
      <c r="A586" s="1"/>
      <c r="B586" s="1"/>
      <c r="C586" s="15"/>
      <c r="D586" s="17"/>
      <c r="E586" s="30"/>
      <c r="F586" s="17"/>
      <c r="G586" s="1"/>
      <c r="H586" s="1"/>
      <c r="I586" s="16"/>
      <c r="J586" s="17"/>
    </row>
    <row r="587" spans="1:10" ht="15.75" customHeight="1" x14ac:dyDescent="0.25">
      <c r="A587" s="1"/>
      <c r="B587" s="1"/>
      <c r="C587" s="15"/>
      <c r="D587" s="17"/>
      <c r="E587" s="30"/>
      <c r="F587" s="17"/>
      <c r="G587" s="1"/>
      <c r="H587" s="1"/>
      <c r="I587" s="16"/>
      <c r="J587" s="17"/>
    </row>
    <row r="588" spans="1:10" ht="15.75" customHeight="1" x14ac:dyDescent="0.25">
      <c r="A588" s="1"/>
      <c r="B588" s="1"/>
      <c r="C588" s="15"/>
      <c r="D588" s="17"/>
      <c r="E588" s="30"/>
      <c r="F588" s="17"/>
      <c r="G588" s="1"/>
      <c r="H588" s="1"/>
      <c r="I588" s="16"/>
      <c r="J588" s="17"/>
    </row>
    <row r="589" spans="1:10" ht="15.75" customHeight="1" x14ac:dyDescent="0.25">
      <c r="A589" s="1"/>
      <c r="B589" s="1"/>
      <c r="C589" s="15"/>
      <c r="D589" s="17"/>
      <c r="E589" s="30"/>
      <c r="F589" s="17"/>
      <c r="G589" s="1"/>
      <c r="H589" s="1"/>
      <c r="I589" s="16"/>
      <c r="J589" s="17"/>
    </row>
    <row r="590" spans="1:10" ht="15.75" customHeight="1" x14ac:dyDescent="0.25">
      <c r="A590" s="1"/>
      <c r="B590" s="1"/>
      <c r="C590" s="15"/>
      <c r="D590" s="17"/>
      <c r="E590" s="30"/>
      <c r="F590" s="17"/>
      <c r="G590" s="1"/>
      <c r="H590" s="1"/>
      <c r="I590" s="16"/>
      <c r="J590" s="17"/>
    </row>
    <row r="591" spans="1:10" ht="15.75" customHeight="1" x14ac:dyDescent="0.25">
      <c r="A591" s="1"/>
      <c r="B591" s="1"/>
      <c r="C591" s="15"/>
      <c r="D591" s="17"/>
      <c r="E591" s="30"/>
      <c r="F591" s="17"/>
      <c r="G591" s="1"/>
      <c r="H591" s="1"/>
      <c r="I591" s="16"/>
      <c r="J591" s="17"/>
    </row>
    <row r="592" spans="1:10" ht="15.75" customHeight="1" x14ac:dyDescent="0.25">
      <c r="A592" s="1"/>
      <c r="B592" s="1"/>
      <c r="C592" s="15"/>
      <c r="D592" s="17"/>
      <c r="E592" s="30"/>
      <c r="F592" s="17"/>
      <c r="G592" s="1"/>
      <c r="H592" s="1"/>
      <c r="I592" s="16"/>
      <c r="J592" s="17"/>
    </row>
    <row r="593" spans="1:10" ht="15.75" customHeight="1" x14ac:dyDescent="0.25">
      <c r="A593" s="1"/>
      <c r="B593" s="1"/>
      <c r="C593" s="15"/>
      <c r="D593" s="17"/>
      <c r="E593" s="30"/>
      <c r="F593" s="17"/>
      <c r="G593" s="1"/>
      <c r="H593" s="1"/>
      <c r="I593" s="16"/>
      <c r="J593" s="17"/>
    </row>
    <row r="594" spans="1:10" ht="15.75" customHeight="1" x14ac:dyDescent="0.25">
      <c r="A594" s="1"/>
      <c r="B594" s="1"/>
      <c r="C594" s="15"/>
      <c r="D594" s="17"/>
      <c r="E594" s="30"/>
      <c r="F594" s="17"/>
      <c r="G594" s="1"/>
      <c r="H594" s="1"/>
      <c r="I594" s="16"/>
      <c r="J594" s="17"/>
    </row>
    <row r="595" spans="1:10" ht="15.75" customHeight="1" x14ac:dyDescent="0.25">
      <c r="A595" s="1"/>
      <c r="B595" s="1"/>
      <c r="C595" s="15"/>
      <c r="D595" s="17"/>
      <c r="E595" s="30"/>
      <c r="F595" s="17"/>
      <c r="G595" s="1"/>
      <c r="H595" s="1"/>
      <c r="I595" s="16"/>
      <c r="J595" s="17"/>
    </row>
    <row r="596" spans="1:10" ht="15.75" customHeight="1" x14ac:dyDescent="0.25">
      <c r="A596" s="1"/>
      <c r="B596" s="1"/>
      <c r="C596" s="15"/>
      <c r="D596" s="17"/>
      <c r="E596" s="30"/>
      <c r="F596" s="17"/>
      <c r="G596" s="1"/>
      <c r="H596" s="1"/>
      <c r="I596" s="16"/>
      <c r="J596" s="17"/>
    </row>
    <row r="597" spans="1:10" ht="15.75" customHeight="1" x14ac:dyDescent="0.25">
      <c r="A597" s="1"/>
      <c r="B597" s="1"/>
      <c r="C597" s="15"/>
      <c r="D597" s="17"/>
      <c r="E597" s="30"/>
      <c r="F597" s="17"/>
      <c r="G597" s="1"/>
      <c r="H597" s="1"/>
      <c r="I597" s="16"/>
      <c r="J597" s="17"/>
    </row>
    <row r="598" spans="1:10" ht="15.75" customHeight="1" x14ac:dyDescent="0.25">
      <c r="A598" s="1"/>
      <c r="B598" s="1"/>
      <c r="C598" s="15"/>
      <c r="D598" s="17"/>
      <c r="E598" s="30"/>
      <c r="F598" s="17"/>
      <c r="G598" s="1"/>
      <c r="H598" s="1"/>
      <c r="I598" s="16"/>
      <c r="J598" s="17"/>
    </row>
    <row r="599" spans="1:10" ht="15.75" customHeight="1" x14ac:dyDescent="0.25">
      <c r="A599" s="1"/>
      <c r="B599" s="1"/>
      <c r="C599" s="15"/>
      <c r="D599" s="17"/>
      <c r="E599" s="30"/>
      <c r="F599" s="17"/>
      <c r="G599" s="1"/>
      <c r="H599" s="1"/>
      <c r="I599" s="16"/>
      <c r="J599" s="17"/>
    </row>
    <row r="600" spans="1:10" ht="15.75" customHeight="1" x14ac:dyDescent="0.25">
      <c r="A600" s="1"/>
      <c r="B600" s="1"/>
      <c r="C600" s="15"/>
      <c r="D600" s="17"/>
      <c r="E600" s="30"/>
      <c r="F600" s="17"/>
      <c r="G600" s="1"/>
      <c r="H600" s="1"/>
      <c r="I600" s="16"/>
      <c r="J600" s="17"/>
    </row>
    <row r="601" spans="1:10" ht="15.75" customHeight="1" x14ac:dyDescent="0.25">
      <c r="A601" s="1"/>
      <c r="B601" s="1"/>
      <c r="C601" s="15"/>
      <c r="D601" s="17"/>
      <c r="E601" s="30"/>
      <c r="F601" s="17"/>
      <c r="G601" s="1"/>
      <c r="H601" s="1"/>
      <c r="I601" s="16"/>
      <c r="J601" s="17"/>
    </row>
    <row r="602" spans="1:10" ht="15.75" customHeight="1" x14ac:dyDescent="0.25">
      <c r="A602" s="1"/>
      <c r="B602" s="1"/>
      <c r="C602" s="15"/>
      <c r="D602" s="17"/>
      <c r="E602" s="30"/>
      <c r="F602" s="17"/>
      <c r="G602" s="1"/>
      <c r="H602" s="1"/>
      <c r="I602" s="16"/>
      <c r="J602" s="17"/>
    </row>
    <row r="603" spans="1:10" ht="15.75" customHeight="1" x14ac:dyDescent="0.25">
      <c r="A603" s="1"/>
      <c r="B603" s="1"/>
      <c r="C603" s="15"/>
      <c r="D603" s="17"/>
      <c r="E603" s="30"/>
      <c r="F603" s="17"/>
      <c r="G603" s="1"/>
      <c r="H603" s="1"/>
      <c r="I603" s="16"/>
      <c r="J603" s="17"/>
    </row>
    <row r="604" spans="1:10" ht="15.75" customHeight="1" x14ac:dyDescent="0.25">
      <c r="A604" s="1"/>
      <c r="B604" s="1"/>
      <c r="C604" s="15"/>
      <c r="D604" s="17"/>
      <c r="E604" s="30"/>
      <c r="F604" s="17"/>
      <c r="G604" s="1"/>
      <c r="H604" s="1"/>
      <c r="I604" s="16"/>
      <c r="J604" s="17"/>
    </row>
    <row r="605" spans="1:10" ht="15.75" customHeight="1" x14ac:dyDescent="0.25">
      <c r="A605" s="1"/>
      <c r="B605" s="1"/>
      <c r="C605" s="15"/>
      <c r="D605" s="17"/>
      <c r="E605" s="30"/>
      <c r="F605" s="17"/>
      <c r="G605" s="1"/>
      <c r="H605" s="1"/>
      <c r="I605" s="16"/>
      <c r="J605" s="17"/>
    </row>
    <row r="606" spans="1:10" ht="15.75" customHeight="1" x14ac:dyDescent="0.25">
      <c r="A606" s="1"/>
      <c r="B606" s="1"/>
      <c r="C606" s="15"/>
      <c r="D606" s="17"/>
      <c r="E606" s="30"/>
      <c r="F606" s="17"/>
      <c r="G606" s="1"/>
      <c r="H606" s="1"/>
      <c r="I606" s="16"/>
      <c r="J606" s="17"/>
    </row>
    <row r="607" spans="1:10" ht="15.75" customHeight="1" x14ac:dyDescent="0.25">
      <c r="A607" s="1"/>
      <c r="B607" s="1"/>
      <c r="C607" s="15"/>
      <c r="D607" s="17"/>
      <c r="E607" s="30"/>
      <c r="F607" s="17"/>
      <c r="G607" s="1"/>
      <c r="H607" s="1"/>
      <c r="I607" s="16"/>
      <c r="J607" s="17"/>
    </row>
    <row r="608" spans="1:10" ht="15.75" customHeight="1" x14ac:dyDescent="0.25">
      <c r="A608" s="1"/>
      <c r="B608" s="1"/>
      <c r="C608" s="15"/>
      <c r="D608" s="17"/>
      <c r="E608" s="30"/>
      <c r="F608" s="17"/>
      <c r="G608" s="1"/>
      <c r="H608" s="1"/>
      <c r="I608" s="16"/>
      <c r="J608" s="17"/>
    </row>
    <row r="609" spans="1:10" ht="15.75" customHeight="1" x14ac:dyDescent="0.25">
      <c r="A609" s="1"/>
      <c r="B609" s="1"/>
      <c r="C609" s="15"/>
      <c r="D609" s="17"/>
      <c r="E609" s="30"/>
      <c r="F609" s="17"/>
      <c r="G609" s="1"/>
      <c r="H609" s="1"/>
      <c r="I609" s="16"/>
      <c r="J609" s="17"/>
    </row>
    <row r="610" spans="1:10" ht="15.75" customHeight="1" x14ac:dyDescent="0.25">
      <c r="A610" s="1"/>
      <c r="B610" s="1"/>
      <c r="C610" s="15"/>
      <c r="D610" s="17"/>
      <c r="E610" s="30"/>
      <c r="F610" s="17"/>
      <c r="G610" s="1"/>
      <c r="H610" s="1"/>
      <c r="I610" s="16"/>
      <c r="J610" s="17"/>
    </row>
    <row r="611" spans="1:10" ht="15.75" customHeight="1" x14ac:dyDescent="0.25">
      <c r="A611" s="1"/>
      <c r="B611" s="1"/>
      <c r="C611" s="15"/>
      <c r="D611" s="17"/>
      <c r="E611" s="30"/>
      <c r="F611" s="17"/>
      <c r="G611" s="1"/>
      <c r="H611" s="1"/>
      <c r="I611" s="16"/>
      <c r="J611" s="17"/>
    </row>
    <row r="612" spans="1:10" ht="15.75" customHeight="1" x14ac:dyDescent="0.25">
      <c r="A612" s="1"/>
      <c r="B612" s="1"/>
      <c r="C612" s="15"/>
      <c r="D612" s="17"/>
      <c r="E612" s="30"/>
      <c r="F612" s="17"/>
      <c r="G612" s="1"/>
      <c r="H612" s="1"/>
      <c r="I612" s="16"/>
      <c r="J612" s="17"/>
    </row>
    <row r="613" spans="1:10" ht="15.75" customHeight="1" x14ac:dyDescent="0.25">
      <c r="A613" s="1"/>
      <c r="B613" s="1"/>
      <c r="C613" s="15"/>
      <c r="D613" s="17"/>
      <c r="E613" s="30"/>
      <c r="F613" s="17"/>
      <c r="G613" s="1"/>
      <c r="H613" s="1"/>
      <c r="I613" s="16"/>
      <c r="J613" s="17"/>
    </row>
    <row r="614" spans="1:10" ht="15.75" customHeight="1" x14ac:dyDescent="0.25">
      <c r="A614" s="1"/>
      <c r="B614" s="1"/>
      <c r="C614" s="15"/>
      <c r="D614" s="17"/>
      <c r="E614" s="30"/>
      <c r="F614" s="17"/>
      <c r="G614" s="1"/>
      <c r="H614" s="1"/>
      <c r="I614" s="16"/>
      <c r="J614" s="17"/>
    </row>
    <row r="615" spans="1:10" ht="15.75" customHeight="1" x14ac:dyDescent="0.25">
      <c r="A615" s="1"/>
      <c r="B615" s="1"/>
      <c r="C615" s="15"/>
      <c r="D615" s="17"/>
      <c r="E615" s="30"/>
      <c r="F615" s="17"/>
      <c r="G615" s="1"/>
      <c r="H615" s="1"/>
      <c r="I615" s="16"/>
      <c r="J615" s="17"/>
    </row>
    <row r="616" spans="1:10" ht="15.75" customHeight="1" x14ac:dyDescent="0.25">
      <c r="A616" s="1"/>
      <c r="B616" s="1"/>
      <c r="C616" s="15"/>
      <c r="D616" s="17"/>
      <c r="E616" s="30"/>
      <c r="F616" s="17"/>
      <c r="G616" s="1"/>
      <c r="H616" s="1"/>
      <c r="I616" s="16"/>
      <c r="J616" s="17"/>
    </row>
    <row r="617" spans="1:10" ht="15.75" customHeight="1" x14ac:dyDescent="0.25">
      <c r="A617" s="1"/>
      <c r="B617" s="1"/>
      <c r="C617" s="15"/>
      <c r="D617" s="17"/>
      <c r="E617" s="30"/>
      <c r="F617" s="17"/>
      <c r="G617" s="1"/>
      <c r="H617" s="1"/>
      <c r="I617" s="16"/>
      <c r="J617" s="17"/>
    </row>
    <row r="618" spans="1:10" ht="15.75" customHeight="1" x14ac:dyDescent="0.25">
      <c r="A618" s="1"/>
      <c r="B618" s="1"/>
      <c r="C618" s="15"/>
      <c r="D618" s="17"/>
      <c r="E618" s="30"/>
      <c r="F618" s="17"/>
      <c r="G618" s="1"/>
      <c r="H618" s="1"/>
      <c r="I618" s="16"/>
      <c r="J618" s="17"/>
    </row>
    <row r="619" spans="1:10" ht="15.75" customHeight="1" x14ac:dyDescent="0.25">
      <c r="A619" s="1"/>
      <c r="B619" s="1"/>
      <c r="C619" s="15"/>
      <c r="D619" s="17"/>
      <c r="E619" s="30"/>
      <c r="F619" s="17"/>
      <c r="G619" s="1"/>
      <c r="H619" s="1"/>
      <c r="I619" s="16"/>
      <c r="J619" s="17"/>
    </row>
    <row r="620" spans="1:10" ht="15.75" customHeight="1" x14ac:dyDescent="0.25">
      <c r="A620" s="1"/>
      <c r="B620" s="1"/>
      <c r="C620" s="15"/>
      <c r="D620" s="17"/>
      <c r="E620" s="30"/>
      <c r="F620" s="17"/>
      <c r="G620" s="1"/>
      <c r="H620" s="1"/>
      <c r="I620" s="16"/>
      <c r="J620" s="17"/>
    </row>
    <row r="621" spans="1:10" ht="15.75" customHeight="1" x14ac:dyDescent="0.25">
      <c r="A621" s="1"/>
      <c r="B621" s="1"/>
      <c r="C621" s="15"/>
      <c r="D621" s="17"/>
      <c r="E621" s="30"/>
      <c r="F621" s="17"/>
      <c r="G621" s="1"/>
      <c r="H621" s="1"/>
      <c r="I621" s="16"/>
      <c r="J621" s="17"/>
    </row>
    <row r="622" spans="1:10" ht="15.75" customHeight="1" x14ac:dyDescent="0.25">
      <c r="A622" s="1"/>
      <c r="B622" s="1"/>
      <c r="C622" s="15"/>
      <c r="D622" s="17"/>
      <c r="E622" s="30"/>
      <c r="F622" s="17"/>
      <c r="G622" s="1"/>
      <c r="H622" s="1"/>
      <c r="I622" s="16"/>
      <c r="J622" s="17"/>
    </row>
    <row r="623" spans="1:10" ht="15.75" customHeight="1" x14ac:dyDescent="0.25">
      <c r="A623" s="1"/>
      <c r="B623" s="1"/>
      <c r="C623" s="15"/>
      <c r="D623" s="17"/>
      <c r="E623" s="30"/>
      <c r="F623" s="17"/>
      <c r="G623" s="1"/>
      <c r="H623" s="1"/>
      <c r="I623" s="16"/>
      <c r="J623" s="17"/>
    </row>
    <row r="624" spans="1:10" ht="15.75" customHeight="1" x14ac:dyDescent="0.25">
      <c r="A624" s="1"/>
      <c r="B624" s="1"/>
      <c r="C624" s="15"/>
      <c r="D624" s="17"/>
      <c r="E624" s="30"/>
      <c r="F624" s="17"/>
      <c r="G624" s="1"/>
      <c r="H624" s="1"/>
      <c r="I624" s="16"/>
      <c r="J624" s="17"/>
    </row>
    <row r="625" spans="1:10" ht="15.75" customHeight="1" x14ac:dyDescent="0.25">
      <c r="A625" s="1"/>
      <c r="B625" s="1"/>
      <c r="C625" s="15"/>
      <c r="D625" s="17"/>
      <c r="E625" s="30"/>
      <c r="F625" s="17"/>
      <c r="G625" s="1"/>
      <c r="H625" s="1"/>
      <c r="I625" s="16"/>
      <c r="J625" s="17"/>
    </row>
    <row r="626" spans="1:10" ht="15.75" customHeight="1" x14ac:dyDescent="0.25">
      <c r="A626" s="1"/>
      <c r="B626" s="1"/>
      <c r="C626" s="15"/>
      <c r="D626" s="17"/>
      <c r="E626" s="30"/>
      <c r="F626" s="17"/>
      <c r="G626" s="1"/>
      <c r="H626" s="1"/>
      <c r="I626" s="16"/>
      <c r="J626" s="17"/>
    </row>
    <row r="627" spans="1:10" ht="15.75" customHeight="1" x14ac:dyDescent="0.25">
      <c r="A627" s="1"/>
      <c r="B627" s="1"/>
      <c r="C627" s="15"/>
      <c r="D627" s="17"/>
      <c r="E627" s="30"/>
      <c r="F627" s="17"/>
      <c r="G627" s="1"/>
      <c r="H627" s="1"/>
      <c r="I627" s="16"/>
      <c r="J627" s="17"/>
    </row>
    <row r="628" spans="1:10" ht="15.75" customHeight="1" x14ac:dyDescent="0.25">
      <c r="A628" s="1"/>
      <c r="B628" s="1"/>
      <c r="C628" s="15"/>
      <c r="D628" s="17"/>
      <c r="E628" s="30"/>
      <c r="F628" s="17"/>
      <c r="G628" s="1"/>
      <c r="H628" s="1"/>
      <c r="I628" s="16"/>
      <c r="J628" s="17"/>
    </row>
    <row r="629" spans="1:10" ht="15.75" customHeight="1" x14ac:dyDescent="0.25">
      <c r="A629" s="1"/>
      <c r="B629" s="1"/>
      <c r="C629" s="15"/>
      <c r="D629" s="17"/>
      <c r="E629" s="30"/>
      <c r="F629" s="17"/>
      <c r="G629" s="1"/>
      <c r="H629" s="1"/>
      <c r="I629" s="16"/>
      <c r="J629" s="17"/>
    </row>
    <row r="630" spans="1:10" ht="15.75" customHeight="1" x14ac:dyDescent="0.25">
      <c r="A630" s="1"/>
      <c r="B630" s="1"/>
      <c r="C630" s="15"/>
      <c r="D630" s="17"/>
      <c r="E630" s="30"/>
      <c r="F630" s="17"/>
      <c r="G630" s="1"/>
      <c r="H630" s="1"/>
      <c r="I630" s="16"/>
      <c r="J630" s="17"/>
    </row>
    <row r="631" spans="1:10" ht="15.75" customHeight="1" x14ac:dyDescent="0.25">
      <c r="A631" s="1"/>
      <c r="B631" s="1"/>
      <c r="C631" s="15"/>
      <c r="D631" s="17"/>
      <c r="E631" s="30"/>
      <c r="F631" s="17"/>
      <c r="G631" s="1"/>
      <c r="H631" s="1"/>
      <c r="I631" s="16"/>
      <c r="J631" s="17"/>
    </row>
    <row r="632" spans="1:10" ht="15.75" customHeight="1" x14ac:dyDescent="0.25">
      <c r="A632" s="1"/>
      <c r="B632" s="1"/>
      <c r="C632" s="15"/>
      <c r="D632" s="17"/>
      <c r="E632" s="30"/>
      <c r="F632" s="17"/>
      <c r="G632" s="1"/>
      <c r="H632" s="1"/>
      <c r="I632" s="16"/>
      <c r="J632" s="17"/>
    </row>
    <row r="633" spans="1:10" ht="15.75" customHeight="1" x14ac:dyDescent="0.25">
      <c r="A633" s="1"/>
      <c r="B633" s="1"/>
      <c r="C633" s="15"/>
      <c r="D633" s="17"/>
      <c r="E633" s="30"/>
      <c r="F633" s="17"/>
      <c r="G633" s="1"/>
      <c r="H633" s="1"/>
      <c r="I633" s="16"/>
      <c r="J633" s="17"/>
    </row>
    <row r="634" spans="1:10" ht="15.75" customHeight="1" x14ac:dyDescent="0.25">
      <c r="A634" s="1"/>
      <c r="B634" s="1"/>
      <c r="C634" s="15"/>
      <c r="D634" s="17"/>
      <c r="E634" s="30"/>
      <c r="F634" s="17"/>
      <c r="G634" s="1"/>
      <c r="H634" s="1"/>
      <c r="I634" s="16"/>
      <c r="J634" s="17"/>
    </row>
    <row r="635" spans="1:10" ht="15.75" customHeight="1" x14ac:dyDescent="0.25">
      <c r="A635" s="1"/>
      <c r="B635" s="1"/>
      <c r="C635" s="15"/>
      <c r="D635" s="17"/>
      <c r="E635" s="30"/>
      <c r="F635" s="17"/>
      <c r="G635" s="1"/>
      <c r="H635" s="1"/>
      <c r="I635" s="16"/>
      <c r="J635" s="17"/>
    </row>
    <row r="636" spans="1:10" ht="15.75" customHeight="1" x14ac:dyDescent="0.25">
      <c r="A636" s="1"/>
      <c r="B636" s="1"/>
      <c r="C636" s="15"/>
      <c r="D636" s="17"/>
      <c r="E636" s="30"/>
      <c r="F636" s="17"/>
      <c r="G636" s="1"/>
      <c r="H636" s="1"/>
      <c r="I636" s="16"/>
      <c r="J636" s="17"/>
    </row>
    <row r="637" spans="1:10" ht="15.75" customHeight="1" x14ac:dyDescent="0.25">
      <c r="A637" s="1"/>
      <c r="B637" s="1"/>
      <c r="C637" s="15"/>
      <c r="D637" s="17"/>
      <c r="E637" s="30"/>
      <c r="F637" s="17"/>
      <c r="G637" s="1"/>
      <c r="H637" s="1"/>
      <c r="I637" s="16"/>
      <c r="J637" s="17"/>
    </row>
    <row r="638" spans="1:10" ht="15.75" customHeight="1" x14ac:dyDescent="0.25">
      <c r="A638" s="1"/>
      <c r="B638" s="1"/>
      <c r="C638" s="15"/>
      <c r="D638" s="17"/>
      <c r="E638" s="30"/>
      <c r="F638" s="17"/>
      <c r="G638" s="1"/>
      <c r="H638" s="1"/>
      <c r="I638" s="16"/>
      <c r="J638" s="17"/>
    </row>
    <row r="639" spans="1:10" ht="15.75" customHeight="1" x14ac:dyDescent="0.25">
      <c r="A639" s="1"/>
      <c r="B639" s="1"/>
      <c r="C639" s="15"/>
      <c r="D639" s="17"/>
      <c r="E639" s="30"/>
      <c r="F639" s="17"/>
      <c r="G639" s="1"/>
      <c r="H639" s="1"/>
      <c r="I639" s="16"/>
      <c r="J639" s="17"/>
    </row>
    <row r="640" spans="1:10" ht="15.75" customHeight="1" x14ac:dyDescent="0.25">
      <c r="A640" s="1"/>
      <c r="B640" s="1"/>
      <c r="C640" s="15"/>
      <c r="D640" s="17"/>
      <c r="E640" s="30"/>
      <c r="F640" s="17"/>
      <c r="G640" s="1"/>
      <c r="H640" s="1"/>
      <c r="I640" s="16"/>
      <c r="J640" s="17"/>
    </row>
    <row r="641" spans="1:10" ht="15.75" customHeight="1" x14ac:dyDescent="0.25">
      <c r="A641" s="1"/>
      <c r="B641" s="1"/>
      <c r="C641" s="15"/>
      <c r="D641" s="17"/>
      <c r="E641" s="30"/>
      <c r="F641" s="17"/>
      <c r="G641" s="1"/>
      <c r="H641" s="1"/>
      <c r="I641" s="16"/>
      <c r="J641" s="17"/>
    </row>
    <row r="642" spans="1:10" ht="15.75" customHeight="1" x14ac:dyDescent="0.25">
      <c r="A642" s="1"/>
      <c r="B642" s="1"/>
      <c r="C642" s="15"/>
      <c r="D642" s="17"/>
      <c r="E642" s="30"/>
      <c r="F642" s="17"/>
      <c r="G642" s="1"/>
      <c r="H642" s="1"/>
      <c r="I642" s="16"/>
      <c r="J642" s="17"/>
    </row>
    <row r="643" spans="1:10" ht="15.75" customHeight="1" x14ac:dyDescent="0.25">
      <c r="A643" s="1"/>
      <c r="B643" s="1"/>
      <c r="C643" s="15"/>
      <c r="D643" s="17"/>
      <c r="E643" s="30"/>
      <c r="F643" s="17"/>
      <c r="G643" s="1"/>
      <c r="H643" s="1"/>
      <c r="I643" s="16"/>
      <c r="J643" s="17"/>
    </row>
    <row r="644" spans="1:10" ht="15.75" customHeight="1" x14ac:dyDescent="0.25">
      <c r="A644" s="1"/>
      <c r="B644" s="1"/>
      <c r="C644" s="15"/>
      <c r="D644" s="17"/>
      <c r="E644" s="30"/>
      <c r="F644" s="17"/>
      <c r="G644" s="1"/>
      <c r="H644" s="1"/>
      <c r="I644" s="16"/>
      <c r="J644" s="17"/>
    </row>
    <row r="645" spans="1:10" ht="15.75" customHeight="1" x14ac:dyDescent="0.25">
      <c r="A645" s="1"/>
      <c r="B645" s="1"/>
      <c r="C645" s="15"/>
      <c r="D645" s="17"/>
      <c r="E645" s="30"/>
      <c r="F645" s="17"/>
      <c r="G645" s="1"/>
      <c r="H645" s="1"/>
      <c r="I645" s="16"/>
      <c r="J645" s="17"/>
    </row>
    <row r="646" spans="1:10" ht="15.75" customHeight="1" x14ac:dyDescent="0.25">
      <c r="A646" s="1"/>
      <c r="B646" s="1"/>
      <c r="C646" s="15"/>
      <c r="D646" s="17"/>
      <c r="E646" s="30"/>
      <c r="F646" s="17"/>
      <c r="G646" s="1"/>
      <c r="H646" s="1"/>
      <c r="I646" s="16"/>
      <c r="J646" s="17"/>
    </row>
    <row r="647" spans="1:10" ht="15.75" customHeight="1" x14ac:dyDescent="0.25">
      <c r="A647" s="1"/>
      <c r="B647" s="1"/>
      <c r="C647" s="15"/>
      <c r="D647" s="17"/>
      <c r="E647" s="30"/>
      <c r="F647" s="17"/>
      <c r="G647" s="1"/>
      <c r="H647" s="1"/>
      <c r="I647" s="16"/>
      <c r="J647" s="17"/>
    </row>
    <row r="648" spans="1:10" ht="15.75" customHeight="1" x14ac:dyDescent="0.25">
      <c r="A648" s="1"/>
      <c r="B648" s="1"/>
      <c r="C648" s="15"/>
      <c r="D648" s="17"/>
      <c r="E648" s="30"/>
      <c r="F648" s="17"/>
      <c r="G648" s="1"/>
      <c r="H648" s="1"/>
      <c r="I648" s="16"/>
      <c r="J648" s="17"/>
    </row>
    <row r="649" spans="1:10" ht="15.75" customHeight="1" x14ac:dyDescent="0.25">
      <c r="A649" s="1"/>
      <c r="B649" s="1"/>
      <c r="C649" s="15"/>
      <c r="D649" s="17"/>
      <c r="E649" s="30"/>
      <c r="F649" s="17"/>
      <c r="G649" s="1"/>
      <c r="H649" s="1"/>
      <c r="I649" s="16"/>
      <c r="J649" s="17"/>
    </row>
    <row r="650" spans="1:10" ht="15.75" customHeight="1" x14ac:dyDescent="0.25">
      <c r="A650" s="1"/>
      <c r="B650" s="1"/>
      <c r="C650" s="15"/>
      <c r="D650" s="17"/>
      <c r="E650" s="30"/>
      <c r="F650" s="17"/>
      <c r="G650" s="1"/>
      <c r="H650" s="1"/>
      <c r="I650" s="16"/>
      <c r="J650" s="17"/>
    </row>
    <row r="651" spans="1:10" ht="15.75" customHeight="1" x14ac:dyDescent="0.25">
      <c r="A651" s="1"/>
      <c r="B651" s="1"/>
      <c r="C651" s="15"/>
      <c r="D651" s="17"/>
      <c r="E651" s="30"/>
      <c r="F651" s="17"/>
      <c r="G651" s="1"/>
      <c r="H651" s="1"/>
      <c r="I651" s="16"/>
      <c r="J651" s="17"/>
    </row>
    <row r="652" spans="1:10" ht="15.75" customHeight="1" x14ac:dyDescent="0.25">
      <c r="A652" s="1"/>
      <c r="B652" s="1"/>
      <c r="C652" s="15"/>
      <c r="D652" s="17"/>
      <c r="E652" s="30"/>
      <c r="F652" s="17"/>
      <c r="G652" s="1"/>
      <c r="H652" s="1"/>
      <c r="I652" s="16"/>
      <c r="J652" s="17"/>
    </row>
    <row r="653" spans="1:10" ht="15.75" customHeight="1" x14ac:dyDescent="0.25">
      <c r="A653" s="1"/>
      <c r="B653" s="1"/>
      <c r="C653" s="15"/>
      <c r="D653" s="17"/>
      <c r="E653" s="30"/>
      <c r="F653" s="17"/>
      <c r="G653" s="1"/>
      <c r="H653" s="1"/>
      <c r="I653" s="16"/>
      <c r="J653" s="17"/>
    </row>
    <row r="654" spans="1:10" ht="15.75" customHeight="1" x14ac:dyDescent="0.25">
      <c r="A654" s="1"/>
      <c r="B654" s="1"/>
      <c r="C654" s="15"/>
      <c r="D654" s="17"/>
      <c r="E654" s="30"/>
      <c r="F654" s="17"/>
      <c r="G654" s="1"/>
      <c r="H654" s="1"/>
      <c r="I654" s="16"/>
      <c r="J654" s="17"/>
    </row>
    <row r="655" spans="1:10" ht="15.75" customHeight="1" x14ac:dyDescent="0.25">
      <c r="A655" s="1"/>
      <c r="B655" s="1"/>
      <c r="C655" s="15"/>
      <c r="D655" s="17"/>
      <c r="E655" s="30"/>
      <c r="F655" s="17"/>
      <c r="G655" s="1"/>
      <c r="H655" s="1"/>
      <c r="I655" s="16"/>
      <c r="J655" s="17"/>
    </row>
    <row r="656" spans="1:10" ht="15.75" customHeight="1" x14ac:dyDescent="0.25">
      <c r="A656" s="1"/>
      <c r="B656" s="1"/>
      <c r="C656" s="15"/>
      <c r="D656" s="17"/>
      <c r="E656" s="30"/>
      <c r="F656" s="17"/>
      <c r="G656" s="1"/>
      <c r="H656" s="1"/>
      <c r="I656" s="16"/>
      <c r="J656" s="17"/>
    </row>
    <row r="657" spans="1:10" ht="15.75" customHeight="1" x14ac:dyDescent="0.25">
      <c r="A657" s="1"/>
      <c r="B657" s="1"/>
      <c r="C657" s="15"/>
      <c r="D657" s="17"/>
      <c r="E657" s="30"/>
      <c r="F657" s="17"/>
      <c r="G657" s="1"/>
      <c r="H657" s="1"/>
      <c r="I657" s="16"/>
      <c r="J657" s="17"/>
    </row>
    <row r="658" spans="1:10" ht="15.75" customHeight="1" x14ac:dyDescent="0.25">
      <c r="A658" s="1"/>
      <c r="B658" s="1"/>
      <c r="C658" s="15"/>
      <c r="D658" s="17"/>
      <c r="E658" s="30"/>
      <c r="F658" s="17"/>
      <c r="G658" s="1"/>
      <c r="H658" s="1"/>
      <c r="I658" s="16"/>
      <c r="J658" s="17"/>
    </row>
    <row r="659" spans="1:10" ht="15.75" customHeight="1" x14ac:dyDescent="0.25">
      <c r="A659" s="1"/>
      <c r="B659" s="1"/>
      <c r="C659" s="15"/>
      <c r="D659" s="17"/>
      <c r="E659" s="30"/>
      <c r="F659" s="17"/>
      <c r="G659" s="1"/>
      <c r="H659" s="1"/>
      <c r="I659" s="16"/>
      <c r="J659" s="17"/>
    </row>
    <row r="660" spans="1:10" ht="15.75" customHeight="1" x14ac:dyDescent="0.25">
      <c r="A660" s="1"/>
      <c r="B660" s="1"/>
      <c r="C660" s="15"/>
      <c r="D660" s="17"/>
      <c r="E660" s="30"/>
      <c r="F660" s="17"/>
      <c r="G660" s="1"/>
      <c r="H660" s="1"/>
      <c r="I660" s="16"/>
      <c r="J660" s="17"/>
    </row>
    <row r="661" spans="1:10" ht="15.75" customHeight="1" x14ac:dyDescent="0.25">
      <c r="A661" s="1"/>
      <c r="B661" s="1"/>
      <c r="C661" s="15"/>
      <c r="D661" s="17"/>
      <c r="E661" s="30"/>
      <c r="F661" s="17"/>
      <c r="G661" s="1"/>
      <c r="H661" s="1"/>
      <c r="I661" s="16"/>
      <c r="J661" s="17"/>
    </row>
    <row r="662" spans="1:10" ht="15.75" customHeight="1" x14ac:dyDescent="0.25">
      <c r="A662" s="1"/>
      <c r="B662" s="1"/>
      <c r="C662" s="15"/>
      <c r="D662" s="17"/>
      <c r="E662" s="30"/>
      <c r="F662" s="17"/>
      <c r="G662" s="1"/>
      <c r="H662" s="1"/>
      <c r="I662" s="16"/>
      <c r="J662" s="17"/>
    </row>
    <row r="663" spans="1:10" ht="15.75" customHeight="1" x14ac:dyDescent="0.25">
      <c r="A663" s="1"/>
      <c r="B663" s="1"/>
      <c r="C663" s="15"/>
      <c r="D663" s="17"/>
      <c r="E663" s="30"/>
      <c r="F663" s="17"/>
      <c r="G663" s="1"/>
      <c r="H663" s="1"/>
      <c r="I663" s="16"/>
      <c r="J663" s="17"/>
    </row>
    <row r="664" spans="1:10" ht="15.75" customHeight="1" x14ac:dyDescent="0.25">
      <c r="A664" s="1"/>
      <c r="B664" s="1"/>
      <c r="C664" s="15"/>
      <c r="D664" s="17"/>
      <c r="E664" s="30"/>
      <c r="F664" s="17"/>
      <c r="G664" s="1"/>
      <c r="H664" s="1"/>
      <c r="I664" s="16"/>
      <c r="J664" s="17"/>
    </row>
    <row r="665" spans="1:10" ht="15.75" customHeight="1" x14ac:dyDescent="0.25">
      <c r="A665" s="1"/>
      <c r="B665" s="1"/>
      <c r="C665" s="15"/>
      <c r="D665" s="17"/>
      <c r="E665" s="30"/>
      <c r="F665" s="17"/>
      <c r="G665" s="1"/>
      <c r="H665" s="1"/>
      <c r="I665" s="16"/>
      <c r="J665" s="17"/>
    </row>
    <row r="666" spans="1:10" ht="15.75" customHeight="1" x14ac:dyDescent="0.25">
      <c r="A666" s="1"/>
      <c r="B666" s="1"/>
      <c r="C666" s="15"/>
      <c r="D666" s="17"/>
      <c r="E666" s="30"/>
      <c r="F666" s="17"/>
      <c r="G666" s="1"/>
      <c r="H666" s="1"/>
      <c r="I666" s="16"/>
      <c r="J666" s="17"/>
    </row>
    <row r="667" spans="1:10" ht="15.75" customHeight="1" x14ac:dyDescent="0.25">
      <c r="A667" s="1"/>
      <c r="B667" s="1"/>
      <c r="C667" s="15"/>
      <c r="D667" s="17"/>
      <c r="E667" s="30"/>
      <c r="F667" s="17"/>
      <c r="G667" s="1"/>
      <c r="H667" s="1"/>
      <c r="I667" s="16"/>
      <c r="J667" s="17"/>
    </row>
    <row r="668" spans="1:10" ht="15.75" customHeight="1" x14ac:dyDescent="0.25">
      <c r="A668" s="1"/>
      <c r="B668" s="1"/>
      <c r="C668" s="15"/>
      <c r="D668" s="17"/>
      <c r="E668" s="30"/>
      <c r="F668" s="17"/>
      <c r="G668" s="1"/>
      <c r="H668" s="1"/>
      <c r="I668" s="16"/>
      <c r="J668" s="17"/>
    </row>
    <row r="669" spans="1:10" ht="15.75" customHeight="1" x14ac:dyDescent="0.25">
      <c r="A669" s="1"/>
      <c r="B669" s="1"/>
      <c r="C669" s="15"/>
      <c r="D669" s="17"/>
      <c r="E669" s="30"/>
      <c r="F669" s="17"/>
      <c r="G669" s="1"/>
      <c r="H669" s="1"/>
      <c r="I669" s="16"/>
      <c r="J669" s="17"/>
    </row>
    <row r="670" spans="1:10" ht="15.75" customHeight="1" x14ac:dyDescent="0.25">
      <c r="A670" s="1"/>
      <c r="B670" s="1"/>
      <c r="C670" s="15"/>
      <c r="D670" s="17"/>
      <c r="E670" s="30"/>
      <c r="F670" s="17"/>
      <c r="G670" s="1"/>
      <c r="H670" s="1"/>
      <c r="I670" s="16"/>
      <c r="J670" s="17"/>
    </row>
    <row r="671" spans="1:10" ht="15.75" customHeight="1" x14ac:dyDescent="0.25">
      <c r="A671" s="1"/>
      <c r="B671" s="1"/>
      <c r="C671" s="15"/>
      <c r="D671" s="17"/>
      <c r="E671" s="30"/>
      <c r="F671" s="17"/>
      <c r="G671" s="1"/>
      <c r="H671" s="1"/>
      <c r="I671" s="16"/>
      <c r="J671" s="17"/>
    </row>
    <row r="672" spans="1:10" ht="15.75" customHeight="1" x14ac:dyDescent="0.25">
      <c r="A672" s="1"/>
      <c r="B672" s="1"/>
      <c r="C672" s="15"/>
      <c r="D672" s="17"/>
      <c r="E672" s="30"/>
      <c r="F672" s="17"/>
      <c r="G672" s="1"/>
      <c r="H672" s="1"/>
      <c r="I672" s="16"/>
      <c r="J672" s="17"/>
    </row>
    <row r="673" spans="1:10" ht="15.75" customHeight="1" x14ac:dyDescent="0.25">
      <c r="A673" s="1"/>
      <c r="B673" s="1"/>
      <c r="C673" s="15"/>
      <c r="D673" s="17"/>
      <c r="E673" s="30"/>
      <c r="F673" s="17"/>
      <c r="G673" s="1"/>
      <c r="H673" s="1"/>
      <c r="I673" s="16"/>
      <c r="J673" s="17"/>
    </row>
    <row r="674" spans="1:10" ht="15.75" customHeight="1" x14ac:dyDescent="0.25">
      <c r="A674" s="1"/>
      <c r="B674" s="1"/>
      <c r="C674" s="15"/>
      <c r="D674" s="17"/>
      <c r="E674" s="30"/>
      <c r="F674" s="17"/>
      <c r="G674" s="1"/>
      <c r="H674" s="1"/>
      <c r="I674" s="16"/>
      <c r="J674" s="17"/>
    </row>
    <row r="675" spans="1:10" ht="15.75" customHeight="1" x14ac:dyDescent="0.25">
      <c r="A675" s="1"/>
      <c r="B675" s="1"/>
      <c r="C675" s="15"/>
      <c r="D675" s="17"/>
      <c r="E675" s="30"/>
      <c r="F675" s="17"/>
      <c r="G675" s="1"/>
      <c r="H675" s="1"/>
      <c r="I675" s="16"/>
      <c r="J675" s="17"/>
    </row>
    <row r="676" spans="1:10" ht="15.75" customHeight="1" x14ac:dyDescent="0.25">
      <c r="A676" s="1"/>
      <c r="B676" s="1"/>
      <c r="C676" s="15"/>
      <c r="D676" s="17"/>
      <c r="E676" s="30"/>
      <c r="F676" s="17"/>
      <c r="G676" s="1"/>
      <c r="H676" s="1"/>
      <c r="I676" s="16"/>
      <c r="J676" s="17"/>
    </row>
    <row r="677" spans="1:10" ht="15.75" customHeight="1" x14ac:dyDescent="0.25">
      <c r="A677" s="1"/>
      <c r="B677" s="1"/>
      <c r="C677" s="15"/>
      <c r="D677" s="17"/>
      <c r="E677" s="30"/>
      <c r="F677" s="17"/>
      <c r="G677" s="1"/>
      <c r="H677" s="1"/>
      <c r="I677" s="16"/>
      <c r="J677" s="17"/>
    </row>
    <row r="678" spans="1:10" ht="15.75" customHeight="1" x14ac:dyDescent="0.25">
      <c r="A678" s="1"/>
      <c r="B678" s="1"/>
      <c r="C678" s="15"/>
      <c r="D678" s="17"/>
      <c r="E678" s="30"/>
      <c r="F678" s="17"/>
      <c r="G678" s="1"/>
      <c r="H678" s="1"/>
      <c r="I678" s="16"/>
      <c r="J678" s="17"/>
    </row>
    <row r="679" spans="1:10" ht="15.75" customHeight="1" x14ac:dyDescent="0.25">
      <c r="A679" s="1"/>
      <c r="B679" s="1"/>
      <c r="C679" s="15"/>
      <c r="D679" s="17"/>
      <c r="E679" s="30"/>
      <c r="F679" s="17"/>
      <c r="G679" s="1"/>
      <c r="H679" s="1"/>
      <c r="I679" s="16"/>
      <c r="J679" s="17"/>
    </row>
    <row r="680" spans="1:10" ht="15.75" customHeight="1" x14ac:dyDescent="0.25">
      <c r="A680" s="1"/>
      <c r="B680" s="1"/>
      <c r="C680" s="15"/>
      <c r="D680" s="17"/>
      <c r="E680" s="30"/>
      <c r="F680" s="17"/>
      <c r="G680" s="1"/>
      <c r="H680" s="1"/>
      <c r="I680" s="16"/>
      <c r="J680" s="17"/>
    </row>
    <row r="681" spans="1:10" ht="15.75" customHeight="1" x14ac:dyDescent="0.25">
      <c r="A681" s="1"/>
      <c r="B681" s="1"/>
      <c r="C681" s="15"/>
      <c r="D681" s="17"/>
      <c r="E681" s="30"/>
      <c r="F681" s="17"/>
      <c r="G681" s="1"/>
      <c r="H681" s="1"/>
      <c r="I681" s="16"/>
      <c r="J681" s="17"/>
    </row>
    <row r="682" spans="1:10" ht="15.75" customHeight="1" x14ac:dyDescent="0.25">
      <c r="A682" s="1"/>
      <c r="B682" s="1"/>
      <c r="C682" s="15"/>
      <c r="D682" s="17"/>
      <c r="E682" s="30"/>
      <c r="F682" s="17"/>
      <c r="G682" s="1"/>
      <c r="H682" s="1"/>
      <c r="I682" s="16"/>
      <c r="J682" s="17"/>
    </row>
    <row r="683" spans="1:10" ht="15.75" customHeight="1" x14ac:dyDescent="0.25">
      <c r="A683" s="1"/>
      <c r="B683" s="1"/>
      <c r="C683" s="15"/>
      <c r="D683" s="17"/>
      <c r="E683" s="30"/>
      <c r="F683" s="17"/>
      <c r="G683" s="1"/>
      <c r="H683" s="1"/>
      <c r="I683" s="16"/>
      <c r="J683" s="17"/>
    </row>
    <row r="684" spans="1:10" ht="15.75" customHeight="1" x14ac:dyDescent="0.25">
      <c r="A684" s="1"/>
      <c r="B684" s="1"/>
      <c r="C684" s="15"/>
      <c r="D684" s="17"/>
      <c r="E684" s="30"/>
      <c r="F684" s="17"/>
      <c r="G684" s="1"/>
      <c r="H684" s="1"/>
      <c r="I684" s="16"/>
      <c r="J684" s="17"/>
    </row>
    <row r="685" spans="1:10" ht="15.75" customHeight="1" x14ac:dyDescent="0.25">
      <c r="A685" s="1"/>
      <c r="B685" s="1"/>
      <c r="C685" s="15"/>
      <c r="D685" s="17"/>
      <c r="E685" s="30"/>
      <c r="F685" s="17"/>
      <c r="G685" s="1"/>
      <c r="H685" s="1"/>
      <c r="I685" s="16"/>
      <c r="J685" s="17"/>
    </row>
    <row r="686" spans="1:10" ht="15.75" customHeight="1" x14ac:dyDescent="0.25">
      <c r="A686" s="1"/>
      <c r="B686" s="1"/>
      <c r="C686" s="15"/>
      <c r="D686" s="17"/>
      <c r="E686" s="30"/>
      <c r="F686" s="17"/>
      <c r="G686" s="1"/>
      <c r="H686" s="1"/>
      <c r="I686" s="16"/>
      <c r="J686" s="17"/>
    </row>
    <row r="687" spans="1:10" ht="15.75" customHeight="1" x14ac:dyDescent="0.25">
      <c r="A687" s="1"/>
      <c r="B687" s="1"/>
      <c r="C687" s="15"/>
      <c r="D687" s="17"/>
      <c r="E687" s="30"/>
      <c r="F687" s="17"/>
      <c r="G687" s="1"/>
      <c r="H687" s="1"/>
      <c r="I687" s="16"/>
      <c r="J687" s="17"/>
    </row>
    <row r="688" spans="1:10" ht="15.75" customHeight="1" x14ac:dyDescent="0.25">
      <c r="A688" s="1"/>
      <c r="B688" s="1"/>
      <c r="C688" s="15"/>
      <c r="D688" s="17"/>
      <c r="E688" s="30"/>
      <c r="F688" s="17"/>
      <c r="G688" s="1"/>
      <c r="H688" s="1"/>
      <c r="I688" s="16"/>
      <c r="J688" s="17"/>
    </row>
    <row r="689" spans="1:10" ht="15.75" customHeight="1" x14ac:dyDescent="0.25">
      <c r="A689" s="1"/>
      <c r="B689" s="1"/>
      <c r="C689" s="15"/>
      <c r="D689" s="17"/>
      <c r="E689" s="30"/>
      <c r="F689" s="17"/>
      <c r="G689" s="1"/>
      <c r="H689" s="1"/>
      <c r="I689" s="16"/>
      <c r="J689" s="17"/>
    </row>
    <row r="690" spans="1:10" ht="15.75" customHeight="1" x14ac:dyDescent="0.25">
      <c r="A690" s="1"/>
      <c r="B690" s="1"/>
      <c r="C690" s="15"/>
      <c r="D690" s="17"/>
      <c r="E690" s="30"/>
      <c r="F690" s="17"/>
      <c r="G690" s="1"/>
      <c r="H690" s="1"/>
      <c r="I690" s="16"/>
      <c r="J690" s="17"/>
    </row>
    <row r="691" spans="1:10" ht="15.75" customHeight="1" x14ac:dyDescent="0.25">
      <c r="A691" s="1"/>
      <c r="B691" s="1"/>
      <c r="C691" s="15"/>
      <c r="D691" s="17"/>
      <c r="E691" s="30"/>
      <c r="F691" s="17"/>
      <c r="G691" s="1"/>
      <c r="H691" s="1"/>
      <c r="I691" s="16"/>
      <c r="J691" s="17"/>
    </row>
    <row r="692" spans="1:10" ht="15.75" customHeight="1" x14ac:dyDescent="0.25">
      <c r="A692" s="1"/>
      <c r="B692" s="1"/>
      <c r="C692" s="15"/>
      <c r="D692" s="17"/>
      <c r="E692" s="30"/>
      <c r="F692" s="17"/>
      <c r="G692" s="1"/>
      <c r="H692" s="1"/>
      <c r="I692" s="16"/>
      <c r="J692" s="17"/>
    </row>
    <row r="693" spans="1:10" ht="15.75" customHeight="1" x14ac:dyDescent="0.25">
      <c r="A693" s="1"/>
      <c r="B693" s="1"/>
      <c r="C693" s="15"/>
      <c r="D693" s="17"/>
      <c r="E693" s="30"/>
      <c r="F693" s="17"/>
      <c r="G693" s="1"/>
      <c r="H693" s="1"/>
      <c r="I693" s="16"/>
      <c r="J693" s="17"/>
    </row>
    <row r="694" spans="1:10" ht="15.75" customHeight="1" x14ac:dyDescent="0.25">
      <c r="A694" s="1"/>
      <c r="B694" s="1"/>
      <c r="C694" s="15"/>
      <c r="D694" s="17"/>
      <c r="E694" s="30"/>
      <c r="F694" s="17"/>
      <c r="G694" s="1"/>
      <c r="H694" s="1"/>
      <c r="I694" s="16"/>
      <c r="J694" s="17"/>
    </row>
    <row r="695" spans="1:10" ht="15.75" customHeight="1" x14ac:dyDescent="0.25">
      <c r="A695" s="1"/>
      <c r="B695" s="1"/>
      <c r="C695" s="15"/>
      <c r="D695" s="17"/>
      <c r="E695" s="30"/>
      <c r="F695" s="17"/>
      <c r="G695" s="1"/>
      <c r="H695" s="1"/>
      <c r="I695" s="16"/>
      <c r="J695" s="17"/>
    </row>
    <row r="696" spans="1:10" ht="15.75" customHeight="1" x14ac:dyDescent="0.25">
      <c r="A696" s="1"/>
      <c r="B696" s="1"/>
      <c r="C696" s="15"/>
      <c r="D696" s="17"/>
      <c r="E696" s="30"/>
      <c r="F696" s="17"/>
      <c r="G696" s="1"/>
      <c r="H696" s="1"/>
      <c r="I696" s="16"/>
      <c r="J696" s="17"/>
    </row>
    <row r="697" spans="1:10" ht="15.75" customHeight="1" x14ac:dyDescent="0.25">
      <c r="A697" s="1"/>
      <c r="B697" s="1"/>
      <c r="C697" s="15"/>
      <c r="D697" s="17"/>
      <c r="E697" s="30"/>
      <c r="F697" s="17"/>
      <c r="G697" s="1"/>
      <c r="H697" s="1"/>
      <c r="I697" s="16"/>
      <c r="J697" s="17"/>
    </row>
    <row r="698" spans="1:10" ht="15.75" customHeight="1" x14ac:dyDescent="0.25">
      <c r="A698" s="1"/>
      <c r="B698" s="1"/>
      <c r="C698" s="15"/>
      <c r="D698" s="17"/>
      <c r="E698" s="30"/>
      <c r="F698" s="17"/>
      <c r="G698" s="1"/>
      <c r="H698" s="1"/>
      <c r="I698" s="16"/>
      <c r="J698" s="17"/>
    </row>
    <row r="699" spans="1:10" ht="15.75" customHeight="1" x14ac:dyDescent="0.25">
      <c r="A699" s="1"/>
      <c r="B699" s="1"/>
      <c r="C699" s="15"/>
      <c r="D699" s="17"/>
      <c r="E699" s="30"/>
      <c r="F699" s="17"/>
      <c r="G699" s="1"/>
      <c r="H699" s="1"/>
      <c r="I699" s="16"/>
      <c r="J699" s="17"/>
    </row>
    <row r="700" spans="1:10" ht="15.75" customHeight="1" x14ac:dyDescent="0.25">
      <c r="A700" s="1"/>
      <c r="B700" s="1"/>
      <c r="C700" s="15"/>
      <c r="D700" s="17"/>
      <c r="E700" s="30"/>
      <c r="F700" s="17"/>
      <c r="G700" s="1"/>
      <c r="H700" s="1"/>
      <c r="I700" s="16"/>
      <c r="J700" s="17"/>
    </row>
    <row r="701" spans="1:10" ht="15.75" customHeight="1" x14ac:dyDescent="0.25">
      <c r="A701" s="1"/>
      <c r="B701" s="1"/>
      <c r="C701" s="15"/>
      <c r="D701" s="17"/>
      <c r="E701" s="30"/>
      <c r="F701" s="17"/>
      <c r="G701" s="1"/>
      <c r="H701" s="1"/>
      <c r="I701" s="16"/>
      <c r="J701" s="17"/>
    </row>
    <row r="702" spans="1:10" ht="15.75" customHeight="1" x14ac:dyDescent="0.25">
      <c r="A702" s="1"/>
      <c r="B702" s="1"/>
      <c r="C702" s="15"/>
      <c r="D702" s="17"/>
      <c r="E702" s="30"/>
      <c r="F702" s="17"/>
      <c r="G702" s="1"/>
      <c r="H702" s="1"/>
      <c r="I702" s="16"/>
      <c r="J702" s="17"/>
    </row>
    <row r="703" spans="1:10" ht="15.75" customHeight="1" x14ac:dyDescent="0.25">
      <c r="A703" s="1"/>
      <c r="B703" s="1"/>
      <c r="C703" s="15"/>
      <c r="D703" s="17"/>
      <c r="E703" s="30"/>
      <c r="F703" s="17"/>
      <c r="G703" s="1"/>
      <c r="H703" s="1"/>
      <c r="I703" s="16"/>
      <c r="J703" s="17"/>
    </row>
    <row r="704" spans="1:10" ht="15.75" customHeight="1" x14ac:dyDescent="0.25">
      <c r="A704" s="1"/>
      <c r="B704" s="1"/>
      <c r="C704" s="15"/>
      <c r="D704" s="17"/>
      <c r="E704" s="30"/>
      <c r="F704" s="17"/>
      <c r="G704" s="1"/>
      <c r="H704" s="1"/>
      <c r="I704" s="16"/>
      <c r="J704" s="17"/>
    </row>
    <row r="705" spans="1:10" ht="15.75" customHeight="1" x14ac:dyDescent="0.25">
      <c r="A705" s="1"/>
      <c r="B705" s="1"/>
      <c r="C705" s="15"/>
      <c r="D705" s="17"/>
      <c r="E705" s="30"/>
      <c r="F705" s="17"/>
      <c r="G705" s="1"/>
      <c r="H705" s="1"/>
      <c r="I705" s="16"/>
      <c r="J705" s="17"/>
    </row>
    <row r="706" spans="1:10" ht="15.75" customHeight="1" x14ac:dyDescent="0.25">
      <c r="A706" s="1"/>
      <c r="B706" s="1"/>
      <c r="C706" s="15"/>
      <c r="D706" s="17"/>
      <c r="E706" s="30"/>
      <c r="F706" s="17"/>
      <c r="G706" s="1"/>
      <c r="H706" s="1"/>
      <c r="I706" s="16"/>
      <c r="J706" s="17"/>
    </row>
    <row r="707" spans="1:10" ht="15.75" customHeight="1" x14ac:dyDescent="0.25">
      <c r="A707" s="1"/>
      <c r="B707" s="1"/>
      <c r="C707" s="15"/>
      <c r="D707" s="17"/>
      <c r="E707" s="30"/>
      <c r="F707" s="17"/>
      <c r="G707" s="1"/>
      <c r="H707" s="1"/>
      <c r="I707" s="16"/>
      <c r="J707" s="17"/>
    </row>
    <row r="708" spans="1:10" ht="15.75" customHeight="1" x14ac:dyDescent="0.25">
      <c r="A708" s="1"/>
      <c r="B708" s="1"/>
      <c r="C708" s="15"/>
      <c r="D708" s="17"/>
      <c r="E708" s="30"/>
      <c r="F708" s="17"/>
      <c r="G708" s="1"/>
      <c r="H708" s="1"/>
      <c r="I708" s="16"/>
      <c r="J708" s="17"/>
    </row>
    <row r="709" spans="1:10" ht="15.75" customHeight="1" x14ac:dyDescent="0.25">
      <c r="A709" s="1"/>
      <c r="B709" s="1"/>
      <c r="C709" s="15"/>
      <c r="D709" s="17"/>
      <c r="E709" s="30"/>
      <c r="F709" s="17"/>
      <c r="G709" s="1"/>
      <c r="H709" s="1"/>
      <c r="I709" s="16"/>
      <c r="J709" s="17"/>
    </row>
    <row r="710" spans="1:10" ht="15.75" customHeight="1" x14ac:dyDescent="0.25">
      <c r="A710" s="1"/>
      <c r="B710" s="1"/>
      <c r="C710" s="15"/>
      <c r="D710" s="17"/>
      <c r="E710" s="30"/>
      <c r="F710" s="17"/>
      <c r="G710" s="1"/>
      <c r="H710" s="1"/>
      <c r="I710" s="16"/>
      <c r="J710" s="17"/>
    </row>
    <row r="711" spans="1:10" ht="15.75" customHeight="1" x14ac:dyDescent="0.25">
      <c r="A711" s="1"/>
      <c r="B711" s="1"/>
      <c r="C711" s="15"/>
      <c r="D711" s="17"/>
      <c r="E711" s="30"/>
      <c r="F711" s="17"/>
      <c r="G711" s="1"/>
      <c r="H711" s="1"/>
      <c r="I711" s="16"/>
      <c r="J711" s="17"/>
    </row>
    <row r="712" spans="1:10" ht="15.75" customHeight="1" x14ac:dyDescent="0.25">
      <c r="A712" s="1"/>
      <c r="B712" s="1"/>
      <c r="C712" s="15"/>
      <c r="D712" s="17"/>
      <c r="E712" s="30"/>
      <c r="F712" s="17"/>
      <c r="G712" s="1"/>
      <c r="H712" s="1"/>
      <c r="I712" s="16"/>
      <c r="J712" s="17"/>
    </row>
    <row r="713" spans="1:10" ht="15.75" customHeight="1" x14ac:dyDescent="0.25">
      <c r="A713" s="1"/>
      <c r="B713" s="1"/>
      <c r="C713" s="15"/>
      <c r="D713" s="17"/>
      <c r="E713" s="30"/>
      <c r="F713" s="17"/>
      <c r="G713" s="1"/>
      <c r="H713" s="1"/>
      <c r="I713" s="16"/>
      <c r="J713" s="17"/>
    </row>
    <row r="714" spans="1:10" ht="15.75" customHeight="1" x14ac:dyDescent="0.25">
      <c r="A714" s="1"/>
      <c r="B714" s="1"/>
      <c r="C714" s="15"/>
      <c r="D714" s="17"/>
      <c r="E714" s="30"/>
      <c r="F714" s="17"/>
      <c r="G714" s="1"/>
      <c r="H714" s="1"/>
      <c r="I714" s="16"/>
      <c r="J714" s="17"/>
    </row>
    <row r="715" spans="1:10" ht="15.75" customHeight="1" x14ac:dyDescent="0.25">
      <c r="A715" s="1"/>
      <c r="B715" s="1"/>
      <c r="C715" s="15"/>
      <c r="D715" s="17"/>
      <c r="E715" s="30"/>
      <c r="F715" s="17"/>
      <c r="G715" s="1"/>
      <c r="H715" s="1"/>
      <c r="I715" s="16"/>
      <c r="J715" s="17"/>
    </row>
    <row r="716" spans="1:10" ht="15.75" customHeight="1" x14ac:dyDescent="0.25">
      <c r="A716" s="1"/>
      <c r="B716" s="1"/>
      <c r="C716" s="15"/>
      <c r="D716" s="17"/>
      <c r="E716" s="30"/>
      <c r="F716" s="17"/>
      <c r="G716" s="1"/>
      <c r="H716" s="1"/>
      <c r="I716" s="16"/>
      <c r="J716" s="17"/>
    </row>
    <row r="717" spans="1:10" ht="15.75" customHeight="1" x14ac:dyDescent="0.25">
      <c r="A717" s="1"/>
      <c r="B717" s="1"/>
      <c r="C717" s="15"/>
      <c r="D717" s="17"/>
      <c r="E717" s="30"/>
      <c r="F717" s="17"/>
      <c r="G717" s="1"/>
      <c r="H717" s="1"/>
      <c r="I717" s="16"/>
      <c r="J717" s="17"/>
    </row>
    <row r="718" spans="1:10" ht="15.75" customHeight="1" x14ac:dyDescent="0.25">
      <c r="A718" s="1"/>
      <c r="B718" s="1"/>
      <c r="C718" s="15"/>
      <c r="D718" s="17"/>
      <c r="E718" s="30"/>
      <c r="F718" s="17"/>
      <c r="G718" s="1"/>
      <c r="H718" s="1"/>
      <c r="I718" s="16"/>
      <c r="J718" s="17"/>
    </row>
    <row r="719" spans="1:10" ht="15.75" customHeight="1" x14ac:dyDescent="0.25">
      <c r="A719" s="1"/>
      <c r="B719" s="1"/>
      <c r="C719" s="15"/>
      <c r="D719" s="17"/>
      <c r="E719" s="30"/>
      <c r="F719" s="17"/>
      <c r="G719" s="1"/>
      <c r="H719" s="1"/>
      <c r="I719" s="16"/>
      <c r="J719" s="17"/>
    </row>
    <row r="720" spans="1:10" ht="15.75" customHeight="1" x14ac:dyDescent="0.25">
      <c r="A720" s="1"/>
      <c r="B720" s="1"/>
      <c r="C720" s="15"/>
      <c r="D720" s="17"/>
      <c r="E720" s="30"/>
      <c r="F720" s="17"/>
      <c r="G720" s="1"/>
      <c r="H720" s="1"/>
      <c r="I720" s="16"/>
      <c r="J720" s="17"/>
    </row>
    <row r="721" spans="1:10" ht="15.75" customHeight="1" x14ac:dyDescent="0.25">
      <c r="A721" s="1"/>
      <c r="B721" s="1"/>
      <c r="C721" s="15"/>
      <c r="D721" s="17"/>
      <c r="E721" s="30"/>
      <c r="F721" s="17"/>
      <c r="G721" s="1"/>
      <c r="H721" s="1"/>
      <c r="I721" s="16"/>
      <c r="J721" s="17"/>
    </row>
    <row r="722" spans="1:10" ht="15.75" customHeight="1" x14ac:dyDescent="0.25">
      <c r="A722" s="1"/>
      <c r="B722" s="1"/>
      <c r="C722" s="15"/>
      <c r="D722" s="17"/>
      <c r="E722" s="30"/>
      <c r="F722" s="17"/>
      <c r="G722" s="1"/>
      <c r="H722" s="1"/>
      <c r="I722" s="16"/>
      <c r="J722" s="17"/>
    </row>
    <row r="723" spans="1:10" ht="15.75" customHeight="1" x14ac:dyDescent="0.25">
      <c r="A723" s="1"/>
      <c r="B723" s="1"/>
      <c r="C723" s="15"/>
      <c r="D723" s="17"/>
      <c r="E723" s="30"/>
      <c r="F723" s="17"/>
      <c r="G723" s="1"/>
      <c r="H723" s="1"/>
      <c r="I723" s="16"/>
      <c r="J723" s="17"/>
    </row>
    <row r="724" spans="1:10" ht="15.75" customHeight="1" x14ac:dyDescent="0.25">
      <c r="A724" s="1"/>
      <c r="B724" s="1"/>
      <c r="C724" s="15"/>
      <c r="D724" s="17"/>
      <c r="E724" s="30"/>
      <c r="F724" s="17"/>
      <c r="G724" s="1"/>
      <c r="H724" s="1"/>
      <c r="I724" s="16"/>
      <c r="J724" s="17"/>
    </row>
    <row r="725" spans="1:10" ht="15.75" customHeight="1" x14ac:dyDescent="0.25">
      <c r="A725" s="1"/>
      <c r="B725" s="1"/>
      <c r="C725" s="15"/>
      <c r="D725" s="17"/>
      <c r="E725" s="30"/>
      <c r="F725" s="17"/>
      <c r="G725" s="1"/>
      <c r="H725" s="1"/>
      <c r="I725" s="16"/>
      <c r="J725" s="17"/>
    </row>
    <row r="726" spans="1:10" ht="15.75" customHeight="1" x14ac:dyDescent="0.25">
      <c r="A726" s="1"/>
      <c r="B726" s="1"/>
      <c r="C726" s="15"/>
      <c r="D726" s="17"/>
      <c r="E726" s="30"/>
      <c r="F726" s="17"/>
      <c r="G726" s="1"/>
      <c r="H726" s="1"/>
      <c r="I726" s="16"/>
      <c r="J726" s="17"/>
    </row>
    <row r="727" spans="1:10" ht="15.75" customHeight="1" x14ac:dyDescent="0.25">
      <c r="A727" s="1"/>
      <c r="B727" s="1"/>
      <c r="C727" s="15"/>
      <c r="D727" s="17"/>
      <c r="E727" s="30"/>
      <c r="F727" s="17"/>
      <c r="G727" s="1"/>
      <c r="H727" s="1"/>
      <c r="I727" s="16"/>
      <c r="J727" s="17"/>
    </row>
    <row r="728" spans="1:10" ht="15.75" customHeight="1" x14ac:dyDescent="0.25">
      <c r="A728" s="1"/>
      <c r="B728" s="1"/>
      <c r="C728" s="15"/>
      <c r="D728" s="17"/>
      <c r="E728" s="30"/>
      <c r="F728" s="17"/>
      <c r="G728" s="1"/>
      <c r="H728" s="1"/>
      <c r="I728" s="16"/>
      <c r="J728" s="17"/>
    </row>
    <row r="729" spans="1:10" ht="15.75" customHeight="1" x14ac:dyDescent="0.25">
      <c r="A729" s="1"/>
      <c r="B729" s="1"/>
      <c r="C729" s="15"/>
      <c r="D729" s="17"/>
      <c r="E729" s="30"/>
      <c r="F729" s="17"/>
      <c r="G729" s="1"/>
      <c r="H729" s="1"/>
      <c r="I729" s="16"/>
      <c r="J729" s="17"/>
    </row>
    <row r="730" spans="1:10" ht="15.75" customHeight="1" x14ac:dyDescent="0.25">
      <c r="A730" s="1"/>
      <c r="B730" s="1"/>
      <c r="C730" s="15"/>
      <c r="D730" s="17"/>
      <c r="E730" s="30"/>
      <c r="F730" s="17"/>
      <c r="G730" s="1"/>
      <c r="H730" s="1"/>
      <c r="I730" s="16"/>
      <c r="J730" s="17"/>
    </row>
    <row r="731" spans="1:10" ht="15.75" customHeight="1" x14ac:dyDescent="0.25">
      <c r="A731" s="1"/>
      <c r="B731" s="1"/>
      <c r="C731" s="15"/>
      <c r="D731" s="17"/>
      <c r="E731" s="30"/>
      <c r="F731" s="17"/>
      <c r="G731" s="1"/>
      <c r="H731" s="1"/>
      <c r="I731" s="16"/>
      <c r="J731" s="17"/>
    </row>
    <row r="732" spans="1:10" ht="15.75" customHeight="1" x14ac:dyDescent="0.25">
      <c r="A732" s="1"/>
      <c r="B732" s="1"/>
      <c r="C732" s="15"/>
      <c r="D732" s="17"/>
      <c r="E732" s="30"/>
      <c r="F732" s="17"/>
      <c r="G732" s="1"/>
      <c r="H732" s="1"/>
      <c r="I732" s="16"/>
      <c r="J732" s="17"/>
    </row>
    <row r="733" spans="1:10" ht="15.75" customHeight="1" x14ac:dyDescent="0.25">
      <c r="A733" s="1"/>
      <c r="B733" s="1"/>
      <c r="C733" s="15"/>
      <c r="D733" s="17"/>
      <c r="E733" s="30"/>
      <c r="F733" s="17"/>
      <c r="G733" s="1"/>
      <c r="H733" s="1"/>
      <c r="I733" s="16"/>
      <c r="J733" s="17"/>
    </row>
    <row r="734" spans="1:10" ht="15.75" customHeight="1" x14ac:dyDescent="0.25">
      <c r="A734" s="1"/>
      <c r="B734" s="1"/>
      <c r="C734" s="15"/>
      <c r="D734" s="17"/>
      <c r="E734" s="30"/>
      <c r="F734" s="17"/>
      <c r="G734" s="1"/>
      <c r="H734" s="1"/>
      <c r="I734" s="16"/>
      <c r="J734" s="17"/>
    </row>
    <row r="735" spans="1:10" ht="15.75" customHeight="1" x14ac:dyDescent="0.25">
      <c r="A735" s="1"/>
      <c r="B735" s="1"/>
      <c r="C735" s="15"/>
      <c r="D735" s="17"/>
      <c r="E735" s="30"/>
      <c r="F735" s="17"/>
      <c r="G735" s="1"/>
      <c r="H735" s="1"/>
      <c r="I735" s="16"/>
      <c r="J735" s="17"/>
    </row>
    <row r="736" spans="1:10" ht="15.75" customHeight="1" x14ac:dyDescent="0.25">
      <c r="A736" s="1"/>
      <c r="B736" s="1"/>
      <c r="C736" s="15"/>
      <c r="D736" s="17"/>
      <c r="E736" s="30"/>
      <c r="F736" s="17"/>
      <c r="G736" s="1"/>
      <c r="H736" s="1"/>
      <c r="I736" s="16"/>
      <c r="J736" s="17"/>
    </row>
    <row r="737" spans="1:10" ht="15.75" customHeight="1" x14ac:dyDescent="0.25">
      <c r="A737" s="1"/>
      <c r="B737" s="1"/>
      <c r="C737" s="15"/>
      <c r="D737" s="17"/>
      <c r="E737" s="30"/>
      <c r="F737" s="17"/>
      <c r="G737" s="1"/>
      <c r="H737" s="1"/>
      <c r="I737" s="16"/>
      <c r="J737" s="17"/>
    </row>
    <row r="738" spans="1:10" ht="15.75" customHeight="1" x14ac:dyDescent="0.25">
      <c r="A738" s="1"/>
      <c r="B738" s="1"/>
      <c r="C738" s="15"/>
      <c r="D738" s="17"/>
      <c r="E738" s="30"/>
      <c r="F738" s="17"/>
      <c r="G738" s="1"/>
      <c r="H738" s="1"/>
      <c r="I738" s="16"/>
      <c r="J738" s="17"/>
    </row>
    <row r="739" spans="1:10" ht="15.75" customHeight="1" x14ac:dyDescent="0.25">
      <c r="A739" s="1"/>
      <c r="B739" s="1"/>
      <c r="C739" s="15"/>
      <c r="D739" s="17"/>
      <c r="E739" s="30"/>
      <c r="F739" s="17"/>
      <c r="G739" s="1"/>
      <c r="H739" s="1"/>
      <c r="I739" s="16"/>
      <c r="J739" s="17"/>
    </row>
    <row r="740" spans="1:10" ht="15.75" customHeight="1" x14ac:dyDescent="0.25">
      <c r="A740" s="1"/>
      <c r="B740" s="1"/>
      <c r="C740" s="15"/>
      <c r="D740" s="17"/>
      <c r="E740" s="30"/>
      <c r="F740" s="17"/>
      <c r="G740" s="1"/>
      <c r="H740" s="1"/>
      <c r="I740" s="16"/>
      <c r="J740" s="17"/>
    </row>
    <row r="741" spans="1:10" ht="15.75" customHeight="1" x14ac:dyDescent="0.25">
      <c r="A741" s="1"/>
      <c r="B741" s="1"/>
      <c r="C741" s="15"/>
      <c r="D741" s="17"/>
      <c r="E741" s="30"/>
      <c r="F741" s="17"/>
      <c r="G741" s="1"/>
      <c r="H741" s="1"/>
      <c r="I741" s="16"/>
      <c r="J741" s="17"/>
    </row>
    <row r="742" spans="1:10" ht="15.75" customHeight="1" x14ac:dyDescent="0.25">
      <c r="A742" s="1"/>
      <c r="B742" s="1"/>
      <c r="C742" s="15"/>
      <c r="D742" s="17"/>
      <c r="E742" s="30"/>
      <c r="F742" s="17"/>
      <c r="G742" s="1"/>
      <c r="H742" s="1"/>
      <c r="I742" s="16"/>
      <c r="J742" s="17"/>
    </row>
    <row r="743" spans="1:10" ht="15.75" customHeight="1" x14ac:dyDescent="0.25">
      <c r="A743" s="1"/>
      <c r="B743" s="1"/>
      <c r="C743" s="15"/>
      <c r="D743" s="17"/>
      <c r="E743" s="30"/>
      <c r="F743" s="17"/>
      <c r="G743" s="1"/>
      <c r="H743" s="1"/>
      <c r="I743" s="16"/>
      <c r="J743" s="17"/>
    </row>
    <row r="744" spans="1:10" ht="15.75" customHeight="1" x14ac:dyDescent="0.25">
      <c r="A744" s="1"/>
      <c r="B744" s="1"/>
      <c r="C744" s="15"/>
      <c r="D744" s="17"/>
      <c r="E744" s="30"/>
      <c r="F744" s="17"/>
      <c r="G744" s="1"/>
      <c r="H744" s="1"/>
      <c r="I744" s="16"/>
      <c r="J744" s="17"/>
    </row>
    <row r="745" spans="1:10" ht="15.75" customHeight="1" x14ac:dyDescent="0.25">
      <c r="A745" s="1"/>
      <c r="B745" s="1"/>
      <c r="C745" s="15"/>
      <c r="D745" s="17"/>
      <c r="E745" s="30"/>
      <c r="F745" s="17"/>
      <c r="G745" s="1"/>
      <c r="H745" s="1"/>
      <c r="I745" s="16"/>
      <c r="J745" s="17"/>
    </row>
    <row r="746" spans="1:10" ht="15.75" customHeight="1" x14ac:dyDescent="0.25">
      <c r="A746" s="1"/>
      <c r="B746" s="1"/>
      <c r="C746" s="15"/>
      <c r="D746" s="17"/>
      <c r="E746" s="30"/>
      <c r="F746" s="17"/>
      <c r="G746" s="1"/>
      <c r="H746" s="1"/>
      <c r="I746" s="16"/>
      <c r="J746" s="17"/>
    </row>
    <row r="747" spans="1:10" ht="15.75" customHeight="1" x14ac:dyDescent="0.25">
      <c r="A747" s="1"/>
      <c r="B747" s="1"/>
      <c r="C747" s="15"/>
      <c r="D747" s="17"/>
      <c r="E747" s="30"/>
      <c r="F747" s="17"/>
      <c r="G747" s="1"/>
      <c r="H747" s="1"/>
      <c r="I747" s="16"/>
      <c r="J747" s="17"/>
    </row>
    <row r="748" spans="1:10" ht="15.75" customHeight="1" x14ac:dyDescent="0.25">
      <c r="A748" s="1"/>
      <c r="B748" s="1"/>
      <c r="C748" s="15"/>
      <c r="D748" s="17"/>
      <c r="E748" s="30"/>
      <c r="F748" s="17"/>
      <c r="G748" s="1"/>
      <c r="H748" s="1"/>
      <c r="I748" s="16"/>
      <c r="J748" s="17"/>
    </row>
    <row r="749" spans="1:10" ht="15.75" customHeight="1" x14ac:dyDescent="0.25">
      <c r="A749" s="1"/>
      <c r="B749" s="1"/>
      <c r="C749" s="15"/>
      <c r="D749" s="17"/>
      <c r="E749" s="30"/>
      <c r="F749" s="17"/>
      <c r="G749" s="1"/>
      <c r="H749" s="1"/>
      <c r="I749" s="16"/>
      <c r="J749" s="17"/>
    </row>
    <row r="750" spans="1:10" ht="15.75" customHeight="1" x14ac:dyDescent="0.25">
      <c r="A750" s="1"/>
      <c r="B750" s="1"/>
      <c r="C750" s="15"/>
      <c r="D750" s="17"/>
      <c r="E750" s="30"/>
      <c r="F750" s="17"/>
      <c r="G750" s="1"/>
      <c r="H750" s="1"/>
      <c r="I750" s="16"/>
      <c r="J750" s="17"/>
    </row>
    <row r="751" spans="1:10" ht="15.75" customHeight="1" x14ac:dyDescent="0.25">
      <c r="A751" s="1"/>
      <c r="B751" s="1"/>
      <c r="C751" s="15"/>
      <c r="D751" s="17"/>
      <c r="E751" s="30"/>
      <c r="F751" s="17"/>
      <c r="G751" s="1"/>
      <c r="H751" s="1"/>
      <c r="I751" s="16"/>
      <c r="J751" s="17"/>
    </row>
    <row r="752" spans="1:10" ht="15.75" customHeight="1" x14ac:dyDescent="0.25">
      <c r="A752" s="1"/>
      <c r="B752" s="1"/>
      <c r="C752" s="15"/>
      <c r="D752" s="17"/>
      <c r="E752" s="30"/>
      <c r="F752" s="17"/>
      <c r="G752" s="1"/>
      <c r="H752" s="1"/>
      <c r="I752" s="16"/>
      <c r="J752" s="17"/>
    </row>
    <row r="753" spans="1:10" ht="15.75" customHeight="1" x14ac:dyDescent="0.25">
      <c r="A753" s="1"/>
      <c r="B753" s="1"/>
      <c r="C753" s="15"/>
      <c r="D753" s="17"/>
      <c r="E753" s="30"/>
      <c r="F753" s="17"/>
      <c r="G753" s="1"/>
      <c r="H753" s="1"/>
      <c r="I753" s="16"/>
      <c r="J753" s="17"/>
    </row>
    <row r="754" spans="1:10" ht="15.75" customHeight="1" x14ac:dyDescent="0.25">
      <c r="A754" s="1"/>
      <c r="B754" s="1"/>
      <c r="C754" s="15"/>
      <c r="D754" s="17"/>
      <c r="E754" s="30"/>
      <c r="F754" s="17"/>
      <c r="G754" s="1"/>
      <c r="H754" s="1"/>
      <c r="I754" s="16"/>
      <c r="J754" s="17"/>
    </row>
    <row r="755" spans="1:10" ht="15.75" customHeight="1" x14ac:dyDescent="0.25">
      <c r="A755" s="1"/>
      <c r="B755" s="1"/>
      <c r="C755" s="15"/>
      <c r="D755" s="17"/>
      <c r="E755" s="30"/>
      <c r="F755" s="17"/>
      <c r="G755" s="1"/>
      <c r="H755" s="1"/>
      <c r="I755" s="16"/>
      <c r="J755" s="17"/>
    </row>
    <row r="756" spans="1:10" ht="15.75" customHeight="1" x14ac:dyDescent="0.25">
      <c r="A756" s="1"/>
      <c r="B756" s="1"/>
      <c r="C756" s="15"/>
      <c r="D756" s="17"/>
      <c r="E756" s="30"/>
      <c r="F756" s="17"/>
      <c r="G756" s="1"/>
      <c r="H756" s="1"/>
      <c r="I756" s="16"/>
      <c r="J756" s="17"/>
    </row>
    <row r="757" spans="1:10" ht="15.75" customHeight="1" x14ac:dyDescent="0.25">
      <c r="A757" s="1"/>
      <c r="B757" s="1"/>
      <c r="C757" s="15"/>
      <c r="D757" s="17"/>
      <c r="E757" s="30"/>
      <c r="F757" s="17"/>
      <c r="G757" s="1"/>
      <c r="H757" s="1"/>
      <c r="I757" s="16"/>
      <c r="J757" s="17"/>
    </row>
    <row r="758" spans="1:10" ht="15.75" customHeight="1" x14ac:dyDescent="0.25">
      <c r="A758" s="1"/>
      <c r="B758" s="1"/>
      <c r="C758" s="15"/>
      <c r="D758" s="17"/>
      <c r="E758" s="30"/>
      <c r="F758" s="17"/>
      <c r="G758" s="1"/>
      <c r="H758" s="1"/>
      <c r="I758" s="16"/>
      <c r="J758" s="17"/>
    </row>
    <row r="759" spans="1:10" ht="15.75" customHeight="1" x14ac:dyDescent="0.25">
      <c r="A759" s="1"/>
      <c r="B759" s="1"/>
      <c r="C759" s="15"/>
      <c r="D759" s="17"/>
      <c r="E759" s="30"/>
      <c r="F759" s="17"/>
      <c r="G759" s="1"/>
      <c r="H759" s="1"/>
      <c r="I759" s="16"/>
      <c r="J759" s="17"/>
    </row>
    <row r="760" spans="1:10" ht="15.75" customHeight="1" x14ac:dyDescent="0.25">
      <c r="A760" s="1"/>
      <c r="B760" s="1"/>
      <c r="C760" s="15"/>
      <c r="D760" s="17"/>
      <c r="E760" s="30"/>
      <c r="F760" s="17"/>
      <c r="G760" s="1"/>
      <c r="H760" s="1"/>
      <c r="I760" s="16"/>
      <c r="J760" s="17"/>
    </row>
    <row r="761" spans="1:10" ht="15.75" customHeight="1" x14ac:dyDescent="0.25">
      <c r="A761" s="1"/>
      <c r="B761" s="1"/>
      <c r="C761" s="15"/>
      <c r="D761" s="17"/>
      <c r="E761" s="30"/>
      <c r="F761" s="17"/>
      <c r="G761" s="1"/>
      <c r="H761" s="1"/>
      <c r="I761" s="16"/>
      <c r="J761" s="17"/>
    </row>
    <row r="762" spans="1:10" ht="15.75" customHeight="1" x14ac:dyDescent="0.25">
      <c r="A762" s="1"/>
      <c r="B762" s="1"/>
      <c r="C762" s="15"/>
      <c r="D762" s="17"/>
      <c r="E762" s="30"/>
      <c r="F762" s="17"/>
      <c r="G762" s="1"/>
      <c r="H762" s="1"/>
      <c r="I762" s="16"/>
      <c r="J762" s="17"/>
    </row>
    <row r="763" spans="1:10" ht="15.75" customHeight="1" x14ac:dyDescent="0.25">
      <c r="A763" s="1"/>
      <c r="B763" s="1"/>
      <c r="C763" s="15"/>
      <c r="D763" s="17"/>
      <c r="E763" s="30"/>
      <c r="F763" s="17"/>
      <c r="G763" s="1"/>
      <c r="H763" s="1"/>
      <c r="I763" s="16"/>
      <c r="J763" s="17"/>
    </row>
    <row r="764" spans="1:10" ht="15.75" customHeight="1" x14ac:dyDescent="0.25">
      <c r="A764" s="1"/>
      <c r="B764" s="1"/>
      <c r="C764" s="15"/>
      <c r="D764" s="17"/>
      <c r="E764" s="30"/>
      <c r="F764" s="17"/>
      <c r="G764" s="1"/>
      <c r="H764" s="1"/>
      <c r="I764" s="16"/>
      <c r="J764" s="17"/>
    </row>
    <row r="765" spans="1:10" ht="15.75" customHeight="1" x14ac:dyDescent="0.25">
      <c r="A765" s="1"/>
      <c r="B765" s="1"/>
      <c r="C765" s="15"/>
      <c r="D765" s="17"/>
      <c r="E765" s="30"/>
      <c r="F765" s="17"/>
      <c r="G765" s="1"/>
      <c r="H765" s="1"/>
      <c r="I765" s="16"/>
      <c r="J765" s="17"/>
    </row>
    <row r="766" spans="1:10" ht="15.75" customHeight="1" x14ac:dyDescent="0.25">
      <c r="A766" s="1"/>
      <c r="B766" s="1"/>
      <c r="C766" s="15"/>
      <c r="D766" s="17"/>
      <c r="E766" s="30"/>
      <c r="F766" s="17"/>
      <c r="G766" s="1"/>
      <c r="H766" s="1"/>
      <c r="I766" s="16"/>
      <c r="J766" s="17"/>
    </row>
    <row r="767" spans="1:10" ht="15.75" customHeight="1" x14ac:dyDescent="0.25">
      <c r="A767" s="1"/>
      <c r="B767" s="1"/>
      <c r="C767" s="15"/>
      <c r="D767" s="17"/>
      <c r="E767" s="30"/>
      <c r="F767" s="17"/>
      <c r="G767" s="1"/>
      <c r="H767" s="1"/>
      <c r="I767" s="16"/>
      <c r="J767" s="17"/>
    </row>
    <row r="768" spans="1:10" ht="15.75" customHeight="1" x14ac:dyDescent="0.25">
      <c r="A768" s="1"/>
      <c r="B768" s="1"/>
      <c r="C768" s="15"/>
      <c r="D768" s="17"/>
      <c r="E768" s="30"/>
      <c r="F768" s="17"/>
      <c r="G768" s="1"/>
      <c r="H768" s="1"/>
      <c r="I768" s="16"/>
      <c r="J768" s="17"/>
    </row>
    <row r="769" spans="1:10" ht="15.75" customHeight="1" x14ac:dyDescent="0.25">
      <c r="A769" s="1"/>
      <c r="B769" s="1"/>
      <c r="C769" s="15"/>
      <c r="D769" s="17"/>
      <c r="E769" s="30"/>
      <c r="F769" s="17"/>
      <c r="G769" s="1"/>
      <c r="H769" s="1"/>
      <c r="I769" s="16"/>
      <c r="J769" s="17"/>
    </row>
    <row r="770" spans="1:10" ht="15.75" customHeight="1" x14ac:dyDescent="0.25">
      <c r="A770" s="1"/>
      <c r="B770" s="1"/>
      <c r="C770" s="15"/>
      <c r="D770" s="17"/>
      <c r="E770" s="30"/>
      <c r="F770" s="17"/>
      <c r="G770" s="1"/>
      <c r="H770" s="1"/>
      <c r="I770" s="16"/>
      <c r="J770" s="17"/>
    </row>
    <row r="771" spans="1:10" ht="15.75" customHeight="1" x14ac:dyDescent="0.25">
      <c r="A771" s="1"/>
      <c r="B771" s="1"/>
      <c r="C771" s="15"/>
      <c r="D771" s="17"/>
      <c r="E771" s="30"/>
      <c r="F771" s="17"/>
      <c r="G771" s="1"/>
      <c r="H771" s="1"/>
      <c r="I771" s="16"/>
      <c r="J771" s="17"/>
    </row>
    <row r="772" spans="1:10" ht="15.75" customHeight="1" x14ac:dyDescent="0.25">
      <c r="A772" s="1"/>
      <c r="B772" s="1"/>
      <c r="C772" s="15"/>
      <c r="D772" s="17"/>
      <c r="E772" s="30"/>
      <c r="F772" s="17"/>
      <c r="G772" s="1"/>
      <c r="H772" s="1"/>
      <c r="I772" s="16"/>
      <c r="J772" s="17"/>
    </row>
    <row r="773" spans="1:10" ht="15.75" customHeight="1" x14ac:dyDescent="0.25">
      <c r="A773" s="1"/>
      <c r="B773" s="1"/>
      <c r="C773" s="15"/>
      <c r="D773" s="17"/>
      <c r="E773" s="30"/>
      <c r="F773" s="17"/>
      <c r="G773" s="1"/>
      <c r="H773" s="1"/>
      <c r="I773" s="16"/>
      <c r="J773" s="17"/>
    </row>
    <row r="774" spans="1:10" ht="15.75" customHeight="1" x14ac:dyDescent="0.25">
      <c r="A774" s="1"/>
      <c r="B774" s="1"/>
      <c r="C774" s="15"/>
      <c r="D774" s="17"/>
      <c r="E774" s="30"/>
      <c r="F774" s="17"/>
      <c r="G774" s="1"/>
      <c r="H774" s="1"/>
      <c r="I774" s="16"/>
      <c r="J774" s="17"/>
    </row>
    <row r="775" spans="1:10" ht="15.75" customHeight="1" x14ac:dyDescent="0.25">
      <c r="A775" s="1"/>
      <c r="B775" s="1"/>
      <c r="C775" s="15"/>
      <c r="D775" s="17"/>
      <c r="E775" s="30"/>
      <c r="F775" s="17"/>
      <c r="G775" s="1"/>
      <c r="H775" s="1"/>
      <c r="I775" s="16"/>
      <c r="J775" s="17"/>
    </row>
    <row r="776" spans="1:10" ht="15.75" customHeight="1" x14ac:dyDescent="0.25">
      <c r="A776" s="1"/>
      <c r="B776" s="1"/>
      <c r="C776" s="15"/>
      <c r="D776" s="17"/>
      <c r="E776" s="30"/>
      <c r="F776" s="17"/>
      <c r="G776" s="1"/>
      <c r="H776" s="1"/>
      <c r="I776" s="16"/>
      <c r="J776" s="17"/>
    </row>
    <row r="777" spans="1:10" ht="15.75" customHeight="1" x14ac:dyDescent="0.25">
      <c r="A777" s="1"/>
      <c r="B777" s="1"/>
      <c r="C777" s="15"/>
      <c r="D777" s="17"/>
      <c r="E777" s="30"/>
      <c r="F777" s="17"/>
      <c r="G777" s="1"/>
      <c r="H777" s="1"/>
      <c r="I777" s="16"/>
      <c r="J777" s="17"/>
    </row>
    <row r="778" spans="1:10" ht="15.75" customHeight="1" x14ac:dyDescent="0.25">
      <c r="A778" s="1"/>
      <c r="B778" s="1"/>
      <c r="C778" s="15"/>
      <c r="D778" s="17"/>
      <c r="E778" s="30"/>
      <c r="F778" s="17"/>
      <c r="G778" s="1"/>
      <c r="H778" s="1"/>
      <c r="I778" s="16"/>
      <c r="J778" s="17"/>
    </row>
    <row r="779" spans="1:10" ht="15.75" customHeight="1" x14ac:dyDescent="0.25">
      <c r="A779" s="1"/>
      <c r="B779" s="1"/>
      <c r="C779" s="15"/>
      <c r="D779" s="17"/>
      <c r="E779" s="30"/>
      <c r="F779" s="17"/>
      <c r="G779" s="1"/>
      <c r="H779" s="1"/>
      <c r="I779" s="16"/>
      <c r="J779" s="17"/>
    </row>
    <row r="780" spans="1:10" ht="15.75" customHeight="1" x14ac:dyDescent="0.25">
      <c r="A780" s="1"/>
      <c r="B780" s="1"/>
      <c r="C780" s="15"/>
      <c r="D780" s="17"/>
      <c r="E780" s="30"/>
      <c r="F780" s="17"/>
      <c r="G780" s="1"/>
      <c r="H780" s="1"/>
      <c r="I780" s="16"/>
      <c r="J780" s="17"/>
    </row>
    <row r="781" spans="1:10" ht="15.75" customHeight="1" x14ac:dyDescent="0.25">
      <c r="A781" s="1"/>
      <c r="B781" s="1"/>
      <c r="C781" s="15"/>
      <c r="D781" s="17"/>
      <c r="E781" s="30"/>
      <c r="F781" s="17"/>
      <c r="G781" s="1"/>
      <c r="H781" s="1"/>
      <c r="I781" s="16"/>
      <c r="J781" s="17"/>
    </row>
    <row r="782" spans="1:10" ht="15.75" customHeight="1" x14ac:dyDescent="0.25">
      <c r="A782" s="1"/>
      <c r="B782" s="1"/>
      <c r="C782" s="15"/>
      <c r="D782" s="17"/>
      <c r="E782" s="30"/>
      <c r="F782" s="17"/>
      <c r="G782" s="1"/>
      <c r="H782" s="1"/>
      <c r="I782" s="16"/>
      <c r="J782" s="17"/>
    </row>
    <row r="783" spans="1:10" ht="15.75" customHeight="1" x14ac:dyDescent="0.25">
      <c r="A783" s="1"/>
      <c r="B783" s="1"/>
      <c r="C783" s="15"/>
      <c r="D783" s="17"/>
      <c r="E783" s="30"/>
      <c r="F783" s="17"/>
      <c r="G783" s="1"/>
      <c r="H783" s="1"/>
      <c r="I783" s="16"/>
      <c r="J783" s="17"/>
    </row>
    <row r="784" spans="1:10" ht="15.75" customHeight="1" x14ac:dyDescent="0.25">
      <c r="A784" s="1"/>
      <c r="B784" s="1"/>
      <c r="C784" s="15"/>
      <c r="D784" s="17"/>
      <c r="E784" s="30"/>
      <c r="F784" s="17"/>
      <c r="G784" s="1"/>
      <c r="H784" s="1"/>
      <c r="I784" s="16"/>
      <c r="J784" s="17"/>
    </row>
    <row r="785" spans="1:10" ht="15.75" customHeight="1" x14ac:dyDescent="0.25">
      <c r="A785" s="1"/>
      <c r="B785" s="1"/>
      <c r="C785" s="15"/>
      <c r="D785" s="17"/>
      <c r="E785" s="30"/>
      <c r="F785" s="17"/>
      <c r="G785" s="1"/>
      <c r="H785" s="1"/>
      <c r="I785" s="16"/>
      <c r="J785" s="17"/>
    </row>
    <row r="786" spans="1:10" ht="15.75" customHeight="1" x14ac:dyDescent="0.25">
      <c r="A786" s="1"/>
      <c r="B786" s="1"/>
      <c r="C786" s="15"/>
      <c r="D786" s="17"/>
      <c r="E786" s="30"/>
      <c r="F786" s="17"/>
      <c r="G786" s="1"/>
      <c r="H786" s="1"/>
      <c r="I786" s="16"/>
      <c r="J786" s="17"/>
    </row>
    <row r="787" spans="1:10" ht="15.75" customHeight="1" x14ac:dyDescent="0.25">
      <c r="A787" s="1"/>
      <c r="B787" s="1"/>
      <c r="C787" s="15"/>
      <c r="D787" s="17"/>
      <c r="E787" s="30"/>
      <c r="F787" s="17"/>
      <c r="G787" s="1"/>
      <c r="H787" s="1"/>
      <c r="I787" s="16"/>
      <c r="J787" s="17"/>
    </row>
    <row r="788" spans="1:10" ht="15.75" customHeight="1" x14ac:dyDescent="0.25">
      <c r="A788" s="1"/>
      <c r="B788" s="1"/>
      <c r="C788" s="15"/>
      <c r="D788" s="17"/>
      <c r="E788" s="30"/>
      <c r="F788" s="17"/>
      <c r="G788" s="1"/>
      <c r="H788" s="1"/>
      <c r="I788" s="16"/>
      <c r="J788" s="17"/>
    </row>
    <row r="789" spans="1:10" ht="15.75" customHeight="1" x14ac:dyDescent="0.25">
      <c r="A789" s="1"/>
      <c r="B789" s="1"/>
      <c r="C789" s="15"/>
      <c r="D789" s="17"/>
      <c r="E789" s="30"/>
      <c r="F789" s="17"/>
      <c r="G789" s="1"/>
      <c r="H789" s="1"/>
      <c r="I789" s="16"/>
      <c r="J789" s="17"/>
    </row>
    <row r="790" spans="1:10" ht="15.75" customHeight="1" x14ac:dyDescent="0.25">
      <c r="A790" s="1"/>
      <c r="B790" s="1"/>
      <c r="C790" s="15"/>
      <c r="D790" s="17"/>
      <c r="E790" s="30"/>
      <c r="F790" s="17"/>
      <c r="G790" s="1"/>
      <c r="H790" s="1"/>
      <c r="I790" s="16"/>
      <c r="J790" s="17"/>
    </row>
    <row r="791" spans="1:10" ht="15.75" customHeight="1" x14ac:dyDescent="0.25">
      <c r="A791" s="1"/>
      <c r="B791" s="1"/>
      <c r="C791" s="15"/>
      <c r="D791" s="17"/>
      <c r="E791" s="30"/>
      <c r="F791" s="17"/>
      <c r="G791" s="1"/>
      <c r="H791" s="1"/>
      <c r="I791" s="16"/>
      <c r="J791" s="17"/>
    </row>
    <row r="792" spans="1:10" ht="15.75" customHeight="1" x14ac:dyDescent="0.25">
      <c r="A792" s="1"/>
      <c r="B792" s="1"/>
      <c r="C792" s="15"/>
      <c r="D792" s="17"/>
      <c r="E792" s="30"/>
      <c r="F792" s="17"/>
      <c r="G792" s="1"/>
      <c r="H792" s="1"/>
      <c r="I792" s="16"/>
      <c r="J792" s="17"/>
    </row>
    <row r="793" spans="1:10" ht="15.75" customHeight="1" x14ac:dyDescent="0.25">
      <c r="A793" s="1"/>
      <c r="B793" s="1"/>
      <c r="C793" s="15"/>
      <c r="D793" s="17"/>
      <c r="E793" s="30"/>
      <c r="F793" s="17"/>
      <c r="G793" s="1"/>
      <c r="H793" s="1"/>
      <c r="I793" s="16"/>
      <c r="J793" s="17"/>
    </row>
    <row r="794" spans="1:10" ht="15.75" customHeight="1" x14ac:dyDescent="0.25">
      <c r="A794" s="1"/>
      <c r="B794" s="1"/>
      <c r="C794" s="15"/>
      <c r="D794" s="17"/>
      <c r="E794" s="30"/>
      <c r="F794" s="17"/>
      <c r="G794" s="1"/>
      <c r="H794" s="1"/>
      <c r="I794" s="16"/>
      <c r="J794" s="17"/>
    </row>
    <row r="795" spans="1:10" ht="15.75" customHeight="1" x14ac:dyDescent="0.25">
      <c r="A795" s="1"/>
      <c r="B795" s="1"/>
      <c r="C795" s="15"/>
      <c r="D795" s="17"/>
      <c r="E795" s="30"/>
      <c r="F795" s="17"/>
      <c r="G795" s="1"/>
      <c r="H795" s="1"/>
      <c r="I795" s="16"/>
      <c r="J795" s="17"/>
    </row>
    <row r="796" spans="1:10" ht="15.75" customHeight="1" x14ac:dyDescent="0.25">
      <c r="A796" s="1"/>
      <c r="B796" s="1"/>
      <c r="C796" s="15"/>
      <c r="D796" s="17"/>
      <c r="E796" s="30"/>
      <c r="F796" s="17"/>
      <c r="G796" s="1"/>
      <c r="H796" s="1"/>
      <c r="I796" s="16"/>
      <c r="J796" s="17"/>
    </row>
    <row r="797" spans="1:10" ht="15.75" customHeight="1" x14ac:dyDescent="0.25">
      <c r="A797" s="1"/>
      <c r="B797" s="1"/>
      <c r="C797" s="15"/>
      <c r="D797" s="17"/>
      <c r="E797" s="30"/>
      <c r="F797" s="17"/>
      <c r="G797" s="1"/>
      <c r="H797" s="1"/>
      <c r="I797" s="16"/>
      <c r="J797" s="17"/>
    </row>
    <row r="798" spans="1:10" ht="15.75" customHeight="1" x14ac:dyDescent="0.25">
      <c r="A798" s="1"/>
      <c r="B798" s="1"/>
      <c r="C798" s="15"/>
      <c r="D798" s="17"/>
      <c r="E798" s="30"/>
      <c r="F798" s="17"/>
      <c r="G798" s="1"/>
      <c r="H798" s="1"/>
      <c r="I798" s="16"/>
      <c r="J798" s="17"/>
    </row>
    <row r="799" spans="1:10" ht="15.75" customHeight="1" x14ac:dyDescent="0.25">
      <c r="A799" s="1"/>
      <c r="B799" s="1"/>
      <c r="C799" s="15"/>
      <c r="D799" s="17"/>
      <c r="E799" s="30"/>
      <c r="F799" s="17"/>
      <c r="G799" s="1"/>
      <c r="H799" s="1"/>
      <c r="I799" s="16"/>
      <c r="J799" s="17"/>
    </row>
    <row r="800" spans="1:10" ht="15.75" customHeight="1" x14ac:dyDescent="0.25">
      <c r="A800" s="1"/>
      <c r="B800" s="1"/>
      <c r="C800" s="15"/>
      <c r="D800" s="17"/>
      <c r="E800" s="30"/>
      <c r="F800" s="17"/>
      <c r="G800" s="1"/>
      <c r="H800" s="1"/>
      <c r="I800" s="16"/>
      <c r="J800" s="17"/>
    </row>
    <row r="801" spans="1:10" ht="15.75" customHeight="1" x14ac:dyDescent="0.25">
      <c r="A801" s="1"/>
      <c r="B801" s="1"/>
      <c r="C801" s="15"/>
      <c r="D801" s="17"/>
      <c r="E801" s="30"/>
      <c r="F801" s="17"/>
      <c r="G801" s="1"/>
      <c r="H801" s="1"/>
      <c r="I801" s="16"/>
      <c r="J801" s="17"/>
    </row>
    <row r="802" spans="1:10" ht="15.75" customHeight="1" x14ac:dyDescent="0.25">
      <c r="A802" s="1"/>
      <c r="B802" s="1"/>
      <c r="C802" s="15"/>
      <c r="D802" s="17"/>
      <c r="E802" s="30"/>
      <c r="F802" s="17"/>
      <c r="G802" s="1"/>
      <c r="H802" s="1"/>
      <c r="I802" s="16"/>
      <c r="J802" s="17"/>
    </row>
    <row r="803" spans="1:10" ht="15.75" customHeight="1" x14ac:dyDescent="0.25">
      <c r="A803" s="1"/>
      <c r="B803" s="1"/>
      <c r="C803" s="15"/>
      <c r="D803" s="17"/>
      <c r="E803" s="30"/>
      <c r="F803" s="17"/>
      <c r="G803" s="1"/>
      <c r="H803" s="1"/>
      <c r="I803" s="16"/>
      <c r="J803" s="17"/>
    </row>
    <row r="804" spans="1:10" ht="15.75" customHeight="1" x14ac:dyDescent="0.25">
      <c r="A804" s="1"/>
      <c r="B804" s="1"/>
      <c r="C804" s="15"/>
      <c r="D804" s="17"/>
      <c r="E804" s="30"/>
      <c r="F804" s="17"/>
      <c r="G804" s="1"/>
      <c r="H804" s="1"/>
      <c r="I804" s="16"/>
      <c r="J804" s="17"/>
    </row>
    <row r="805" spans="1:10" ht="15.75" customHeight="1" x14ac:dyDescent="0.25">
      <c r="A805" s="1"/>
      <c r="B805" s="1"/>
      <c r="C805" s="15"/>
      <c r="D805" s="17"/>
      <c r="E805" s="30"/>
      <c r="F805" s="17"/>
      <c r="G805" s="1"/>
      <c r="H805" s="1"/>
      <c r="I805" s="16"/>
      <c r="J805" s="17"/>
    </row>
    <row r="806" spans="1:10" ht="15.75" customHeight="1" x14ac:dyDescent="0.25">
      <c r="A806" s="1"/>
      <c r="B806" s="1"/>
      <c r="C806" s="15"/>
      <c r="D806" s="17"/>
      <c r="E806" s="30"/>
      <c r="F806" s="17"/>
      <c r="G806" s="1"/>
      <c r="H806" s="1"/>
      <c r="I806" s="16"/>
      <c r="J806" s="17"/>
    </row>
    <row r="807" spans="1:10" ht="15.75" customHeight="1" x14ac:dyDescent="0.25">
      <c r="A807" s="1"/>
      <c r="B807" s="1"/>
      <c r="C807" s="15"/>
      <c r="D807" s="17"/>
      <c r="E807" s="30"/>
      <c r="F807" s="17"/>
      <c r="G807" s="1"/>
      <c r="H807" s="1"/>
      <c r="I807" s="16"/>
      <c r="J807" s="17"/>
    </row>
    <row r="808" spans="1:10" ht="15.75" customHeight="1" x14ac:dyDescent="0.25">
      <c r="A808" s="1"/>
      <c r="B808" s="1"/>
      <c r="C808" s="15"/>
      <c r="D808" s="17"/>
      <c r="E808" s="30"/>
      <c r="F808" s="17"/>
      <c r="G808" s="1"/>
      <c r="H808" s="1"/>
      <c r="I808" s="16"/>
      <c r="J808" s="17"/>
    </row>
    <row r="809" spans="1:10" ht="15.75" customHeight="1" x14ac:dyDescent="0.25">
      <c r="A809" s="1"/>
      <c r="B809" s="1"/>
      <c r="C809" s="15"/>
      <c r="D809" s="17"/>
      <c r="E809" s="30"/>
      <c r="F809" s="17"/>
      <c r="G809" s="1"/>
      <c r="H809" s="1"/>
      <c r="I809" s="16"/>
      <c r="J809" s="17"/>
    </row>
    <row r="810" spans="1:10" ht="15.75" customHeight="1" x14ac:dyDescent="0.25">
      <c r="A810" s="1"/>
      <c r="B810" s="1"/>
      <c r="C810" s="15"/>
      <c r="D810" s="17"/>
      <c r="E810" s="30"/>
      <c r="F810" s="17"/>
      <c r="G810" s="1"/>
      <c r="H810" s="1"/>
      <c r="I810" s="16"/>
      <c r="J810" s="17"/>
    </row>
    <row r="811" spans="1:10" ht="15.75" customHeight="1" x14ac:dyDescent="0.25">
      <c r="A811" s="1"/>
      <c r="B811" s="1"/>
      <c r="C811" s="15"/>
      <c r="D811" s="17"/>
      <c r="E811" s="30"/>
      <c r="F811" s="17"/>
      <c r="G811" s="1"/>
      <c r="H811" s="1"/>
      <c r="I811" s="16"/>
      <c r="J811" s="17"/>
    </row>
    <row r="812" spans="1:10" ht="15.75" customHeight="1" x14ac:dyDescent="0.25">
      <c r="A812" s="1"/>
      <c r="B812" s="1"/>
      <c r="C812" s="15"/>
      <c r="D812" s="17"/>
      <c r="E812" s="30"/>
      <c r="F812" s="17"/>
      <c r="G812" s="1"/>
      <c r="H812" s="1"/>
      <c r="I812" s="16"/>
      <c r="J812" s="17"/>
    </row>
    <row r="813" spans="1:10" ht="15.75" customHeight="1" x14ac:dyDescent="0.25">
      <c r="A813" s="1"/>
      <c r="B813" s="1"/>
      <c r="C813" s="15"/>
      <c r="D813" s="17"/>
      <c r="E813" s="30"/>
      <c r="F813" s="17"/>
      <c r="G813" s="1"/>
      <c r="H813" s="1"/>
      <c r="I813" s="16"/>
      <c r="J813" s="17"/>
    </row>
    <row r="814" spans="1:10" ht="15.75" customHeight="1" x14ac:dyDescent="0.25">
      <c r="A814" s="1"/>
      <c r="B814" s="1"/>
      <c r="C814" s="15"/>
      <c r="D814" s="17"/>
      <c r="E814" s="30"/>
      <c r="F814" s="17"/>
      <c r="G814" s="1"/>
      <c r="H814" s="1"/>
      <c r="I814" s="16"/>
      <c r="J814" s="17"/>
    </row>
    <row r="815" spans="1:10" ht="15.75" customHeight="1" x14ac:dyDescent="0.25">
      <c r="A815" s="1"/>
      <c r="B815" s="1"/>
      <c r="C815" s="15"/>
      <c r="D815" s="17"/>
      <c r="E815" s="30"/>
      <c r="F815" s="17"/>
      <c r="G815" s="1"/>
      <c r="H815" s="1"/>
      <c r="I815" s="16"/>
      <c r="J815" s="17"/>
    </row>
    <row r="816" spans="1:10" ht="15.75" customHeight="1" x14ac:dyDescent="0.25">
      <c r="A816" s="1"/>
      <c r="B816" s="1"/>
      <c r="C816" s="15"/>
      <c r="D816" s="17"/>
      <c r="E816" s="30"/>
      <c r="F816" s="17"/>
      <c r="G816" s="1"/>
      <c r="H816" s="1"/>
      <c r="I816" s="16"/>
      <c r="J816" s="17"/>
    </row>
    <row r="817" spans="1:10" ht="15.75" customHeight="1" x14ac:dyDescent="0.25">
      <c r="A817" s="1"/>
      <c r="B817" s="1"/>
      <c r="C817" s="15"/>
      <c r="D817" s="17"/>
      <c r="E817" s="30"/>
      <c r="F817" s="17"/>
      <c r="G817" s="1"/>
      <c r="H817" s="1"/>
      <c r="I817" s="16"/>
      <c r="J817" s="17"/>
    </row>
    <row r="818" spans="1:10" ht="15.75" customHeight="1" x14ac:dyDescent="0.25">
      <c r="A818" s="1"/>
      <c r="B818" s="1"/>
      <c r="C818" s="15"/>
      <c r="D818" s="17"/>
      <c r="E818" s="30"/>
      <c r="F818" s="17"/>
      <c r="G818" s="1"/>
      <c r="H818" s="1"/>
      <c r="I818" s="16"/>
      <c r="J818" s="17"/>
    </row>
    <row r="819" spans="1:10" ht="15.75" customHeight="1" x14ac:dyDescent="0.25">
      <c r="A819" s="1"/>
      <c r="B819" s="1"/>
      <c r="C819" s="15"/>
      <c r="D819" s="17"/>
      <c r="E819" s="30"/>
      <c r="F819" s="17"/>
      <c r="G819" s="1"/>
      <c r="H819" s="1"/>
      <c r="I819" s="16"/>
      <c r="J819" s="17"/>
    </row>
    <row r="820" spans="1:10" ht="15.75" customHeight="1" x14ac:dyDescent="0.25">
      <c r="A820" s="1"/>
      <c r="B820" s="1"/>
      <c r="C820" s="15"/>
      <c r="D820" s="17"/>
      <c r="E820" s="30"/>
      <c r="F820" s="17"/>
      <c r="G820" s="1"/>
      <c r="H820" s="1"/>
      <c r="I820" s="16"/>
      <c r="J820" s="17"/>
    </row>
    <row r="821" spans="1:10" ht="15.75" customHeight="1" x14ac:dyDescent="0.25">
      <c r="A821" s="1"/>
      <c r="B821" s="1"/>
      <c r="C821" s="15"/>
      <c r="D821" s="17"/>
      <c r="E821" s="30"/>
      <c r="F821" s="17"/>
      <c r="G821" s="1"/>
      <c r="H821" s="1"/>
      <c r="I821" s="16"/>
      <c r="J821" s="17"/>
    </row>
    <row r="822" spans="1:10" ht="15.75" customHeight="1" x14ac:dyDescent="0.25">
      <c r="A822" s="1"/>
      <c r="B822" s="1"/>
      <c r="C822" s="15"/>
      <c r="D822" s="17"/>
      <c r="E822" s="30"/>
      <c r="F822" s="17"/>
      <c r="G822" s="1"/>
      <c r="H822" s="1"/>
      <c r="I822" s="16"/>
      <c r="J822" s="17"/>
    </row>
    <row r="823" spans="1:10" ht="15.75" customHeight="1" x14ac:dyDescent="0.25">
      <c r="A823" s="1"/>
      <c r="B823" s="1"/>
      <c r="C823" s="15"/>
      <c r="D823" s="17"/>
      <c r="E823" s="30"/>
      <c r="F823" s="17"/>
      <c r="G823" s="1"/>
      <c r="H823" s="1"/>
      <c r="I823" s="16"/>
      <c r="J823" s="17"/>
    </row>
    <row r="824" spans="1:10" ht="15.75" customHeight="1" x14ac:dyDescent="0.25">
      <c r="A824" s="1"/>
      <c r="B824" s="1"/>
      <c r="C824" s="15"/>
      <c r="D824" s="17"/>
      <c r="E824" s="30"/>
      <c r="F824" s="17"/>
      <c r="G824" s="1"/>
      <c r="H824" s="1"/>
      <c r="I824" s="16"/>
      <c r="J824" s="17"/>
    </row>
    <row r="825" spans="1:10" ht="15.75" customHeight="1" x14ac:dyDescent="0.25">
      <c r="A825" s="1"/>
      <c r="B825" s="1"/>
      <c r="C825" s="15"/>
      <c r="D825" s="17"/>
      <c r="E825" s="30"/>
      <c r="F825" s="17"/>
      <c r="G825" s="1"/>
      <c r="H825" s="1"/>
      <c r="I825" s="16"/>
      <c r="J825" s="17"/>
    </row>
    <row r="826" spans="1:10" ht="15.75" customHeight="1" x14ac:dyDescent="0.25">
      <c r="A826" s="1"/>
      <c r="B826" s="1"/>
      <c r="C826" s="15"/>
      <c r="D826" s="17"/>
      <c r="E826" s="30"/>
      <c r="F826" s="17"/>
      <c r="G826" s="1"/>
      <c r="H826" s="1"/>
      <c r="I826" s="16"/>
      <c r="J826" s="17"/>
    </row>
    <row r="827" spans="1:10" ht="15.75" customHeight="1" x14ac:dyDescent="0.25">
      <c r="A827" s="1"/>
      <c r="B827" s="1"/>
      <c r="C827" s="15"/>
      <c r="D827" s="17"/>
      <c r="E827" s="30"/>
      <c r="F827" s="17"/>
      <c r="G827" s="1"/>
      <c r="H827" s="1"/>
      <c r="I827" s="16"/>
      <c r="J827" s="17"/>
    </row>
    <row r="828" spans="1:10" ht="15.75" customHeight="1" x14ac:dyDescent="0.25">
      <c r="A828" s="1"/>
      <c r="B828" s="1"/>
      <c r="C828" s="15"/>
      <c r="D828" s="17"/>
      <c r="E828" s="30"/>
      <c r="F828" s="17"/>
      <c r="G828" s="1"/>
      <c r="H828" s="1"/>
      <c r="I828" s="16"/>
      <c r="J828" s="17"/>
    </row>
    <row r="829" spans="1:10" ht="15.75" customHeight="1" x14ac:dyDescent="0.25">
      <c r="A829" s="1"/>
      <c r="B829" s="1"/>
      <c r="C829" s="15"/>
      <c r="D829" s="17"/>
      <c r="E829" s="30"/>
      <c r="F829" s="17"/>
      <c r="G829" s="1"/>
      <c r="H829" s="1"/>
      <c r="I829" s="16"/>
      <c r="J829" s="17"/>
    </row>
    <row r="830" spans="1:10" ht="15.75" customHeight="1" x14ac:dyDescent="0.25">
      <c r="A830" s="1"/>
      <c r="B830" s="1"/>
      <c r="C830" s="15"/>
      <c r="D830" s="17"/>
      <c r="E830" s="30"/>
      <c r="F830" s="17"/>
      <c r="G830" s="1"/>
      <c r="H830" s="1"/>
      <c r="I830" s="16"/>
      <c r="J830" s="17"/>
    </row>
    <row r="831" spans="1:10" ht="15.75" customHeight="1" x14ac:dyDescent="0.25">
      <c r="A831" s="1"/>
      <c r="B831" s="1"/>
      <c r="C831" s="15"/>
      <c r="D831" s="17"/>
      <c r="E831" s="30"/>
      <c r="F831" s="17"/>
      <c r="G831" s="1"/>
      <c r="H831" s="1"/>
      <c r="I831" s="16"/>
      <c r="J831" s="17"/>
    </row>
    <row r="832" spans="1:10" ht="15.75" customHeight="1" x14ac:dyDescent="0.25">
      <c r="A832" s="1"/>
      <c r="B832" s="1"/>
      <c r="C832" s="15"/>
      <c r="D832" s="17"/>
      <c r="E832" s="30"/>
      <c r="F832" s="17"/>
      <c r="G832" s="1"/>
      <c r="H832" s="1"/>
      <c r="I832" s="16"/>
      <c r="J832" s="17"/>
    </row>
    <row r="833" spans="1:10" ht="15.75" customHeight="1" x14ac:dyDescent="0.25">
      <c r="A833" s="1"/>
      <c r="B833" s="1"/>
      <c r="C833" s="15"/>
      <c r="D833" s="17"/>
      <c r="E833" s="30"/>
      <c r="F833" s="17"/>
      <c r="G833" s="1"/>
      <c r="H833" s="1"/>
      <c r="I833" s="16"/>
      <c r="J833" s="17"/>
    </row>
    <row r="834" spans="1:10" ht="15.75" customHeight="1" x14ac:dyDescent="0.25">
      <c r="A834" s="1"/>
      <c r="B834" s="1"/>
      <c r="C834" s="15"/>
      <c r="D834" s="17"/>
      <c r="E834" s="30"/>
      <c r="F834" s="17"/>
      <c r="G834" s="1"/>
      <c r="H834" s="1"/>
      <c r="I834" s="16"/>
      <c r="J834" s="17"/>
    </row>
    <row r="835" spans="1:10" ht="15.75" customHeight="1" x14ac:dyDescent="0.25">
      <c r="A835" s="1"/>
      <c r="B835" s="1"/>
      <c r="C835" s="15"/>
      <c r="D835" s="17"/>
      <c r="E835" s="30"/>
      <c r="F835" s="17"/>
      <c r="G835" s="1"/>
      <c r="H835" s="1"/>
      <c r="I835" s="16"/>
      <c r="J835" s="17"/>
    </row>
    <row r="836" spans="1:10" ht="15.75" customHeight="1" x14ac:dyDescent="0.25">
      <c r="A836" s="1"/>
      <c r="B836" s="1"/>
      <c r="C836" s="15"/>
      <c r="D836" s="17"/>
      <c r="E836" s="30"/>
      <c r="F836" s="17"/>
      <c r="G836" s="1"/>
      <c r="H836" s="1"/>
      <c r="I836" s="16"/>
      <c r="J836" s="17"/>
    </row>
    <row r="837" spans="1:10" ht="15.75" customHeight="1" x14ac:dyDescent="0.25">
      <c r="A837" s="1"/>
      <c r="B837" s="1"/>
      <c r="C837" s="15"/>
      <c r="D837" s="17"/>
      <c r="E837" s="30"/>
      <c r="F837" s="17"/>
      <c r="G837" s="1"/>
      <c r="H837" s="1"/>
      <c r="I837" s="16"/>
      <c r="J837" s="17"/>
    </row>
    <row r="838" spans="1:10" ht="15.75" customHeight="1" x14ac:dyDescent="0.25">
      <c r="A838" s="1"/>
      <c r="B838" s="1"/>
      <c r="C838" s="15"/>
      <c r="D838" s="17"/>
      <c r="E838" s="30"/>
      <c r="F838" s="17"/>
      <c r="G838" s="1"/>
      <c r="H838" s="1"/>
      <c r="I838" s="16"/>
      <c r="J838" s="17"/>
    </row>
    <row r="839" spans="1:10" ht="15.75" customHeight="1" x14ac:dyDescent="0.25">
      <c r="A839" s="1"/>
      <c r="B839" s="1"/>
      <c r="C839" s="15"/>
      <c r="D839" s="17"/>
      <c r="E839" s="30"/>
      <c r="F839" s="17"/>
      <c r="G839" s="1"/>
      <c r="H839" s="1"/>
      <c r="I839" s="16"/>
      <c r="J839" s="17"/>
    </row>
    <row r="840" spans="1:10" ht="15.75" customHeight="1" x14ac:dyDescent="0.25">
      <c r="A840" s="1"/>
      <c r="B840" s="1"/>
      <c r="C840" s="15"/>
      <c r="D840" s="17"/>
      <c r="E840" s="30"/>
      <c r="F840" s="17"/>
      <c r="G840" s="1"/>
      <c r="H840" s="1"/>
      <c r="I840" s="16"/>
      <c r="J840" s="17"/>
    </row>
    <row r="841" spans="1:10" ht="15.75" customHeight="1" x14ac:dyDescent="0.25">
      <c r="A841" s="1"/>
      <c r="B841" s="1"/>
      <c r="C841" s="15"/>
      <c r="D841" s="17"/>
      <c r="E841" s="30"/>
      <c r="F841" s="17"/>
      <c r="G841" s="1"/>
      <c r="H841" s="1"/>
      <c r="I841" s="16"/>
      <c r="J841" s="17"/>
    </row>
    <row r="842" spans="1:10" ht="15.75" customHeight="1" x14ac:dyDescent="0.25">
      <c r="A842" s="1"/>
      <c r="B842" s="1"/>
      <c r="C842" s="15"/>
      <c r="D842" s="17"/>
      <c r="E842" s="30"/>
      <c r="F842" s="17"/>
      <c r="G842" s="1"/>
      <c r="H842" s="1"/>
      <c r="I842" s="16"/>
      <c r="J842" s="17"/>
    </row>
    <row r="843" spans="1:10" ht="15.75" customHeight="1" x14ac:dyDescent="0.25">
      <c r="A843" s="1"/>
      <c r="B843" s="1"/>
      <c r="C843" s="15"/>
      <c r="D843" s="17"/>
      <c r="E843" s="30"/>
      <c r="F843" s="17"/>
      <c r="G843" s="1"/>
      <c r="H843" s="1"/>
      <c r="I843" s="16"/>
      <c r="J843" s="17"/>
    </row>
    <row r="844" spans="1:10" ht="15.75" customHeight="1" x14ac:dyDescent="0.25">
      <c r="A844" s="1"/>
      <c r="B844" s="1"/>
      <c r="C844" s="15"/>
      <c r="D844" s="17"/>
      <c r="E844" s="30"/>
      <c r="F844" s="17"/>
      <c r="G844" s="1"/>
      <c r="H844" s="1"/>
      <c r="I844" s="16"/>
      <c r="J844" s="17"/>
    </row>
    <row r="845" spans="1:10" ht="15.75" customHeight="1" x14ac:dyDescent="0.25">
      <c r="A845" s="1"/>
      <c r="B845" s="1"/>
      <c r="C845" s="15"/>
      <c r="D845" s="17"/>
      <c r="E845" s="30"/>
      <c r="F845" s="17"/>
      <c r="G845" s="1"/>
      <c r="H845" s="1"/>
      <c r="I845" s="16"/>
      <c r="J845" s="17"/>
    </row>
    <row r="846" spans="1:10" ht="15.75" customHeight="1" x14ac:dyDescent="0.25">
      <c r="A846" s="1"/>
      <c r="B846" s="1"/>
      <c r="C846" s="15"/>
      <c r="D846" s="17"/>
      <c r="E846" s="30"/>
      <c r="F846" s="17"/>
      <c r="G846" s="1"/>
      <c r="H846" s="1"/>
      <c r="I846" s="16"/>
      <c r="J846" s="17"/>
    </row>
    <row r="847" spans="1:10" ht="15.75" customHeight="1" x14ac:dyDescent="0.25">
      <c r="A847" s="1"/>
      <c r="B847" s="1"/>
      <c r="C847" s="15"/>
      <c r="D847" s="17"/>
      <c r="E847" s="30"/>
      <c r="F847" s="17"/>
      <c r="G847" s="1"/>
      <c r="H847" s="1"/>
      <c r="I847" s="16"/>
      <c r="J847" s="17"/>
    </row>
    <row r="848" spans="1:10" ht="15.75" customHeight="1" x14ac:dyDescent="0.25">
      <c r="A848" s="1"/>
      <c r="B848" s="1"/>
      <c r="C848" s="15"/>
      <c r="D848" s="17"/>
      <c r="E848" s="30"/>
      <c r="F848" s="17"/>
      <c r="G848" s="1"/>
      <c r="H848" s="1"/>
      <c r="I848" s="16"/>
      <c r="J848" s="17"/>
    </row>
    <row r="849" spans="1:10" ht="15.75" customHeight="1" x14ac:dyDescent="0.25">
      <c r="A849" s="1"/>
      <c r="B849" s="1"/>
      <c r="C849" s="15"/>
      <c r="D849" s="17"/>
      <c r="E849" s="30"/>
      <c r="F849" s="17"/>
      <c r="G849" s="1"/>
      <c r="H849" s="1"/>
      <c r="I849" s="16"/>
      <c r="J849" s="17"/>
    </row>
    <row r="850" spans="1:10" ht="15.75" customHeight="1" x14ac:dyDescent="0.25">
      <c r="A850" s="1"/>
      <c r="B850" s="1"/>
      <c r="C850" s="15"/>
      <c r="D850" s="17"/>
      <c r="E850" s="30"/>
      <c r="F850" s="17"/>
      <c r="G850" s="1"/>
      <c r="H850" s="1"/>
      <c r="I850" s="16"/>
      <c r="J850" s="17"/>
    </row>
    <row r="851" spans="1:10" ht="15.75" customHeight="1" x14ac:dyDescent="0.25">
      <c r="A851" s="1"/>
      <c r="B851" s="1"/>
      <c r="C851" s="15"/>
      <c r="D851" s="17"/>
      <c r="E851" s="30"/>
      <c r="F851" s="17"/>
      <c r="G851" s="1"/>
      <c r="H851" s="1"/>
      <c r="I851" s="16"/>
      <c r="J851" s="17"/>
    </row>
    <row r="852" spans="1:10" ht="15.75" customHeight="1" x14ac:dyDescent="0.25">
      <c r="A852" s="1"/>
      <c r="B852" s="1"/>
      <c r="C852" s="15"/>
      <c r="D852" s="17"/>
      <c r="E852" s="30"/>
      <c r="F852" s="17"/>
      <c r="G852" s="1"/>
      <c r="H852" s="1"/>
      <c r="I852" s="16"/>
      <c r="J852" s="17"/>
    </row>
    <row r="853" spans="1:10" ht="15.75" customHeight="1" x14ac:dyDescent="0.25">
      <c r="A853" s="1"/>
      <c r="B853" s="1"/>
      <c r="C853" s="15"/>
      <c r="D853" s="17"/>
      <c r="E853" s="30"/>
      <c r="F853" s="17"/>
      <c r="G853" s="1"/>
      <c r="H853" s="1"/>
      <c r="I853" s="16"/>
      <c r="J853" s="17"/>
    </row>
    <row r="854" spans="1:10" ht="15.75" customHeight="1" x14ac:dyDescent="0.25">
      <c r="A854" s="1"/>
      <c r="B854" s="1"/>
      <c r="C854" s="15"/>
      <c r="D854" s="17"/>
      <c r="E854" s="30"/>
      <c r="F854" s="17"/>
      <c r="G854" s="1"/>
      <c r="H854" s="1"/>
      <c r="I854" s="16"/>
      <c r="J854" s="17"/>
    </row>
    <row r="855" spans="1:10" ht="15.75" customHeight="1" x14ac:dyDescent="0.25">
      <c r="A855" s="1"/>
      <c r="B855" s="1"/>
      <c r="C855" s="15"/>
      <c r="D855" s="17"/>
      <c r="E855" s="30"/>
      <c r="F855" s="17"/>
      <c r="G855" s="1"/>
      <c r="H855" s="1"/>
      <c r="I855" s="16"/>
      <c r="J855" s="17"/>
    </row>
    <row r="856" spans="1:10" ht="15.75" customHeight="1" x14ac:dyDescent="0.25">
      <c r="A856" s="1"/>
      <c r="B856" s="1"/>
      <c r="C856" s="15"/>
      <c r="D856" s="17"/>
      <c r="E856" s="30"/>
      <c r="F856" s="17"/>
      <c r="G856" s="1"/>
      <c r="H856" s="1"/>
      <c r="I856" s="16"/>
      <c r="J856" s="17"/>
    </row>
    <row r="857" spans="1:10" ht="15.75" customHeight="1" x14ac:dyDescent="0.25">
      <c r="A857" s="1"/>
      <c r="B857" s="1"/>
      <c r="C857" s="15"/>
      <c r="D857" s="17"/>
      <c r="E857" s="30"/>
      <c r="F857" s="17"/>
      <c r="G857" s="1"/>
      <c r="H857" s="1"/>
      <c r="I857" s="16"/>
      <c r="J857" s="17"/>
    </row>
    <row r="858" spans="1:10" ht="15.75" customHeight="1" x14ac:dyDescent="0.25">
      <c r="A858" s="1"/>
      <c r="B858" s="1"/>
      <c r="C858" s="15"/>
      <c r="D858" s="17"/>
      <c r="E858" s="30"/>
      <c r="F858" s="17"/>
      <c r="G858" s="1"/>
      <c r="H858" s="1"/>
      <c r="I858" s="16"/>
      <c r="J858" s="17"/>
    </row>
    <row r="859" spans="1:10" ht="15.75" customHeight="1" x14ac:dyDescent="0.25">
      <c r="A859" s="1"/>
      <c r="B859" s="1"/>
      <c r="C859" s="15"/>
      <c r="D859" s="17"/>
      <c r="E859" s="30"/>
      <c r="F859" s="17"/>
      <c r="G859" s="1"/>
      <c r="H859" s="1"/>
      <c r="I859" s="16"/>
      <c r="J859" s="17"/>
    </row>
    <row r="860" spans="1:10" ht="15.75" customHeight="1" x14ac:dyDescent="0.25">
      <c r="A860" s="1"/>
      <c r="B860" s="1"/>
      <c r="C860" s="15"/>
      <c r="D860" s="17"/>
      <c r="E860" s="30"/>
      <c r="F860" s="17"/>
      <c r="G860" s="1"/>
      <c r="H860" s="1"/>
      <c r="I860" s="16"/>
      <c r="J860" s="17"/>
    </row>
    <row r="861" spans="1:10" ht="15.75" customHeight="1" x14ac:dyDescent="0.25">
      <c r="A861" s="1"/>
      <c r="B861" s="1"/>
      <c r="C861" s="15"/>
      <c r="D861" s="17"/>
      <c r="E861" s="30"/>
      <c r="F861" s="17"/>
      <c r="G861" s="1"/>
      <c r="H861" s="1"/>
      <c r="I861" s="16"/>
      <c r="J861" s="17"/>
    </row>
    <row r="862" spans="1:10" ht="15.75" customHeight="1" x14ac:dyDescent="0.25">
      <c r="A862" s="1"/>
      <c r="B862" s="1"/>
      <c r="C862" s="15"/>
      <c r="D862" s="17"/>
      <c r="E862" s="30"/>
      <c r="F862" s="17"/>
      <c r="G862" s="1"/>
      <c r="H862" s="1"/>
      <c r="I862" s="16"/>
      <c r="J862" s="17"/>
    </row>
    <row r="863" spans="1:10" ht="15.75" customHeight="1" x14ac:dyDescent="0.25">
      <c r="A863" s="1"/>
      <c r="B863" s="1"/>
      <c r="C863" s="15"/>
      <c r="D863" s="17"/>
      <c r="E863" s="30"/>
      <c r="F863" s="17"/>
      <c r="G863" s="1"/>
      <c r="H863" s="1"/>
      <c r="I863" s="16"/>
      <c r="J863" s="17"/>
    </row>
    <row r="864" spans="1:10" ht="15.75" customHeight="1" x14ac:dyDescent="0.25">
      <c r="A864" s="1"/>
      <c r="B864" s="1"/>
      <c r="C864" s="15"/>
      <c r="D864" s="17"/>
      <c r="E864" s="30"/>
      <c r="F864" s="17"/>
      <c r="G864" s="1"/>
      <c r="H864" s="1"/>
      <c r="I864" s="16"/>
      <c r="J864" s="17"/>
    </row>
    <row r="865" spans="1:10" ht="15.75" customHeight="1" x14ac:dyDescent="0.25">
      <c r="A865" s="1"/>
      <c r="B865" s="1"/>
      <c r="C865" s="15"/>
      <c r="D865" s="17"/>
      <c r="E865" s="30"/>
      <c r="F865" s="17"/>
      <c r="G865" s="1"/>
      <c r="H865" s="1"/>
      <c r="I865" s="16"/>
      <c r="J865" s="17"/>
    </row>
    <row r="866" spans="1:10" ht="15.75" customHeight="1" x14ac:dyDescent="0.25">
      <c r="A866" s="1"/>
      <c r="B866" s="1"/>
      <c r="C866" s="15"/>
      <c r="D866" s="17"/>
      <c r="E866" s="30"/>
      <c r="F866" s="17"/>
      <c r="G866" s="1"/>
      <c r="H866" s="1"/>
      <c r="I866" s="16"/>
      <c r="J866" s="17"/>
    </row>
    <row r="867" spans="1:10" ht="15.75" customHeight="1" x14ac:dyDescent="0.25">
      <c r="A867" s="1"/>
      <c r="B867" s="1"/>
      <c r="C867" s="15"/>
      <c r="D867" s="17"/>
      <c r="E867" s="30"/>
      <c r="F867" s="17"/>
      <c r="G867" s="1"/>
      <c r="H867" s="1"/>
      <c r="I867" s="16"/>
      <c r="J867" s="17"/>
    </row>
    <row r="868" spans="1:10" ht="15.75" customHeight="1" x14ac:dyDescent="0.25">
      <c r="A868" s="1"/>
      <c r="B868" s="1"/>
      <c r="C868" s="15"/>
      <c r="D868" s="17"/>
      <c r="E868" s="30"/>
      <c r="F868" s="17"/>
      <c r="G868" s="1"/>
      <c r="H868" s="1"/>
      <c r="I868" s="16"/>
      <c r="J868" s="17"/>
    </row>
    <row r="869" spans="1:10" ht="15.75" customHeight="1" x14ac:dyDescent="0.25">
      <c r="A869" s="1"/>
      <c r="B869" s="1"/>
      <c r="C869" s="15"/>
      <c r="D869" s="17"/>
      <c r="E869" s="30"/>
      <c r="F869" s="17"/>
      <c r="G869" s="1"/>
      <c r="H869" s="1"/>
      <c r="I869" s="16"/>
      <c r="J869" s="17"/>
    </row>
    <row r="870" spans="1:10" ht="15.75" customHeight="1" x14ac:dyDescent="0.25">
      <c r="A870" s="1"/>
      <c r="B870" s="1"/>
      <c r="C870" s="15"/>
      <c r="D870" s="17"/>
      <c r="E870" s="30"/>
      <c r="F870" s="17"/>
      <c r="G870" s="1"/>
      <c r="H870" s="1"/>
      <c r="I870" s="16"/>
      <c r="J870" s="17"/>
    </row>
    <row r="871" spans="1:10" ht="15.75" customHeight="1" x14ac:dyDescent="0.25">
      <c r="A871" s="1"/>
      <c r="B871" s="1"/>
      <c r="C871" s="15"/>
      <c r="D871" s="17"/>
      <c r="E871" s="30"/>
      <c r="F871" s="17"/>
      <c r="G871" s="1"/>
      <c r="H871" s="1"/>
      <c r="I871" s="16"/>
      <c r="J871" s="17"/>
    </row>
    <row r="872" spans="1:10" ht="15.75" customHeight="1" x14ac:dyDescent="0.25">
      <c r="A872" s="1"/>
      <c r="B872" s="1"/>
      <c r="C872" s="15"/>
      <c r="D872" s="17"/>
      <c r="E872" s="30"/>
      <c r="F872" s="17"/>
      <c r="G872" s="1"/>
      <c r="H872" s="1"/>
      <c r="I872" s="16"/>
      <c r="J872" s="17"/>
    </row>
    <row r="873" spans="1:10" ht="15.75" customHeight="1" x14ac:dyDescent="0.25">
      <c r="A873" s="1"/>
      <c r="B873" s="1"/>
      <c r="C873" s="15"/>
      <c r="D873" s="17"/>
      <c r="E873" s="30"/>
      <c r="F873" s="17"/>
      <c r="G873" s="1"/>
      <c r="H873" s="1"/>
      <c r="I873" s="16"/>
      <c r="J873" s="17"/>
    </row>
    <row r="874" spans="1:10" ht="15.75" customHeight="1" x14ac:dyDescent="0.25">
      <c r="A874" s="1"/>
      <c r="B874" s="1"/>
      <c r="C874" s="15"/>
      <c r="D874" s="17"/>
      <c r="E874" s="30"/>
      <c r="F874" s="17"/>
      <c r="G874" s="1"/>
      <c r="H874" s="1"/>
      <c r="I874" s="16"/>
      <c r="J874" s="17"/>
    </row>
    <row r="875" spans="1:10" ht="15.75" customHeight="1" x14ac:dyDescent="0.25">
      <c r="A875" s="1"/>
      <c r="B875" s="1"/>
      <c r="C875" s="15"/>
      <c r="D875" s="17"/>
      <c r="E875" s="30"/>
      <c r="F875" s="17"/>
      <c r="G875" s="1"/>
      <c r="H875" s="1"/>
      <c r="I875" s="16"/>
      <c r="J875" s="17"/>
    </row>
    <row r="876" spans="1:10" ht="15.75" customHeight="1" x14ac:dyDescent="0.25">
      <c r="A876" s="1"/>
      <c r="B876" s="1"/>
      <c r="C876" s="15"/>
      <c r="D876" s="17"/>
      <c r="E876" s="30"/>
      <c r="F876" s="17"/>
      <c r="G876" s="1"/>
      <c r="H876" s="1"/>
      <c r="I876" s="16"/>
      <c r="J876" s="17"/>
    </row>
    <row r="877" spans="1:10" ht="15.75" customHeight="1" x14ac:dyDescent="0.25">
      <c r="A877" s="1"/>
      <c r="B877" s="1"/>
      <c r="C877" s="15"/>
      <c r="D877" s="17"/>
      <c r="E877" s="30"/>
      <c r="F877" s="17"/>
      <c r="G877" s="1"/>
      <c r="H877" s="1"/>
      <c r="I877" s="16"/>
      <c r="J877" s="17"/>
    </row>
    <row r="878" spans="1:10" ht="15.75" customHeight="1" x14ac:dyDescent="0.25">
      <c r="A878" s="1"/>
      <c r="B878" s="1"/>
      <c r="C878" s="15"/>
      <c r="D878" s="17"/>
      <c r="E878" s="30"/>
      <c r="F878" s="17"/>
      <c r="G878" s="1"/>
      <c r="H878" s="1"/>
      <c r="I878" s="16"/>
      <c r="J878" s="17"/>
    </row>
    <row r="879" spans="1:10" ht="15.75" customHeight="1" x14ac:dyDescent="0.25">
      <c r="A879" s="1"/>
      <c r="B879" s="1"/>
      <c r="C879" s="15"/>
      <c r="D879" s="17"/>
      <c r="E879" s="30"/>
      <c r="F879" s="17"/>
      <c r="G879" s="1"/>
      <c r="H879" s="1"/>
      <c r="I879" s="16"/>
      <c r="J879" s="17"/>
    </row>
    <row r="880" spans="1:10" ht="15.75" customHeight="1" x14ac:dyDescent="0.25">
      <c r="A880" s="1"/>
      <c r="B880" s="1"/>
      <c r="C880" s="15"/>
      <c r="D880" s="17"/>
      <c r="E880" s="30"/>
      <c r="F880" s="17"/>
      <c r="G880" s="1"/>
      <c r="H880" s="1"/>
      <c r="I880" s="16"/>
      <c r="J880" s="17"/>
    </row>
    <row r="881" spans="1:10" ht="15.75" customHeight="1" x14ac:dyDescent="0.25">
      <c r="A881" s="1"/>
      <c r="B881" s="1"/>
      <c r="C881" s="15"/>
      <c r="D881" s="17"/>
      <c r="E881" s="30"/>
      <c r="F881" s="17"/>
      <c r="G881" s="1"/>
      <c r="H881" s="1"/>
      <c r="I881" s="16"/>
      <c r="J881" s="17"/>
    </row>
    <row r="882" spans="1:10" ht="15.75" customHeight="1" x14ac:dyDescent="0.25">
      <c r="A882" s="1"/>
      <c r="B882" s="1"/>
      <c r="C882" s="15"/>
      <c r="D882" s="17"/>
      <c r="E882" s="30"/>
      <c r="F882" s="17"/>
      <c r="G882" s="1"/>
      <c r="H882" s="1"/>
      <c r="I882" s="16"/>
      <c r="J882" s="17"/>
    </row>
    <row r="883" spans="1:10" ht="15.75" customHeight="1" x14ac:dyDescent="0.25">
      <c r="A883" s="1"/>
      <c r="B883" s="1"/>
      <c r="C883" s="15"/>
      <c r="D883" s="17"/>
      <c r="E883" s="30"/>
      <c r="F883" s="17"/>
      <c r="G883" s="1"/>
      <c r="H883" s="1"/>
      <c r="I883" s="16"/>
      <c r="J883" s="17"/>
    </row>
    <row r="884" spans="1:10" ht="15.75" customHeight="1" x14ac:dyDescent="0.25">
      <c r="A884" s="1"/>
      <c r="B884" s="1"/>
      <c r="C884" s="15"/>
      <c r="D884" s="17"/>
      <c r="E884" s="30"/>
      <c r="F884" s="17"/>
      <c r="G884" s="1"/>
      <c r="H884" s="1"/>
      <c r="I884" s="16"/>
      <c r="J884" s="17"/>
    </row>
    <row r="885" spans="1:10" ht="15.75" customHeight="1" x14ac:dyDescent="0.25">
      <c r="A885" s="1"/>
      <c r="B885" s="1"/>
      <c r="C885" s="15"/>
      <c r="D885" s="17"/>
      <c r="E885" s="30"/>
      <c r="F885" s="17"/>
      <c r="G885" s="1"/>
      <c r="H885" s="1"/>
      <c r="I885" s="16"/>
      <c r="J885" s="17"/>
    </row>
    <row r="886" spans="1:10" ht="15.75" customHeight="1" x14ac:dyDescent="0.25">
      <c r="A886" s="1"/>
      <c r="B886" s="1"/>
      <c r="C886" s="15"/>
      <c r="D886" s="17"/>
      <c r="E886" s="30"/>
      <c r="F886" s="17"/>
      <c r="G886" s="1"/>
      <c r="H886" s="1"/>
      <c r="I886" s="16"/>
      <c r="J886" s="17"/>
    </row>
    <row r="887" spans="1:10" ht="15.75" customHeight="1" x14ac:dyDescent="0.25">
      <c r="A887" s="1"/>
      <c r="B887" s="1"/>
      <c r="C887" s="15"/>
      <c r="D887" s="17"/>
      <c r="E887" s="30"/>
      <c r="F887" s="17"/>
      <c r="G887" s="1"/>
      <c r="H887" s="1"/>
      <c r="I887" s="16"/>
      <c r="J887" s="17"/>
    </row>
    <row r="888" spans="1:10" ht="15.75" customHeight="1" x14ac:dyDescent="0.25">
      <c r="A888" s="1"/>
      <c r="B888" s="1"/>
      <c r="C888" s="15"/>
      <c r="D888" s="17"/>
      <c r="E888" s="30"/>
      <c r="F888" s="17"/>
      <c r="G888" s="1"/>
      <c r="H888" s="1"/>
      <c r="I888" s="16"/>
      <c r="J888" s="17"/>
    </row>
    <row r="889" spans="1:10" ht="15.75" customHeight="1" x14ac:dyDescent="0.25">
      <c r="A889" s="1"/>
      <c r="B889" s="1"/>
      <c r="C889" s="15"/>
      <c r="D889" s="17"/>
      <c r="E889" s="30"/>
      <c r="F889" s="17"/>
      <c r="G889" s="1"/>
      <c r="H889" s="1"/>
      <c r="I889" s="16"/>
      <c r="J889" s="17"/>
    </row>
    <row r="890" spans="1:10" ht="15.75" customHeight="1" x14ac:dyDescent="0.25">
      <c r="A890" s="1"/>
      <c r="B890" s="1"/>
      <c r="C890" s="15"/>
      <c r="D890" s="17"/>
      <c r="E890" s="30"/>
      <c r="F890" s="17"/>
      <c r="G890" s="1"/>
      <c r="H890" s="1"/>
      <c r="I890" s="16"/>
      <c r="J890" s="17"/>
    </row>
    <row r="891" spans="1:10" ht="15.75" customHeight="1" x14ac:dyDescent="0.25">
      <c r="A891" s="1"/>
      <c r="B891" s="1"/>
      <c r="C891" s="15"/>
      <c r="D891" s="17"/>
      <c r="E891" s="30"/>
      <c r="F891" s="17"/>
      <c r="G891" s="1"/>
      <c r="H891" s="1"/>
      <c r="I891" s="16"/>
      <c r="J891" s="17"/>
    </row>
    <row r="892" spans="1:10" ht="15.75" customHeight="1" x14ac:dyDescent="0.25">
      <c r="A892" s="1"/>
      <c r="B892" s="1"/>
      <c r="C892" s="15"/>
      <c r="D892" s="17"/>
      <c r="E892" s="30"/>
      <c r="F892" s="17"/>
      <c r="G892" s="1"/>
      <c r="H892" s="1"/>
      <c r="I892" s="16"/>
      <c r="J892" s="17"/>
    </row>
    <row r="893" spans="1:10" ht="15.75" customHeight="1" x14ac:dyDescent="0.25">
      <c r="A893" s="1"/>
      <c r="B893" s="1"/>
      <c r="C893" s="15"/>
      <c r="D893" s="17"/>
      <c r="E893" s="30"/>
      <c r="F893" s="17"/>
      <c r="G893" s="1"/>
      <c r="H893" s="1"/>
      <c r="I893" s="16"/>
      <c r="J893" s="17"/>
    </row>
    <row r="894" spans="1:10" ht="15.75" customHeight="1" x14ac:dyDescent="0.25">
      <c r="A894" s="1"/>
      <c r="B894" s="1"/>
      <c r="C894" s="15"/>
      <c r="D894" s="17"/>
      <c r="E894" s="30"/>
      <c r="F894" s="17"/>
      <c r="G894" s="1"/>
      <c r="H894" s="1"/>
      <c r="I894" s="16"/>
      <c r="J894" s="17"/>
    </row>
    <row r="895" spans="1:10" ht="15.75" customHeight="1" x14ac:dyDescent="0.25">
      <c r="A895" s="1"/>
      <c r="B895" s="1"/>
      <c r="C895" s="15"/>
      <c r="D895" s="17"/>
      <c r="E895" s="30"/>
      <c r="F895" s="17"/>
      <c r="G895" s="1"/>
      <c r="H895" s="1"/>
      <c r="I895" s="16"/>
      <c r="J895" s="17"/>
    </row>
    <row r="896" spans="1:10" ht="15.75" customHeight="1" x14ac:dyDescent="0.25">
      <c r="A896" s="1"/>
      <c r="B896" s="1"/>
      <c r="C896" s="15"/>
      <c r="D896" s="17"/>
      <c r="E896" s="30"/>
      <c r="F896" s="17"/>
      <c r="G896" s="1"/>
      <c r="H896" s="1"/>
      <c r="I896" s="16"/>
      <c r="J896" s="17"/>
    </row>
    <row r="897" spans="1:10" ht="15.75" customHeight="1" x14ac:dyDescent="0.25">
      <c r="A897" s="1"/>
      <c r="B897" s="1"/>
      <c r="C897" s="15"/>
      <c r="D897" s="17"/>
      <c r="E897" s="30"/>
      <c r="F897" s="17"/>
      <c r="G897" s="1"/>
      <c r="H897" s="1"/>
      <c r="I897" s="16"/>
      <c r="J897" s="17"/>
    </row>
    <row r="898" spans="1:10" ht="15.75" customHeight="1" x14ac:dyDescent="0.25">
      <c r="A898" s="1"/>
      <c r="B898" s="1"/>
      <c r="C898" s="15"/>
      <c r="D898" s="17"/>
      <c r="E898" s="30"/>
      <c r="F898" s="17"/>
      <c r="G898" s="1"/>
      <c r="H898" s="1"/>
      <c r="I898" s="16"/>
      <c r="J898" s="17"/>
    </row>
    <row r="899" spans="1:10" ht="15.75" customHeight="1" x14ac:dyDescent="0.25">
      <c r="A899" s="1"/>
      <c r="B899" s="1"/>
      <c r="C899" s="15"/>
      <c r="D899" s="17"/>
      <c r="E899" s="30"/>
      <c r="F899" s="17"/>
      <c r="G899" s="1"/>
      <c r="H899" s="1"/>
      <c r="I899" s="16"/>
      <c r="J899" s="17"/>
    </row>
    <row r="900" spans="1:10" ht="15.75" customHeight="1" x14ac:dyDescent="0.25">
      <c r="A900" s="1"/>
      <c r="B900" s="1"/>
      <c r="C900" s="15"/>
      <c r="D900" s="17"/>
      <c r="E900" s="30"/>
      <c r="F900" s="17"/>
      <c r="G900" s="1"/>
      <c r="H900" s="1"/>
      <c r="I900" s="16"/>
      <c r="J900" s="17"/>
    </row>
    <row r="901" spans="1:10" ht="15.75" customHeight="1" x14ac:dyDescent="0.25">
      <c r="A901" s="1"/>
      <c r="B901" s="1"/>
      <c r="C901" s="15"/>
      <c r="D901" s="17"/>
      <c r="E901" s="30"/>
      <c r="F901" s="17"/>
      <c r="G901" s="1"/>
      <c r="H901" s="1"/>
      <c r="I901" s="16"/>
      <c r="J901" s="17"/>
    </row>
    <row r="902" spans="1:10" ht="15.75" customHeight="1" x14ac:dyDescent="0.25">
      <c r="A902" s="1"/>
      <c r="B902" s="1"/>
      <c r="C902" s="15"/>
      <c r="D902" s="17"/>
      <c r="E902" s="30"/>
      <c r="F902" s="17"/>
      <c r="G902" s="1"/>
      <c r="H902" s="1"/>
      <c r="I902" s="16"/>
      <c r="J902" s="17"/>
    </row>
    <row r="903" spans="1:10" ht="15.75" customHeight="1" x14ac:dyDescent="0.25">
      <c r="A903" s="1"/>
      <c r="B903" s="1"/>
      <c r="C903" s="15"/>
      <c r="D903" s="17"/>
      <c r="E903" s="30"/>
      <c r="F903" s="17"/>
      <c r="G903" s="1"/>
      <c r="H903" s="1"/>
      <c r="I903" s="16"/>
      <c r="J903" s="17"/>
    </row>
    <row r="904" spans="1:10" ht="15.75" customHeight="1" x14ac:dyDescent="0.25">
      <c r="A904" s="1"/>
      <c r="B904" s="1"/>
      <c r="C904" s="15"/>
      <c r="D904" s="17"/>
      <c r="E904" s="30"/>
      <c r="F904" s="17"/>
      <c r="G904" s="1"/>
      <c r="H904" s="1"/>
      <c r="I904" s="16"/>
      <c r="J904" s="17"/>
    </row>
    <row r="905" spans="1:10" ht="15.75" customHeight="1" x14ac:dyDescent="0.25">
      <c r="A905" s="1"/>
      <c r="B905" s="1"/>
      <c r="C905" s="15"/>
      <c r="D905" s="17"/>
      <c r="E905" s="30"/>
      <c r="F905" s="17"/>
      <c r="G905" s="1"/>
      <c r="H905" s="1"/>
      <c r="I905" s="16"/>
      <c r="J905" s="17"/>
    </row>
    <row r="906" spans="1:10" ht="15.75" customHeight="1" x14ac:dyDescent="0.25">
      <c r="A906" s="1"/>
      <c r="B906" s="1"/>
      <c r="C906" s="15"/>
      <c r="D906" s="17"/>
      <c r="E906" s="30"/>
      <c r="F906" s="17"/>
      <c r="G906" s="1"/>
      <c r="H906" s="1"/>
      <c r="I906" s="16"/>
      <c r="J906" s="17"/>
    </row>
    <row r="907" spans="1:10" ht="15.75" customHeight="1" x14ac:dyDescent="0.25">
      <c r="A907" s="1"/>
      <c r="B907" s="1"/>
      <c r="C907" s="15"/>
      <c r="D907" s="17"/>
      <c r="E907" s="30"/>
      <c r="F907" s="17"/>
      <c r="G907" s="1"/>
      <c r="H907" s="1"/>
      <c r="I907" s="16"/>
      <c r="J907" s="17"/>
    </row>
    <row r="908" spans="1:10" ht="15.75" customHeight="1" x14ac:dyDescent="0.25">
      <c r="A908" s="1"/>
      <c r="B908" s="1"/>
      <c r="C908" s="15"/>
      <c r="D908" s="17"/>
      <c r="E908" s="30"/>
      <c r="F908" s="17"/>
      <c r="G908" s="1"/>
      <c r="H908" s="1"/>
      <c r="I908" s="16"/>
      <c r="J908" s="17"/>
    </row>
    <row r="909" spans="1:10" ht="15.75" customHeight="1" x14ac:dyDescent="0.25">
      <c r="A909" s="1"/>
      <c r="B909" s="1"/>
      <c r="C909" s="15"/>
      <c r="D909" s="17"/>
      <c r="E909" s="30"/>
      <c r="F909" s="17"/>
      <c r="G909" s="1"/>
      <c r="H909" s="1"/>
      <c r="I909" s="16"/>
      <c r="J909" s="17"/>
    </row>
    <row r="910" spans="1:10" ht="15.75" customHeight="1" x14ac:dyDescent="0.25">
      <c r="A910" s="1"/>
      <c r="B910" s="1"/>
      <c r="C910" s="15"/>
      <c r="D910" s="17"/>
      <c r="E910" s="30"/>
      <c r="F910" s="17"/>
      <c r="G910" s="1"/>
      <c r="H910" s="1"/>
      <c r="I910" s="16"/>
      <c r="J910" s="17"/>
    </row>
    <row r="911" spans="1:10" ht="15.75" customHeight="1" x14ac:dyDescent="0.25">
      <c r="A911" s="1"/>
      <c r="B911" s="1"/>
      <c r="C911" s="15"/>
      <c r="D911" s="17"/>
      <c r="E911" s="30"/>
      <c r="F911" s="17"/>
      <c r="G911" s="1"/>
      <c r="H911" s="1"/>
      <c r="I911" s="16"/>
      <c r="J911" s="17"/>
    </row>
    <row r="912" spans="1:10" ht="15.75" customHeight="1" x14ac:dyDescent="0.25">
      <c r="A912" s="1"/>
      <c r="B912" s="1"/>
      <c r="C912" s="15"/>
      <c r="D912" s="17"/>
      <c r="E912" s="30"/>
      <c r="F912" s="17"/>
      <c r="G912" s="1"/>
      <c r="H912" s="1"/>
      <c r="I912" s="16"/>
      <c r="J912" s="17"/>
    </row>
    <row r="913" spans="1:10" ht="15.75" customHeight="1" x14ac:dyDescent="0.25">
      <c r="A913" s="1"/>
      <c r="B913" s="1"/>
      <c r="C913" s="15"/>
      <c r="D913" s="17"/>
      <c r="E913" s="30"/>
      <c r="F913" s="17"/>
      <c r="G913" s="1"/>
      <c r="H913" s="1"/>
      <c r="I913" s="16"/>
      <c r="J913" s="17"/>
    </row>
    <row r="914" spans="1:10" ht="15.75" customHeight="1" x14ac:dyDescent="0.25">
      <c r="A914" s="1"/>
      <c r="B914" s="1"/>
      <c r="C914" s="15"/>
      <c r="D914" s="17"/>
      <c r="E914" s="30"/>
      <c r="F914" s="17"/>
      <c r="G914" s="1"/>
      <c r="H914" s="1"/>
      <c r="I914" s="16"/>
      <c r="J914" s="17"/>
    </row>
    <row r="915" spans="1:10" ht="15.75" customHeight="1" x14ac:dyDescent="0.25">
      <c r="A915" s="1"/>
      <c r="B915" s="1"/>
      <c r="C915" s="15"/>
      <c r="D915" s="17"/>
      <c r="E915" s="30"/>
      <c r="F915" s="17"/>
      <c r="G915" s="1"/>
      <c r="H915" s="1"/>
      <c r="I915" s="16"/>
      <c r="J915" s="17"/>
    </row>
    <row r="916" spans="1:10" ht="15.75" customHeight="1" x14ac:dyDescent="0.25">
      <c r="A916" s="1"/>
      <c r="B916" s="1"/>
      <c r="C916" s="15"/>
      <c r="D916" s="17"/>
      <c r="E916" s="30"/>
      <c r="F916" s="17"/>
      <c r="G916" s="1"/>
      <c r="H916" s="1"/>
      <c r="I916" s="16"/>
      <c r="J916" s="17"/>
    </row>
    <row r="917" spans="1:10" ht="15.75" customHeight="1" x14ac:dyDescent="0.25">
      <c r="A917" s="1"/>
      <c r="B917" s="1"/>
      <c r="C917" s="15"/>
      <c r="D917" s="17"/>
      <c r="E917" s="30"/>
      <c r="F917" s="17"/>
      <c r="G917" s="1"/>
      <c r="H917" s="1"/>
      <c r="I917" s="16"/>
      <c r="J917" s="17"/>
    </row>
    <row r="918" spans="1:10" ht="15.75" customHeight="1" x14ac:dyDescent="0.25">
      <c r="A918" s="1"/>
      <c r="B918" s="1"/>
      <c r="C918" s="15"/>
      <c r="D918" s="17"/>
      <c r="E918" s="30"/>
      <c r="F918" s="17"/>
      <c r="G918" s="1"/>
      <c r="H918" s="1"/>
      <c r="I918" s="16"/>
      <c r="J918" s="17"/>
    </row>
    <row r="919" spans="1:10" ht="15.75" customHeight="1" x14ac:dyDescent="0.25">
      <c r="A919" s="1"/>
      <c r="B919" s="1"/>
      <c r="C919" s="15"/>
      <c r="D919" s="17"/>
      <c r="E919" s="30"/>
      <c r="F919" s="17"/>
      <c r="G919" s="1"/>
      <c r="H919" s="1"/>
      <c r="I919" s="16"/>
      <c r="J919" s="17"/>
    </row>
    <row r="920" spans="1:10" ht="15.75" customHeight="1" x14ac:dyDescent="0.25">
      <c r="A920" s="1"/>
      <c r="B920" s="1"/>
      <c r="C920" s="15"/>
      <c r="D920" s="17"/>
      <c r="E920" s="30"/>
      <c r="F920" s="17"/>
      <c r="G920" s="1"/>
      <c r="H920" s="1"/>
      <c r="I920" s="16"/>
      <c r="J920" s="17"/>
    </row>
    <row r="921" spans="1:10" ht="15.75" customHeight="1" x14ac:dyDescent="0.25">
      <c r="A921" s="1"/>
      <c r="B921" s="1"/>
      <c r="C921" s="15"/>
      <c r="D921" s="17"/>
      <c r="E921" s="30"/>
      <c r="F921" s="17"/>
      <c r="G921" s="1"/>
      <c r="H921" s="1"/>
      <c r="I921" s="16"/>
      <c r="J921" s="17"/>
    </row>
    <row r="922" spans="1:10" ht="15.75" customHeight="1" x14ac:dyDescent="0.25">
      <c r="A922" s="1"/>
      <c r="B922" s="1"/>
      <c r="C922" s="15"/>
      <c r="D922" s="17"/>
      <c r="E922" s="30"/>
      <c r="F922" s="17"/>
      <c r="G922" s="1"/>
      <c r="H922" s="1"/>
      <c r="I922" s="16"/>
      <c r="J922" s="17"/>
    </row>
    <row r="923" spans="1:10" ht="15.75" customHeight="1" x14ac:dyDescent="0.25">
      <c r="A923" s="1"/>
      <c r="B923" s="1"/>
      <c r="C923" s="15"/>
      <c r="D923" s="17"/>
      <c r="E923" s="30"/>
      <c r="F923" s="17"/>
      <c r="G923" s="1"/>
      <c r="H923" s="1"/>
      <c r="I923" s="16"/>
      <c r="J923" s="17"/>
    </row>
    <row r="924" spans="1:10" ht="15.75" customHeight="1" x14ac:dyDescent="0.25">
      <c r="A924" s="1"/>
      <c r="B924" s="1"/>
      <c r="C924" s="15"/>
      <c r="D924" s="17"/>
      <c r="E924" s="30"/>
      <c r="F924" s="17"/>
      <c r="G924" s="1"/>
      <c r="H924" s="1"/>
      <c r="I924" s="16"/>
      <c r="J924" s="17"/>
    </row>
    <row r="925" spans="1:10" ht="15.75" customHeight="1" x14ac:dyDescent="0.25">
      <c r="A925" s="1"/>
      <c r="B925" s="1"/>
      <c r="C925" s="15"/>
      <c r="D925" s="17"/>
      <c r="E925" s="30"/>
      <c r="F925" s="17"/>
      <c r="G925" s="1"/>
      <c r="H925" s="1"/>
      <c r="I925" s="16"/>
      <c r="J925" s="17"/>
    </row>
    <row r="926" spans="1:10" ht="15.75" customHeight="1" x14ac:dyDescent="0.25">
      <c r="A926" s="1"/>
      <c r="B926" s="1"/>
      <c r="C926" s="15"/>
      <c r="D926" s="17"/>
      <c r="E926" s="30"/>
      <c r="F926" s="17"/>
      <c r="G926" s="1"/>
      <c r="H926" s="1"/>
      <c r="I926" s="16"/>
      <c r="J926" s="17"/>
    </row>
    <row r="927" spans="1:10" ht="15.75" customHeight="1" x14ac:dyDescent="0.25">
      <c r="A927" s="1"/>
      <c r="B927" s="1"/>
      <c r="C927" s="15"/>
      <c r="D927" s="17"/>
      <c r="E927" s="30"/>
      <c r="F927" s="17"/>
      <c r="G927" s="1"/>
      <c r="H927" s="1"/>
      <c r="I927" s="16"/>
      <c r="J927" s="17"/>
    </row>
    <row r="928" spans="1:10" ht="15.75" customHeight="1" x14ac:dyDescent="0.25">
      <c r="A928" s="1"/>
      <c r="B928" s="1"/>
      <c r="C928" s="15"/>
      <c r="D928" s="17"/>
      <c r="E928" s="30"/>
      <c r="F928" s="17"/>
      <c r="G928" s="1"/>
      <c r="H928" s="1"/>
      <c r="I928" s="16"/>
      <c r="J928" s="17"/>
    </row>
    <row r="929" spans="1:10" ht="15.75" customHeight="1" x14ac:dyDescent="0.25">
      <c r="A929" s="1"/>
      <c r="B929" s="1"/>
      <c r="C929" s="15"/>
      <c r="D929" s="17"/>
      <c r="E929" s="30"/>
      <c r="F929" s="17"/>
      <c r="G929" s="1"/>
      <c r="H929" s="1"/>
      <c r="I929" s="16"/>
      <c r="J929" s="17"/>
    </row>
    <row r="930" spans="1:10" ht="15.75" customHeight="1" x14ac:dyDescent="0.25">
      <c r="A930" s="1"/>
      <c r="B930" s="1"/>
      <c r="C930" s="15"/>
      <c r="D930" s="17"/>
      <c r="E930" s="30"/>
      <c r="F930" s="17"/>
      <c r="G930" s="1"/>
      <c r="H930" s="1"/>
      <c r="I930" s="16"/>
      <c r="J930" s="17"/>
    </row>
    <row r="931" spans="1:10" ht="15.75" customHeight="1" x14ac:dyDescent="0.25">
      <c r="A931" s="1"/>
      <c r="B931" s="1"/>
      <c r="C931" s="15"/>
      <c r="D931" s="17"/>
      <c r="E931" s="30"/>
      <c r="F931" s="17"/>
      <c r="G931" s="1"/>
      <c r="H931" s="1"/>
      <c r="I931" s="16"/>
      <c r="J931" s="17"/>
    </row>
    <row r="932" spans="1:10" ht="15.75" customHeight="1" x14ac:dyDescent="0.25">
      <c r="A932" s="1"/>
      <c r="B932" s="1"/>
      <c r="C932" s="15"/>
      <c r="D932" s="17"/>
      <c r="E932" s="30"/>
      <c r="F932" s="17"/>
      <c r="G932" s="1"/>
      <c r="H932" s="1"/>
      <c r="I932" s="16"/>
      <c r="J932" s="17"/>
    </row>
    <row r="933" spans="1:10" ht="15.75" customHeight="1" x14ac:dyDescent="0.25">
      <c r="A933" s="1"/>
      <c r="B933" s="1"/>
      <c r="C933" s="15"/>
      <c r="D933" s="17"/>
      <c r="E933" s="30"/>
      <c r="F933" s="17"/>
      <c r="G933" s="1"/>
      <c r="H933" s="1"/>
      <c r="I933" s="16"/>
      <c r="J933" s="17"/>
    </row>
    <row r="934" spans="1:10" ht="15.75" customHeight="1" x14ac:dyDescent="0.25">
      <c r="A934" s="1"/>
      <c r="B934" s="1"/>
      <c r="C934" s="15"/>
      <c r="D934" s="17"/>
      <c r="E934" s="30"/>
      <c r="F934" s="17"/>
      <c r="G934" s="1"/>
      <c r="H934" s="1"/>
      <c r="I934" s="16"/>
      <c r="J934" s="17"/>
    </row>
    <row r="935" spans="1:10" ht="15.75" customHeight="1" x14ac:dyDescent="0.25">
      <c r="A935" s="1"/>
      <c r="B935" s="1"/>
      <c r="C935" s="15"/>
      <c r="D935" s="17"/>
      <c r="E935" s="30"/>
      <c r="F935" s="17"/>
      <c r="G935" s="1"/>
      <c r="H935" s="1"/>
      <c r="I935" s="16"/>
      <c r="J935" s="17"/>
    </row>
    <row r="936" spans="1:10" ht="15.75" customHeight="1" x14ac:dyDescent="0.25">
      <c r="A936" s="1"/>
      <c r="B936" s="1"/>
      <c r="C936" s="15"/>
      <c r="D936" s="17"/>
      <c r="E936" s="30"/>
      <c r="F936" s="17"/>
      <c r="G936" s="1"/>
      <c r="H936" s="1"/>
      <c r="I936" s="16"/>
      <c r="J936" s="17"/>
    </row>
    <row r="937" spans="1:10" ht="15.75" customHeight="1" x14ac:dyDescent="0.25">
      <c r="A937" s="1"/>
      <c r="B937" s="1"/>
      <c r="C937" s="15"/>
      <c r="D937" s="17"/>
      <c r="E937" s="30"/>
      <c r="F937" s="17"/>
      <c r="G937" s="1"/>
      <c r="H937" s="1"/>
      <c r="I937" s="16"/>
      <c r="J937" s="17"/>
    </row>
    <row r="938" spans="1:10" ht="15.75" customHeight="1" x14ac:dyDescent="0.25">
      <c r="A938" s="1"/>
      <c r="B938" s="1"/>
      <c r="C938" s="15"/>
      <c r="D938" s="17"/>
      <c r="E938" s="30"/>
      <c r="F938" s="17"/>
      <c r="G938" s="1"/>
      <c r="H938" s="1"/>
      <c r="I938" s="16"/>
      <c r="J938" s="17"/>
    </row>
    <row r="939" spans="1:10" ht="15.75" customHeight="1" x14ac:dyDescent="0.25">
      <c r="A939" s="1"/>
      <c r="B939" s="1"/>
      <c r="C939" s="15"/>
      <c r="D939" s="17"/>
      <c r="E939" s="30"/>
      <c r="F939" s="17"/>
      <c r="G939" s="1"/>
      <c r="H939" s="1"/>
      <c r="I939" s="16"/>
      <c r="J939" s="17"/>
    </row>
    <row r="940" spans="1:10" ht="15.75" customHeight="1" x14ac:dyDescent="0.25">
      <c r="A940" s="1"/>
      <c r="B940" s="1"/>
      <c r="C940" s="15"/>
      <c r="D940" s="17"/>
      <c r="E940" s="30"/>
      <c r="F940" s="17"/>
      <c r="G940" s="1"/>
      <c r="H940" s="1"/>
      <c r="I940" s="16"/>
      <c r="J940" s="17"/>
    </row>
    <row r="941" spans="1:10" ht="15.75" customHeight="1" x14ac:dyDescent="0.25">
      <c r="A941" s="1"/>
      <c r="B941" s="1"/>
      <c r="C941" s="15"/>
      <c r="D941" s="17"/>
      <c r="E941" s="30"/>
      <c r="F941" s="17"/>
      <c r="G941" s="1"/>
      <c r="H941" s="1"/>
      <c r="I941" s="16"/>
      <c r="J941" s="17"/>
    </row>
    <row r="942" spans="1:10" ht="15.75" customHeight="1" x14ac:dyDescent="0.25">
      <c r="A942" s="1"/>
      <c r="B942" s="1"/>
      <c r="C942" s="15"/>
      <c r="D942" s="17"/>
      <c r="E942" s="30"/>
      <c r="F942" s="17"/>
      <c r="G942" s="1"/>
      <c r="H942" s="1"/>
      <c r="I942" s="16"/>
      <c r="J942" s="17"/>
    </row>
    <row r="943" spans="1:10" ht="15.75" customHeight="1" x14ac:dyDescent="0.25">
      <c r="A943" s="1"/>
      <c r="B943" s="1"/>
      <c r="C943" s="15"/>
      <c r="D943" s="17"/>
      <c r="E943" s="30"/>
      <c r="F943" s="17"/>
      <c r="G943" s="1"/>
      <c r="H943" s="1"/>
      <c r="I943" s="16"/>
      <c r="J943" s="17"/>
    </row>
    <row r="944" spans="1:10" ht="15.75" customHeight="1" x14ac:dyDescent="0.25">
      <c r="A944" s="1"/>
      <c r="B944" s="1"/>
      <c r="C944" s="15"/>
      <c r="D944" s="17"/>
      <c r="E944" s="30"/>
      <c r="F944" s="17"/>
      <c r="G944" s="1"/>
      <c r="H944" s="1"/>
      <c r="I944" s="16"/>
      <c r="J944" s="17"/>
    </row>
    <row r="945" spans="1:10" ht="15.75" customHeight="1" x14ac:dyDescent="0.25">
      <c r="A945" s="1"/>
      <c r="B945" s="1"/>
      <c r="C945" s="15"/>
      <c r="D945" s="17"/>
      <c r="E945" s="30"/>
      <c r="F945" s="17"/>
      <c r="G945" s="1"/>
      <c r="H945" s="1"/>
      <c r="I945" s="16"/>
      <c r="J945" s="17"/>
    </row>
    <row r="946" spans="1:10" ht="15.75" customHeight="1" x14ac:dyDescent="0.25">
      <c r="A946" s="1"/>
      <c r="B946" s="1"/>
      <c r="C946" s="15"/>
      <c r="D946" s="17"/>
      <c r="E946" s="30"/>
      <c r="F946" s="17"/>
      <c r="G946" s="1"/>
      <c r="H946" s="1"/>
      <c r="I946" s="16"/>
      <c r="J946" s="17"/>
    </row>
    <row r="947" spans="1:10" ht="15.75" customHeight="1" x14ac:dyDescent="0.25">
      <c r="A947" s="1"/>
      <c r="B947" s="1"/>
      <c r="C947" s="15"/>
      <c r="D947" s="17"/>
      <c r="E947" s="30"/>
      <c r="F947" s="17"/>
      <c r="G947" s="1"/>
      <c r="H947" s="1"/>
      <c r="I947" s="16"/>
      <c r="J947" s="17"/>
    </row>
    <row r="948" spans="1:10" ht="15.75" customHeight="1" x14ac:dyDescent="0.25">
      <c r="A948" s="1"/>
      <c r="B948" s="1"/>
      <c r="C948" s="15"/>
      <c r="D948" s="17"/>
      <c r="E948" s="30"/>
      <c r="F948" s="17"/>
      <c r="G948" s="1"/>
      <c r="H948" s="1"/>
      <c r="I948" s="16"/>
      <c r="J948" s="17"/>
    </row>
    <row r="949" spans="1:10" ht="15.75" customHeight="1" x14ac:dyDescent="0.25">
      <c r="A949" s="1"/>
      <c r="B949" s="1"/>
      <c r="C949" s="15"/>
      <c r="D949" s="17"/>
      <c r="E949" s="30"/>
      <c r="F949" s="17"/>
      <c r="G949" s="1"/>
      <c r="H949" s="1"/>
      <c r="I949" s="16"/>
      <c r="J949" s="17"/>
    </row>
    <row r="950" spans="1:10" ht="15.75" customHeight="1" x14ac:dyDescent="0.25">
      <c r="A950" s="1"/>
      <c r="B950" s="1"/>
      <c r="C950" s="15"/>
      <c r="D950" s="17"/>
      <c r="E950" s="30"/>
      <c r="F950" s="17"/>
      <c r="G950" s="1"/>
      <c r="H950" s="1"/>
      <c r="I950" s="16"/>
      <c r="J950" s="17"/>
    </row>
    <row r="951" spans="1:10" ht="15.75" customHeight="1" x14ac:dyDescent="0.25">
      <c r="A951" s="1"/>
      <c r="B951" s="1"/>
      <c r="C951" s="15"/>
      <c r="D951" s="17"/>
      <c r="E951" s="30"/>
      <c r="F951" s="17"/>
      <c r="G951" s="1"/>
      <c r="H951" s="1"/>
      <c r="I951" s="16"/>
      <c r="J951" s="17"/>
    </row>
    <row r="952" spans="1:10" ht="15.75" customHeight="1" x14ac:dyDescent="0.25">
      <c r="A952" s="1"/>
      <c r="B952" s="1"/>
      <c r="C952" s="15"/>
      <c r="D952" s="17"/>
      <c r="E952" s="30"/>
      <c r="F952" s="17"/>
      <c r="G952" s="1"/>
      <c r="H952" s="1"/>
      <c r="I952" s="16"/>
      <c r="J952" s="17"/>
    </row>
    <row r="953" spans="1:10" ht="15.75" customHeight="1" x14ac:dyDescent="0.25">
      <c r="A953" s="1"/>
      <c r="B953" s="1"/>
      <c r="C953" s="15"/>
      <c r="D953" s="17"/>
      <c r="E953" s="30"/>
      <c r="F953" s="17"/>
      <c r="G953" s="1"/>
      <c r="H953" s="1"/>
      <c r="I953" s="16"/>
      <c r="J953" s="17"/>
    </row>
    <row r="954" spans="1:10" ht="15.75" customHeight="1" x14ac:dyDescent="0.25">
      <c r="A954" s="1"/>
      <c r="B954" s="1"/>
      <c r="C954" s="15"/>
      <c r="D954" s="17"/>
      <c r="E954" s="30"/>
      <c r="F954" s="17"/>
      <c r="G954" s="1"/>
      <c r="H954" s="1"/>
      <c r="I954" s="16"/>
      <c r="J954" s="17"/>
    </row>
    <row r="955" spans="1:10" ht="15.75" customHeight="1" x14ac:dyDescent="0.25">
      <c r="A955" s="1"/>
      <c r="B955" s="1"/>
      <c r="C955" s="15"/>
      <c r="D955" s="17"/>
      <c r="E955" s="30"/>
      <c r="F955" s="17"/>
      <c r="G955" s="1"/>
      <c r="H955" s="1"/>
      <c r="I955" s="16"/>
      <c r="J955" s="17"/>
    </row>
    <row r="956" spans="1:10" ht="15.75" customHeight="1" x14ac:dyDescent="0.25">
      <c r="A956" s="1"/>
      <c r="B956" s="1"/>
      <c r="C956" s="15"/>
      <c r="D956" s="17"/>
      <c r="E956" s="30"/>
      <c r="F956" s="17"/>
      <c r="G956" s="1"/>
      <c r="H956" s="1"/>
      <c r="I956" s="16"/>
      <c r="J956" s="17"/>
    </row>
    <row r="957" spans="1:10" ht="15.75" customHeight="1" x14ac:dyDescent="0.25">
      <c r="A957" s="1"/>
      <c r="B957" s="1"/>
      <c r="C957" s="15"/>
      <c r="D957" s="17"/>
      <c r="E957" s="30"/>
      <c r="F957" s="17"/>
      <c r="G957" s="1"/>
      <c r="H957" s="1"/>
      <c r="I957" s="16"/>
      <c r="J957" s="17"/>
    </row>
    <row r="958" spans="1:10" ht="15.75" customHeight="1" x14ac:dyDescent="0.25">
      <c r="A958" s="1"/>
      <c r="B958" s="1"/>
      <c r="C958" s="15"/>
      <c r="D958" s="17"/>
      <c r="E958" s="30"/>
      <c r="F958" s="17"/>
      <c r="G958" s="1"/>
      <c r="H958" s="1"/>
      <c r="I958" s="16"/>
      <c r="J958" s="17"/>
    </row>
    <row r="959" spans="1:10" ht="15.75" customHeight="1" x14ac:dyDescent="0.25">
      <c r="A959" s="1"/>
      <c r="B959" s="1"/>
      <c r="C959" s="15"/>
      <c r="D959" s="17"/>
      <c r="E959" s="30"/>
      <c r="F959" s="17"/>
      <c r="G959" s="1"/>
      <c r="H959" s="1"/>
      <c r="I959" s="16"/>
      <c r="J959" s="17"/>
    </row>
    <row r="960" spans="1:10" ht="15.75" customHeight="1" x14ac:dyDescent="0.25">
      <c r="A960" s="1"/>
      <c r="B960" s="1"/>
      <c r="C960" s="15"/>
      <c r="D960" s="17"/>
      <c r="E960" s="30"/>
      <c r="F960" s="17"/>
      <c r="G960" s="1"/>
      <c r="H960" s="1"/>
      <c r="I960" s="16"/>
      <c r="J960" s="17"/>
    </row>
    <row r="961" spans="1:10" ht="15.75" customHeight="1" x14ac:dyDescent="0.25">
      <c r="A961" s="1"/>
      <c r="B961" s="1"/>
      <c r="C961" s="15"/>
      <c r="D961" s="17"/>
      <c r="E961" s="30"/>
      <c r="F961" s="17"/>
      <c r="G961" s="1"/>
      <c r="H961" s="1"/>
      <c r="I961" s="16"/>
      <c r="J961" s="17"/>
    </row>
    <row r="962" spans="1:10" ht="15.75" customHeight="1" x14ac:dyDescent="0.25">
      <c r="A962" s="1"/>
      <c r="B962" s="1"/>
      <c r="C962" s="15"/>
      <c r="D962" s="17"/>
      <c r="E962" s="30"/>
      <c r="F962" s="17"/>
      <c r="G962" s="1"/>
      <c r="H962" s="1"/>
      <c r="I962" s="16"/>
      <c r="J962" s="17"/>
    </row>
    <row r="963" spans="1:10" ht="15.75" customHeight="1" x14ac:dyDescent="0.25">
      <c r="A963" s="1"/>
      <c r="B963" s="1"/>
      <c r="C963" s="15"/>
      <c r="D963" s="17"/>
      <c r="E963" s="30"/>
      <c r="F963" s="17"/>
      <c r="G963" s="1"/>
      <c r="H963" s="1"/>
      <c r="I963" s="16"/>
      <c r="J963" s="17"/>
    </row>
    <row r="964" spans="1:10" ht="15.75" customHeight="1" x14ac:dyDescent="0.25">
      <c r="A964" s="1"/>
      <c r="B964" s="1"/>
      <c r="C964" s="15"/>
      <c r="D964" s="17"/>
      <c r="E964" s="30"/>
      <c r="F964" s="17"/>
      <c r="G964" s="1"/>
      <c r="H964" s="1"/>
      <c r="I964" s="16"/>
      <c r="J964" s="17"/>
    </row>
    <row r="965" spans="1:10" ht="15.75" customHeight="1" x14ac:dyDescent="0.25">
      <c r="A965" s="1"/>
      <c r="B965" s="1"/>
      <c r="C965" s="15"/>
      <c r="D965" s="17"/>
      <c r="E965" s="30"/>
      <c r="F965" s="17"/>
      <c r="G965" s="1"/>
      <c r="H965" s="1"/>
      <c r="I965" s="16"/>
      <c r="J965" s="17"/>
    </row>
    <row r="966" spans="1:10" ht="15.75" customHeight="1" x14ac:dyDescent="0.25">
      <c r="A966" s="1"/>
      <c r="B966" s="1"/>
      <c r="C966" s="15"/>
      <c r="D966" s="17"/>
      <c r="E966" s="30"/>
      <c r="F966" s="17"/>
      <c r="G966" s="1"/>
      <c r="H966" s="1"/>
      <c r="I966" s="16"/>
      <c r="J966" s="17"/>
    </row>
    <row r="967" spans="1:10" ht="15.75" customHeight="1" x14ac:dyDescent="0.25">
      <c r="A967" s="1"/>
      <c r="B967" s="1"/>
      <c r="C967" s="15"/>
      <c r="D967" s="17"/>
      <c r="E967" s="30"/>
      <c r="F967" s="17"/>
      <c r="G967" s="1"/>
      <c r="H967" s="1"/>
      <c r="I967" s="16"/>
      <c r="J967" s="17"/>
    </row>
    <row r="968" spans="1:10" ht="15.75" customHeight="1" x14ac:dyDescent="0.25">
      <c r="A968" s="1"/>
      <c r="B968" s="1"/>
      <c r="C968" s="15"/>
      <c r="D968" s="17"/>
      <c r="E968" s="30"/>
      <c r="F968" s="17"/>
      <c r="G968" s="1"/>
      <c r="H968" s="1"/>
      <c r="I968" s="16"/>
      <c r="J968" s="17"/>
    </row>
    <row r="969" spans="1:10" ht="15.75" customHeight="1" x14ac:dyDescent="0.25">
      <c r="A969" s="1"/>
      <c r="B969" s="1"/>
      <c r="C969" s="15"/>
      <c r="D969" s="17"/>
      <c r="E969" s="30"/>
      <c r="F969" s="17"/>
      <c r="G969" s="1"/>
      <c r="H969" s="1"/>
      <c r="I969" s="16"/>
      <c r="J969" s="17"/>
    </row>
    <row r="970" spans="1:10" ht="15.75" customHeight="1" x14ac:dyDescent="0.25">
      <c r="A970" s="1"/>
      <c r="B970" s="1"/>
      <c r="C970" s="15"/>
      <c r="D970" s="17"/>
      <c r="E970" s="30"/>
      <c r="F970" s="17"/>
      <c r="G970" s="1"/>
      <c r="H970" s="1"/>
      <c r="I970" s="16"/>
      <c r="J970" s="17"/>
    </row>
    <row r="971" spans="1:10" ht="15.75" customHeight="1" x14ac:dyDescent="0.25">
      <c r="A971" s="1"/>
      <c r="B971" s="1"/>
      <c r="C971" s="15"/>
      <c r="D971" s="17"/>
      <c r="E971" s="30"/>
      <c r="F971" s="17"/>
      <c r="G971" s="1"/>
      <c r="H971" s="1"/>
      <c r="I971" s="16"/>
      <c r="J971" s="17"/>
    </row>
    <row r="972" spans="1:10" ht="15.75" customHeight="1" x14ac:dyDescent="0.25">
      <c r="A972" s="1"/>
      <c r="B972" s="1"/>
      <c r="C972" s="15"/>
      <c r="D972" s="17"/>
      <c r="E972" s="30"/>
      <c r="F972" s="17"/>
      <c r="G972" s="1"/>
      <c r="H972" s="1"/>
      <c r="I972" s="16"/>
      <c r="J972" s="17"/>
    </row>
    <row r="973" spans="1:10" ht="15.75" customHeight="1" x14ac:dyDescent="0.25">
      <c r="A973" s="1"/>
      <c r="B973" s="1"/>
      <c r="C973" s="15"/>
      <c r="D973" s="17"/>
      <c r="E973" s="30"/>
      <c r="F973" s="17"/>
      <c r="G973" s="1"/>
      <c r="H973" s="1"/>
      <c r="I973" s="16"/>
      <c r="J973" s="17"/>
    </row>
    <row r="974" spans="1:10" ht="15.75" customHeight="1" x14ac:dyDescent="0.25">
      <c r="A974" s="1"/>
      <c r="B974" s="1"/>
      <c r="C974" s="15"/>
      <c r="D974" s="17"/>
      <c r="E974" s="30"/>
      <c r="F974" s="17"/>
      <c r="G974" s="1"/>
      <c r="H974" s="1"/>
      <c r="I974" s="16"/>
      <c r="J974" s="17"/>
    </row>
    <row r="975" spans="1:10" ht="15.75" customHeight="1" x14ac:dyDescent="0.25">
      <c r="A975" s="1"/>
      <c r="B975" s="1"/>
      <c r="C975" s="15"/>
      <c r="D975" s="17"/>
      <c r="E975" s="30"/>
      <c r="F975" s="17"/>
      <c r="G975" s="1"/>
      <c r="H975" s="1"/>
      <c r="I975" s="16"/>
      <c r="J975" s="17"/>
    </row>
    <row r="976" spans="1:10" ht="15.75" customHeight="1" x14ac:dyDescent="0.25">
      <c r="A976" s="1"/>
      <c r="B976" s="1"/>
      <c r="C976" s="15"/>
      <c r="D976" s="17"/>
      <c r="E976" s="30"/>
      <c r="F976" s="17"/>
      <c r="G976" s="1"/>
      <c r="H976" s="1"/>
      <c r="I976" s="16"/>
      <c r="J976" s="17"/>
    </row>
    <row r="977" spans="1:10" ht="15.75" customHeight="1" x14ac:dyDescent="0.25">
      <c r="A977" s="1"/>
      <c r="B977" s="1"/>
      <c r="C977" s="15"/>
      <c r="D977" s="17"/>
      <c r="E977" s="30"/>
      <c r="F977" s="17"/>
      <c r="G977" s="1"/>
      <c r="H977" s="1"/>
      <c r="I977" s="16"/>
      <c r="J977" s="17"/>
    </row>
    <row r="978" spans="1:10" ht="15.75" customHeight="1" x14ac:dyDescent="0.25">
      <c r="A978" s="1"/>
      <c r="B978" s="1"/>
      <c r="C978" s="15"/>
      <c r="D978" s="17"/>
      <c r="E978" s="30"/>
      <c r="F978" s="17"/>
      <c r="G978" s="1"/>
      <c r="H978" s="1"/>
      <c r="I978" s="16"/>
      <c r="J978" s="17"/>
    </row>
    <row r="979" spans="1:10" ht="15.75" customHeight="1" x14ac:dyDescent="0.25">
      <c r="A979" s="1"/>
      <c r="B979" s="1"/>
      <c r="C979" s="15"/>
      <c r="D979" s="17"/>
      <c r="E979" s="30"/>
      <c r="F979" s="17"/>
      <c r="G979" s="1"/>
      <c r="H979" s="1"/>
      <c r="I979" s="16"/>
      <c r="J979" s="17"/>
    </row>
    <row r="980" spans="1:10" ht="15.75" customHeight="1" x14ac:dyDescent="0.25">
      <c r="A980" s="1"/>
      <c r="B980" s="1"/>
      <c r="C980" s="15"/>
      <c r="D980" s="17"/>
      <c r="E980" s="30"/>
      <c r="F980" s="17"/>
      <c r="G980" s="1"/>
      <c r="H980" s="1"/>
      <c r="I980" s="16"/>
      <c r="J980" s="17"/>
    </row>
    <row r="981" spans="1:10" ht="15.75" customHeight="1" x14ac:dyDescent="0.25">
      <c r="A981" s="1"/>
      <c r="B981" s="1"/>
      <c r="C981" s="15"/>
      <c r="D981" s="17"/>
      <c r="E981" s="30"/>
      <c r="F981" s="17"/>
      <c r="G981" s="1"/>
      <c r="H981" s="1"/>
      <c r="I981" s="16"/>
      <c r="J981" s="17"/>
    </row>
    <row r="982" spans="1:10" ht="15.75" customHeight="1" x14ac:dyDescent="0.25">
      <c r="A982" s="1"/>
      <c r="B982" s="1"/>
      <c r="C982" s="15"/>
      <c r="D982" s="17"/>
      <c r="E982" s="30"/>
      <c r="F982" s="17"/>
      <c r="G982" s="1"/>
      <c r="H982" s="1"/>
      <c r="I982" s="16"/>
      <c r="J982" s="17"/>
    </row>
    <row r="983" spans="1:10" ht="15.75" customHeight="1" x14ac:dyDescent="0.25">
      <c r="A983" s="1"/>
      <c r="B983" s="1"/>
      <c r="C983" s="15"/>
      <c r="D983" s="17"/>
      <c r="E983" s="30"/>
      <c r="F983" s="17"/>
      <c r="G983" s="1"/>
      <c r="H983" s="1"/>
      <c r="I983" s="16"/>
      <c r="J983" s="17"/>
    </row>
    <row r="984" spans="1:10" ht="15.75" customHeight="1" x14ac:dyDescent="0.25">
      <c r="A984" s="1"/>
      <c r="B984" s="1"/>
      <c r="C984" s="15"/>
      <c r="D984" s="17"/>
      <c r="E984" s="30"/>
      <c r="F984" s="17"/>
      <c r="G984" s="1"/>
      <c r="H984" s="1"/>
      <c r="I984" s="16"/>
      <c r="J984" s="17"/>
    </row>
    <row r="985" spans="1:10" ht="15.75" customHeight="1" x14ac:dyDescent="0.25">
      <c r="A985" s="1"/>
      <c r="B985" s="1"/>
      <c r="C985" s="15"/>
      <c r="D985" s="17"/>
      <c r="E985" s="30"/>
      <c r="F985" s="17"/>
      <c r="G985" s="1"/>
      <c r="H985" s="1"/>
      <c r="I985" s="16"/>
      <c r="J985" s="17"/>
    </row>
    <row r="986" spans="1:10" ht="15.75" customHeight="1" x14ac:dyDescent="0.25">
      <c r="A986" s="1"/>
      <c r="B986" s="1"/>
      <c r="C986" s="15"/>
      <c r="D986" s="17"/>
      <c r="E986" s="30"/>
      <c r="F986" s="17"/>
      <c r="G986" s="1"/>
      <c r="H986" s="1"/>
      <c r="I986" s="16"/>
      <c r="J986" s="17"/>
    </row>
    <row r="987" spans="1:10" ht="15.75" customHeight="1" x14ac:dyDescent="0.25">
      <c r="A987" s="1"/>
      <c r="B987" s="1"/>
      <c r="C987" s="15"/>
      <c r="D987" s="17"/>
      <c r="E987" s="30"/>
      <c r="F987" s="17"/>
      <c r="G987" s="1"/>
      <c r="H987" s="1"/>
      <c r="I987" s="16"/>
      <c r="J987" s="17"/>
    </row>
    <row r="988" spans="1:10" ht="15.75" customHeight="1" x14ac:dyDescent="0.25">
      <c r="A988" s="1"/>
      <c r="B988" s="1"/>
      <c r="C988" s="15"/>
      <c r="D988" s="17"/>
      <c r="E988" s="30"/>
      <c r="F988" s="17"/>
      <c r="G988" s="1"/>
      <c r="H988" s="1"/>
      <c r="I988" s="16"/>
      <c r="J988" s="17"/>
    </row>
    <row r="989" spans="1:10" ht="15.75" customHeight="1" x14ac:dyDescent="0.25">
      <c r="A989" s="1"/>
      <c r="B989" s="1"/>
      <c r="C989" s="15"/>
      <c r="D989" s="17"/>
      <c r="E989" s="30"/>
      <c r="F989" s="17"/>
      <c r="G989" s="1"/>
      <c r="H989" s="1"/>
      <c r="I989" s="16"/>
      <c r="J989" s="17"/>
    </row>
    <row r="990" spans="1:10" ht="15.75" customHeight="1" x14ac:dyDescent="0.25">
      <c r="A990" s="1"/>
      <c r="B990" s="1"/>
      <c r="C990" s="15"/>
      <c r="D990" s="17"/>
      <c r="E990" s="30"/>
      <c r="F990" s="17"/>
      <c r="G990" s="1"/>
      <c r="H990" s="1"/>
      <c r="I990" s="16"/>
      <c r="J990" s="17"/>
    </row>
    <row r="991" spans="1:10" ht="15.75" customHeight="1" x14ac:dyDescent="0.25">
      <c r="A991" s="1"/>
      <c r="B991" s="1"/>
      <c r="C991" s="15"/>
      <c r="D991" s="17"/>
      <c r="E991" s="30"/>
      <c r="F991" s="17"/>
      <c r="G991" s="1"/>
      <c r="H991" s="1"/>
      <c r="I991" s="16"/>
      <c r="J991" s="17"/>
    </row>
    <row r="992" spans="1:10" ht="15.75" customHeight="1" x14ac:dyDescent="0.25">
      <c r="A992" s="1"/>
      <c r="B992" s="1"/>
      <c r="C992" s="15"/>
      <c r="D992" s="17"/>
      <c r="E992" s="30"/>
      <c r="F992" s="17"/>
      <c r="G992" s="1"/>
      <c r="H992" s="1"/>
      <c r="I992" s="16"/>
      <c r="J992" s="17"/>
    </row>
    <row r="993" spans="1:10" ht="15.75" customHeight="1" x14ac:dyDescent="0.25">
      <c r="A993" s="1"/>
      <c r="B993" s="1"/>
      <c r="C993" s="15"/>
      <c r="D993" s="17"/>
      <c r="E993" s="30"/>
      <c r="F993" s="17"/>
      <c r="G993" s="1"/>
      <c r="H993" s="1"/>
      <c r="I993" s="16"/>
      <c r="J993" s="17"/>
    </row>
    <row r="994" spans="1:10" ht="15.75" customHeight="1" x14ac:dyDescent="0.25">
      <c r="A994" s="1"/>
      <c r="B994" s="1"/>
      <c r="C994" s="15"/>
      <c r="D994" s="17"/>
      <c r="E994" s="30"/>
      <c r="F994" s="17"/>
      <c r="G994" s="1"/>
      <c r="H994" s="1"/>
      <c r="I994" s="16"/>
      <c r="J994" s="17"/>
    </row>
    <row r="995" spans="1:10" ht="15.75" customHeight="1" x14ac:dyDescent="0.25">
      <c r="A995" s="1"/>
      <c r="B995" s="1"/>
      <c r="C995" s="15"/>
      <c r="D995" s="17"/>
      <c r="E995" s="30"/>
      <c r="F995" s="17"/>
      <c r="G995" s="1"/>
      <c r="H995" s="1"/>
      <c r="I995" s="16"/>
      <c r="J995" s="17"/>
    </row>
    <row r="996" spans="1:10" ht="15.75" customHeight="1" x14ac:dyDescent="0.25">
      <c r="A996" s="1"/>
      <c r="B996" s="1"/>
      <c r="C996" s="15"/>
      <c r="D996" s="17"/>
      <c r="E996" s="30"/>
      <c r="F996" s="17"/>
      <c r="G996" s="1"/>
      <c r="H996" s="1"/>
      <c r="I996" s="16"/>
      <c r="J996" s="17"/>
    </row>
    <row r="997" spans="1:10" ht="15.75" customHeight="1" x14ac:dyDescent="0.25">
      <c r="A997" s="1"/>
      <c r="B997" s="1"/>
      <c r="C997" s="15"/>
      <c r="D997" s="17"/>
      <c r="E997" s="30"/>
      <c r="F997" s="17"/>
      <c r="G997" s="1"/>
      <c r="H997" s="1"/>
      <c r="I997" s="16"/>
      <c r="J997" s="17"/>
    </row>
    <row r="998" spans="1:10" ht="15.75" customHeight="1" x14ac:dyDescent="0.25">
      <c r="A998" s="1"/>
      <c r="B998" s="1"/>
      <c r="C998" s="15"/>
      <c r="D998" s="17"/>
      <c r="E998" s="30"/>
      <c r="F998" s="17"/>
      <c r="G998" s="1"/>
      <c r="H998" s="1"/>
      <c r="I998" s="16"/>
      <c r="J998" s="17"/>
    </row>
    <row r="999" spans="1:10" ht="15.75" customHeight="1" x14ac:dyDescent="0.25">
      <c r="A999" s="1"/>
      <c r="B999" s="1"/>
      <c r="C999" s="15"/>
      <c r="D999" s="17"/>
      <c r="E999" s="30"/>
      <c r="F999" s="17"/>
      <c r="G999" s="1"/>
      <c r="H999" s="1"/>
      <c r="I999" s="16"/>
      <c r="J999" s="17"/>
    </row>
    <row r="1000" spans="1:10" ht="15.75" customHeight="1" x14ac:dyDescent="0.25">
      <c r="A1000" s="1"/>
      <c r="B1000" s="1"/>
      <c r="C1000" s="15"/>
      <c r="D1000" s="17"/>
      <c r="E1000" s="30"/>
      <c r="F1000" s="17"/>
      <c r="G1000" s="1"/>
      <c r="H1000" s="1"/>
      <c r="I1000" s="16"/>
      <c r="J1000" s="17"/>
    </row>
  </sheetData>
  <customSheetViews>
    <customSheetView guid="{C537AADB-B486-4F6B-AC41-900D493E9823}" filter="1" showAutoFilter="1">
      <pageMargins left="0.7" right="0.7" top="0.75" bottom="0.75" header="0.3" footer="0.3"/>
      <autoFilter ref="A1:J1000" xr:uid="{8B5E81FA-39AF-40BC-B48E-32CA6F0179B7}"/>
      <extLst>
        <ext uri="GoogleSheetsCustomDataVersion1">
          <go:sheetsCustomData xmlns:go="http://customooxmlschemas.google.com/" filterViewId="831773259"/>
        </ext>
      </extLst>
    </customSheetView>
  </customSheetView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Effects</vt:lpstr>
      <vt:lpstr>Observed payment mechanism</vt:lpstr>
      <vt:lpstr>Desired payment mechanism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c:creator>
  <cp:lastModifiedBy>as</cp:lastModifiedBy>
  <dcterms:created xsi:type="dcterms:W3CDTF">2022-07-27T20:03:45Z</dcterms:created>
  <dcterms:modified xsi:type="dcterms:W3CDTF">2023-01-28T16:07:51Z</dcterms:modified>
</cp:coreProperties>
</file>