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vissc\Documents\"/>
    </mc:Choice>
  </mc:AlternateContent>
  <xr:revisionPtr revIDLastSave="0" documentId="13_ncr:1_{1E0AFA3A-69D1-4F75-8BA3-6282B883B425}" xr6:coauthVersionLast="47" xr6:coauthVersionMax="47" xr10:uidLastSave="{00000000-0000-0000-0000-000000000000}"/>
  <bookViews>
    <workbookView xWindow="795" yWindow="338" windowWidth="18030" windowHeight="12690" xr2:uid="{C78CFCD1-941B-4C1C-B6AD-B2DE42AA255A}"/>
  </bookViews>
  <sheets>
    <sheet name="MgSO4" sheetId="1" r:id="rId1"/>
  </sheets>
  <externalReferences>
    <externalReference r:id="rId2"/>
  </externalReferences>
  <definedNames>
    <definedName name="solver_adj" localSheetId="0" hidden="1">MgSO4!$G$11:$G$27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MgSO4!$L$8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11" i="1"/>
  <c r="E24" i="1"/>
  <c r="C22" i="1"/>
  <c r="D22" i="1" s="1"/>
  <c r="AC22" i="1" s="1"/>
  <c r="E21" i="1"/>
  <c r="F21" i="1" s="1"/>
  <c r="C19" i="1"/>
  <c r="C18" i="1"/>
  <c r="D18" i="1" s="1"/>
  <c r="AC18" i="1" s="1"/>
  <c r="E17" i="1"/>
  <c r="F17" i="1" s="1"/>
  <c r="C14" i="1"/>
  <c r="D14" i="1" s="1"/>
  <c r="AC14" i="1" s="1"/>
  <c r="E13" i="1"/>
  <c r="F13" i="1" s="1"/>
  <c r="C11" i="1"/>
  <c r="D11" i="1" s="1"/>
  <c r="AC11" i="1" s="1"/>
  <c r="AA9" i="1"/>
  <c r="Y9" i="1"/>
  <c r="B6" i="1"/>
  <c r="E26" i="1" s="1"/>
  <c r="E11" i="1" l="1"/>
  <c r="F11" i="1" s="1"/>
  <c r="I14" i="1"/>
  <c r="Q14" i="1" s="1"/>
  <c r="M14" i="1" s="1"/>
  <c r="E19" i="1"/>
  <c r="F19" i="1" s="1"/>
  <c r="I22" i="1"/>
  <c r="Q22" i="1" s="1"/>
  <c r="C12" i="1"/>
  <c r="C15" i="1"/>
  <c r="I15" i="1" s="1"/>
  <c r="Q15" i="1" s="1"/>
  <c r="C20" i="1"/>
  <c r="C23" i="1"/>
  <c r="D23" i="1" s="1"/>
  <c r="AC23" i="1" s="1"/>
  <c r="E25" i="1"/>
  <c r="E15" i="1"/>
  <c r="F15" i="1" s="1"/>
  <c r="E20" i="1"/>
  <c r="F20" i="1" s="1"/>
  <c r="C26" i="1"/>
  <c r="D26" i="1" s="1"/>
  <c r="AC26" i="1" s="1"/>
  <c r="E12" i="1"/>
  <c r="C16" i="1"/>
  <c r="I16" i="1" s="1"/>
  <c r="Q16" i="1" s="1"/>
  <c r="R16" i="1" s="1"/>
  <c r="E23" i="1"/>
  <c r="F23" i="1" s="1"/>
  <c r="C27" i="1"/>
  <c r="E16" i="1"/>
  <c r="F16" i="1" s="1"/>
  <c r="C24" i="1"/>
  <c r="E27" i="1"/>
  <c r="F27" i="1" s="1"/>
  <c r="F26" i="1"/>
  <c r="F12" i="1"/>
  <c r="I27" i="1"/>
  <c r="Q27" i="1" s="1"/>
  <c r="F24" i="1"/>
  <c r="F25" i="1"/>
  <c r="D27" i="1"/>
  <c r="AC27" i="1" s="1"/>
  <c r="I26" i="1"/>
  <c r="Q26" i="1" s="1"/>
  <c r="I11" i="1"/>
  <c r="Q11" i="1" s="1"/>
  <c r="N11" i="1" s="1"/>
  <c r="I19" i="1"/>
  <c r="Q19" i="1" s="1"/>
  <c r="D19" i="1"/>
  <c r="AC19" i="1" s="1"/>
  <c r="I18" i="1"/>
  <c r="Q18" i="1" s="1"/>
  <c r="I23" i="1"/>
  <c r="Q23" i="1" s="1"/>
  <c r="C13" i="1"/>
  <c r="E14" i="1"/>
  <c r="C17" i="1"/>
  <c r="E18" i="1"/>
  <c r="C21" i="1"/>
  <c r="E22" i="1"/>
  <c r="C25" i="1"/>
  <c r="R14" i="1" l="1"/>
  <c r="M16" i="1"/>
  <c r="J16" i="1" s="1"/>
  <c r="I20" i="1"/>
  <c r="Q20" i="1" s="1"/>
  <c r="D24" i="1"/>
  <c r="AC24" i="1" s="1"/>
  <c r="I24" i="1"/>
  <c r="Q24" i="1" s="1"/>
  <c r="D20" i="1"/>
  <c r="AC20" i="1" s="1"/>
  <c r="I12" i="1"/>
  <c r="Q12" i="1" s="1"/>
  <c r="D12" i="1"/>
  <c r="AC12" i="1" s="1"/>
  <c r="N16" i="1"/>
  <c r="D15" i="1"/>
  <c r="AC15" i="1" s="1"/>
  <c r="D16" i="1"/>
  <c r="AC16" i="1" s="1"/>
  <c r="M23" i="1"/>
  <c r="R23" i="1"/>
  <c r="N23" i="1"/>
  <c r="M27" i="1"/>
  <c r="R27" i="1"/>
  <c r="N27" i="1"/>
  <c r="R15" i="1"/>
  <c r="M15" i="1"/>
  <c r="N15" i="1"/>
  <c r="R18" i="1"/>
  <c r="M18" i="1"/>
  <c r="M26" i="1"/>
  <c r="R26" i="1"/>
  <c r="N26" i="1"/>
  <c r="R19" i="1"/>
  <c r="M19" i="1"/>
  <c r="N19" i="1"/>
  <c r="I17" i="1"/>
  <c r="Q17" i="1" s="1"/>
  <c r="D17" i="1"/>
  <c r="AC17" i="1" s="1"/>
  <c r="D21" i="1"/>
  <c r="AC21" i="1" s="1"/>
  <c r="I21" i="1"/>
  <c r="Q21" i="1" s="1"/>
  <c r="N14" i="1"/>
  <c r="F14" i="1"/>
  <c r="I13" i="1"/>
  <c r="Q13" i="1" s="1"/>
  <c r="D13" i="1"/>
  <c r="AC13" i="1" s="1"/>
  <c r="R11" i="1"/>
  <c r="M11" i="1"/>
  <c r="N18" i="1"/>
  <c r="F18" i="1"/>
  <c r="I25" i="1"/>
  <c r="Q25" i="1" s="1"/>
  <c r="N25" i="1" s="1"/>
  <c r="D25" i="1"/>
  <c r="AC25" i="1" s="1"/>
  <c r="N22" i="1"/>
  <c r="F22" i="1"/>
  <c r="M22" i="1"/>
  <c r="R22" i="1"/>
  <c r="O14" i="1"/>
  <c r="AD14" i="1"/>
  <c r="J14" i="1"/>
  <c r="AD16" i="1" l="1"/>
  <c r="O16" i="1"/>
  <c r="P16" i="1" s="1"/>
  <c r="S16" i="1" s="1"/>
  <c r="R24" i="1"/>
  <c r="M24" i="1"/>
  <c r="N24" i="1"/>
  <c r="M12" i="1"/>
  <c r="R12" i="1"/>
  <c r="N12" i="1"/>
  <c r="R20" i="1"/>
  <c r="M20" i="1"/>
  <c r="N20" i="1"/>
  <c r="M17" i="1"/>
  <c r="R17" i="1"/>
  <c r="N17" i="1"/>
  <c r="O26" i="1"/>
  <c r="P26" i="1" s="1"/>
  <c r="S26" i="1" s="1"/>
  <c r="AD26" i="1"/>
  <c r="J26" i="1"/>
  <c r="AD27" i="1"/>
  <c r="J27" i="1"/>
  <c r="O27" i="1"/>
  <c r="P27" i="1" s="1"/>
  <c r="S27" i="1" s="1"/>
  <c r="M21" i="1"/>
  <c r="R21" i="1"/>
  <c r="M13" i="1"/>
  <c r="R13" i="1"/>
  <c r="P14" i="1"/>
  <c r="S14" i="1" s="1"/>
  <c r="O18" i="1"/>
  <c r="P18" i="1" s="1"/>
  <c r="S18" i="1" s="1"/>
  <c r="AD18" i="1"/>
  <c r="J18" i="1"/>
  <c r="O22" i="1"/>
  <c r="AD22" i="1"/>
  <c r="J22" i="1"/>
  <c r="M25" i="1"/>
  <c r="R25" i="1"/>
  <c r="AD11" i="1"/>
  <c r="O11" i="1"/>
  <c r="J11" i="1"/>
  <c r="N21" i="1"/>
  <c r="AD19" i="1"/>
  <c r="O19" i="1"/>
  <c r="P19" i="1" s="1"/>
  <c r="S19" i="1" s="1"/>
  <c r="J19" i="1"/>
  <c r="AD23" i="1"/>
  <c r="O23" i="1"/>
  <c r="P23" i="1" s="1"/>
  <c r="S23" i="1" s="1"/>
  <c r="J23" i="1"/>
  <c r="AD15" i="1"/>
  <c r="J15" i="1"/>
  <c r="O15" i="1"/>
  <c r="N13" i="1"/>
  <c r="O20" i="1" l="1"/>
  <c r="P20" i="1" s="1"/>
  <c r="S20" i="1" s="1"/>
  <c r="AD20" i="1"/>
  <c r="J20" i="1"/>
  <c r="J12" i="1"/>
  <c r="AD12" i="1"/>
  <c r="O12" i="1"/>
  <c r="P12" i="1" s="1"/>
  <c r="S12" i="1" s="1"/>
  <c r="J24" i="1"/>
  <c r="AD24" i="1"/>
  <c r="O24" i="1"/>
  <c r="P24" i="1" s="1"/>
  <c r="S24" i="1" s="1"/>
  <c r="P15" i="1"/>
  <c r="S15" i="1" s="1"/>
  <c r="O25" i="1"/>
  <c r="AD25" i="1"/>
  <c r="J25" i="1"/>
  <c r="P22" i="1"/>
  <c r="S22" i="1" s="1"/>
  <c r="O21" i="1"/>
  <c r="P21" i="1" s="1"/>
  <c r="S21" i="1" s="1"/>
  <c r="AD21" i="1"/>
  <c r="J21" i="1"/>
  <c r="P11" i="1"/>
  <c r="S11" i="1" s="1"/>
  <c r="J13" i="1"/>
  <c r="AD13" i="1"/>
  <c r="O13" i="1"/>
  <c r="O17" i="1"/>
  <c r="P17" i="1" s="1"/>
  <c r="S17" i="1" s="1"/>
  <c r="AD17" i="1"/>
  <c r="J17" i="1"/>
  <c r="P25" i="1" l="1"/>
  <c r="S25" i="1" s="1"/>
  <c r="P13" i="1"/>
  <c r="S13" i="1" s="1"/>
  <c r="P1" i="1" l="1" a="1"/>
  <c r="R4" i="1" s="1"/>
  <c r="T5" i="1" l="1"/>
  <c r="Q5" i="1"/>
  <c r="P3" i="1"/>
  <c r="S3" i="1"/>
  <c r="R2" i="1"/>
  <c r="R1" i="1"/>
  <c r="W7" i="1" s="1"/>
  <c r="R5" i="1"/>
  <c r="P2" i="1"/>
  <c r="Q2" i="1"/>
  <c r="T4" i="1"/>
  <c r="P4" i="1"/>
  <c r="Q3" i="1"/>
  <c r="Z7" i="1" s="1"/>
  <c r="Z9" i="1" s="1"/>
  <c r="Q1" i="1"/>
  <c r="S4" i="1"/>
  <c r="T3" i="1"/>
  <c r="Q4" i="1"/>
  <c r="P5" i="1"/>
  <c r="T2" i="1"/>
  <c r="R3" i="1"/>
  <c r="P1" i="1"/>
  <c r="X9" i="1" s="1"/>
  <c r="T1" i="1"/>
  <c r="S5" i="1"/>
  <c r="S2" i="1"/>
  <c r="S1" i="1"/>
  <c r="U15" i="1" l="1"/>
  <c r="V15" i="1" s="1"/>
  <c r="X7" i="1"/>
  <c r="U22" i="1"/>
  <c r="V22" i="1" s="1"/>
  <c r="U23" i="1"/>
  <c r="V23" i="1" s="1"/>
  <c r="U14" i="1"/>
  <c r="V14" i="1" s="1"/>
  <c r="U26" i="1"/>
  <c r="V26" i="1" s="1"/>
  <c r="U16" i="1"/>
  <c r="V16" i="1" s="1"/>
  <c r="W9" i="1"/>
  <c r="T12" i="1" s="1"/>
  <c r="U13" i="1"/>
  <c r="V13" i="1" s="1"/>
  <c r="U11" i="1"/>
  <c r="V11" i="1" s="1"/>
  <c r="U21" i="1"/>
  <c r="V21" i="1" s="1"/>
  <c r="U24" i="1"/>
  <c r="V24" i="1" s="1"/>
  <c r="U17" i="1"/>
  <c r="V17" i="1" s="1"/>
  <c r="U18" i="1"/>
  <c r="V18" i="1" s="1"/>
  <c r="U27" i="1"/>
  <c r="V27" i="1" s="1"/>
  <c r="U25" i="1"/>
  <c r="V25" i="1" s="1"/>
  <c r="U19" i="1"/>
  <c r="V19" i="1" s="1"/>
  <c r="U12" i="1"/>
  <c r="V12" i="1" s="1"/>
  <c r="Y7" i="1"/>
  <c r="U20" i="1"/>
  <c r="V20" i="1" s="1"/>
  <c r="T15" i="1" l="1"/>
  <c r="K15" i="1" s="1"/>
  <c r="L15" i="1" s="1"/>
  <c r="T25" i="1"/>
  <c r="AF25" i="1" s="1"/>
  <c r="AG25" i="1" s="1"/>
  <c r="T13" i="1"/>
  <c r="AF13" i="1" s="1"/>
  <c r="AG13" i="1" s="1"/>
  <c r="T14" i="1"/>
  <c r="AF14" i="1" s="1"/>
  <c r="AG14" i="1" s="1"/>
  <c r="T17" i="1"/>
  <c r="K17" i="1" s="1"/>
  <c r="L17" i="1" s="1"/>
  <c r="T24" i="1"/>
  <c r="K24" i="1" s="1"/>
  <c r="L24" i="1" s="1"/>
  <c r="T21" i="1"/>
  <c r="AF21" i="1" s="1"/>
  <c r="AG21" i="1" s="1"/>
  <c r="T20" i="1"/>
  <c r="AF20" i="1" s="1"/>
  <c r="AG20" i="1" s="1"/>
  <c r="T23" i="1"/>
  <c r="AF23" i="1" s="1"/>
  <c r="AG23" i="1" s="1"/>
  <c r="T27" i="1"/>
  <c r="AF27" i="1" s="1"/>
  <c r="AG27" i="1" s="1"/>
  <c r="T26" i="1"/>
  <c r="AF26" i="1" s="1"/>
  <c r="AG26" i="1" s="1"/>
  <c r="T22" i="1"/>
  <c r="AF22" i="1" s="1"/>
  <c r="AG22" i="1" s="1"/>
  <c r="T19" i="1"/>
  <c r="AF19" i="1" s="1"/>
  <c r="AG19" i="1" s="1"/>
  <c r="T18" i="1"/>
  <c r="K18" i="1" s="1"/>
  <c r="L18" i="1" s="1"/>
  <c r="T16" i="1"/>
  <c r="AF16" i="1" s="1"/>
  <c r="AG16" i="1" s="1"/>
  <c r="T11" i="1"/>
  <c r="AF11" i="1" s="1"/>
  <c r="AG11" i="1" s="1"/>
  <c r="AF12" i="1"/>
  <c r="AG12" i="1" s="1"/>
  <c r="K12" i="1"/>
  <c r="L12" i="1" s="1"/>
  <c r="K25" i="1" l="1"/>
  <c r="L25" i="1" s="1"/>
  <c r="K27" i="1"/>
  <c r="L27" i="1" s="1"/>
  <c r="K13" i="1"/>
  <c r="L13" i="1" s="1"/>
  <c r="AF15" i="1"/>
  <c r="AG15" i="1" s="1"/>
  <c r="AF18" i="1"/>
  <c r="AG18" i="1" s="1"/>
  <c r="AF24" i="1"/>
  <c r="AG24" i="1" s="1"/>
  <c r="K26" i="1"/>
  <c r="L26" i="1" s="1"/>
  <c r="K21" i="1"/>
  <c r="L21" i="1" s="1"/>
  <c r="K20" i="1"/>
  <c r="L20" i="1" s="1"/>
  <c r="K11" i="1"/>
  <c r="L11" i="1" s="1"/>
  <c r="K19" i="1"/>
  <c r="L19" i="1" s="1"/>
  <c r="K16" i="1"/>
  <c r="L16" i="1" s="1"/>
  <c r="K14" i="1"/>
  <c r="L14" i="1" s="1"/>
  <c r="K22" i="1"/>
  <c r="L22" i="1" s="1"/>
  <c r="AF17" i="1"/>
  <c r="AG17" i="1" s="1"/>
  <c r="K23" i="1"/>
  <c r="L23" i="1" s="1"/>
  <c r="L9" i="1" l="1"/>
  <c r="L8" i="1" s="1"/>
</calcChain>
</file>

<file path=xl/sharedStrings.xml><?xml version="1.0" encoding="utf-8"?>
<sst xmlns="http://schemas.openxmlformats.org/spreadsheetml/2006/main" count="57" uniqueCount="44">
  <si>
    <t>MgSO4</t>
  </si>
  <si>
    <t>Modified molality</t>
  </si>
  <si>
    <t>K</t>
  </si>
  <si>
    <t>dev log</t>
  </si>
  <si>
    <t>eps MX</t>
  </si>
  <si>
    <t>eps MMX</t>
  </si>
  <si>
    <t>Mg</t>
  </si>
  <si>
    <t>SO4</t>
  </si>
  <si>
    <t>DH slope</t>
  </si>
  <si>
    <t>M</t>
  </si>
  <si>
    <t>g/mol</t>
  </si>
  <si>
    <t>kg/mol</t>
  </si>
  <si>
    <t>slope 1</t>
  </si>
  <si>
    <t>slope 2</t>
  </si>
  <si>
    <t>slope 3</t>
  </si>
  <si>
    <t>fract err</t>
  </si>
  <si>
    <t>eps I(MX)</t>
  </si>
  <si>
    <t>fract error</t>
  </si>
  <si>
    <t>sumsq</t>
  </si>
  <si>
    <t>A</t>
  </si>
  <si>
    <t>coeff</t>
  </si>
  <si>
    <t>specific</t>
  </si>
  <si>
    <t>m</t>
  </si>
  <si>
    <t>gamma±</t>
  </si>
  <si>
    <t>m'</t>
  </si>
  <si>
    <t>I'</t>
  </si>
  <si>
    <t>gamma'±</t>
  </si>
  <si>
    <t>log gam</t>
  </si>
  <si>
    <t>m' MX</t>
  </si>
  <si>
    <t>gam MX</t>
  </si>
  <si>
    <t>K difference</t>
  </si>
  <si>
    <t>I' real</t>
  </si>
  <si>
    <t>real gam</t>
  </si>
  <si>
    <t>DH SIT</t>
  </si>
  <si>
    <t>less MX effect</t>
  </si>
  <si>
    <t>gam pred</t>
  </si>
  <si>
    <t>Pred specific</t>
  </si>
  <si>
    <t>Deviation</t>
  </si>
  <si>
    <t>I apparent</t>
  </si>
  <si>
    <t>I real</t>
  </si>
  <si>
    <t>gam' apparent</t>
  </si>
  <si>
    <t>gam apparent</t>
  </si>
  <si>
    <t>log factor</t>
  </si>
  <si>
    <t>fraction 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</si>
</sst>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Log specific ion interaction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MgSO4!$C$11:$C$53</c:f>
              <c:numCache>
                <c:formatCode>General</c:formatCode>
                <c:ptCount val="43"/>
                <c:pt idx="0">
                  <c:v>9.8810655662058072E-2</c:v>
                </c:pt>
                <c:pt idx="1">
                  <c:v>0.19529853920598647</c:v>
                </c:pt>
                <c:pt idx="2">
                  <c:v>0.28954460231917506</c:v>
                </c:pt>
                <c:pt idx="3">
                  <c:v>0.3816260781890774</c:v>
                </c:pt>
                <c:pt idx="4">
                  <c:v>0.47161669258986416</c:v>
                </c:pt>
                <c:pt idx="5">
                  <c:v>0.55958686075128639</c:v>
                </c:pt>
                <c:pt idx="6">
                  <c:v>0.6456038711145945</c:v>
                </c:pt>
                <c:pt idx="7">
                  <c:v>0.72973205698331689</c:v>
                </c:pt>
                <c:pt idx="8">
                  <c:v>0.81203295698914069</c:v>
                </c:pt>
                <c:pt idx="9">
                  <c:v>0.89256546521404612</c:v>
                </c:pt>
                <c:pt idx="10">
                  <c:v>1.0485484943193137</c:v>
                </c:pt>
                <c:pt idx="11">
                  <c:v>1.1981045301701547</c:v>
                </c:pt>
                <c:pt idx="12">
                  <c:v>1.341622773241602</c:v>
                </c:pt>
                <c:pt idx="13">
                  <c:v>1.4794616206285607</c:v>
                </c:pt>
                <c:pt idx="14">
                  <c:v>1.6119516543459829</c:v>
                </c:pt>
                <c:pt idx="15">
                  <c:v>1.9217243248021585</c:v>
                </c:pt>
                <c:pt idx="16">
                  <c:v>2.2041028640112614</c:v>
                </c:pt>
              </c:numCache>
            </c:numRef>
          </c:xVal>
          <c:yVal>
            <c:numRef>
              <c:f>MgSO4!$P$11:$P$53</c:f>
              <c:numCache>
                <c:formatCode>General</c:formatCode>
                <c:ptCount val="43"/>
                <c:pt idx="0">
                  <c:v>5.115123555873291E-4</c:v>
                </c:pt>
                <c:pt idx="1">
                  <c:v>-6.1829275657360183E-3</c:v>
                </c:pt>
                <c:pt idx="2">
                  <c:v>-1.3371378606701012E-2</c:v>
                </c:pt>
                <c:pt idx="3">
                  <c:v>-2.0965145356158343E-2</c:v>
                </c:pt>
                <c:pt idx="4">
                  <c:v>-2.8653539140169215E-2</c:v>
                </c:pt>
                <c:pt idx="5">
                  <c:v>-3.5389827658317552E-2</c:v>
                </c:pt>
                <c:pt idx="6">
                  <c:v>-4.0977654947258024E-2</c:v>
                </c:pt>
                <c:pt idx="7">
                  <c:v>-4.4983678919706893E-2</c:v>
                </c:pt>
                <c:pt idx="8">
                  <c:v>-4.7620058963759204E-2</c:v>
                </c:pt>
                <c:pt idx="9">
                  <c:v>-4.9169488886029011E-2</c:v>
                </c:pt>
                <c:pt idx="10">
                  <c:v>-4.6194531189835519E-2</c:v>
                </c:pt>
                <c:pt idx="11">
                  <c:v>-3.6475960947655706E-2</c:v>
                </c:pt>
                <c:pt idx="12">
                  <c:v>-2.2346644149715322E-2</c:v>
                </c:pt>
                <c:pt idx="13">
                  <c:v>-5.5709866712121414E-3</c:v>
                </c:pt>
                <c:pt idx="14">
                  <c:v>1.5609820466418789E-2</c:v>
                </c:pt>
                <c:pt idx="15">
                  <c:v>8.5161660089152269E-2</c:v>
                </c:pt>
                <c:pt idx="16">
                  <c:v>0.17638188941559729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17-4B94-8684-9FCC02BCD14D}"/>
            </c:ext>
          </c:extLst>
        </c:ser>
        <c:ser>
          <c:idx val="1"/>
          <c:order val="1"/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MgSO4!$C$11:$C$53</c:f>
              <c:numCache>
                <c:formatCode>General</c:formatCode>
                <c:ptCount val="43"/>
                <c:pt idx="0">
                  <c:v>9.8810655662058072E-2</c:v>
                </c:pt>
                <c:pt idx="1">
                  <c:v>0.19529853920598647</c:v>
                </c:pt>
                <c:pt idx="2">
                  <c:v>0.28954460231917506</c:v>
                </c:pt>
                <c:pt idx="3">
                  <c:v>0.3816260781890774</c:v>
                </c:pt>
                <c:pt idx="4">
                  <c:v>0.47161669258986416</c:v>
                </c:pt>
                <c:pt idx="5">
                  <c:v>0.55958686075128639</c:v>
                </c:pt>
                <c:pt idx="6">
                  <c:v>0.6456038711145945</c:v>
                </c:pt>
                <c:pt idx="7">
                  <c:v>0.72973205698331689</c:v>
                </c:pt>
                <c:pt idx="8">
                  <c:v>0.81203295698914069</c:v>
                </c:pt>
                <c:pt idx="9">
                  <c:v>0.89256546521404612</c:v>
                </c:pt>
                <c:pt idx="10">
                  <c:v>1.0485484943193137</c:v>
                </c:pt>
                <c:pt idx="11">
                  <c:v>1.1981045301701547</c:v>
                </c:pt>
                <c:pt idx="12">
                  <c:v>1.341622773241602</c:v>
                </c:pt>
                <c:pt idx="13">
                  <c:v>1.4794616206285607</c:v>
                </c:pt>
                <c:pt idx="14">
                  <c:v>1.6119516543459829</c:v>
                </c:pt>
                <c:pt idx="15">
                  <c:v>1.9217243248021585</c:v>
                </c:pt>
                <c:pt idx="16">
                  <c:v>2.2041028640112614</c:v>
                </c:pt>
              </c:numCache>
            </c:numRef>
          </c:xVal>
          <c:yVal>
            <c:numRef>
              <c:f>MgSO4!$U$11:$U$53</c:f>
              <c:numCache>
                <c:formatCode>General</c:formatCode>
                <c:ptCount val="43"/>
                <c:pt idx="0">
                  <c:v>-3.9018881340513629E-3</c:v>
                </c:pt>
                <c:pt idx="1">
                  <c:v>-8.435327937075441E-3</c:v>
                </c:pt>
                <c:pt idx="2">
                  <c:v>-1.4262365851129274E-2</c:v>
                </c:pt>
                <c:pt idx="3">
                  <c:v>-2.0834853082840648E-2</c:v>
                </c:pt>
                <c:pt idx="4">
                  <c:v>-2.7604478760609313E-2</c:v>
                </c:pt>
                <c:pt idx="5">
                  <c:v>-3.4040559112717299E-2</c:v>
                </c:pt>
                <c:pt idx="6">
                  <c:v>-3.9673778943220037E-2</c:v>
                </c:pt>
                <c:pt idx="7">
                  <c:v>-4.4136206753264032E-2</c:v>
                </c:pt>
                <c:pt idx="8">
                  <c:v>-4.7176875498501469E-2</c:v>
                </c:pt>
                <c:pt idx="9">
                  <c:v>-4.8653094500089047E-2</c:v>
                </c:pt>
                <c:pt idx="10">
                  <c:v>-4.6748482183325515E-2</c:v>
                </c:pt>
                <c:pt idx="11">
                  <c:v>-3.8590813325317046E-2</c:v>
                </c:pt>
                <c:pt idx="12">
                  <c:v>-2.4776925612768799E-2</c:v>
                </c:pt>
                <c:pt idx="13">
                  <c:v>-6.0229419747205928E-3</c:v>
                </c:pt>
                <c:pt idx="14">
                  <c:v>1.6964112409065826E-2</c:v>
                </c:pt>
                <c:pt idx="15">
                  <c:v>8.8783187275017966E-2</c:v>
                </c:pt>
                <c:pt idx="16">
                  <c:v>0.1743039512680537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17-4B94-8684-9FCC02BCD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106528"/>
        <c:axId val="1155099872"/>
      </c:scatterChart>
      <c:valAx>
        <c:axId val="115510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099872"/>
        <c:crosses val="autoZero"/>
        <c:crossBetween val="midCat"/>
      </c:valAx>
      <c:valAx>
        <c:axId val="115509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106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Error, log scale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MgSO4!$C$11:$C$53</c:f>
              <c:numCache>
                <c:formatCode>General</c:formatCode>
                <c:ptCount val="43"/>
                <c:pt idx="0">
                  <c:v>9.8810655662058072E-2</c:v>
                </c:pt>
                <c:pt idx="1">
                  <c:v>0.19529853920598647</c:v>
                </c:pt>
                <c:pt idx="2">
                  <c:v>0.28954460231917506</c:v>
                </c:pt>
                <c:pt idx="3">
                  <c:v>0.3816260781890774</c:v>
                </c:pt>
                <c:pt idx="4">
                  <c:v>0.47161669258986416</c:v>
                </c:pt>
                <c:pt idx="5">
                  <c:v>0.55958686075128639</c:v>
                </c:pt>
                <c:pt idx="6">
                  <c:v>0.6456038711145945</c:v>
                </c:pt>
                <c:pt idx="7">
                  <c:v>0.72973205698331689</c:v>
                </c:pt>
                <c:pt idx="8">
                  <c:v>0.81203295698914069</c:v>
                </c:pt>
                <c:pt idx="9">
                  <c:v>0.89256546521404612</c:v>
                </c:pt>
                <c:pt idx="10">
                  <c:v>1.0485484943193137</c:v>
                </c:pt>
                <c:pt idx="11">
                  <c:v>1.1981045301701547</c:v>
                </c:pt>
                <c:pt idx="12">
                  <c:v>1.341622773241602</c:v>
                </c:pt>
                <c:pt idx="13">
                  <c:v>1.4794616206285607</c:v>
                </c:pt>
                <c:pt idx="14">
                  <c:v>1.6119516543459829</c:v>
                </c:pt>
                <c:pt idx="15">
                  <c:v>1.9217243248021585</c:v>
                </c:pt>
                <c:pt idx="16">
                  <c:v>2.2041028640112614</c:v>
                </c:pt>
              </c:numCache>
            </c:numRef>
          </c:xVal>
          <c:yVal>
            <c:numRef>
              <c:f>MgSO4!$V$11:$V$53</c:f>
              <c:numCache>
                <c:formatCode>General</c:formatCode>
                <c:ptCount val="43"/>
                <c:pt idx="0">
                  <c:v>-4.4134004896386921E-3</c:v>
                </c:pt>
                <c:pt idx="1">
                  <c:v>-2.2524003713394226E-3</c:v>
                </c:pt>
                <c:pt idx="2">
                  <c:v>-8.9098724442826169E-4</c:v>
                </c:pt>
                <c:pt idx="3">
                  <c:v>1.3029227331769547E-4</c:v>
                </c:pt>
                <c:pt idx="4">
                  <c:v>1.0490603795599018E-3</c:v>
                </c:pt>
                <c:pt idx="5">
                  <c:v>1.3492685456002532E-3</c:v>
                </c:pt>
                <c:pt idx="6">
                  <c:v>1.3038760040379876E-3</c:v>
                </c:pt>
                <c:pt idx="7">
                  <c:v>8.4747216644286139E-4</c:v>
                </c:pt>
                <c:pt idx="8">
                  <c:v>4.4318346525773489E-4</c:v>
                </c:pt>
                <c:pt idx="9">
                  <c:v>5.163943859399639E-4</c:v>
                </c:pt>
                <c:pt idx="10">
                  <c:v>-5.539509934899961E-4</c:v>
                </c:pt>
                <c:pt idx="11">
                  <c:v>-2.1148523776613401E-3</c:v>
                </c:pt>
                <c:pt idx="12">
                  <c:v>-2.4302814630534769E-3</c:v>
                </c:pt>
                <c:pt idx="13">
                  <c:v>-4.5195530350845142E-4</c:v>
                </c:pt>
                <c:pt idx="14">
                  <c:v>1.3542919426470373E-3</c:v>
                </c:pt>
                <c:pt idx="15">
                  <c:v>3.6215271858656972E-3</c:v>
                </c:pt>
                <c:pt idx="16">
                  <c:v>-2.0779381475435899E-3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09A-4C84-9F71-7754A93E5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106528"/>
        <c:axId val="1155099872"/>
      </c:scatterChart>
      <c:valAx>
        <c:axId val="115510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099872"/>
        <c:crosses val="autoZero"/>
        <c:crossBetween val="midCat"/>
      </c:valAx>
      <c:valAx>
        <c:axId val="115509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106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Gamma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MgSO4!$C$11:$C$53</c:f>
              <c:numCache>
                <c:formatCode>General</c:formatCode>
                <c:ptCount val="43"/>
                <c:pt idx="0">
                  <c:v>9.8810655662058072E-2</c:v>
                </c:pt>
                <c:pt idx="1">
                  <c:v>0.19529853920598647</c:v>
                </c:pt>
                <c:pt idx="2">
                  <c:v>0.28954460231917506</c:v>
                </c:pt>
                <c:pt idx="3">
                  <c:v>0.3816260781890774</c:v>
                </c:pt>
                <c:pt idx="4">
                  <c:v>0.47161669258986416</c:v>
                </c:pt>
                <c:pt idx="5">
                  <c:v>0.55958686075128639</c:v>
                </c:pt>
                <c:pt idx="6">
                  <c:v>0.6456038711145945</c:v>
                </c:pt>
                <c:pt idx="7">
                  <c:v>0.72973205698331689</c:v>
                </c:pt>
                <c:pt idx="8">
                  <c:v>0.81203295698914069</c:v>
                </c:pt>
                <c:pt idx="9">
                  <c:v>0.89256546521404612</c:v>
                </c:pt>
                <c:pt idx="10">
                  <c:v>1.0485484943193137</c:v>
                </c:pt>
                <c:pt idx="11">
                  <c:v>1.1981045301701547</c:v>
                </c:pt>
                <c:pt idx="12">
                  <c:v>1.341622773241602</c:v>
                </c:pt>
                <c:pt idx="13">
                  <c:v>1.4794616206285607</c:v>
                </c:pt>
                <c:pt idx="14">
                  <c:v>1.6119516543459829</c:v>
                </c:pt>
                <c:pt idx="15">
                  <c:v>1.9217243248021585</c:v>
                </c:pt>
                <c:pt idx="16">
                  <c:v>2.2041028640112614</c:v>
                </c:pt>
              </c:numCache>
            </c:numRef>
          </c:xVal>
          <c:yVal>
            <c:numRef>
              <c:f>MgSO4!$N$11:$N$53</c:f>
              <c:numCache>
                <c:formatCode>General</c:formatCode>
                <c:ptCount val="43"/>
                <c:pt idx="0">
                  <c:v>0.22300455145351272</c:v>
                </c:pt>
                <c:pt idx="1">
                  <c:v>0.15648045344208919</c:v>
                </c:pt>
                <c:pt idx="2">
                  <c:v>0.12474997849567629</c:v>
                </c:pt>
                <c:pt idx="3">
                  <c:v>0.10540214709759485</c:v>
                </c:pt>
                <c:pt idx="4">
                  <c:v>9.2164557769440519E-2</c:v>
                </c:pt>
                <c:pt idx="5">
                  <c:v>8.2641602935463271E-2</c:v>
                </c:pt>
                <c:pt idx="6">
                  <c:v>7.5532679658904034E-2</c:v>
                </c:pt>
                <c:pt idx="7">
                  <c:v>7.0151671607767349E-2</c:v>
                </c:pt>
                <c:pt idx="8">
                  <c:v>6.5992042086070915E-2</c:v>
                </c:pt>
                <c:pt idx="9">
                  <c:v>6.2711367352447228E-2</c:v>
                </c:pt>
                <c:pt idx="10">
                  <c:v>5.8431125428670509E-2</c:v>
                </c:pt>
                <c:pt idx="11">
                  <c:v>5.622841886144004E-2</c:v>
                </c:pt>
                <c:pt idx="12">
                  <c:v>5.5306952219514684E-2</c:v>
                </c:pt>
                <c:pt idx="13">
                  <c:v>5.5203959337833911E-2</c:v>
                </c:pt>
                <c:pt idx="14">
                  <c:v>5.6023812662763149E-2</c:v>
                </c:pt>
                <c:pt idx="15">
                  <c:v>6.1601528440392912E-2</c:v>
                </c:pt>
                <c:pt idx="16">
                  <c:v>7.257013652584797E-2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440-4AAA-9ED9-B50706E62212}"/>
            </c:ext>
          </c:extLst>
        </c:ser>
        <c:ser>
          <c:idx val="1"/>
          <c:order val="1"/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MgSO4!$C$11:$C$53</c:f>
              <c:numCache>
                <c:formatCode>General</c:formatCode>
                <c:ptCount val="43"/>
                <c:pt idx="0">
                  <c:v>9.8810655662058072E-2</c:v>
                </c:pt>
                <c:pt idx="1">
                  <c:v>0.19529853920598647</c:v>
                </c:pt>
                <c:pt idx="2">
                  <c:v>0.28954460231917506</c:v>
                </c:pt>
                <c:pt idx="3">
                  <c:v>0.3816260781890774</c:v>
                </c:pt>
                <c:pt idx="4">
                  <c:v>0.47161669258986416</c:v>
                </c:pt>
                <c:pt idx="5">
                  <c:v>0.55958686075128639</c:v>
                </c:pt>
                <c:pt idx="6">
                  <c:v>0.6456038711145945</c:v>
                </c:pt>
                <c:pt idx="7">
                  <c:v>0.72973205698331689</c:v>
                </c:pt>
                <c:pt idx="8">
                  <c:v>0.81203295698914069</c:v>
                </c:pt>
                <c:pt idx="9">
                  <c:v>0.89256546521404612</c:v>
                </c:pt>
                <c:pt idx="10">
                  <c:v>1.0485484943193137</c:v>
                </c:pt>
                <c:pt idx="11">
                  <c:v>1.1981045301701547</c:v>
                </c:pt>
                <c:pt idx="12">
                  <c:v>1.341622773241602</c:v>
                </c:pt>
                <c:pt idx="13">
                  <c:v>1.4794616206285607</c:v>
                </c:pt>
                <c:pt idx="14">
                  <c:v>1.6119516543459829</c:v>
                </c:pt>
                <c:pt idx="15">
                  <c:v>1.9217243248021585</c:v>
                </c:pt>
                <c:pt idx="16">
                  <c:v>2.2041028640112614</c:v>
                </c:pt>
              </c:numCache>
            </c:numRef>
          </c:xVal>
          <c:yVal>
            <c:numRef>
              <c:f>MgSO4!$T$11:$T$53</c:f>
              <c:numCache>
                <c:formatCode>General</c:formatCode>
                <c:ptCount val="43"/>
                <c:pt idx="0">
                  <c:v>0.2207498039070562</c:v>
                </c:pt>
                <c:pt idx="1">
                  <c:v>0.15567099294113476</c:v>
                </c:pt>
                <c:pt idx="2">
                  <c:v>0.12449430704401762</c:v>
                </c:pt>
                <c:pt idx="3">
                  <c:v>0.10543377343907784</c:v>
                </c:pt>
                <c:pt idx="4">
                  <c:v>9.2387455041379477E-2</c:v>
                </c:pt>
                <c:pt idx="5">
                  <c:v>8.2898753585228677E-2</c:v>
                </c:pt>
                <c:pt idx="6">
                  <c:v>7.5759791080108788E-2</c:v>
                </c:pt>
                <c:pt idx="7">
                  <c:v>7.0288697601812833E-2</c:v>
                </c:pt>
                <c:pt idx="8">
                  <c:v>6.6059419201790648E-2</c:v>
                </c:pt>
                <c:pt idx="9">
                  <c:v>6.2785978151955274E-2</c:v>
                </c:pt>
                <c:pt idx="10">
                  <c:v>5.8356642912515411E-2</c:v>
                </c:pt>
                <c:pt idx="11">
                  <c:v>5.5955273002437265E-2</c:v>
                </c:pt>
                <c:pt idx="12">
                  <c:v>5.4998322733506744E-2</c:v>
                </c:pt>
                <c:pt idx="13">
                  <c:v>5.514654036158495E-2</c:v>
                </c:pt>
                <c:pt idx="14">
                  <c:v>5.6198788454131982E-2</c:v>
                </c:pt>
                <c:pt idx="15">
                  <c:v>6.211736360905281E-2</c:v>
                </c:pt>
                <c:pt idx="16">
                  <c:v>7.2223744656050679E-2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440-4AAA-9ED9-B50706E62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106528"/>
        <c:axId val="1155099872"/>
      </c:scatterChart>
      <c:valAx>
        <c:axId val="115510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099872"/>
        <c:crosses val="autoZero"/>
        <c:crossBetween val="midCat"/>
      </c:valAx>
      <c:valAx>
        <c:axId val="115509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106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Log specific ion interaction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MgSO4!$C$11:$C$26</c:f>
              <c:numCache>
                <c:formatCode>General</c:formatCode>
                <c:ptCount val="16"/>
                <c:pt idx="0">
                  <c:v>9.8810655662058072E-2</c:v>
                </c:pt>
                <c:pt idx="1">
                  <c:v>0.19529853920598647</c:v>
                </c:pt>
                <c:pt idx="2">
                  <c:v>0.28954460231917506</c:v>
                </c:pt>
                <c:pt idx="3">
                  <c:v>0.3816260781890774</c:v>
                </c:pt>
                <c:pt idx="4">
                  <c:v>0.47161669258986416</c:v>
                </c:pt>
                <c:pt idx="5">
                  <c:v>0.55958686075128639</c:v>
                </c:pt>
                <c:pt idx="6">
                  <c:v>0.6456038711145945</c:v>
                </c:pt>
                <c:pt idx="7">
                  <c:v>0.72973205698331689</c:v>
                </c:pt>
                <c:pt idx="8">
                  <c:v>0.81203295698914069</c:v>
                </c:pt>
                <c:pt idx="9">
                  <c:v>0.89256546521404612</c:v>
                </c:pt>
                <c:pt idx="10">
                  <c:v>1.0485484943193137</c:v>
                </c:pt>
                <c:pt idx="11">
                  <c:v>1.1981045301701547</c:v>
                </c:pt>
                <c:pt idx="12">
                  <c:v>1.341622773241602</c:v>
                </c:pt>
                <c:pt idx="13">
                  <c:v>1.4794616206285607</c:v>
                </c:pt>
                <c:pt idx="14">
                  <c:v>1.6119516543459829</c:v>
                </c:pt>
                <c:pt idx="15">
                  <c:v>1.9217243248021585</c:v>
                </c:pt>
              </c:numCache>
            </c:numRef>
          </c:xVal>
          <c:yVal>
            <c:numRef>
              <c:f>MgSO4!$P$11:$P$26</c:f>
              <c:numCache>
                <c:formatCode>General</c:formatCode>
                <c:ptCount val="16"/>
                <c:pt idx="0">
                  <c:v>5.115123555873291E-4</c:v>
                </c:pt>
                <c:pt idx="1">
                  <c:v>-6.1829275657360183E-3</c:v>
                </c:pt>
                <c:pt idx="2">
                  <c:v>-1.3371378606701012E-2</c:v>
                </c:pt>
                <c:pt idx="3">
                  <c:v>-2.0965145356158343E-2</c:v>
                </c:pt>
                <c:pt idx="4">
                  <c:v>-2.8653539140169215E-2</c:v>
                </c:pt>
                <c:pt idx="5">
                  <c:v>-3.5389827658317552E-2</c:v>
                </c:pt>
                <c:pt idx="6">
                  <c:v>-4.0977654947258024E-2</c:v>
                </c:pt>
                <c:pt idx="7">
                  <c:v>-4.4983678919706893E-2</c:v>
                </c:pt>
                <c:pt idx="8">
                  <c:v>-4.7620058963759204E-2</c:v>
                </c:pt>
                <c:pt idx="9">
                  <c:v>-4.9169488886029011E-2</c:v>
                </c:pt>
                <c:pt idx="10">
                  <c:v>-4.6194531189835519E-2</c:v>
                </c:pt>
                <c:pt idx="11">
                  <c:v>-3.6475960947655706E-2</c:v>
                </c:pt>
                <c:pt idx="12">
                  <c:v>-2.2346644149715322E-2</c:v>
                </c:pt>
                <c:pt idx="13">
                  <c:v>-5.5709866712121414E-3</c:v>
                </c:pt>
                <c:pt idx="14">
                  <c:v>1.5609820466418789E-2</c:v>
                </c:pt>
                <c:pt idx="15">
                  <c:v>8.5161660089152269E-2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479-43F6-A167-ADCD7F155A57}"/>
            </c:ext>
          </c:extLst>
        </c:ser>
        <c:ser>
          <c:idx val="1"/>
          <c:order val="1"/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MgSO4!$C$11:$C$26</c:f>
              <c:numCache>
                <c:formatCode>General</c:formatCode>
                <c:ptCount val="16"/>
                <c:pt idx="0">
                  <c:v>9.8810655662058072E-2</c:v>
                </c:pt>
                <c:pt idx="1">
                  <c:v>0.19529853920598647</c:v>
                </c:pt>
                <c:pt idx="2">
                  <c:v>0.28954460231917506</c:v>
                </c:pt>
                <c:pt idx="3">
                  <c:v>0.3816260781890774</c:v>
                </c:pt>
                <c:pt idx="4">
                  <c:v>0.47161669258986416</c:v>
                </c:pt>
                <c:pt idx="5">
                  <c:v>0.55958686075128639</c:v>
                </c:pt>
                <c:pt idx="6">
                  <c:v>0.6456038711145945</c:v>
                </c:pt>
                <c:pt idx="7">
                  <c:v>0.72973205698331689</c:v>
                </c:pt>
                <c:pt idx="8">
                  <c:v>0.81203295698914069</c:v>
                </c:pt>
                <c:pt idx="9">
                  <c:v>0.89256546521404612</c:v>
                </c:pt>
                <c:pt idx="10">
                  <c:v>1.0485484943193137</c:v>
                </c:pt>
                <c:pt idx="11">
                  <c:v>1.1981045301701547</c:v>
                </c:pt>
                <c:pt idx="12">
                  <c:v>1.341622773241602</c:v>
                </c:pt>
                <c:pt idx="13">
                  <c:v>1.4794616206285607</c:v>
                </c:pt>
                <c:pt idx="14">
                  <c:v>1.6119516543459829</c:v>
                </c:pt>
                <c:pt idx="15">
                  <c:v>1.9217243248021585</c:v>
                </c:pt>
              </c:numCache>
            </c:numRef>
          </c:xVal>
          <c:yVal>
            <c:numRef>
              <c:f>MgSO4!$U$11:$U$26</c:f>
              <c:numCache>
                <c:formatCode>General</c:formatCode>
                <c:ptCount val="16"/>
                <c:pt idx="0">
                  <c:v>-3.9018881340513629E-3</c:v>
                </c:pt>
                <c:pt idx="1">
                  <c:v>-8.435327937075441E-3</c:v>
                </c:pt>
                <c:pt idx="2">
                  <c:v>-1.4262365851129274E-2</c:v>
                </c:pt>
                <c:pt idx="3">
                  <c:v>-2.0834853082840648E-2</c:v>
                </c:pt>
                <c:pt idx="4">
                  <c:v>-2.7604478760609313E-2</c:v>
                </c:pt>
                <c:pt idx="5">
                  <c:v>-3.4040559112717299E-2</c:v>
                </c:pt>
                <c:pt idx="6">
                  <c:v>-3.9673778943220037E-2</c:v>
                </c:pt>
                <c:pt idx="7">
                  <c:v>-4.4136206753264032E-2</c:v>
                </c:pt>
                <c:pt idx="8">
                  <c:v>-4.7176875498501469E-2</c:v>
                </c:pt>
                <c:pt idx="9">
                  <c:v>-4.8653094500089047E-2</c:v>
                </c:pt>
                <c:pt idx="10">
                  <c:v>-4.6748482183325515E-2</c:v>
                </c:pt>
                <c:pt idx="11">
                  <c:v>-3.8590813325317046E-2</c:v>
                </c:pt>
                <c:pt idx="12">
                  <c:v>-2.4776925612768799E-2</c:v>
                </c:pt>
                <c:pt idx="13">
                  <c:v>-6.0229419747205928E-3</c:v>
                </c:pt>
                <c:pt idx="14">
                  <c:v>1.6964112409065826E-2</c:v>
                </c:pt>
                <c:pt idx="15">
                  <c:v>8.8783187275017966E-2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479-43F6-A167-ADCD7F155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106528"/>
        <c:axId val="1155099872"/>
      </c:scatterChart>
      <c:valAx>
        <c:axId val="115510652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099872"/>
        <c:crosses val="autoZero"/>
        <c:crossBetween val="midCat"/>
      </c:valAx>
      <c:valAx>
        <c:axId val="115509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106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73819</xdr:colOff>
      <xdr:row>28</xdr:row>
      <xdr:rowOff>114299</xdr:rowOff>
    </xdr:from>
    <xdr:to>
      <xdr:col>9</xdr:col>
      <xdr:colOff>514351</xdr:colOff>
      <xdr:row>45</xdr:row>
      <xdr:rowOff>100011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F21979-CA3B-4A6A-9072-3885381B8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66675</xdr:colOff>
      <xdr:row>46</xdr:row>
      <xdr:rowOff>33338</xdr:rowOff>
    </xdr:from>
    <xdr:to>
      <xdr:col>17</xdr:col>
      <xdr:colOff>104775</xdr:colOff>
      <xdr:row>63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A445538-2317-4E87-8116-D212FFDCA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85727</xdr:colOff>
      <xdr:row>46</xdr:row>
      <xdr:rowOff>42863</xdr:rowOff>
    </xdr:from>
    <xdr:to>
      <xdr:col>9</xdr:col>
      <xdr:colOff>528639</xdr:colOff>
      <xdr:row>63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F1FC8E0-BD72-4D98-8AC0-8F6E06835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23813</xdr:colOff>
      <xdr:row>28</xdr:row>
      <xdr:rowOff>152399</xdr:rowOff>
    </xdr:from>
    <xdr:to>
      <xdr:col>17</xdr:col>
      <xdr:colOff>61913</xdr:colOff>
      <xdr:row>45</xdr:row>
      <xdr:rowOff>138111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CC05C6-9428-4FD7-B517-A95D3007F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sentations/ISSP%20Braganca%202022/ESIT%20model%20after%20Hef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SO4"/>
      <sheetName val="BeSO4 1.5"/>
      <sheetName val="MgSO4"/>
      <sheetName val="MnSO4"/>
      <sheetName val="MnSO4 1.5"/>
      <sheetName val="NiSO4"/>
      <sheetName val="NiSO4 1.5"/>
      <sheetName val="CuSO4"/>
      <sheetName val="CuSO4 1.5"/>
      <sheetName val="ZnSO4"/>
      <sheetName val="ZnSO4 1.5"/>
      <sheetName val="CdSO4"/>
      <sheetName val="CdSO4 1.5"/>
      <sheetName val="HF"/>
      <sheetName val="AgNO3"/>
      <sheetName val="AgNO3 1.5"/>
      <sheetName val="HCl"/>
      <sheetName val="HCl opt"/>
      <sheetName val="HCl 1.5"/>
      <sheetName val="HBr"/>
      <sheetName val="HBr1.5"/>
      <sheetName val="HI"/>
      <sheetName val="HClO4"/>
      <sheetName val="HClO4 1.5"/>
      <sheetName val="HNO3"/>
      <sheetName val="LiCl"/>
      <sheetName val="LiBr"/>
      <sheetName val="LiI"/>
      <sheetName val="LiOH"/>
      <sheetName val="LiOH 1.5"/>
      <sheetName val="LiClO4"/>
      <sheetName val="LiNO3"/>
      <sheetName val="NaCl"/>
      <sheetName val="NaCl neg"/>
      <sheetName val="NaCl 1.5"/>
      <sheetName val="NaBr"/>
      <sheetName val="NaBr 1.5"/>
      <sheetName val="NaI"/>
      <sheetName val="NaOH"/>
      <sheetName val="NaOH 1.5"/>
      <sheetName val="NaClO4"/>
      <sheetName val="NaNO3"/>
      <sheetName val="NaNO3 1.5"/>
      <sheetName val="NaH2PO4"/>
      <sheetName val="NaCNS"/>
      <sheetName val="KCl"/>
      <sheetName val="KCl 1.5"/>
      <sheetName val="KBr"/>
      <sheetName val="KI"/>
      <sheetName val="KOH"/>
      <sheetName val="KOH 1.5"/>
    </sheetNames>
    <sheetDataSet>
      <sheetData sheetId="0"/>
      <sheetData sheetId="1"/>
      <sheetData sheetId="2">
        <row r="11">
          <cell r="C11">
            <v>9.8810655662058072E-2</v>
          </cell>
          <cell r="M11">
            <v>0.22300439187610302</v>
          </cell>
          <cell r="O11">
            <v>5.1134540945185769E-4</v>
          </cell>
          <cell r="P11">
            <v>6.7263249274183423E-2</v>
          </cell>
          <cell r="S11">
            <v>0.22074971751498604</v>
          </cell>
          <cell r="T11">
            <v>-3.9019142723892251E-3</v>
          </cell>
          <cell r="U11">
            <v>-4.4132596818410828E-3</v>
          </cell>
          <cell r="AF11">
            <v>0.14848343276416079</v>
          </cell>
        </row>
        <row r="12">
          <cell r="C12">
            <v>0.19529853920598647</v>
          </cell>
          <cell r="M12">
            <v>0.15648036901215365</v>
          </cell>
          <cell r="O12">
            <v>-6.1830476432677139E-3</v>
          </cell>
          <cell r="P12">
            <v>0.1367583687020695</v>
          </cell>
          <cell r="S12">
            <v>0.15567093796291695</v>
          </cell>
          <cell r="T12">
            <v>-8.4353670679505055E-3</v>
          </cell>
          <cell r="U12">
            <v>-2.2523194246827916E-3</v>
          </cell>
          <cell r="AF12">
            <v>0.10644651765064791</v>
          </cell>
        </row>
        <row r="13">
          <cell r="C13">
            <v>0.28954460231917506</v>
          </cell>
          <cell r="M13">
            <v>0.12474996944908673</v>
          </cell>
          <cell r="O13">
            <v>-1.337139472587856E-2</v>
          </cell>
          <cell r="P13">
            <v>0.2101804121940164</v>
          </cell>
          <cell r="S13">
            <v>0.12449429961592973</v>
          </cell>
          <cell r="T13">
            <v>-1.4262376388892977E-2</v>
          </cell>
          <cell r="U13">
            <v>-8.909816630144167E-4</v>
          </cell>
          <cell r="AF13">
            <v>8.7220877363604954E-2</v>
          </cell>
        </row>
        <row r="14">
          <cell r="C14">
            <v>0.3816260781890774</v>
          </cell>
          <cell r="M14">
            <v>0.10540214505992085</v>
          </cell>
          <cell r="O14">
            <v>-2.0965149708084274E-2</v>
          </cell>
          <cell r="P14">
            <v>0.28690118197128378</v>
          </cell>
          <cell r="S14">
            <v>0.10543377084385135</v>
          </cell>
          <cell r="T14">
            <v>-2.0834859728874267E-2</v>
          </cell>
          <cell r="U14">
            <v>1.3028997921000693E-4</v>
          </cell>
          <cell r="AF14">
            <v>7.5622683686976069E-2</v>
          </cell>
        </row>
        <row r="15">
          <cell r="C15">
            <v>0.47161669258986416</v>
          </cell>
          <cell r="M15">
            <v>9.2164564962052151E-2</v>
          </cell>
          <cell r="O15">
            <v>-2.8653521266905235E-2</v>
          </cell>
          <cell r="P15">
            <v>0.36619279886902556</v>
          </cell>
          <cell r="S15">
            <v>9.2387460080973413E-2</v>
          </cell>
          <cell r="T15">
            <v>-2.7604471090010102E-2</v>
          </cell>
          <cell r="U15">
            <v>1.0490501768951332E-3</v>
          </cell>
          <cell r="AF15">
            <v>6.7663245174904046E-2</v>
          </cell>
        </row>
        <row r="16">
          <cell r="C16">
            <v>0.55958686075128639</v>
          </cell>
          <cell r="M16">
            <v>8.2641608113388942E-2</v>
          </cell>
          <cell r="O16">
            <v>-3.5389813043579244E-2</v>
          </cell>
          <cell r="P16">
            <v>0.44723234268733975</v>
          </cell>
          <cell r="S16">
            <v>8.2898757178121008E-2</v>
          </cell>
          <cell r="T16">
            <v>-3.4040552886144528E-2</v>
          </cell>
          <cell r="U16">
            <v>1.349260157434716E-3</v>
          </cell>
          <cell r="AF16">
            <v>6.1791675631066641E-2</v>
          </cell>
        </row>
        <row r="17">
          <cell r="C17">
            <v>0.6456038711145945</v>
          </cell>
          <cell r="M17">
            <v>7.5532675622244042E-2</v>
          </cell>
          <cell r="O17">
            <v>-4.0977667638456339E-2</v>
          </cell>
          <cell r="P17">
            <v>0.52917495204193465</v>
          </cell>
          <cell r="S17">
            <v>7.5759786285932065E-2</v>
          </cell>
          <cell r="T17">
            <v>-3.9673795907320106E-2</v>
          </cell>
          <cell r="U17">
            <v>1.303871731136233E-3</v>
          </cell>
          <cell r="AF17">
            <v>5.7271687535093312E-2</v>
          </cell>
        </row>
        <row r="18">
          <cell r="C18">
            <v>0.72973205698331689</v>
          </cell>
          <cell r="M18">
            <v>7.0151662921424177E-2</v>
          </cell>
          <cell r="O18">
            <v>-4.4983708825386381E-2</v>
          </cell>
          <cell r="P18">
            <v>0.61124709257468712</v>
          </cell>
          <cell r="S18">
            <v>7.0288688209457065E-2</v>
          </cell>
          <cell r="T18">
            <v>-4.4136240916367898E-2</v>
          </cell>
          <cell r="U18">
            <v>8.4746790901848307E-4</v>
          </cell>
          <cell r="AF18">
            <v>5.3704695386149144E-2</v>
          </cell>
        </row>
        <row r="19">
          <cell r="C19">
            <v>0.81203295698914069</v>
          </cell>
          <cell r="M19">
            <v>6.599203340845089E-2</v>
          </cell>
          <cell r="O19">
            <v>-4.7620091223612881E-2</v>
          </cell>
          <cell r="P19">
            <v>0.69281089911293947</v>
          </cell>
          <cell r="S19">
            <v>6.6059409654761342E-2</v>
          </cell>
          <cell r="T19">
            <v>-4.7176913415867369E-2</v>
          </cell>
          <cell r="U19">
            <v>4.431778077455123E-4</v>
          </cell>
          <cell r="AF19">
            <v>5.0851865553094663E-2</v>
          </cell>
        </row>
        <row r="20">
          <cell r="C20">
            <v>0.89256546521404612</v>
          </cell>
          <cell r="M20">
            <v>6.2711370412105089E-2</v>
          </cell>
          <cell r="O20">
            <v>-4.9169476743120999E-2</v>
          </cell>
          <cell r="P20">
            <v>0.77338447049210257</v>
          </cell>
          <cell r="S20">
            <v>6.2785980379198345E-2</v>
          </cell>
          <cell r="T20">
            <v>-4.8653088140224926E-2</v>
          </cell>
          <cell r="U20">
            <v>5.1638860289607291E-4</v>
          </cell>
          <cell r="AF20">
            <v>4.8557702189893852E-2</v>
          </cell>
        </row>
        <row r="21">
          <cell r="C21">
            <v>1.0485484943193137</v>
          </cell>
          <cell r="M21">
            <v>5.8431110817076241E-2</v>
          </cell>
          <cell r="O21">
            <v>-4.6194595013773432E-2</v>
          </cell>
          <cell r="P21">
            <v>0.93032631486638651</v>
          </cell>
          <cell r="S21">
            <v>5.8356627295041562E-2</v>
          </cell>
          <cell r="T21">
            <v>-4.6748553631708815E-2</v>
          </cell>
          <cell r="U21">
            <v>-5.5395861793538365E-4</v>
          </cell>
          <cell r="AF21">
            <v>4.5242255016189337E-2</v>
          </cell>
        </row>
        <row r="22">
          <cell r="C22">
            <v>1.1981045301701547</v>
          </cell>
          <cell r="M22">
            <v>5.622843012506807E-2</v>
          </cell>
          <cell r="O22">
            <v>-3.6475908730176032E-2</v>
          </cell>
          <cell r="P22">
            <v>1.080592146443577</v>
          </cell>
          <cell r="S22">
            <v>5.5955283780467845E-2</v>
          </cell>
          <cell r="T22">
            <v>-3.8590764452101897E-2</v>
          </cell>
          <cell r="U22">
            <v>-2.1148557219258651E-3</v>
          </cell>
          <cell r="AF22">
            <v>4.3189171575139448E-2</v>
          </cell>
        </row>
        <row r="23">
          <cell r="C23">
            <v>1.341622773241602</v>
          </cell>
          <cell r="M23">
            <v>5.5306949484331597E-2</v>
          </cell>
          <cell r="O23">
            <v>-2.2346657273059733E-2</v>
          </cell>
          <cell r="P23">
            <v>1.2237160181682714</v>
          </cell>
          <cell r="S23">
            <v>5.4998319843951794E-2</v>
          </cell>
          <cell r="T23">
            <v>-2.4776940075636709E-2</v>
          </cell>
          <cell r="U23">
            <v>-2.430282802576976E-3</v>
          </cell>
          <cell r="AF23">
            <v>4.2063953103366067E-2</v>
          </cell>
        </row>
        <row r="24">
          <cell r="C24">
            <v>1.4794616206285607</v>
          </cell>
          <cell r="M24">
            <v>5.520395696989823E-2</v>
          </cell>
          <cell r="O24">
            <v>-5.570998228381363E-3</v>
          </cell>
          <cell r="P24">
            <v>1.3596851407033907</v>
          </cell>
          <cell r="S24">
            <v>5.5146538244414185E-2</v>
          </cell>
          <cell r="T24">
            <v>-6.0229515764420524E-3</v>
          </cell>
          <cell r="U24">
            <v>-4.5195334806068937E-4</v>
          </cell>
          <cell r="AF24">
            <v>4.1656627006756229E-2</v>
          </cell>
        </row>
        <row r="25">
          <cell r="C25">
            <v>1.6119516543459829</v>
          </cell>
          <cell r="M25">
            <v>5.6023817597752025E-2</v>
          </cell>
          <cell r="O25">
            <v>1.5609844513953863E-2</v>
          </cell>
          <cell r="P25">
            <v>1.4886525691413512</v>
          </cell>
          <cell r="S25">
            <v>5.619879291151636E-2</v>
          </cell>
          <cell r="T25">
            <v>1.6964132646646542E-2</v>
          </cell>
          <cell r="U25">
            <v>1.3542881326926784E-3</v>
          </cell>
          <cell r="AF25">
            <v>4.1830238725185792E-2</v>
          </cell>
        </row>
        <row r="26">
          <cell r="C26">
            <v>1.9217243248021585</v>
          </cell>
          <cell r="M26">
            <v>6.1601528541791656E-2</v>
          </cell>
          <cell r="O26">
            <v>8.5161660550351126E-2</v>
          </cell>
          <cell r="P26">
            <v>1.7816116352623215</v>
          </cell>
          <cell r="S26">
            <v>6.2117365150928715E-2</v>
          </cell>
          <cell r="T26">
            <v>8.8783197801398039E-2</v>
          </cell>
          <cell r="U26">
            <v>3.6215372510469135E-3</v>
          </cell>
          <cell r="AF26">
            <v>4.4267608201893141E-2</v>
          </cell>
        </row>
        <row r="27">
          <cell r="C27">
            <v>2.2041028640112614</v>
          </cell>
          <cell r="M27">
            <v>7.2570141140996386E-2</v>
          </cell>
          <cell r="O27">
            <v>0.17638190757603844</v>
          </cell>
          <cell r="P27">
            <v>2.0338943493747417</v>
          </cell>
          <cell r="S27">
            <v>7.2223749021462835E-2</v>
          </cell>
          <cell r="T27">
            <v>0.17430396805925022</v>
          </cell>
          <cell r="U27">
            <v>-2.0779395167882242E-3</v>
          </cell>
          <cell r="AF27">
            <v>4.896515834180426E-2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D9C1-1B93-4FF9-AE15-E89322E328B3}">
  <sheetPr>
    <pageSetUpPr fitToPage="1"/>
  </sheetPr>
  <dimension ref="A1:AG33"/>
  <sheetViews>
    <sheetView tabSelected="1" zoomScaleNormal="100" workbookViewId="0">
      <selection activeCell="L8" sqref="L8"/>
    </sheetView>
  </sheetViews>
  <sheetFormatPr defaultColWidth="8.796875" defaultRowHeight="14.25" x14ac:dyDescent="0.45"/>
  <cols>
    <col min="3" max="4" width="7.33203125" customWidth="1"/>
    <col min="27" max="27" width="8.59765625" customWidth="1"/>
    <col min="28" max="31" width="9.1328125" bestFit="1" customWidth="1"/>
  </cols>
  <sheetData>
    <row r="1" spans="1:33" x14ac:dyDescent="0.45">
      <c r="A1" s="1" t="s">
        <v>0</v>
      </c>
      <c r="B1" t="s">
        <v>1</v>
      </c>
      <c r="D1">
        <v>2</v>
      </c>
      <c r="F1">
        <v>2</v>
      </c>
      <c r="K1" t="s">
        <v>2</v>
      </c>
      <c r="L1" t="s">
        <v>3</v>
      </c>
      <c r="M1" t="s">
        <v>4</v>
      </c>
      <c r="N1" t="s">
        <v>5</v>
      </c>
      <c r="P1" s="1">
        <f t="array" ref="P1:T5">LINEST(S11:S27,Q11:R27,FALSE,TRUE)</f>
        <v>4.5257454264221515E-2</v>
      </c>
      <c r="Q1" s="1">
        <v>-0.21722655811299682</v>
      </c>
      <c r="R1" s="1">
        <v>0</v>
      </c>
      <c r="S1" t="e">
        <v>#N/A</v>
      </c>
      <c r="T1" t="e">
        <v>#N/A</v>
      </c>
      <c r="AA1" s="1"/>
      <c r="AB1" s="1"/>
      <c r="AC1" s="1"/>
    </row>
    <row r="2" spans="1:33" x14ac:dyDescent="0.45">
      <c r="C2" t="s">
        <v>6</v>
      </c>
      <c r="E2" t="s">
        <v>7</v>
      </c>
      <c r="K2">
        <v>170</v>
      </c>
      <c r="L2">
        <v>2.7369999999999998E-3</v>
      </c>
      <c r="P2">
        <v>3.4258146034275454E-4</v>
      </c>
      <c r="Q2">
        <v>1.5854213387434476E-3</v>
      </c>
      <c r="R2" t="e">
        <v>#N/A</v>
      </c>
      <c r="S2" t="e">
        <v>#N/A</v>
      </c>
      <c r="T2" t="e">
        <v>#N/A</v>
      </c>
    </row>
    <row r="3" spans="1:33" x14ac:dyDescent="0.45">
      <c r="D3">
        <v>1</v>
      </c>
      <c r="F3">
        <v>1</v>
      </c>
      <c r="K3">
        <v>167</v>
      </c>
      <c r="L3">
        <v>2.4489999999999998E-3</v>
      </c>
      <c r="P3">
        <v>0.99920300963987196</v>
      </c>
      <c r="Q3" s="2">
        <v>2.0219143080920554E-3</v>
      </c>
      <c r="R3" t="e">
        <v>#N/A</v>
      </c>
      <c r="S3" t="e">
        <v>#N/A</v>
      </c>
      <c r="T3" t="e">
        <v>#N/A</v>
      </c>
    </row>
    <row r="4" spans="1:33" x14ac:dyDescent="0.45">
      <c r="A4" t="s">
        <v>8</v>
      </c>
      <c r="B4">
        <v>0.51</v>
      </c>
      <c r="K4">
        <v>165</v>
      </c>
      <c r="L4">
        <v>2.2899999999999999E-3</v>
      </c>
      <c r="P4">
        <v>9402.9024028548502</v>
      </c>
      <c r="Q4">
        <v>15</v>
      </c>
      <c r="R4" t="e">
        <v>#N/A</v>
      </c>
      <c r="S4" t="e">
        <v>#N/A</v>
      </c>
      <c r="T4" t="e">
        <v>#N/A</v>
      </c>
    </row>
    <row r="5" spans="1:33" x14ac:dyDescent="0.45">
      <c r="A5" t="s">
        <v>9</v>
      </c>
      <c r="B5" s="1">
        <v>120.366</v>
      </c>
      <c r="C5" t="s">
        <v>10</v>
      </c>
      <c r="K5">
        <v>160</v>
      </c>
      <c r="L5">
        <v>2.0509999999999999E-3</v>
      </c>
      <c r="P5">
        <v>7.6880715265950278E-2</v>
      </c>
      <c r="Q5">
        <v>6.1322062039010614E-5</v>
      </c>
      <c r="R5" t="e">
        <v>#N/A</v>
      </c>
      <c r="S5" t="e">
        <v>#N/A</v>
      </c>
      <c r="T5" t="e">
        <v>#N/A</v>
      </c>
    </row>
    <row r="6" spans="1:33" x14ac:dyDescent="0.45">
      <c r="B6">
        <f>B5/1000</f>
        <v>0.120366</v>
      </c>
      <c r="C6" t="s">
        <v>11</v>
      </c>
      <c r="K6">
        <v>158</v>
      </c>
      <c r="L6">
        <v>2.0219999999999999E-3</v>
      </c>
      <c r="W6" t="s">
        <v>12</v>
      </c>
      <c r="X6" t="s">
        <v>13</v>
      </c>
      <c r="Y6" t="s">
        <v>14</v>
      </c>
      <c r="Z6" t="s">
        <v>15</v>
      </c>
    </row>
    <row r="7" spans="1:33" x14ac:dyDescent="0.45">
      <c r="K7">
        <v>156</v>
      </c>
      <c r="L7">
        <v>2.0600000000000002E-3</v>
      </c>
      <c r="W7">
        <f>R1</f>
        <v>0</v>
      </c>
      <c r="X7">
        <f>Q1</f>
        <v>-0.21722655811299682</v>
      </c>
      <c r="Y7">
        <f>P1</f>
        <v>4.5257454264221515E-2</v>
      </c>
      <c r="Z7">
        <f>10^Q3-1</f>
        <v>4.6664840272550023E-3</v>
      </c>
    </row>
    <row r="8" spans="1:33" x14ac:dyDescent="0.45">
      <c r="A8" t="s">
        <v>2</v>
      </c>
      <c r="B8">
        <v>158</v>
      </c>
      <c r="L8">
        <f>L9*1000000</f>
        <v>0.3542499199776154</v>
      </c>
      <c r="W8" t="s">
        <v>4</v>
      </c>
      <c r="X8" t="s">
        <v>5</v>
      </c>
      <c r="Y8" t="s">
        <v>16</v>
      </c>
      <c r="Z8" t="s">
        <v>17</v>
      </c>
      <c r="AA8" t="s">
        <v>2</v>
      </c>
    </row>
    <row r="9" spans="1:33" x14ac:dyDescent="0.45">
      <c r="I9" t="s">
        <v>16</v>
      </c>
      <c r="J9">
        <v>0.16</v>
      </c>
      <c r="K9" t="s">
        <v>18</v>
      </c>
      <c r="L9">
        <f>SUMSQ(L11:L29)</f>
        <v>3.5424991997761542E-7</v>
      </c>
      <c r="N9" t="s">
        <v>19</v>
      </c>
      <c r="O9">
        <v>1.2</v>
      </c>
      <c r="Q9" t="s">
        <v>20</v>
      </c>
      <c r="R9" t="s">
        <v>20</v>
      </c>
      <c r="S9" t="s">
        <v>21</v>
      </c>
      <c r="W9" s="1">
        <f>Q1</f>
        <v>-0.21722655811299682</v>
      </c>
      <c r="X9" s="1">
        <f>P1</f>
        <v>4.5257454264221515E-2</v>
      </c>
      <c r="Y9" s="1">
        <f>J9</f>
        <v>0.16</v>
      </c>
      <c r="Z9" s="1">
        <f>Z7</f>
        <v>4.6664840272550023E-3</v>
      </c>
      <c r="AA9" s="1">
        <f>B8</f>
        <v>158</v>
      </c>
    </row>
    <row r="10" spans="1:33" x14ac:dyDescent="0.45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42</v>
      </c>
      <c r="H10" t="s">
        <v>43</v>
      </c>
      <c r="I10" t="s">
        <v>28</v>
      </c>
      <c r="J10" t="s">
        <v>29</v>
      </c>
      <c r="K10" t="s">
        <v>2</v>
      </c>
      <c r="L10" t="s">
        <v>30</v>
      </c>
      <c r="M10" t="s">
        <v>31</v>
      </c>
      <c r="N10" t="s">
        <v>32</v>
      </c>
      <c r="O10" t="s">
        <v>33</v>
      </c>
      <c r="P10" t="s">
        <v>21</v>
      </c>
      <c r="Q10" t="s">
        <v>4</v>
      </c>
      <c r="R10" t="s">
        <v>5</v>
      </c>
      <c r="S10" t="s">
        <v>34</v>
      </c>
      <c r="T10" t="s">
        <v>35</v>
      </c>
      <c r="U10" t="s">
        <v>36</v>
      </c>
      <c r="V10" t="s">
        <v>37</v>
      </c>
      <c r="W10" t="s">
        <v>12</v>
      </c>
      <c r="X10" t="s">
        <v>13</v>
      </c>
      <c r="Z10" t="s">
        <v>15</v>
      </c>
      <c r="AC10" t="s">
        <v>38</v>
      </c>
      <c r="AD10" t="s">
        <v>39</v>
      </c>
      <c r="AF10" t="s">
        <v>40</v>
      </c>
      <c r="AG10" t="s">
        <v>41</v>
      </c>
    </row>
    <row r="11" spans="1:33" x14ac:dyDescent="0.45">
      <c r="A11">
        <v>0.1</v>
      </c>
      <c r="B11">
        <v>0.15</v>
      </c>
      <c r="C11">
        <f t="shared" ref="C11:C27" si="0">A11/(1+$B$6*A11)</f>
        <v>9.8810655662058072E-2</v>
      </c>
      <c r="D11">
        <f t="shared" ref="D11:D27" si="1">C11*0.5*($D$3*$D$1*$D$1+$F$3*$F$1*$F$1)</f>
        <v>0.39524262264823229</v>
      </c>
      <c r="E11">
        <f t="shared" ref="E11:E27" si="2">B11*(1+$B$6*A11)</f>
        <v>0.15180549000000002</v>
      </c>
      <c r="F11">
        <f>LOG(E11)</f>
        <v>-0.81871252202689015</v>
      </c>
      <c r="G11">
        <v>-0.32881320917118256</v>
      </c>
      <c r="H11">
        <f>10^G11/(1+10^G11)</f>
        <v>0.3192717861113018</v>
      </c>
      <c r="I11">
        <f>H11*C11</f>
        <v>3.15474545200541E-2</v>
      </c>
      <c r="J11">
        <f t="shared" ref="J11:J27" si="3">10^($J$9*M11)</f>
        <v>1.1042017948304612</v>
      </c>
      <c r="K11">
        <f t="shared" ref="K11:K27" si="4">J11*I11/(T11^2*Q11^2)</f>
        <v>157.99998820351252</v>
      </c>
      <c r="L11">
        <f>K11-$B$8</f>
        <v>-1.1796487484616591E-5</v>
      </c>
      <c r="M11">
        <f t="shared" ref="M11:M27" si="5">Q11*$D$1*$F$1</f>
        <v>0.26905280456801589</v>
      </c>
      <c r="N11">
        <f>E11*C11/Q11</f>
        <v>0.22300455145351272</v>
      </c>
      <c r="O11">
        <f>-$B$4*($D$1*$F$1)*SQRT(M11)/(1+$O$9*SQRT(M11))</f>
        <v>-0.65219778540171613</v>
      </c>
      <c r="P11">
        <f>LOG(N11)-O11</f>
        <v>5.115123555873291E-4</v>
      </c>
      <c r="Q11">
        <f>C11-I11</f>
        <v>6.7263201142003973E-2</v>
      </c>
      <c r="R11">
        <f>3*Q11*Q11</f>
        <v>1.3573014683609054E-2</v>
      </c>
      <c r="S11">
        <f>P11-I11*$J$9*($D$1^2+$F$1^2)/4</f>
        <v>-9.5836730908299833E-3</v>
      </c>
      <c r="T11">
        <f>10^(O11+Q11*$W$9+R11*$X$9+I11*$Y$9*($D$1^2+$F$1^2)/4)</f>
        <v>0.2207498039070562</v>
      </c>
      <c r="U11">
        <f t="shared" ref="U11:U27" si="6">$Q$1*Q11+$P$1*R11+$J$9*I11*($D$1^2+$F$1^2)/4</f>
        <v>-3.9018881340513629E-3</v>
      </c>
      <c r="V11">
        <f>U11-P11</f>
        <v>-4.4134004896386921E-3</v>
      </c>
      <c r="AC11">
        <f>D11*(1+A11*$B$6)</f>
        <v>0.4</v>
      </c>
      <c r="AD11">
        <f>M11*(1+A11*$B$6)</f>
        <v>0.27229128555547927</v>
      </c>
      <c r="AF11">
        <f>T11*Q11/C11</f>
        <v>0.15027061972993072</v>
      </c>
      <c r="AG11">
        <f>AF11*C11/A11</f>
        <v>0.14848338462258254</v>
      </c>
    </row>
    <row r="12" spans="1:33" x14ac:dyDescent="0.45">
      <c r="A12">
        <v>0.2</v>
      </c>
      <c r="B12">
        <v>0.107</v>
      </c>
      <c r="C12">
        <f t="shared" si="0"/>
        <v>0.19529853920598647</v>
      </c>
      <c r="D12">
        <f t="shared" si="1"/>
        <v>0.78119415682394588</v>
      </c>
      <c r="E12">
        <f t="shared" si="2"/>
        <v>0.10957583239999999</v>
      </c>
      <c r="F12">
        <f t="shared" ref="F12:F27" si="7">LOG(E12)</f>
        <v>-0.96028522151494666</v>
      </c>
      <c r="G12">
        <v>-0.36849914698069053</v>
      </c>
      <c r="H12">
        <f t="shared" ref="H12:H27" si="8">10^G12/(1+10^G12)</f>
        <v>0.29974747650797051</v>
      </c>
      <c r="I12">
        <f t="shared" ref="I12:I27" si="9">H12*C12</f>
        <v>5.8540244292687386E-2</v>
      </c>
      <c r="J12">
        <f t="shared" si="3"/>
        <v>1.2232784041797464</v>
      </c>
      <c r="K12">
        <f t="shared" si="4"/>
        <v>158.00000228410872</v>
      </c>
      <c r="L12">
        <f t="shared" ref="L12:L27" si="10">K12-$B$8</f>
        <v>2.2841087172764674E-6</v>
      </c>
      <c r="M12">
        <f t="shared" si="5"/>
        <v>0.54703317965319631</v>
      </c>
      <c r="N12">
        <f t="shared" ref="N12:N27" si="11">E12*C12/Q12</f>
        <v>0.15648045344208919</v>
      </c>
      <c r="O12">
        <f t="shared" ref="O12:O27" si="12">-$B$4*($D$1*$F$1)*SQRT(M12)/(1+$O$9*SQRT(M12))</f>
        <v>-0.79935697650970583</v>
      </c>
      <c r="P12">
        <f t="shared" ref="P12:P27" si="13">LOG(N12)-O12</f>
        <v>-6.1829275657360183E-3</v>
      </c>
      <c r="Q12">
        <f t="shared" ref="Q12:Q27" si="14">C12-I12</f>
        <v>0.13675829491329908</v>
      </c>
      <c r="R12">
        <f t="shared" ref="R12:R27" si="15">3*Q12*Q12</f>
        <v>5.6108493682778655E-2</v>
      </c>
      <c r="S12">
        <f t="shared" ref="S12:S27" si="16">P12-I12*$J$9*($D$1^2+$F$1^2)/4</f>
        <v>-2.4915805739395981E-2</v>
      </c>
      <c r="T12">
        <f t="shared" ref="T12:T27" si="17">10^(O12+Q12*$W$9+R12*$X$9+I12*$Y$9*($D$1^2+$F$1^2)/4)</f>
        <v>0.15567099294113476</v>
      </c>
      <c r="U12">
        <f t="shared" si="6"/>
        <v>-8.435327937075441E-3</v>
      </c>
      <c r="V12">
        <f t="shared" ref="V12:V27" si="18">U12-P12</f>
        <v>-2.2524003713394226E-3</v>
      </c>
      <c r="AC12">
        <f t="shared" ref="AC12:AC29" si="19">D12*(1+A12*$B$6)</f>
        <v>0.8</v>
      </c>
      <c r="AD12">
        <f t="shared" ref="AD12:AD29" si="20">M12*(1+A12*$B$6)</f>
        <v>0.56020201879362364</v>
      </c>
      <c r="AF12">
        <f>T12*Q12/C12</f>
        <v>0.10900900564153952</v>
      </c>
      <c r="AG12">
        <f>AF12*C12/A12</f>
        <v>0.10644649781044903</v>
      </c>
    </row>
    <row r="13" spans="1:33" x14ac:dyDescent="0.45">
      <c r="A13">
        <v>0.3</v>
      </c>
      <c r="B13">
        <v>8.7400000000000005E-2</v>
      </c>
      <c r="C13">
        <f t="shared" si="0"/>
        <v>0.28954460231917506</v>
      </c>
      <c r="D13">
        <f t="shared" si="1"/>
        <v>1.1581784092767002</v>
      </c>
      <c r="E13">
        <f t="shared" si="2"/>
        <v>9.0555996520000001E-2</v>
      </c>
      <c r="F13">
        <f t="shared" si="7"/>
        <v>-1.0430827858875349</v>
      </c>
      <c r="G13">
        <v>-0.42296753568013534</v>
      </c>
      <c r="H13">
        <f t="shared" si="8"/>
        <v>0.27410010316644201</v>
      </c>
      <c r="I13">
        <f t="shared" si="9"/>
        <v>7.9364205366972307E-2</v>
      </c>
      <c r="J13">
        <f t="shared" si="3"/>
        <v>1.3630615088851603</v>
      </c>
      <c r="K13">
        <f t="shared" si="4"/>
        <v>157.99986870799782</v>
      </c>
      <c r="L13">
        <f t="shared" si="10"/>
        <v>-1.3129200218031656E-4</v>
      </c>
      <c r="M13">
        <f t="shared" si="5"/>
        <v>0.84072158780881101</v>
      </c>
      <c r="N13">
        <f t="shared" si="11"/>
        <v>0.12474997849567629</v>
      </c>
      <c r="O13">
        <f t="shared" si="12"/>
        <v>-0.89058814196127767</v>
      </c>
      <c r="P13">
        <f t="shared" si="13"/>
        <v>-1.3371378606701012E-2</v>
      </c>
      <c r="Q13">
        <f t="shared" si="14"/>
        <v>0.21018039695220275</v>
      </c>
      <c r="R13">
        <f t="shared" si="15"/>
        <v>0.13252739778895659</v>
      </c>
      <c r="S13">
        <f t="shared" si="16"/>
        <v>-3.8767924324132147E-2</v>
      </c>
      <c r="T13">
        <f t="shared" si="17"/>
        <v>0.12449430704401762</v>
      </c>
      <c r="U13">
        <f t="shared" si="6"/>
        <v>-1.4262365851129274E-2</v>
      </c>
      <c r="V13">
        <f t="shared" si="18"/>
        <v>-8.9098724442826169E-4</v>
      </c>
      <c r="AC13">
        <f t="shared" si="19"/>
        <v>1.2</v>
      </c>
      <c r="AD13">
        <f t="shared" si="20"/>
        <v>0.87107987620026961</v>
      </c>
      <c r="AF13">
        <f>T13*Q13/C13</f>
        <v>9.037040463961768E-2</v>
      </c>
      <c r="AG13">
        <f>AF13*C13/A13</f>
        <v>8.7220876242670123E-2</v>
      </c>
    </row>
    <row r="14" spans="1:33" x14ac:dyDescent="0.45">
      <c r="A14">
        <v>0.4</v>
      </c>
      <c r="B14">
        <v>7.5600000000000001E-2</v>
      </c>
      <c r="C14">
        <f t="shared" si="0"/>
        <v>0.3816260781890774</v>
      </c>
      <c r="D14">
        <f t="shared" si="1"/>
        <v>1.5265043127563096</v>
      </c>
      <c r="E14">
        <f t="shared" si="2"/>
        <v>7.9239867840000006E-2</v>
      </c>
      <c r="F14">
        <f t="shared" si="7"/>
        <v>-1.1010562574697675</v>
      </c>
      <c r="G14">
        <v>-0.48126816549740919</v>
      </c>
      <c r="H14">
        <f t="shared" si="8"/>
        <v>0.24821391193644693</v>
      </c>
      <c r="I14">
        <f t="shared" si="9"/>
        <v>9.4724901764275268E-2</v>
      </c>
      <c r="J14">
        <f t="shared" si="3"/>
        <v>1.5262186383817729</v>
      </c>
      <c r="K14">
        <f t="shared" si="4"/>
        <v>157.99988041942842</v>
      </c>
      <c r="L14">
        <f t="shared" si="10"/>
        <v>-1.1958057157812618E-4</v>
      </c>
      <c r="M14">
        <f t="shared" si="5"/>
        <v>1.1476047056992085</v>
      </c>
      <c r="N14">
        <f t="shared" si="11"/>
        <v>0.10540214709759485</v>
      </c>
      <c r="O14">
        <f t="shared" si="12"/>
        <v>-0.95618539686845228</v>
      </c>
      <c r="P14">
        <f t="shared" si="13"/>
        <v>-2.0965145356158343E-2</v>
      </c>
      <c r="Q14">
        <f t="shared" si="14"/>
        <v>0.28690117642480212</v>
      </c>
      <c r="R14">
        <f t="shared" si="15"/>
        <v>0.24693685510180627</v>
      </c>
      <c r="S14">
        <f t="shared" si="16"/>
        <v>-5.1277113920726425E-2</v>
      </c>
      <c r="T14">
        <f t="shared" si="17"/>
        <v>0.10543377343907784</v>
      </c>
      <c r="U14">
        <f t="shared" si="6"/>
        <v>-2.0834853082840648E-2</v>
      </c>
      <c r="V14">
        <f t="shared" si="18"/>
        <v>1.3029227331769547E-4</v>
      </c>
      <c r="AC14">
        <f t="shared" si="19"/>
        <v>1.6</v>
      </c>
      <c r="AD14">
        <f t="shared" si="20"/>
        <v>1.202857740901685</v>
      </c>
      <c r="AF14">
        <f>T14*Q14/C14</f>
        <v>7.9263644083543264E-2</v>
      </c>
      <c r="AG14">
        <f>AF14*C14/A14</f>
        <v>7.5622684086443695E-2</v>
      </c>
    </row>
    <row r="15" spans="1:33" x14ac:dyDescent="0.45">
      <c r="A15">
        <v>0.5</v>
      </c>
      <c r="B15">
        <v>6.7500000000000004E-2</v>
      </c>
      <c r="C15">
        <f t="shared" si="0"/>
        <v>0.47161669258986416</v>
      </c>
      <c r="D15">
        <f t="shared" si="1"/>
        <v>1.8864667703594566</v>
      </c>
      <c r="E15">
        <f t="shared" si="2"/>
        <v>7.1562352500000009E-2</v>
      </c>
      <c r="F15">
        <f t="shared" si="7"/>
        <v>-1.1453153911206586</v>
      </c>
      <c r="G15">
        <v>-0.54077089894275954</v>
      </c>
      <c r="H15">
        <f t="shared" si="8"/>
        <v>0.22353717923737154</v>
      </c>
      <c r="I15">
        <f t="shared" si="9"/>
        <v>0.10542386514279682</v>
      </c>
      <c r="J15">
        <f t="shared" si="3"/>
        <v>1.7153921154153646</v>
      </c>
      <c r="K15">
        <f t="shared" si="4"/>
        <v>157.99984799251877</v>
      </c>
      <c r="L15">
        <f t="shared" si="10"/>
        <v>-1.5200748123334051E-4</v>
      </c>
      <c r="M15">
        <f t="shared" si="5"/>
        <v>1.4647713097882693</v>
      </c>
      <c r="N15">
        <f t="shared" si="11"/>
        <v>9.2164557769440519E-2</v>
      </c>
      <c r="O15">
        <f t="shared" si="12"/>
        <v>-1.0067825172940024</v>
      </c>
      <c r="P15">
        <f t="shared" si="13"/>
        <v>-2.8653539140169215E-2</v>
      </c>
      <c r="Q15">
        <f t="shared" si="14"/>
        <v>0.36619282744706733</v>
      </c>
      <c r="R15">
        <f t="shared" si="15"/>
        <v>0.40229156062103283</v>
      </c>
      <c r="S15">
        <f t="shared" si="16"/>
        <v>-6.2389175985864201E-2</v>
      </c>
      <c r="T15">
        <f t="shared" si="17"/>
        <v>9.2387455041379477E-2</v>
      </c>
      <c r="U15">
        <f t="shared" si="6"/>
        <v>-2.7604478760609313E-2</v>
      </c>
      <c r="V15">
        <f t="shared" si="18"/>
        <v>1.0490603795599018E-3</v>
      </c>
      <c r="AC15">
        <f t="shared" si="19"/>
        <v>2</v>
      </c>
      <c r="AD15">
        <f t="shared" si="20"/>
        <v>1.5529256415252568</v>
      </c>
      <c r="AF15">
        <f>T15*Q15/C15</f>
        <v>7.1735423944510018E-2</v>
      </c>
      <c r="AG15">
        <f>AF15*C15/A15</f>
        <v>6.7663246764483126E-2</v>
      </c>
    </row>
    <row r="16" spans="1:33" x14ac:dyDescent="0.45">
      <c r="A16">
        <v>0.6</v>
      </c>
      <c r="B16">
        <v>6.1600000000000002E-2</v>
      </c>
      <c r="C16">
        <f t="shared" si="0"/>
        <v>0.55958686075128639</v>
      </c>
      <c r="D16">
        <f t="shared" si="1"/>
        <v>2.2383474430051455</v>
      </c>
      <c r="E16">
        <f t="shared" si="2"/>
        <v>6.6048727360000004E-2</v>
      </c>
      <c r="F16">
        <f t="shared" si="7"/>
        <v>-1.1801355460411904</v>
      </c>
      <c r="G16">
        <v>-0.59994279738978018</v>
      </c>
      <c r="H16">
        <f t="shared" si="8"/>
        <v>0.20078114395265334</v>
      </c>
      <c r="I16">
        <f t="shared" si="9"/>
        <v>0.11235449004251741</v>
      </c>
      <c r="J16">
        <f t="shared" si="3"/>
        <v>1.9329860385882935</v>
      </c>
      <c r="K16">
        <f t="shared" si="4"/>
        <v>157.9998548410849</v>
      </c>
      <c r="L16">
        <f t="shared" si="10"/>
        <v>-1.451589151031385E-4</v>
      </c>
      <c r="M16">
        <f t="shared" si="5"/>
        <v>1.7889294828350759</v>
      </c>
      <c r="N16">
        <f t="shared" si="11"/>
        <v>8.2641602935463271E-2</v>
      </c>
      <c r="O16">
        <f t="shared" si="12"/>
        <v>-1.047411440073158</v>
      </c>
      <c r="P16">
        <f t="shared" si="13"/>
        <v>-3.5389827658317552E-2</v>
      </c>
      <c r="Q16">
        <f t="shared" si="14"/>
        <v>0.44723237070876898</v>
      </c>
      <c r="R16">
        <f t="shared" si="15"/>
        <v>0.60005038022935719</v>
      </c>
      <c r="S16">
        <f t="shared" si="16"/>
        <v>-7.1343264471923129E-2</v>
      </c>
      <c r="T16">
        <f t="shared" si="17"/>
        <v>8.2898753585228677E-2</v>
      </c>
      <c r="U16">
        <f t="shared" si="6"/>
        <v>-3.4040559112717299E-2</v>
      </c>
      <c r="V16">
        <f t="shared" si="18"/>
        <v>1.3492685456002532E-3</v>
      </c>
      <c r="AC16">
        <f t="shared" si="19"/>
        <v>2.4</v>
      </c>
      <c r="AD16">
        <f t="shared" si="20"/>
        <v>1.9181252545136318</v>
      </c>
      <c r="AF16">
        <f>T16*Q16/C16</f>
        <v>6.625424700813734E-2</v>
      </c>
      <c r="AG16">
        <f>AF16*C16/A16</f>
        <v>6.1791676824539808E-2</v>
      </c>
    </row>
    <row r="17" spans="1:33" x14ac:dyDescent="0.45">
      <c r="A17">
        <v>0.7</v>
      </c>
      <c r="B17">
        <v>5.7099999999999998E-2</v>
      </c>
      <c r="C17">
        <f t="shared" si="0"/>
        <v>0.6456038711145945</v>
      </c>
      <c r="D17">
        <f t="shared" si="1"/>
        <v>2.582415484458378</v>
      </c>
      <c r="E17">
        <f t="shared" si="2"/>
        <v>6.1911029020000001E-2</v>
      </c>
      <c r="F17">
        <f t="shared" si="7"/>
        <v>-1.2082319775410635</v>
      </c>
      <c r="G17">
        <v>-0.65753828493121591</v>
      </c>
      <c r="H17">
        <f t="shared" si="8"/>
        <v>0.1803411543244286</v>
      </c>
      <c r="I17">
        <f t="shared" si="9"/>
        <v>0.1164289473531256</v>
      </c>
      <c r="J17">
        <f t="shared" si="3"/>
        <v>2.1810817869522072</v>
      </c>
      <c r="K17">
        <f t="shared" si="4"/>
        <v>157.99992239896727</v>
      </c>
      <c r="L17">
        <f t="shared" si="10"/>
        <v>-7.7601032728580321E-5</v>
      </c>
      <c r="M17">
        <f t="shared" si="5"/>
        <v>2.1166996950458756</v>
      </c>
      <c r="N17">
        <f t="shared" si="11"/>
        <v>7.5532679658904034E-2</v>
      </c>
      <c r="O17">
        <f t="shared" si="12"/>
        <v>-1.080887452697268</v>
      </c>
      <c r="P17">
        <f t="shared" si="13"/>
        <v>-4.0977654947258024E-2</v>
      </c>
      <c r="Q17">
        <f t="shared" si="14"/>
        <v>0.52917492376146891</v>
      </c>
      <c r="R17">
        <f t="shared" si="15"/>
        <v>0.84007829981386928</v>
      </c>
      <c r="S17">
        <f t="shared" si="16"/>
        <v>-7.8234918100258219E-2</v>
      </c>
      <c r="T17">
        <f t="shared" si="17"/>
        <v>7.5759791080108788E-2</v>
      </c>
      <c r="U17">
        <f t="shared" si="6"/>
        <v>-3.9673778943220037E-2</v>
      </c>
      <c r="V17">
        <f t="shared" si="18"/>
        <v>1.3038760040379876E-3</v>
      </c>
      <c r="AC17">
        <f t="shared" si="19"/>
        <v>2.8</v>
      </c>
      <c r="AD17">
        <f t="shared" si="20"/>
        <v>2.2950447678915999</v>
      </c>
      <c r="AF17">
        <f>T17*Q17/C17</f>
        <v>6.2097182905344418E-2</v>
      </c>
      <c r="AG17">
        <f>AF17*C17/A17</f>
        <v>5.7271688098573401E-2</v>
      </c>
    </row>
    <row r="18" spans="1:33" x14ac:dyDescent="0.45">
      <c r="A18">
        <v>0.8</v>
      </c>
      <c r="B18">
        <v>5.3600000000000002E-2</v>
      </c>
      <c r="C18">
        <f t="shared" si="0"/>
        <v>0.72973205698331689</v>
      </c>
      <c r="D18">
        <f t="shared" si="1"/>
        <v>2.9189282279332676</v>
      </c>
      <c r="E18">
        <f t="shared" si="2"/>
        <v>5.8761294080000005E-2</v>
      </c>
      <c r="F18">
        <f t="shared" si="7"/>
        <v>-1.230908648456754</v>
      </c>
      <c r="G18">
        <v>-0.7125532327750379</v>
      </c>
      <c r="H18">
        <f t="shared" si="8"/>
        <v>0.16236787045436804</v>
      </c>
      <c r="I18">
        <f t="shared" si="9"/>
        <v>0.11848504009466672</v>
      </c>
      <c r="J18">
        <f t="shared" si="3"/>
        <v>2.4614900853141086</v>
      </c>
      <c r="K18">
        <f t="shared" si="4"/>
        <v>158.0000094576489</v>
      </c>
      <c r="L18">
        <f t="shared" si="10"/>
        <v>9.4576489004793984E-6</v>
      </c>
      <c r="M18">
        <f t="shared" si="5"/>
        <v>2.4449880675546005</v>
      </c>
      <c r="N18">
        <f t="shared" si="11"/>
        <v>7.0151671607767349E-2</v>
      </c>
      <c r="O18">
        <f t="shared" si="12"/>
        <v>-1.1089782970148478</v>
      </c>
      <c r="P18">
        <f t="shared" si="13"/>
        <v>-4.4983678919706893E-2</v>
      </c>
      <c r="Q18">
        <f t="shared" si="14"/>
        <v>0.61124701688865013</v>
      </c>
      <c r="R18">
        <f t="shared" si="15"/>
        <v>1.1208687469658212</v>
      </c>
      <c r="S18">
        <f t="shared" si="16"/>
        <v>-8.2898891750000245E-2</v>
      </c>
      <c r="T18">
        <f t="shared" si="17"/>
        <v>7.0288697601812833E-2</v>
      </c>
      <c r="U18">
        <f t="shared" si="6"/>
        <v>-4.4136206753264032E-2</v>
      </c>
      <c r="V18">
        <f t="shared" si="18"/>
        <v>8.4747216644286139E-4</v>
      </c>
      <c r="AC18">
        <f t="shared" si="19"/>
        <v>3.2</v>
      </c>
      <c r="AD18">
        <f t="shared" si="20"/>
        <v>2.6804228145460223</v>
      </c>
      <c r="AF18">
        <f>T18*Q18/C18</f>
        <v>5.8876071455195432E-2</v>
      </c>
      <c r="AG18">
        <f>AF18*C18/A18</f>
        <v>5.3704695912620636E-2</v>
      </c>
    </row>
    <row r="19" spans="1:33" x14ac:dyDescent="0.45">
      <c r="A19">
        <v>0.9</v>
      </c>
      <c r="B19">
        <v>5.0799999999999998E-2</v>
      </c>
      <c r="C19">
        <f t="shared" si="0"/>
        <v>0.81203295698914069</v>
      </c>
      <c r="D19">
        <f t="shared" si="1"/>
        <v>3.2481318279565627</v>
      </c>
      <c r="E19">
        <f t="shared" si="2"/>
        <v>5.6303133519999993E-2</v>
      </c>
      <c r="F19">
        <f t="shared" si="7"/>
        <v>-1.2494674340549596</v>
      </c>
      <c r="G19">
        <v>-0.76425770844324159</v>
      </c>
      <c r="H19">
        <f t="shared" si="8"/>
        <v>0.14681934760306481</v>
      </c>
      <c r="I19">
        <f t="shared" si="9"/>
        <v>0.11922214897733323</v>
      </c>
      <c r="J19">
        <f t="shared" si="3"/>
        <v>2.7758686821582383</v>
      </c>
      <c r="K19">
        <f t="shared" si="4"/>
        <v>157.99998745270173</v>
      </c>
      <c r="L19">
        <f t="shared" si="10"/>
        <v>-1.2547298268827944E-5</v>
      </c>
      <c r="M19">
        <f t="shared" si="5"/>
        <v>2.77124323204723</v>
      </c>
      <c r="N19">
        <f t="shared" si="11"/>
        <v>6.5992042086070915E-2</v>
      </c>
      <c r="O19">
        <f t="shared" si="12"/>
        <v>-1.1328883734713566</v>
      </c>
      <c r="P19">
        <f t="shared" si="13"/>
        <v>-4.7620058963759204E-2</v>
      </c>
      <c r="Q19">
        <f t="shared" si="14"/>
        <v>0.6928108080118075</v>
      </c>
      <c r="R19">
        <f t="shared" si="15"/>
        <v>1.4399604470939209</v>
      </c>
      <c r="S19">
        <f t="shared" si="16"/>
        <v>-8.5771146636505841E-2</v>
      </c>
      <c r="T19">
        <f t="shared" si="17"/>
        <v>6.6059419201790648E-2</v>
      </c>
      <c r="U19">
        <f t="shared" si="6"/>
        <v>-4.7176875498501469E-2</v>
      </c>
      <c r="V19">
        <f t="shared" si="18"/>
        <v>4.4318346525773489E-4</v>
      </c>
      <c r="AC19">
        <f t="shared" si="19"/>
        <v>3.6</v>
      </c>
      <c r="AD19">
        <f t="shared" si="20"/>
        <v>3.071450348628967</v>
      </c>
      <c r="AF19">
        <f>T19*Q19/C19</f>
        <v>5.6360618371546378E-2</v>
      </c>
      <c r="AG19">
        <f>AF19*C19/A19</f>
        <v>5.0851866215536987E-2</v>
      </c>
    </row>
    <row r="20" spans="1:33" x14ac:dyDescent="0.45">
      <c r="A20">
        <v>1</v>
      </c>
      <c r="B20">
        <v>4.8500000000000001E-2</v>
      </c>
      <c r="C20">
        <f t="shared" si="0"/>
        <v>0.89256546521404612</v>
      </c>
      <c r="D20">
        <f t="shared" si="1"/>
        <v>3.5702618608561845</v>
      </c>
      <c r="E20">
        <f t="shared" si="2"/>
        <v>5.4337751000000004E-2</v>
      </c>
      <c r="F20">
        <f t="shared" si="7"/>
        <v>-1.2648983406789407</v>
      </c>
      <c r="G20">
        <v>-0.81218860004695181</v>
      </c>
      <c r="H20">
        <f t="shared" si="8"/>
        <v>0.13352629205780597</v>
      </c>
      <c r="I20">
        <f t="shared" si="9"/>
        <v>0.11918095698888218</v>
      </c>
      <c r="J20">
        <f t="shared" si="3"/>
        <v>3.1258352562245344</v>
      </c>
      <c r="K20">
        <f t="shared" si="4"/>
        <v>157.99985472993615</v>
      </c>
      <c r="L20">
        <f t="shared" si="10"/>
        <v>-1.4527006385378627E-4</v>
      </c>
      <c r="M20">
        <f t="shared" si="5"/>
        <v>3.0935380329006557</v>
      </c>
      <c r="N20">
        <f t="shared" si="11"/>
        <v>6.2711367352447228E-2</v>
      </c>
      <c r="O20">
        <f t="shared" si="12"/>
        <v>-1.1534842409214843</v>
      </c>
      <c r="P20">
        <f t="shared" si="13"/>
        <v>-4.9169488886029011E-2</v>
      </c>
      <c r="Q20">
        <f t="shared" si="14"/>
        <v>0.77338450822516391</v>
      </c>
      <c r="R20">
        <f t="shared" si="15"/>
        <v>1.7943707926880359</v>
      </c>
      <c r="S20">
        <f t="shared" si="16"/>
        <v>-8.7307395122471307E-2</v>
      </c>
      <c r="T20">
        <f t="shared" si="17"/>
        <v>6.2785978151955274E-2</v>
      </c>
      <c r="U20">
        <f t="shared" si="6"/>
        <v>-4.8653094500089047E-2</v>
      </c>
      <c r="V20">
        <f t="shared" si="18"/>
        <v>5.163943859399639E-4</v>
      </c>
      <c r="AC20">
        <f t="shared" si="19"/>
        <v>4</v>
      </c>
      <c r="AD20">
        <f t="shared" si="20"/>
        <v>3.4658948317687761</v>
      </c>
      <c r="AF20">
        <f>T20*Q20/C20</f>
        <v>5.4402399296102265E-2</v>
      </c>
      <c r="AG20">
        <f>AF20*C20/A20</f>
        <v>4.8557702836485812E-2</v>
      </c>
    </row>
    <row r="21" spans="1:33" x14ac:dyDescent="0.45">
      <c r="A21">
        <v>1.2</v>
      </c>
      <c r="B21">
        <v>4.53E-2</v>
      </c>
      <c r="C21">
        <f t="shared" si="0"/>
        <v>1.0485484943193137</v>
      </c>
      <c r="D21">
        <f t="shared" si="1"/>
        <v>4.194193977277255</v>
      </c>
      <c r="E21">
        <f t="shared" si="2"/>
        <v>5.1843095759999992E-2</v>
      </c>
      <c r="F21">
        <f t="shared" si="7"/>
        <v>-1.2853090728908854</v>
      </c>
      <c r="G21">
        <v>-0.89593538079614643</v>
      </c>
      <c r="H21">
        <f t="shared" si="8"/>
        <v>0.11274863560026438</v>
      </c>
      <c r="I21">
        <f t="shared" si="9"/>
        <v>0.1182224120952142</v>
      </c>
      <c r="J21">
        <f t="shared" si="3"/>
        <v>3.9392059988774162</v>
      </c>
      <c r="K21">
        <f t="shared" si="4"/>
        <v>158.00015555034901</v>
      </c>
      <c r="L21">
        <f t="shared" si="10"/>
        <v>1.5555034900671671E-4</v>
      </c>
      <c r="M21">
        <f t="shared" si="5"/>
        <v>3.7213043288963981</v>
      </c>
      <c r="N21">
        <f t="shared" si="11"/>
        <v>5.8431125428670509E-2</v>
      </c>
      <c r="O21">
        <f t="shared" si="12"/>
        <v>-1.1871612175717037</v>
      </c>
      <c r="P21">
        <f t="shared" si="13"/>
        <v>-4.6194531189835519E-2</v>
      </c>
      <c r="Q21">
        <f t="shared" si="14"/>
        <v>0.93032608222409952</v>
      </c>
      <c r="R21">
        <f t="shared" si="15"/>
        <v>2.596519857799326</v>
      </c>
      <c r="S21">
        <f t="shared" si="16"/>
        <v>-8.4025703060304061E-2</v>
      </c>
      <c r="T21">
        <f t="shared" si="17"/>
        <v>5.8356642912515411E-2</v>
      </c>
      <c r="U21">
        <f t="shared" si="6"/>
        <v>-4.6748482183325515E-2</v>
      </c>
      <c r="V21">
        <f t="shared" si="18"/>
        <v>-5.539509934899961E-4</v>
      </c>
      <c r="AC21">
        <f t="shared" si="19"/>
        <v>4.7999999999999989</v>
      </c>
      <c r="AD21">
        <f t="shared" si="20"/>
        <v>4.2588065491187299</v>
      </c>
      <c r="AF21">
        <f>T21*Q21/C21</f>
        <v>5.1777011045917462E-2</v>
      </c>
      <c r="AG21">
        <f>AF21*C21/A21</f>
        <v>4.5242255810459361E-2</v>
      </c>
    </row>
    <row r="22" spans="1:33" x14ac:dyDescent="0.45">
      <c r="A22">
        <v>1.4</v>
      </c>
      <c r="B22">
        <v>4.3400000000000001E-2</v>
      </c>
      <c r="C22">
        <f t="shared" si="0"/>
        <v>1.1981045301701547</v>
      </c>
      <c r="D22">
        <f t="shared" si="1"/>
        <v>4.7924181206806189</v>
      </c>
      <c r="E22">
        <f t="shared" si="2"/>
        <v>5.0713438159999999E-2</v>
      </c>
      <c r="F22">
        <f t="shared" si="7"/>
        <v>-1.2948769450959985</v>
      </c>
      <c r="G22">
        <v>-0.96357905785086717</v>
      </c>
      <c r="H22">
        <f t="shared" si="8"/>
        <v>9.8081731855740942E-2</v>
      </c>
      <c r="I22">
        <f t="shared" si="9"/>
        <v>0.11751216726329759</v>
      </c>
      <c r="J22">
        <f t="shared" si="3"/>
        <v>4.9156291647764547</v>
      </c>
      <c r="K22">
        <f t="shared" si="4"/>
        <v>157.99964916682256</v>
      </c>
      <c r="L22">
        <f t="shared" si="10"/>
        <v>-3.5083317743556108E-4</v>
      </c>
      <c r="M22">
        <f t="shared" si="5"/>
        <v>4.3223694516274289</v>
      </c>
      <c r="N22">
        <f t="shared" si="11"/>
        <v>5.622841886144004E-2</v>
      </c>
      <c r="O22">
        <f t="shared" si="12"/>
        <v>-1.2135681676967083</v>
      </c>
      <c r="P22">
        <f t="shared" si="13"/>
        <v>-3.6475960947655706E-2</v>
      </c>
      <c r="Q22">
        <f t="shared" si="14"/>
        <v>1.0805923629068572</v>
      </c>
      <c r="R22">
        <f t="shared" si="15"/>
        <v>3.5030395643178749</v>
      </c>
      <c r="S22">
        <f t="shared" si="16"/>
        <v>-7.4079854471910928E-2</v>
      </c>
      <c r="T22">
        <f t="shared" si="17"/>
        <v>5.5955273002437265E-2</v>
      </c>
      <c r="U22">
        <f t="shared" si="6"/>
        <v>-3.8590813325317046E-2</v>
      </c>
      <c r="V22">
        <f t="shared" si="18"/>
        <v>-2.1148523776613401E-3</v>
      </c>
      <c r="AC22">
        <f t="shared" si="19"/>
        <v>5.6</v>
      </c>
      <c r="AD22">
        <f t="shared" si="20"/>
        <v>5.0507423016078512</v>
      </c>
      <c r="AF22">
        <f>T22*Q22/C22</f>
        <v>5.0467082919897439E-2</v>
      </c>
      <c r="AG22">
        <f>AF22*C22/A22</f>
        <v>4.3189171907715693E-2</v>
      </c>
    </row>
    <row r="23" spans="1:33" x14ac:dyDescent="0.45">
      <c r="A23">
        <v>1.6</v>
      </c>
      <c r="B23">
        <v>4.2299999999999997E-2</v>
      </c>
      <c r="C23">
        <f t="shared" si="0"/>
        <v>1.341622773241602</v>
      </c>
      <c r="D23">
        <f t="shared" si="1"/>
        <v>5.3664910929664078</v>
      </c>
      <c r="E23">
        <f t="shared" si="2"/>
        <v>5.0446370880000001E-2</v>
      </c>
      <c r="F23">
        <f t="shared" si="7"/>
        <v>-1.2971700715178831</v>
      </c>
      <c r="G23">
        <v>-1.0161417132435857</v>
      </c>
      <c r="H23">
        <f t="shared" si="8"/>
        <v>8.7883731510333643E-2</v>
      </c>
      <c r="I23">
        <f t="shared" si="9"/>
        <v>0.11790681559171418</v>
      </c>
      <c r="J23">
        <f t="shared" si="3"/>
        <v>6.0698535514865615</v>
      </c>
      <c r="K23">
        <f t="shared" si="4"/>
        <v>157.99996324646668</v>
      </c>
      <c r="L23">
        <f t="shared" si="10"/>
        <v>-3.6753533322553267E-5</v>
      </c>
      <c r="M23">
        <f t="shared" si="5"/>
        <v>4.8948638305995509</v>
      </c>
      <c r="N23">
        <f t="shared" si="11"/>
        <v>5.5306952219514684E-2</v>
      </c>
      <c r="O23">
        <f t="shared" si="12"/>
        <v>-1.2348736292328037</v>
      </c>
      <c r="P23">
        <f t="shared" si="13"/>
        <v>-2.2346644149715322E-2</v>
      </c>
      <c r="Q23">
        <f t="shared" si="14"/>
        <v>1.2237159576498877</v>
      </c>
      <c r="R23">
        <f t="shared" si="15"/>
        <v>4.4924422350209454</v>
      </c>
      <c r="S23">
        <f t="shared" si="16"/>
        <v>-6.0076825139063858E-2</v>
      </c>
      <c r="T23">
        <f t="shared" si="17"/>
        <v>5.4998322733506744E-2</v>
      </c>
      <c r="U23">
        <f t="shared" si="6"/>
        <v>-2.4776925612768799E-2</v>
      </c>
      <c r="V23">
        <f t="shared" si="18"/>
        <v>-2.4302814630534769E-3</v>
      </c>
      <c r="AC23">
        <f t="shared" si="19"/>
        <v>6.4</v>
      </c>
      <c r="AD23">
        <f t="shared" si="20"/>
        <v>5.8375441183338648</v>
      </c>
      <c r="AF23">
        <f>T23*Q23/C23</f>
        <v>5.0164864904876559E-2</v>
      </c>
      <c r="AG23">
        <f>AF23*C23/A23</f>
        <v>4.206395323310675E-2</v>
      </c>
    </row>
    <row r="24" spans="1:33" x14ac:dyDescent="0.45">
      <c r="A24">
        <v>1.8</v>
      </c>
      <c r="B24">
        <v>4.1700000000000001E-2</v>
      </c>
      <c r="C24">
        <f t="shared" si="0"/>
        <v>1.4794616206285607</v>
      </c>
      <c r="D24">
        <f t="shared" si="1"/>
        <v>5.9178464825142427</v>
      </c>
      <c r="E24">
        <f t="shared" si="2"/>
        <v>5.0734671960000005E-2</v>
      </c>
      <c r="F24">
        <f t="shared" si="7"/>
        <v>-1.2946951433395419</v>
      </c>
      <c r="G24">
        <v>-1.0550665757090196</v>
      </c>
      <c r="H24">
        <f t="shared" si="8"/>
        <v>8.0959544051596569E-2</v>
      </c>
      <c r="I24">
        <f t="shared" si="9"/>
        <v>0.11977653824792441</v>
      </c>
      <c r="J24">
        <f t="shared" si="3"/>
        <v>7.4164906359799732</v>
      </c>
      <c r="K24">
        <f t="shared" si="4"/>
        <v>157.99996845026189</v>
      </c>
      <c r="L24">
        <f t="shared" si="10"/>
        <v>-3.1549738110925318E-5</v>
      </c>
      <c r="M24">
        <f t="shared" si="5"/>
        <v>5.4387403295225454</v>
      </c>
      <c r="N24">
        <f t="shared" si="11"/>
        <v>5.5203959337833911E-2</v>
      </c>
      <c r="O24">
        <f t="shared" si="12"/>
        <v>-1.2524587860179197</v>
      </c>
      <c r="P24">
        <f t="shared" si="13"/>
        <v>-5.5709866712121414E-3</v>
      </c>
      <c r="Q24">
        <f t="shared" si="14"/>
        <v>1.3596850823806363</v>
      </c>
      <c r="R24">
        <f t="shared" si="15"/>
        <v>5.5462305697453136</v>
      </c>
      <c r="S24">
        <f t="shared" si="16"/>
        <v>-4.3899478910547955E-2</v>
      </c>
      <c r="T24">
        <f t="shared" si="17"/>
        <v>5.514654036158495E-2</v>
      </c>
      <c r="U24">
        <f t="shared" si="6"/>
        <v>-6.0229419747205928E-3</v>
      </c>
      <c r="V24">
        <f t="shared" si="18"/>
        <v>-4.5195530350845142E-4</v>
      </c>
      <c r="AC24">
        <f t="shared" si="19"/>
        <v>7.2</v>
      </c>
      <c r="AD24">
        <f t="shared" si="20"/>
        <v>6.6170912828285049</v>
      </c>
      <c r="AF24">
        <f>T24*Q24/C24</f>
        <v>5.0681901597888067E-2</v>
      </c>
      <c r="AG24">
        <f>AF24*C24/A24</f>
        <v>4.1656626819193736E-2</v>
      </c>
    </row>
    <row r="25" spans="1:33" x14ac:dyDescent="0.45">
      <c r="A25">
        <v>2</v>
      </c>
      <c r="B25">
        <v>4.1700000000000001E-2</v>
      </c>
      <c r="C25">
        <f t="shared" si="0"/>
        <v>1.6119516543459829</v>
      </c>
      <c r="D25">
        <f t="shared" si="1"/>
        <v>6.4478066173839315</v>
      </c>
      <c r="E25">
        <f t="shared" si="2"/>
        <v>5.1738524399999999E-2</v>
      </c>
      <c r="F25">
        <f t="shared" si="7"/>
        <v>-1.2861859616665563</v>
      </c>
      <c r="G25">
        <v>-1.0818339969711672</v>
      </c>
      <c r="H25">
        <f t="shared" si="8"/>
        <v>7.6490478942562515E-2</v>
      </c>
      <c r="I25">
        <f t="shared" si="9"/>
        <v>0.12329895407318021</v>
      </c>
      <c r="J25">
        <f t="shared" si="3"/>
        <v>8.9688699799680869</v>
      </c>
      <c r="K25">
        <f t="shared" si="4"/>
        <v>157.99976302074109</v>
      </c>
      <c r="L25">
        <f t="shared" si="10"/>
        <v>-2.3697925891497107E-4</v>
      </c>
      <c r="M25">
        <f t="shared" si="5"/>
        <v>5.9546108010912109</v>
      </c>
      <c r="N25">
        <f t="shared" si="11"/>
        <v>5.6023812662763149E-2</v>
      </c>
      <c r="O25">
        <f t="shared" si="12"/>
        <v>-1.2672371593552472</v>
      </c>
      <c r="P25">
        <f t="shared" si="13"/>
        <v>1.5609820466418789E-2</v>
      </c>
      <c r="Q25">
        <f t="shared" si="14"/>
        <v>1.4886527002728027</v>
      </c>
      <c r="R25">
        <f t="shared" si="15"/>
        <v>6.6482605860885213</v>
      </c>
      <c r="S25">
        <f t="shared" si="16"/>
        <v>-2.3845844836998878E-2</v>
      </c>
      <c r="T25">
        <f t="shared" si="17"/>
        <v>5.6198788454131982E-2</v>
      </c>
      <c r="U25">
        <f t="shared" si="6"/>
        <v>1.6964112409065826E-2</v>
      </c>
      <c r="V25">
        <f t="shared" si="18"/>
        <v>1.3542919426470373E-3</v>
      </c>
      <c r="AC25">
        <f t="shared" si="19"/>
        <v>8</v>
      </c>
      <c r="AD25">
        <f t="shared" si="20"/>
        <v>7.3880761684594995</v>
      </c>
      <c r="AF25">
        <f>T25*Q25/C25</f>
        <v>5.1900116209283677E-2</v>
      </c>
      <c r="AG25">
        <f>AF25*C25/A25</f>
        <v>4.1830239092151791E-2</v>
      </c>
    </row>
    <row r="26" spans="1:33" x14ac:dyDescent="0.45">
      <c r="A26">
        <v>2.5</v>
      </c>
      <c r="B26">
        <v>4.3900000000000002E-2</v>
      </c>
      <c r="C26">
        <f t="shared" si="0"/>
        <v>1.9217243248021585</v>
      </c>
      <c r="D26">
        <f t="shared" si="1"/>
        <v>7.686897299208634</v>
      </c>
      <c r="E26">
        <f t="shared" si="2"/>
        <v>5.7110168500000003E-2</v>
      </c>
      <c r="F26">
        <f t="shared" si="7"/>
        <v>-1.2432865584744817</v>
      </c>
      <c r="G26">
        <v>-1.1043355804368649</v>
      </c>
      <c r="H26">
        <f t="shared" si="8"/>
        <v>7.2909878279056886E-2</v>
      </c>
      <c r="I26">
        <f t="shared" si="9"/>
        <v>0.14011268660722814</v>
      </c>
      <c r="J26">
        <f t="shared" si="3"/>
        <v>13.811201084874408</v>
      </c>
      <c r="K26">
        <f t="shared" si="4"/>
        <v>157.99989444928704</v>
      </c>
      <c r="L26">
        <f t="shared" si="10"/>
        <v>-1.05550712959257E-4</v>
      </c>
      <c r="M26">
        <f t="shared" si="5"/>
        <v>7.1264465527797212</v>
      </c>
      <c r="N26">
        <f>E26*C26/Q26</f>
        <v>6.1601528440392912E-2</v>
      </c>
      <c r="O26">
        <f t="shared" si="12"/>
        <v>-1.2955701721943118</v>
      </c>
      <c r="P26">
        <f t="shared" si="13"/>
        <v>8.5161660089152269E-2</v>
      </c>
      <c r="Q26">
        <f t="shared" si="14"/>
        <v>1.7816116381949303</v>
      </c>
      <c r="R26">
        <f t="shared" si="15"/>
        <v>9.5224200880548686</v>
      </c>
      <c r="S26">
        <f t="shared" si="16"/>
        <v>4.032560037483926E-2</v>
      </c>
      <c r="T26">
        <f t="shared" si="17"/>
        <v>6.211736360905281E-2</v>
      </c>
      <c r="U26">
        <f t="shared" si="6"/>
        <v>8.8783187275017966E-2</v>
      </c>
      <c r="V26">
        <f t="shared" si="18"/>
        <v>3.6215271858656972E-3</v>
      </c>
      <c r="AC26">
        <f t="shared" si="19"/>
        <v>10</v>
      </c>
      <c r="AD26">
        <f t="shared" si="20"/>
        <v>9.2709012172094312</v>
      </c>
      <c r="AF26">
        <f>T26*Q26/C26</f>
        <v>5.7588394189300854E-2</v>
      </c>
      <c r="AG26">
        <f>AF26*C26/A26</f>
        <v>4.4267607175949894E-2</v>
      </c>
    </row>
    <row r="27" spans="1:33" x14ac:dyDescent="0.45">
      <c r="A27">
        <v>3</v>
      </c>
      <c r="B27">
        <v>4.9200000000000001E-2</v>
      </c>
      <c r="C27">
        <f t="shared" si="0"/>
        <v>2.2041028640112614</v>
      </c>
      <c r="D27">
        <f t="shared" si="1"/>
        <v>8.8164114560450457</v>
      </c>
      <c r="E27">
        <f t="shared" si="2"/>
        <v>6.6966021600000009E-2</v>
      </c>
      <c r="F27">
        <f t="shared" si="7"/>
        <v>-1.1741455013996327</v>
      </c>
      <c r="G27">
        <v>-1.0773474656429796</v>
      </c>
      <c r="H27">
        <f t="shared" si="8"/>
        <v>7.7223430933630682E-2</v>
      </c>
      <c r="I27">
        <f t="shared" si="9"/>
        <v>0.17020838528959123</v>
      </c>
      <c r="J27">
        <f t="shared" si="3"/>
        <v>20.03053118413186</v>
      </c>
      <c r="K27">
        <f t="shared" si="4"/>
        <v>157.99981535790181</v>
      </c>
      <c r="L27">
        <f t="shared" si="10"/>
        <v>-1.8464209819057942E-4</v>
      </c>
      <c r="M27">
        <f t="shared" si="5"/>
        <v>8.1355779148866816</v>
      </c>
      <c r="N27">
        <f t="shared" si="11"/>
        <v>7.257013652584797E-2</v>
      </c>
      <c r="O27">
        <f t="shared" si="12"/>
        <v>-1.3156239492971717</v>
      </c>
      <c r="P27">
        <f t="shared" si="13"/>
        <v>0.17638188941559729</v>
      </c>
      <c r="Q27">
        <f t="shared" si="14"/>
        <v>2.0338944787216704</v>
      </c>
      <c r="R27">
        <f t="shared" si="15"/>
        <v>12.410180251723487</v>
      </c>
      <c r="S27">
        <f t="shared" si="16"/>
        <v>0.1219152061229281</v>
      </c>
      <c r="T27">
        <f t="shared" si="17"/>
        <v>7.2223744656050679E-2</v>
      </c>
      <c r="U27">
        <f t="shared" si="6"/>
        <v>0.1743039512680537</v>
      </c>
      <c r="V27">
        <f t="shared" si="18"/>
        <v>-2.0779381475435899E-3</v>
      </c>
      <c r="W27">
        <v>-0.21722657625727712</v>
      </c>
      <c r="X27">
        <v>4.5257458747926714E-2</v>
      </c>
      <c r="Y27">
        <v>0.16</v>
      </c>
      <c r="Z27">
        <v>4.6664231658180011E-3</v>
      </c>
      <c r="AA27">
        <v>158</v>
      </c>
      <c r="AC27">
        <f t="shared" si="19"/>
        <v>12.000000000000002</v>
      </c>
      <c r="AD27">
        <f t="shared" si="20"/>
        <v>11.073318828796433</v>
      </c>
      <c r="AF27">
        <f>T27*Q27/C27</f>
        <v>6.6646379298835975E-2</v>
      </c>
      <c r="AG27">
        <f>AF27*C27/A27</f>
        <v>4.8965158496181743E-2</v>
      </c>
    </row>
    <row r="32" spans="1:33" x14ac:dyDescent="0.45">
      <c r="K32" s="3"/>
    </row>
    <row r="33" spans="11:11" x14ac:dyDescent="0.45">
      <c r="K33" s="3"/>
    </row>
  </sheetData>
  <pageMargins left="0.25" right="0.25" top="0.75" bottom="0.75" header="0.3" footer="0.3"/>
  <pageSetup scale="59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De Visscher</dc:creator>
  <cp:lastModifiedBy>Alex De Visscher</cp:lastModifiedBy>
  <dcterms:created xsi:type="dcterms:W3CDTF">2022-12-15T16:10:26Z</dcterms:created>
  <dcterms:modified xsi:type="dcterms:W3CDTF">2022-12-15T16:19:01Z</dcterms:modified>
</cp:coreProperties>
</file>