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논문\2. ICG TRAM, DIEP\scientific reports\"/>
    </mc:Choice>
  </mc:AlternateContent>
  <bookViews>
    <workbookView xWindow="-105" yWindow="-105" windowWidth="23250" windowHeight="12450"/>
  </bookViews>
  <sheets>
    <sheet name="Total" sheetId="19" r:id="rId1"/>
  </sheets>
  <definedNames>
    <definedName name="_xlnm._FilterDatabase" localSheetId="0" hidden="1">Total!$B$2:$V$2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65" i="19" l="1"/>
  <c r="T65" i="19"/>
  <c r="R65" i="19"/>
  <c r="U68" i="19"/>
  <c r="T68" i="19"/>
  <c r="R68" i="19"/>
  <c r="U67" i="19"/>
  <c r="T67" i="19"/>
  <c r="R67" i="19"/>
  <c r="U70" i="19"/>
  <c r="T70" i="19"/>
  <c r="R70" i="19"/>
  <c r="V69" i="19"/>
  <c r="R69" i="19"/>
  <c r="U66" i="19"/>
  <c r="T66" i="19"/>
  <c r="R66" i="19"/>
  <c r="U46" i="19"/>
  <c r="T46" i="19"/>
  <c r="R46" i="19"/>
  <c r="U47" i="19"/>
  <c r="T47" i="19"/>
  <c r="R47" i="19"/>
  <c r="U50" i="19"/>
  <c r="T50" i="19"/>
  <c r="R50" i="19"/>
  <c r="U56" i="19"/>
  <c r="T56" i="19"/>
  <c r="R56" i="19"/>
  <c r="U52" i="19"/>
  <c r="T52" i="19"/>
  <c r="R52" i="19"/>
  <c r="U62" i="19"/>
  <c r="T62" i="19"/>
  <c r="R62" i="19"/>
  <c r="U51" i="19"/>
  <c r="T51" i="19"/>
  <c r="R51" i="19"/>
  <c r="U59" i="19"/>
  <c r="T59" i="19"/>
  <c r="R59" i="19"/>
  <c r="U49" i="19"/>
  <c r="T49" i="19"/>
  <c r="R49" i="19"/>
  <c r="V57" i="19"/>
  <c r="R57" i="19"/>
  <c r="V54" i="19"/>
  <c r="R54" i="19"/>
  <c r="U53" i="19"/>
  <c r="T53" i="19"/>
  <c r="R53" i="19"/>
  <c r="U45" i="19"/>
  <c r="T45" i="19"/>
  <c r="R45" i="19"/>
  <c r="U55" i="19"/>
  <c r="T55" i="19"/>
  <c r="R55" i="19"/>
  <c r="U61" i="19"/>
  <c r="T61" i="19"/>
  <c r="R61" i="19"/>
  <c r="U64" i="19"/>
  <c r="T64" i="19"/>
  <c r="R64" i="19"/>
  <c r="U58" i="19"/>
  <c r="T58" i="19"/>
  <c r="R58" i="19"/>
  <c r="U48" i="19"/>
  <c r="T48" i="19"/>
  <c r="R48" i="19"/>
  <c r="U60" i="19"/>
  <c r="T60" i="19"/>
  <c r="R60" i="19"/>
  <c r="U63" i="19"/>
  <c r="T63" i="19"/>
  <c r="R63" i="19"/>
  <c r="U10" i="19"/>
  <c r="T10" i="19"/>
  <c r="R10" i="19"/>
  <c r="U35" i="19"/>
  <c r="T35" i="19"/>
  <c r="R35" i="19"/>
  <c r="U4" i="19"/>
  <c r="T4" i="19"/>
  <c r="R4" i="19"/>
  <c r="U40" i="19"/>
  <c r="T40" i="19"/>
  <c r="R40" i="19"/>
  <c r="U37" i="19"/>
  <c r="T37" i="19"/>
  <c r="R37" i="19"/>
  <c r="U32" i="19"/>
  <c r="T32" i="19"/>
  <c r="R32" i="19"/>
  <c r="U24" i="19"/>
  <c r="T24" i="19"/>
  <c r="R24" i="19"/>
  <c r="V7" i="19"/>
  <c r="R7" i="19"/>
  <c r="U33" i="19"/>
  <c r="T33" i="19"/>
  <c r="R33" i="19"/>
  <c r="V27" i="19"/>
  <c r="R27" i="19"/>
  <c r="V34" i="19"/>
  <c r="R34" i="19"/>
  <c r="U20" i="19"/>
  <c r="T20" i="19"/>
  <c r="R20" i="19"/>
  <c r="U39" i="19"/>
  <c r="T39" i="19"/>
  <c r="R39" i="19"/>
  <c r="U23" i="19"/>
  <c r="T23" i="19"/>
  <c r="R23" i="19"/>
  <c r="U18" i="19"/>
  <c r="T18" i="19"/>
  <c r="R18" i="19"/>
  <c r="V41" i="19"/>
  <c r="R41" i="19"/>
  <c r="V13" i="19"/>
  <c r="R13" i="19"/>
  <c r="U9" i="19"/>
  <c r="T9" i="19"/>
  <c r="R9" i="19"/>
  <c r="V17" i="19"/>
  <c r="R17" i="19"/>
  <c r="V43" i="19"/>
  <c r="R43" i="19"/>
  <c r="V19" i="19"/>
  <c r="R19" i="19"/>
  <c r="V22" i="19"/>
  <c r="R22" i="19"/>
  <c r="V36" i="19"/>
  <c r="R36" i="19"/>
  <c r="V14" i="19"/>
  <c r="R14" i="19"/>
  <c r="V26" i="19"/>
  <c r="R26" i="19"/>
  <c r="V44" i="19"/>
  <c r="R44" i="19"/>
  <c r="U6" i="19"/>
  <c r="T6" i="19"/>
  <c r="R6" i="19"/>
  <c r="U38" i="19"/>
  <c r="T38" i="19"/>
  <c r="R38" i="19"/>
  <c r="V25" i="19"/>
  <c r="R25" i="19"/>
  <c r="U31" i="19"/>
  <c r="T31" i="19"/>
  <c r="R31" i="19"/>
  <c r="V3" i="19"/>
  <c r="R3" i="19"/>
  <c r="U15" i="19"/>
  <c r="T15" i="19"/>
  <c r="R15" i="19"/>
  <c r="U5" i="19"/>
  <c r="T5" i="19"/>
  <c r="R5" i="19"/>
  <c r="V11" i="19"/>
  <c r="R11" i="19"/>
  <c r="U8" i="19"/>
  <c r="T8" i="19"/>
  <c r="R8" i="19"/>
  <c r="U28" i="19"/>
  <c r="T28" i="19"/>
  <c r="R28" i="19"/>
  <c r="U12" i="19"/>
  <c r="T12" i="19"/>
  <c r="R12" i="19"/>
  <c r="U30" i="19"/>
  <c r="T30" i="19"/>
  <c r="R30" i="19"/>
  <c r="U16" i="19"/>
  <c r="T16" i="19"/>
  <c r="R16" i="19"/>
  <c r="V42" i="19"/>
  <c r="R42" i="19"/>
  <c r="V21" i="19"/>
  <c r="R21" i="19"/>
  <c r="V29" i="19"/>
  <c r="R29" i="19"/>
  <c r="V30" i="19" l="1"/>
  <c r="V28" i="19"/>
  <c r="V33" i="19"/>
  <c r="V15" i="19"/>
  <c r="V23" i="19"/>
  <c r="V37" i="19"/>
  <c r="V61" i="19"/>
  <c r="V62" i="19"/>
  <c r="V56" i="19"/>
  <c r="V66" i="19"/>
  <c r="V68" i="19"/>
  <c r="V39" i="19"/>
  <c r="V32" i="19"/>
  <c r="V63" i="19"/>
  <c r="V64" i="19"/>
  <c r="V55" i="19"/>
  <c r="V65" i="19"/>
  <c r="V31" i="19"/>
  <c r="V16" i="19"/>
  <c r="V8" i="19"/>
  <c r="V50" i="19"/>
  <c r="V5" i="19"/>
  <c r="V9" i="19"/>
  <c r="V18" i="19"/>
  <c r="V59" i="19"/>
  <c r="V47" i="19"/>
  <c r="V12" i="19"/>
  <c r="V38" i="19"/>
  <c r="V40" i="19"/>
  <c r="V35" i="19"/>
  <c r="V48" i="19"/>
  <c r="V53" i="19"/>
  <c r="V49" i="19"/>
  <c r="V51" i="19"/>
  <c r="V46" i="19"/>
  <c r="V67" i="19"/>
  <c r="V52" i="19"/>
  <c r="V6" i="19"/>
  <c r="V20" i="19"/>
  <c r="V24" i="19"/>
  <c r="V4" i="19"/>
  <c r="V10" i="19"/>
  <c r="V60" i="19"/>
  <c r="V58" i="19"/>
  <c r="V45" i="19"/>
  <c r="V70" i="19"/>
</calcChain>
</file>

<file path=xl/sharedStrings.xml><?xml version="1.0" encoding="utf-8"?>
<sst xmlns="http://schemas.openxmlformats.org/spreadsheetml/2006/main" count="159" uniqueCount="27">
  <si>
    <t>F</t>
  </si>
  <si>
    <t>Sex</t>
    <phoneticPr fontId="1" type="noConversion"/>
  </si>
  <si>
    <t>Age</t>
    <phoneticPr fontId="1" type="noConversion"/>
  </si>
  <si>
    <t>BMI</t>
    <phoneticPr fontId="1" type="noConversion"/>
  </si>
  <si>
    <t>Infraumbilical medial br #</t>
    <phoneticPr fontId="1" type="noConversion"/>
  </si>
  <si>
    <t>F</t>
    <phoneticPr fontId="1" type="noConversion"/>
  </si>
  <si>
    <t>#</t>
    <phoneticPr fontId="1" type="noConversion"/>
  </si>
  <si>
    <t>Laterality</t>
    <phoneticPr fontId="1" type="noConversion"/>
  </si>
  <si>
    <t>Right</t>
    <phoneticPr fontId="1" type="noConversion"/>
  </si>
  <si>
    <t>Left</t>
    <phoneticPr fontId="1" type="noConversion"/>
  </si>
  <si>
    <t>Child bearing history</t>
    <phoneticPr fontId="1" type="noConversion"/>
  </si>
  <si>
    <t>Diabetes</t>
    <phoneticPr fontId="1" type="noConversion"/>
  </si>
  <si>
    <t>Previous abdominal surgery</t>
    <phoneticPr fontId="1" type="noConversion"/>
  </si>
  <si>
    <t>Muscle sparing type
(MS1:1
MS2:2
DIEP:3)</t>
    <phoneticPr fontId="1" type="noConversion"/>
  </si>
  <si>
    <t>Zone 1
(Rt:1, Lt:0)</t>
    <phoneticPr fontId="1" type="noConversion"/>
  </si>
  <si>
    <t>Flap weight</t>
    <phoneticPr fontId="1" type="noConversion"/>
  </si>
  <si>
    <t>Flap width</t>
    <phoneticPr fontId="1" type="noConversion"/>
  </si>
  <si>
    <t>Flap height</t>
    <phoneticPr fontId="1" type="noConversion"/>
  </si>
  <si>
    <t>Flap thickness</t>
    <phoneticPr fontId="1" type="noConversion"/>
  </si>
  <si>
    <t>Diameter of Rt. SIEV 
(mm)</t>
    <phoneticPr fontId="1" type="noConversion"/>
  </si>
  <si>
    <t>Diameter ofLt. SIEV 
(mm)</t>
    <phoneticPr fontId="1" type="noConversion"/>
  </si>
  <si>
    <t>SIEV diameter difference</t>
    <phoneticPr fontId="1" type="noConversion"/>
  </si>
  <si>
    <t>Group</t>
    <phoneticPr fontId="1" type="noConversion"/>
  </si>
  <si>
    <t>Perfusion % 1</t>
    <phoneticPr fontId="1" type="noConversion"/>
  </si>
  <si>
    <t>Perfusion % 2</t>
    <phoneticPr fontId="1" type="noConversion"/>
  </si>
  <si>
    <t>Perfusion % 1-2</t>
    <phoneticPr fontId="1" type="noConversion"/>
  </si>
  <si>
    <t>Supplementary data 1. Patient information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</si>
</sst>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yyyy\-mm\-dd"/>
    <numFmt numFmtId="177" formatCode="0_);[Red]\(0\)"/>
    <numFmt numFmtId="178" formatCode="0.00_);[Red]\(0.00\)"/>
    <numFmt numFmtId="179" formatCode="0.0_);[Red]\(0.0\)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name val="Arial"/>
      <family val="2"/>
    </font>
    <font>
      <sz val="11"/>
      <color theme="1"/>
      <name val="맑은 고딕"/>
      <family val="2"/>
      <charset val="129"/>
      <scheme val="minor"/>
    </font>
    <font>
      <b/>
      <sz val="12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</cellStyleXfs>
  <cellXfs count="26">
    <xf numFmtId="0" fontId="0" fillId="0" borderId="0" xfId="0">
      <alignment vertical="center"/>
    </xf>
    <xf numFmtId="177" fontId="3" fillId="0" borderId="0" xfId="0" applyNumberFormat="1" applyFont="1" applyFill="1" applyBorder="1" applyAlignment="1">
      <alignment horizontal="center" vertical="center"/>
    </xf>
    <xf numFmtId="10" fontId="3" fillId="0" borderId="0" xfId="0" applyNumberFormat="1" applyFont="1" applyFill="1" applyBorder="1" applyAlignment="1">
      <alignment horizontal="center" vertical="center"/>
    </xf>
    <xf numFmtId="178" fontId="3" fillId="0" borderId="0" xfId="0" applyNumberFormat="1" applyFont="1" applyFill="1" applyBorder="1" applyAlignment="1">
      <alignment horizontal="center" vertical="center" wrapText="1"/>
    </xf>
    <xf numFmtId="10" fontId="3" fillId="0" borderId="0" xfId="0" applyNumberFormat="1" applyFont="1" applyFill="1" applyBorder="1" applyAlignment="1">
      <alignment horizontal="center" vertical="center" wrapText="1"/>
    </xf>
    <xf numFmtId="178" fontId="3" fillId="0" borderId="0" xfId="0" applyNumberFormat="1" applyFont="1" applyFill="1" applyBorder="1" applyAlignment="1">
      <alignment horizontal="center" vertical="center"/>
    </xf>
    <xf numFmtId="177" fontId="5" fillId="0" borderId="0" xfId="0" applyNumberFormat="1" applyFont="1" applyFill="1" applyBorder="1" applyAlignment="1">
      <alignment horizontal="center" vertical="center" wrapText="1"/>
    </xf>
    <xf numFmtId="178" fontId="5" fillId="0" borderId="0" xfId="0" applyNumberFormat="1" applyFont="1" applyFill="1" applyBorder="1" applyAlignment="1">
      <alignment horizontal="center" vertical="center" wrapText="1"/>
    </xf>
    <xf numFmtId="10" fontId="5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179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 wrapText="1"/>
    </xf>
    <xf numFmtId="17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2" fontId="3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179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179" fontId="6" fillId="0" borderId="0" xfId="0" applyNumberFormat="1" applyFont="1" applyFill="1" applyBorder="1" applyAlignment="1">
      <alignment horizontal="center" vertical="center"/>
    </xf>
    <xf numFmtId="178" fontId="6" fillId="0" borderId="0" xfId="0" applyNumberFormat="1" applyFont="1" applyFill="1" applyBorder="1" applyAlignment="1">
      <alignment horizontal="center" vertical="center"/>
    </xf>
    <xf numFmtId="10" fontId="6" fillId="0" borderId="0" xfId="0" applyNumberFormat="1" applyFont="1" applyFill="1" applyBorder="1" applyAlignment="1">
      <alignment horizontal="center" vertical="center"/>
    </xf>
  </cellXfs>
  <cellStyles count="3">
    <cellStyle name="표준" xfId="0" builtinId="0"/>
    <cellStyle name="표준 14" xfId="2"/>
    <cellStyle name="표준 18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3"/>
  <sheetViews>
    <sheetView tabSelected="1" zoomScale="55" zoomScaleNormal="55" workbookViewId="0">
      <pane ySplit="2" topLeftCell="A3" activePane="bottomLeft" state="frozen"/>
      <selection pane="bottomLeft" activeCell="I13" sqref="I13"/>
    </sheetView>
  </sheetViews>
  <sheetFormatPr defaultColWidth="9" defaultRowHeight="14.25" x14ac:dyDescent="0.3"/>
  <cols>
    <col min="1" max="1" width="9" style="9"/>
    <col min="2" max="2" width="6" style="9" customWidth="1"/>
    <col min="3" max="3" width="6.375" style="1" customWidth="1"/>
    <col min="4" max="4" width="5.75" style="11" customWidth="1"/>
    <col min="5" max="5" width="11.625" style="1" customWidth="1"/>
    <col min="6" max="6" width="18" style="1" customWidth="1"/>
    <col min="7" max="7" width="10" style="1" customWidth="1"/>
    <col min="8" max="8" width="10.125" style="1" customWidth="1"/>
    <col min="9" max="9" width="16.5" style="1" customWidth="1"/>
    <col min="10" max="10" width="14.625" style="1" customWidth="1"/>
    <col min="11" max="11" width="10.625" style="5" customWidth="1"/>
    <col min="12" max="12" width="10" style="5" customWidth="1"/>
    <col min="13" max="13" width="10.625" style="5" customWidth="1"/>
    <col min="14" max="14" width="10.875" style="5" customWidth="1"/>
    <col min="15" max="15" width="16.625" style="1" customWidth="1"/>
    <col min="16" max="16" width="14.125" style="5" customWidth="1"/>
    <col min="17" max="17" width="13.875" style="5" customWidth="1"/>
    <col min="18" max="18" width="13.625" style="1" customWidth="1"/>
    <col min="19" max="19" width="10.75" style="1" customWidth="1"/>
    <col min="20" max="20" width="16.5" style="2" customWidth="1"/>
    <col min="21" max="21" width="17.875" style="2" customWidth="1"/>
    <col min="22" max="22" width="19" style="9" customWidth="1"/>
    <col min="23" max="16384" width="9" style="9"/>
  </cols>
  <sheetData>
    <row r="1" spans="1:22" s="21" customFormat="1" ht="33.75" customHeight="1" x14ac:dyDescent="0.3">
      <c r="A1" s="20" t="s">
        <v>26</v>
      </c>
      <c r="C1" s="22"/>
      <c r="D1" s="23"/>
      <c r="E1" s="22"/>
      <c r="F1" s="22"/>
      <c r="G1" s="22"/>
      <c r="H1" s="22"/>
      <c r="I1" s="22"/>
      <c r="J1" s="22"/>
      <c r="K1" s="24"/>
      <c r="L1" s="24"/>
      <c r="M1" s="24"/>
      <c r="N1" s="24"/>
      <c r="O1" s="22"/>
      <c r="P1" s="24"/>
      <c r="Q1" s="24"/>
      <c r="R1" s="22"/>
      <c r="S1" s="22"/>
      <c r="T1" s="25"/>
      <c r="U1" s="25"/>
    </row>
    <row r="2" spans="1:22" s="18" customFormat="1" ht="98.25" customHeight="1" x14ac:dyDescent="0.3">
      <c r="A2" s="18" t="s">
        <v>6</v>
      </c>
      <c r="B2" s="18" t="s">
        <v>1</v>
      </c>
      <c r="C2" s="6" t="s">
        <v>2</v>
      </c>
      <c r="D2" s="19" t="s">
        <v>3</v>
      </c>
      <c r="E2" s="6" t="s">
        <v>7</v>
      </c>
      <c r="F2" s="6" t="s">
        <v>12</v>
      </c>
      <c r="G2" s="6" t="s">
        <v>10</v>
      </c>
      <c r="H2" s="6" t="s">
        <v>11</v>
      </c>
      <c r="I2" s="6" t="s">
        <v>13</v>
      </c>
      <c r="J2" s="6" t="s">
        <v>14</v>
      </c>
      <c r="K2" s="7" t="s">
        <v>15</v>
      </c>
      <c r="L2" s="7" t="s">
        <v>16</v>
      </c>
      <c r="M2" s="7" t="s">
        <v>17</v>
      </c>
      <c r="N2" s="7" t="s">
        <v>18</v>
      </c>
      <c r="O2" s="6" t="s">
        <v>4</v>
      </c>
      <c r="P2" s="7" t="s">
        <v>19</v>
      </c>
      <c r="Q2" s="7" t="s">
        <v>20</v>
      </c>
      <c r="R2" s="6" t="s">
        <v>21</v>
      </c>
      <c r="S2" s="6" t="s">
        <v>22</v>
      </c>
      <c r="T2" s="8" t="s">
        <v>23</v>
      </c>
      <c r="U2" s="8" t="s">
        <v>24</v>
      </c>
      <c r="V2" s="18" t="s">
        <v>25</v>
      </c>
    </row>
    <row r="3" spans="1:22" x14ac:dyDescent="0.3">
      <c r="A3" s="9">
        <v>1</v>
      </c>
      <c r="B3" s="16" t="s">
        <v>0</v>
      </c>
      <c r="C3" s="14">
        <v>49</v>
      </c>
      <c r="D3" s="15">
        <v>18.600000000000001</v>
      </c>
      <c r="E3" s="1" t="s">
        <v>9</v>
      </c>
      <c r="F3" s="14">
        <v>0</v>
      </c>
      <c r="G3" s="14">
        <v>0</v>
      </c>
      <c r="H3" s="1">
        <v>0</v>
      </c>
      <c r="I3" s="14">
        <v>2</v>
      </c>
      <c r="J3" s="1">
        <v>0</v>
      </c>
      <c r="K3" s="5">
        <v>399</v>
      </c>
      <c r="L3" s="5">
        <v>278.02999999999997</v>
      </c>
      <c r="M3" s="5">
        <v>166.47</v>
      </c>
      <c r="N3" s="5">
        <v>19.645</v>
      </c>
      <c r="O3" s="1">
        <v>4</v>
      </c>
      <c r="P3" s="5">
        <v>2.87</v>
      </c>
      <c r="Q3" s="5">
        <v>2.57</v>
      </c>
      <c r="R3" s="5">
        <f>P3-Q3</f>
        <v>0.30000000000000027</v>
      </c>
      <c r="S3" s="1">
        <v>1</v>
      </c>
      <c r="T3" s="2">
        <v>0.246</v>
      </c>
      <c r="U3" s="2">
        <v>0.1032</v>
      </c>
      <c r="V3" s="2">
        <f>T3-U3</f>
        <v>0.14279999999999998</v>
      </c>
    </row>
    <row r="4" spans="1:22" x14ac:dyDescent="0.3">
      <c r="A4" s="9">
        <v>2</v>
      </c>
      <c r="B4" s="9" t="s">
        <v>0</v>
      </c>
      <c r="C4" s="1">
        <v>49</v>
      </c>
      <c r="D4" s="11">
        <v>19.25</v>
      </c>
      <c r="E4" s="1" t="s">
        <v>8</v>
      </c>
      <c r="F4" s="1">
        <v>1</v>
      </c>
      <c r="G4" s="1">
        <v>2</v>
      </c>
      <c r="H4" s="14">
        <v>0</v>
      </c>
      <c r="I4" s="1">
        <v>2</v>
      </c>
      <c r="J4" s="1">
        <v>1</v>
      </c>
      <c r="K4" s="5">
        <v>321</v>
      </c>
      <c r="L4" s="5">
        <v>289.45999999999998</v>
      </c>
      <c r="M4" s="5">
        <v>135.58000000000001</v>
      </c>
      <c r="N4" s="5">
        <v>15.54</v>
      </c>
      <c r="O4" s="1">
        <v>2</v>
      </c>
      <c r="P4" s="5">
        <v>1.44</v>
      </c>
      <c r="Q4" s="5">
        <v>2.2799999999999998</v>
      </c>
      <c r="R4" s="5">
        <f>Q4-P4</f>
        <v>0.83999999999999986</v>
      </c>
      <c r="S4" s="1">
        <v>1</v>
      </c>
      <c r="T4" s="2">
        <f>(9752+27354)/141456</f>
        <v>0.26231478339554348</v>
      </c>
      <c r="U4" s="2">
        <f>(19282+17089)/167683</f>
        <v>0.21690332353309519</v>
      </c>
      <c r="V4" s="2">
        <f>T4-U4</f>
        <v>4.5411459862448295E-2</v>
      </c>
    </row>
    <row r="5" spans="1:22" x14ac:dyDescent="0.3">
      <c r="A5" s="9">
        <v>3</v>
      </c>
      <c r="B5" s="16" t="s">
        <v>0</v>
      </c>
      <c r="C5" s="14">
        <v>52</v>
      </c>
      <c r="D5" s="15">
        <v>19.5</v>
      </c>
      <c r="E5" s="1" t="s">
        <v>9</v>
      </c>
      <c r="F5" s="14">
        <v>1</v>
      </c>
      <c r="G5" s="14">
        <v>2</v>
      </c>
      <c r="H5" s="1">
        <v>0</v>
      </c>
      <c r="I5" s="14">
        <v>1</v>
      </c>
      <c r="J5" s="14">
        <v>0</v>
      </c>
      <c r="K5" s="3">
        <v>729</v>
      </c>
      <c r="L5" s="3">
        <v>322.99</v>
      </c>
      <c r="M5" s="3">
        <v>155.52000000000001</v>
      </c>
      <c r="N5" s="3">
        <v>30.77</v>
      </c>
      <c r="O5" s="14">
        <v>2</v>
      </c>
      <c r="P5" s="3">
        <v>2.19</v>
      </c>
      <c r="Q5" s="3">
        <v>2.86</v>
      </c>
      <c r="R5" s="5">
        <f>P5-Q5</f>
        <v>-0.66999999999999993</v>
      </c>
      <c r="S5" s="14">
        <v>1</v>
      </c>
      <c r="T5" s="4">
        <f>15736/138522</f>
        <v>0.11359928386826641</v>
      </c>
      <c r="U5" s="4">
        <f>(2330+7211)/139042</f>
        <v>6.8619553803886596E-2</v>
      </c>
      <c r="V5" s="2">
        <f>T5-U5</f>
        <v>4.4979730064379816E-2</v>
      </c>
    </row>
    <row r="6" spans="1:22" x14ac:dyDescent="0.3">
      <c r="A6" s="9">
        <v>4</v>
      </c>
      <c r="B6" s="16" t="s">
        <v>0</v>
      </c>
      <c r="C6" s="14">
        <v>63</v>
      </c>
      <c r="D6" s="15">
        <v>19.57</v>
      </c>
      <c r="E6" s="1" t="s">
        <v>9</v>
      </c>
      <c r="F6" s="14">
        <v>0</v>
      </c>
      <c r="G6" s="14">
        <v>1</v>
      </c>
      <c r="H6" s="1">
        <v>0</v>
      </c>
      <c r="I6" s="14">
        <v>1</v>
      </c>
      <c r="J6" s="14">
        <v>0</v>
      </c>
      <c r="K6" s="3">
        <v>425</v>
      </c>
      <c r="L6" s="3">
        <v>281.89999999999998</v>
      </c>
      <c r="M6" s="3">
        <v>135.41999999999999</v>
      </c>
      <c r="N6" s="3">
        <v>20.170000000000002</v>
      </c>
      <c r="O6" s="14">
        <v>3</v>
      </c>
      <c r="P6" s="3">
        <v>2.14</v>
      </c>
      <c r="Q6" s="3">
        <v>2.44</v>
      </c>
      <c r="R6" s="5">
        <f>P6-Q6</f>
        <v>-0.29999999999999982</v>
      </c>
      <c r="S6" s="14">
        <v>1</v>
      </c>
      <c r="T6" s="2">
        <f>(17185+4733)/149834</f>
        <v>0.14628188528638361</v>
      </c>
      <c r="U6" s="2">
        <f>(9415+3852)/145275</f>
        <v>9.1323352262949575E-2</v>
      </c>
      <c r="V6" s="2">
        <f>T6-U6</f>
        <v>5.4958533023434036E-2</v>
      </c>
    </row>
    <row r="7" spans="1:22" x14ac:dyDescent="0.3">
      <c r="A7" s="9">
        <v>5</v>
      </c>
      <c r="B7" s="13" t="s">
        <v>0</v>
      </c>
      <c r="C7" s="14">
        <v>44</v>
      </c>
      <c r="D7" s="15">
        <v>19.78</v>
      </c>
      <c r="E7" s="1" t="s">
        <v>9</v>
      </c>
      <c r="F7" s="14">
        <v>0</v>
      </c>
      <c r="G7" s="14">
        <v>1</v>
      </c>
      <c r="H7" s="14">
        <v>0</v>
      </c>
      <c r="I7" s="14">
        <v>1</v>
      </c>
      <c r="J7" s="1">
        <v>1</v>
      </c>
      <c r="K7" s="5">
        <v>565</v>
      </c>
      <c r="L7" s="5">
        <v>296.19</v>
      </c>
      <c r="M7" s="5">
        <v>151.36000000000001</v>
      </c>
      <c r="N7" s="5">
        <v>18.48</v>
      </c>
      <c r="O7" s="1">
        <v>7</v>
      </c>
      <c r="P7" s="5">
        <v>2.69</v>
      </c>
      <c r="Q7" s="5">
        <v>2.84</v>
      </c>
      <c r="R7" s="5">
        <f>Q7-P7</f>
        <v>0.14999999999999991</v>
      </c>
      <c r="S7" s="14">
        <v>1</v>
      </c>
      <c r="T7" s="2">
        <v>0.3659</v>
      </c>
      <c r="U7" s="2">
        <v>0.25509999999999999</v>
      </c>
      <c r="V7" s="2">
        <f>T7-U7</f>
        <v>0.11080000000000001</v>
      </c>
    </row>
    <row r="8" spans="1:22" x14ac:dyDescent="0.3">
      <c r="A8" s="9">
        <v>6</v>
      </c>
      <c r="B8" s="16" t="s">
        <v>0</v>
      </c>
      <c r="C8" s="14">
        <v>42</v>
      </c>
      <c r="D8" s="15">
        <v>20.100000000000001</v>
      </c>
      <c r="E8" s="1" t="s">
        <v>8</v>
      </c>
      <c r="F8" s="14">
        <v>0</v>
      </c>
      <c r="G8" s="14">
        <v>2</v>
      </c>
      <c r="H8" s="1">
        <v>0</v>
      </c>
      <c r="I8" s="14">
        <v>1</v>
      </c>
      <c r="J8" s="1">
        <v>0</v>
      </c>
      <c r="K8" s="5">
        <v>393</v>
      </c>
      <c r="L8" s="5">
        <v>292.23</v>
      </c>
      <c r="M8" s="5">
        <v>215.94</v>
      </c>
      <c r="N8" s="5">
        <v>19.504999999999999</v>
      </c>
      <c r="O8" s="1">
        <v>3</v>
      </c>
      <c r="P8" s="5">
        <v>2.8</v>
      </c>
      <c r="Q8" s="5">
        <v>2.4700000000000002</v>
      </c>
      <c r="R8" s="5">
        <f>P8-Q8</f>
        <v>0.32999999999999963</v>
      </c>
      <c r="S8" s="14">
        <v>1</v>
      </c>
      <c r="T8" s="4">
        <f>(21751+48345)/188650</f>
        <v>0.3715663927908826</v>
      </c>
      <c r="U8" s="4">
        <f>(13352+28811)/178441</f>
        <v>0.23628538284362899</v>
      </c>
      <c r="V8" s="2">
        <f>T8-U8</f>
        <v>0.13528100994725362</v>
      </c>
    </row>
    <row r="9" spans="1:22" x14ac:dyDescent="0.3">
      <c r="A9" s="9">
        <v>7</v>
      </c>
      <c r="B9" s="16" t="s">
        <v>0</v>
      </c>
      <c r="C9" s="14">
        <v>48</v>
      </c>
      <c r="D9" s="15">
        <v>20.46</v>
      </c>
      <c r="E9" s="1" t="s">
        <v>9</v>
      </c>
      <c r="F9" s="14">
        <v>1</v>
      </c>
      <c r="G9" s="14">
        <v>1</v>
      </c>
      <c r="H9" s="1">
        <v>0</v>
      </c>
      <c r="I9" s="14">
        <v>2</v>
      </c>
      <c r="J9" s="14">
        <v>1</v>
      </c>
      <c r="K9" s="3">
        <v>542</v>
      </c>
      <c r="L9" s="3">
        <v>267.08999999999997</v>
      </c>
      <c r="M9" s="3">
        <v>145.80000000000001</v>
      </c>
      <c r="N9" s="3">
        <v>24.68</v>
      </c>
      <c r="O9" s="14">
        <v>4</v>
      </c>
      <c r="P9" s="3">
        <v>2.13</v>
      </c>
      <c r="Q9" s="3">
        <v>2.25</v>
      </c>
      <c r="R9" s="5">
        <f>Q9-P9</f>
        <v>0.12000000000000011</v>
      </c>
      <c r="S9" s="14">
        <v>1</v>
      </c>
      <c r="T9" s="4">
        <f>90044/254551</f>
        <v>0.35373657931023644</v>
      </c>
      <c r="U9" s="4">
        <f>(28143+19504)/240660</f>
        <v>0.197984708717693</v>
      </c>
      <c r="V9" s="2">
        <f>T9-U9</f>
        <v>0.15575187059254345</v>
      </c>
    </row>
    <row r="10" spans="1:22" x14ac:dyDescent="0.3">
      <c r="A10" s="9">
        <v>8</v>
      </c>
      <c r="B10" s="9" t="s">
        <v>0</v>
      </c>
      <c r="C10" s="1">
        <v>60</v>
      </c>
      <c r="D10" s="11">
        <v>21.26</v>
      </c>
      <c r="E10" s="1" t="s">
        <v>8</v>
      </c>
      <c r="F10" s="1">
        <v>0</v>
      </c>
      <c r="G10" s="1">
        <v>2</v>
      </c>
      <c r="H10" s="14">
        <v>1</v>
      </c>
      <c r="I10" s="1">
        <v>1</v>
      </c>
      <c r="J10" s="1">
        <v>1</v>
      </c>
      <c r="K10" s="5">
        <v>662</v>
      </c>
      <c r="L10" s="5">
        <v>311.35000000000002</v>
      </c>
      <c r="M10" s="5">
        <v>150.85</v>
      </c>
      <c r="N10" s="5">
        <v>27.37</v>
      </c>
      <c r="O10" s="1">
        <v>3</v>
      </c>
      <c r="P10" s="5">
        <v>2.2400000000000002</v>
      </c>
      <c r="Q10" s="5">
        <v>2.37</v>
      </c>
      <c r="R10" s="5">
        <f>Q10-P10</f>
        <v>0.12999999999999989</v>
      </c>
      <c r="S10" s="1">
        <v>1</v>
      </c>
      <c r="T10" s="2">
        <f>24158/72923</f>
        <v>0.33128094016976811</v>
      </c>
      <c r="U10" s="2">
        <f>18425/95513</f>
        <v>0.19290567776114245</v>
      </c>
      <c r="V10" s="2">
        <f>T10-U10</f>
        <v>0.13837526240862566</v>
      </c>
    </row>
    <row r="11" spans="1:22" ht="14.25" customHeight="1" x14ac:dyDescent="0.3">
      <c r="A11" s="9">
        <v>9</v>
      </c>
      <c r="B11" s="16" t="s">
        <v>0</v>
      </c>
      <c r="C11" s="14">
        <v>50</v>
      </c>
      <c r="D11" s="15">
        <v>21.8</v>
      </c>
      <c r="E11" s="1" t="s">
        <v>8</v>
      </c>
      <c r="F11" s="14">
        <v>0</v>
      </c>
      <c r="G11" s="14">
        <v>3</v>
      </c>
      <c r="H11" s="1">
        <v>0</v>
      </c>
      <c r="I11" s="14">
        <v>1</v>
      </c>
      <c r="J11" s="1">
        <v>0</v>
      </c>
      <c r="K11" s="5">
        <v>734.5</v>
      </c>
      <c r="L11" s="5">
        <v>288.61</v>
      </c>
      <c r="M11" s="5">
        <v>175.65</v>
      </c>
      <c r="N11" s="5">
        <v>25.682500000000001</v>
      </c>
      <c r="O11" s="1">
        <v>4</v>
      </c>
      <c r="P11" s="5">
        <v>2.68</v>
      </c>
      <c r="Q11" s="5">
        <v>2.2200000000000002</v>
      </c>
      <c r="R11" s="5">
        <f>P11-Q11</f>
        <v>0.45999999999999996</v>
      </c>
      <c r="S11" s="1">
        <v>1</v>
      </c>
      <c r="T11" s="2">
        <v>0.32869999999999999</v>
      </c>
      <c r="U11" s="2">
        <v>0.1173</v>
      </c>
      <c r="V11" s="2">
        <f>T11-U11</f>
        <v>0.21139999999999998</v>
      </c>
    </row>
    <row r="12" spans="1:22" ht="14.25" customHeight="1" x14ac:dyDescent="0.3">
      <c r="A12" s="9">
        <v>10</v>
      </c>
      <c r="B12" s="16" t="s">
        <v>0</v>
      </c>
      <c r="C12" s="14">
        <v>58</v>
      </c>
      <c r="D12" s="15">
        <v>21.93</v>
      </c>
      <c r="E12" s="1" t="s">
        <v>9</v>
      </c>
      <c r="F12" s="14">
        <v>0</v>
      </c>
      <c r="G12" s="14">
        <v>2</v>
      </c>
      <c r="H12" s="1">
        <v>0</v>
      </c>
      <c r="I12" s="14">
        <v>3</v>
      </c>
      <c r="J12" s="14">
        <v>0</v>
      </c>
      <c r="K12" s="3">
        <v>830</v>
      </c>
      <c r="L12" s="3">
        <v>337.13</v>
      </c>
      <c r="M12" s="3">
        <v>140.34</v>
      </c>
      <c r="N12" s="3">
        <v>25.7</v>
      </c>
      <c r="O12" s="14">
        <v>1</v>
      </c>
      <c r="P12" s="3">
        <v>2.71</v>
      </c>
      <c r="Q12" s="3">
        <v>2.41</v>
      </c>
      <c r="R12" s="5">
        <f>P12-Q12</f>
        <v>0.29999999999999982</v>
      </c>
      <c r="S12" s="14">
        <v>1</v>
      </c>
      <c r="T12" s="4">
        <f>(35255+38729)/304245</f>
        <v>0.24317244326118753</v>
      </c>
      <c r="U12" s="2">
        <f>(26454+9381)/252796</f>
        <v>0.1417546163705122</v>
      </c>
      <c r="V12" s="2">
        <f>T12-U12</f>
        <v>0.10141782689067533</v>
      </c>
    </row>
    <row r="13" spans="1:22" ht="14.25" customHeight="1" x14ac:dyDescent="0.3">
      <c r="A13" s="9">
        <v>11</v>
      </c>
      <c r="B13" s="16" t="s">
        <v>0</v>
      </c>
      <c r="C13" s="14">
        <v>48</v>
      </c>
      <c r="D13" s="15">
        <v>22.1</v>
      </c>
      <c r="E13" s="1" t="s">
        <v>9</v>
      </c>
      <c r="F13" s="14">
        <v>0</v>
      </c>
      <c r="G13" s="14">
        <v>1</v>
      </c>
      <c r="H13" s="1">
        <v>0</v>
      </c>
      <c r="I13" s="14">
        <v>2</v>
      </c>
      <c r="J13" s="1">
        <v>1</v>
      </c>
      <c r="K13" s="5">
        <v>778</v>
      </c>
      <c r="L13" s="5">
        <v>289.02</v>
      </c>
      <c r="M13" s="5">
        <v>172.61</v>
      </c>
      <c r="N13" s="5">
        <v>21.8825</v>
      </c>
      <c r="O13" s="1">
        <v>4</v>
      </c>
      <c r="P13" s="5">
        <v>2.97</v>
      </c>
      <c r="Q13" s="5">
        <v>2.75</v>
      </c>
      <c r="R13" s="5">
        <f>Q13-P13</f>
        <v>-0.2200000000000002</v>
      </c>
      <c r="S13" s="1">
        <v>1</v>
      </c>
      <c r="T13" s="2">
        <v>0.3765</v>
      </c>
      <c r="U13" s="2">
        <v>3.27E-2</v>
      </c>
      <c r="V13" s="2">
        <f>T13-U13</f>
        <v>0.34379999999999999</v>
      </c>
    </row>
    <row r="14" spans="1:22" ht="14.25" customHeight="1" x14ac:dyDescent="0.3">
      <c r="A14" s="9">
        <v>12</v>
      </c>
      <c r="B14" s="13" t="s">
        <v>5</v>
      </c>
      <c r="C14" s="14">
        <v>51</v>
      </c>
      <c r="D14" s="15">
        <v>22.12</v>
      </c>
      <c r="E14" s="1" t="s">
        <v>8</v>
      </c>
      <c r="F14" s="14">
        <v>0</v>
      </c>
      <c r="G14" s="14">
        <v>2</v>
      </c>
      <c r="H14" s="14">
        <v>0</v>
      </c>
      <c r="I14" s="14">
        <v>2</v>
      </c>
      <c r="J14" s="14">
        <v>0</v>
      </c>
      <c r="K14" s="3">
        <v>686</v>
      </c>
      <c r="L14" s="3">
        <v>295.66999999999996</v>
      </c>
      <c r="M14" s="3">
        <v>156.91</v>
      </c>
      <c r="N14" s="3">
        <v>25.11</v>
      </c>
      <c r="O14" s="14">
        <v>4</v>
      </c>
      <c r="P14" s="3">
        <v>3.04</v>
      </c>
      <c r="Q14" s="3">
        <v>2.96</v>
      </c>
      <c r="R14" s="5">
        <f>P14-Q14</f>
        <v>8.0000000000000071E-2</v>
      </c>
      <c r="S14" s="14">
        <v>1</v>
      </c>
      <c r="T14" s="2">
        <v>0.1968</v>
      </c>
      <c r="U14" s="2">
        <v>0.1084</v>
      </c>
      <c r="V14" s="2">
        <f>T14-U14</f>
        <v>8.8400000000000006E-2</v>
      </c>
    </row>
    <row r="15" spans="1:22" ht="14.25" customHeight="1" x14ac:dyDescent="0.3">
      <c r="A15" s="9">
        <v>13</v>
      </c>
      <c r="B15" s="16" t="s">
        <v>0</v>
      </c>
      <c r="C15" s="14">
        <v>54</v>
      </c>
      <c r="D15" s="15">
        <v>22.17</v>
      </c>
      <c r="E15" s="1" t="s">
        <v>9</v>
      </c>
      <c r="F15" s="14">
        <v>1</v>
      </c>
      <c r="G15" s="14">
        <v>3</v>
      </c>
      <c r="H15" s="1">
        <v>0</v>
      </c>
      <c r="I15" s="14">
        <v>1</v>
      </c>
      <c r="J15" s="14">
        <v>0</v>
      </c>
      <c r="K15" s="3">
        <v>808</v>
      </c>
      <c r="L15" s="3">
        <v>294.91000000000003</v>
      </c>
      <c r="M15" s="3">
        <v>148.19999999999999</v>
      </c>
      <c r="N15" s="3">
        <v>28.8</v>
      </c>
      <c r="O15" s="14">
        <v>1</v>
      </c>
      <c r="P15" s="3">
        <v>3.02</v>
      </c>
      <c r="Q15" s="3">
        <v>2.2599999999999998</v>
      </c>
      <c r="R15" s="5">
        <f>P15-Q15</f>
        <v>0.76000000000000023</v>
      </c>
      <c r="S15" s="14">
        <v>1</v>
      </c>
      <c r="T15" s="2">
        <f>41902/122471</f>
        <v>0.34213813882470134</v>
      </c>
      <c r="U15" s="2">
        <f>31446/121643</f>
        <v>0.25851055958830349</v>
      </c>
      <c r="V15" s="2">
        <f>T15-U15</f>
        <v>8.3627579236397853E-2</v>
      </c>
    </row>
    <row r="16" spans="1:22" ht="14.25" customHeight="1" x14ac:dyDescent="0.3">
      <c r="A16" s="9">
        <v>14</v>
      </c>
      <c r="B16" s="10" t="s">
        <v>0</v>
      </c>
      <c r="C16" s="1">
        <v>50</v>
      </c>
      <c r="D16" s="11">
        <v>22.2</v>
      </c>
      <c r="E16" s="1" t="s">
        <v>8</v>
      </c>
      <c r="F16" s="1">
        <v>1</v>
      </c>
      <c r="G16" s="1">
        <v>0</v>
      </c>
      <c r="H16" s="1">
        <v>0</v>
      </c>
      <c r="I16" s="1">
        <v>2</v>
      </c>
      <c r="J16" s="1">
        <v>0</v>
      </c>
      <c r="K16" s="5">
        <v>735</v>
      </c>
      <c r="L16" s="5">
        <v>289.88</v>
      </c>
      <c r="M16" s="5">
        <v>142.25</v>
      </c>
      <c r="N16" s="5">
        <v>29.79</v>
      </c>
      <c r="O16" s="1">
        <v>3</v>
      </c>
      <c r="P16" s="5">
        <v>2.21</v>
      </c>
      <c r="Q16" s="5">
        <v>2.1</v>
      </c>
      <c r="R16" s="5">
        <f>P16-Q16</f>
        <v>0.10999999999999988</v>
      </c>
      <c r="S16" s="1">
        <v>1</v>
      </c>
      <c r="T16" s="2">
        <f>53773/225921</f>
        <v>0.23801682889151518</v>
      </c>
      <c r="U16" s="2">
        <f>40357/238132</f>
        <v>0.16947323333277342</v>
      </c>
      <c r="V16" s="2">
        <f>T16-U16</f>
        <v>6.854359555874176E-2</v>
      </c>
    </row>
    <row r="17" spans="1:22" ht="14.25" customHeight="1" x14ac:dyDescent="0.3">
      <c r="A17" s="9">
        <v>15</v>
      </c>
      <c r="B17" s="16" t="s">
        <v>0</v>
      </c>
      <c r="C17" s="14">
        <v>47</v>
      </c>
      <c r="D17" s="15">
        <v>22.2</v>
      </c>
      <c r="E17" s="1" t="s">
        <v>8</v>
      </c>
      <c r="F17" s="14">
        <v>0</v>
      </c>
      <c r="G17" s="14">
        <v>2</v>
      </c>
      <c r="H17" s="1">
        <v>0</v>
      </c>
      <c r="I17" s="14">
        <v>1</v>
      </c>
      <c r="J17" s="1">
        <v>1</v>
      </c>
      <c r="K17" s="5">
        <v>732</v>
      </c>
      <c r="L17" s="5">
        <v>316.92</v>
      </c>
      <c r="M17" s="5">
        <v>170.2</v>
      </c>
      <c r="N17" s="5">
        <v>27.672499999999999</v>
      </c>
      <c r="O17" s="1">
        <v>3</v>
      </c>
      <c r="P17" s="5">
        <v>2.36</v>
      </c>
      <c r="Q17" s="5">
        <v>2.41</v>
      </c>
      <c r="R17" s="5">
        <f>Q17-P17</f>
        <v>5.0000000000000266E-2</v>
      </c>
      <c r="S17" s="1">
        <v>1</v>
      </c>
      <c r="T17" s="2">
        <v>0.41880000000000001</v>
      </c>
      <c r="U17" s="2">
        <v>0.2253</v>
      </c>
      <c r="V17" s="2">
        <f>T17-U17</f>
        <v>0.19350000000000001</v>
      </c>
    </row>
    <row r="18" spans="1:22" ht="14.25" customHeight="1" x14ac:dyDescent="0.3">
      <c r="A18" s="9">
        <v>16</v>
      </c>
      <c r="B18" s="16" t="s">
        <v>0</v>
      </c>
      <c r="C18" s="14">
        <v>44</v>
      </c>
      <c r="D18" s="15">
        <v>22.64</v>
      </c>
      <c r="E18" s="1" t="s">
        <v>9</v>
      </c>
      <c r="F18" s="14">
        <v>1</v>
      </c>
      <c r="G18" s="14">
        <v>2</v>
      </c>
      <c r="H18" s="1">
        <v>1</v>
      </c>
      <c r="I18" s="14">
        <v>2</v>
      </c>
      <c r="J18" s="14">
        <v>1</v>
      </c>
      <c r="K18" s="3">
        <v>605</v>
      </c>
      <c r="L18" s="3">
        <v>293.51</v>
      </c>
      <c r="M18" s="3">
        <v>145.83000000000001</v>
      </c>
      <c r="N18" s="3">
        <v>27.95</v>
      </c>
      <c r="O18" s="14">
        <v>3</v>
      </c>
      <c r="P18" s="3">
        <v>2.41</v>
      </c>
      <c r="Q18" s="3">
        <v>2.41</v>
      </c>
      <c r="R18" s="5">
        <f>Q18-P18</f>
        <v>0</v>
      </c>
      <c r="S18" s="14">
        <v>1</v>
      </c>
      <c r="T18" s="4">
        <f>14933/121696</f>
        <v>0.12270740205101235</v>
      </c>
      <c r="U18" s="4">
        <f>5437/98823</f>
        <v>5.5017556641672488E-2</v>
      </c>
      <c r="V18" s="2">
        <f>T18-U18</f>
        <v>6.7689845409339866E-2</v>
      </c>
    </row>
    <row r="19" spans="1:22" ht="14.25" customHeight="1" x14ac:dyDescent="0.3">
      <c r="A19" s="9">
        <v>17</v>
      </c>
      <c r="B19" s="10" t="s">
        <v>5</v>
      </c>
      <c r="C19" s="1">
        <v>64</v>
      </c>
      <c r="D19" s="11">
        <v>22.7</v>
      </c>
      <c r="E19" s="1" t="s">
        <v>8</v>
      </c>
      <c r="F19" s="1">
        <v>0</v>
      </c>
      <c r="G19" s="1">
        <v>3</v>
      </c>
      <c r="H19" s="1">
        <v>0</v>
      </c>
      <c r="I19" s="1">
        <v>2</v>
      </c>
      <c r="J19" s="1">
        <v>1</v>
      </c>
      <c r="K19" s="5">
        <v>516</v>
      </c>
      <c r="L19" s="5">
        <v>286.41999999999996</v>
      </c>
      <c r="M19" s="5">
        <v>158.78</v>
      </c>
      <c r="N19" s="5">
        <v>22.58</v>
      </c>
      <c r="O19" s="1">
        <v>6</v>
      </c>
      <c r="P19" s="5">
        <v>2.68</v>
      </c>
      <c r="Q19" s="5">
        <v>2.46</v>
      </c>
      <c r="R19" s="5">
        <f>Q19-P19</f>
        <v>-0.2200000000000002</v>
      </c>
      <c r="S19" s="1">
        <v>1</v>
      </c>
      <c r="T19" s="2">
        <v>0.28270000000000001</v>
      </c>
      <c r="U19" s="2">
        <v>0.21579999999999999</v>
      </c>
      <c r="V19" s="2">
        <f>T19-U19</f>
        <v>6.6900000000000015E-2</v>
      </c>
    </row>
    <row r="20" spans="1:22" ht="14.25" customHeight="1" x14ac:dyDescent="0.3">
      <c r="A20" s="9">
        <v>18</v>
      </c>
      <c r="B20" s="13" t="s">
        <v>0</v>
      </c>
      <c r="C20" s="14">
        <v>54</v>
      </c>
      <c r="D20" s="15">
        <v>22.8</v>
      </c>
      <c r="E20" s="1" t="s">
        <v>9</v>
      </c>
      <c r="F20" s="14">
        <v>0</v>
      </c>
      <c r="G20" s="14">
        <v>3</v>
      </c>
      <c r="H20" s="1">
        <v>0</v>
      </c>
      <c r="I20" s="14">
        <v>1</v>
      </c>
      <c r="J20" s="1">
        <v>1</v>
      </c>
      <c r="K20" s="5">
        <v>505.5</v>
      </c>
      <c r="L20" s="5">
        <v>287.52999999999997</v>
      </c>
      <c r="M20" s="5">
        <v>166.2</v>
      </c>
      <c r="N20" s="5">
        <v>21.984999999999999</v>
      </c>
      <c r="O20" s="1">
        <v>3</v>
      </c>
      <c r="P20" s="5">
        <v>2.59</v>
      </c>
      <c r="Q20" s="5">
        <v>3.14</v>
      </c>
      <c r="R20" s="5">
        <f>Q20-P20</f>
        <v>0.55000000000000027</v>
      </c>
      <c r="S20" s="14">
        <v>1</v>
      </c>
      <c r="T20" s="2">
        <f>21847/125791</f>
        <v>0.17367697212042196</v>
      </c>
      <c r="U20" s="2">
        <f>9155/101929</f>
        <v>8.9817421930951935E-2</v>
      </c>
      <c r="V20" s="2">
        <f>T20-U20</f>
        <v>8.3859550189470028E-2</v>
      </c>
    </row>
    <row r="21" spans="1:22" ht="14.25" customHeight="1" x14ac:dyDescent="0.3">
      <c r="A21" s="9">
        <v>19</v>
      </c>
      <c r="B21" s="10" t="s">
        <v>0</v>
      </c>
      <c r="C21" s="1">
        <v>50</v>
      </c>
      <c r="D21" s="11">
        <v>22.9</v>
      </c>
      <c r="E21" s="1" t="s">
        <v>9</v>
      </c>
      <c r="F21" s="1">
        <v>1</v>
      </c>
      <c r="G21" s="1">
        <v>1</v>
      </c>
      <c r="H21" s="1">
        <v>0</v>
      </c>
      <c r="I21" s="1">
        <v>1</v>
      </c>
      <c r="J21" s="1">
        <v>0</v>
      </c>
      <c r="K21" s="5">
        <v>803</v>
      </c>
      <c r="L21" s="5">
        <v>290.97000000000003</v>
      </c>
      <c r="M21" s="5">
        <v>161.83000000000001</v>
      </c>
      <c r="N21" s="5">
        <v>30.605</v>
      </c>
      <c r="O21" s="1">
        <v>5</v>
      </c>
      <c r="P21" s="5">
        <v>4.29</v>
      </c>
      <c r="Q21" s="5">
        <v>3.46</v>
      </c>
      <c r="R21" s="5">
        <f>P21-Q21</f>
        <v>0.83000000000000007</v>
      </c>
      <c r="S21" s="1">
        <v>1</v>
      </c>
      <c r="T21" s="2">
        <v>0.24660000000000001</v>
      </c>
      <c r="U21" s="2">
        <v>7.0099999999999996E-2</v>
      </c>
      <c r="V21" s="2">
        <f>T21-U21</f>
        <v>0.17650000000000002</v>
      </c>
    </row>
    <row r="22" spans="1:22" ht="14.25" customHeight="1" x14ac:dyDescent="0.3">
      <c r="A22" s="9">
        <v>20</v>
      </c>
      <c r="B22" s="10" t="s">
        <v>0</v>
      </c>
      <c r="C22" s="1">
        <v>62</v>
      </c>
      <c r="D22" s="11">
        <v>22.9</v>
      </c>
      <c r="E22" s="1" t="s">
        <v>9</v>
      </c>
      <c r="F22" s="1">
        <v>1</v>
      </c>
      <c r="G22" s="1">
        <v>2</v>
      </c>
      <c r="H22" s="1">
        <v>0</v>
      </c>
      <c r="I22" s="1">
        <v>2</v>
      </c>
      <c r="J22" s="1">
        <v>1</v>
      </c>
      <c r="K22" s="5">
        <v>939</v>
      </c>
      <c r="L22" s="5">
        <v>304.08</v>
      </c>
      <c r="M22" s="5">
        <v>163.76</v>
      </c>
      <c r="N22" s="5">
        <v>33.265000000000001</v>
      </c>
      <c r="O22" s="1">
        <v>3</v>
      </c>
      <c r="P22" s="5">
        <v>2.72</v>
      </c>
      <c r="Q22" s="5">
        <v>3.05</v>
      </c>
      <c r="R22" s="5">
        <f>Q22-P22</f>
        <v>0.32999999999999963</v>
      </c>
      <c r="S22" s="1">
        <v>1</v>
      </c>
      <c r="T22" s="2">
        <v>0.12939999999999999</v>
      </c>
      <c r="U22" s="2">
        <v>3.5099999999999999E-2</v>
      </c>
      <c r="V22" s="2">
        <f>T22-U22</f>
        <v>9.4299999999999995E-2</v>
      </c>
    </row>
    <row r="23" spans="1:22" ht="14.25" customHeight="1" x14ac:dyDescent="0.3">
      <c r="A23" s="9">
        <v>21</v>
      </c>
      <c r="B23" s="16" t="s">
        <v>0</v>
      </c>
      <c r="C23" s="14">
        <v>45</v>
      </c>
      <c r="D23" s="15">
        <v>23.5</v>
      </c>
      <c r="E23" s="1" t="s">
        <v>9</v>
      </c>
      <c r="F23" s="14">
        <v>0</v>
      </c>
      <c r="G23" s="14">
        <v>2</v>
      </c>
      <c r="H23" s="1">
        <v>0</v>
      </c>
      <c r="I23" s="14">
        <v>2</v>
      </c>
      <c r="J23" s="1">
        <v>1</v>
      </c>
      <c r="K23" s="5">
        <v>715</v>
      </c>
      <c r="L23" s="5">
        <v>308.81</v>
      </c>
      <c r="M23" s="5">
        <v>193.26</v>
      </c>
      <c r="N23" s="5">
        <v>28.175000000000001</v>
      </c>
      <c r="O23" s="1">
        <v>3</v>
      </c>
      <c r="P23" s="5">
        <v>2.79</v>
      </c>
      <c r="Q23" s="5">
        <v>2.19</v>
      </c>
      <c r="R23" s="5">
        <f>Q23-P23</f>
        <v>-0.60000000000000009</v>
      </c>
      <c r="S23" s="14">
        <v>1</v>
      </c>
      <c r="T23" s="2">
        <f>10194/94290</f>
        <v>0.10811326757874642</v>
      </c>
      <c r="U23" s="2">
        <f>3610/76690</f>
        <v>4.7072630069109403E-2</v>
      </c>
      <c r="V23" s="2">
        <f>T23-U23</f>
        <v>6.1040637509637022E-2</v>
      </c>
    </row>
    <row r="24" spans="1:22" ht="14.25" customHeight="1" x14ac:dyDescent="0.3">
      <c r="A24" s="9">
        <v>22</v>
      </c>
      <c r="B24" s="13" t="s">
        <v>0</v>
      </c>
      <c r="C24" s="14">
        <v>64</v>
      </c>
      <c r="D24" s="15">
        <v>23.57</v>
      </c>
      <c r="E24" s="1" t="s">
        <v>8</v>
      </c>
      <c r="F24" s="14">
        <v>0</v>
      </c>
      <c r="G24" s="14">
        <v>2</v>
      </c>
      <c r="H24" s="14">
        <v>0</v>
      </c>
      <c r="I24" s="14">
        <v>1</v>
      </c>
      <c r="J24" s="14">
        <v>1</v>
      </c>
      <c r="K24" s="3">
        <v>752</v>
      </c>
      <c r="L24" s="3">
        <v>313.35000000000002</v>
      </c>
      <c r="M24" s="3">
        <v>140.87</v>
      </c>
      <c r="N24" s="3">
        <v>32.79</v>
      </c>
      <c r="O24" s="14">
        <v>3</v>
      </c>
      <c r="P24" s="3">
        <v>2.58</v>
      </c>
      <c r="Q24" s="3">
        <v>2.88</v>
      </c>
      <c r="R24" s="5">
        <f>Q24-P24</f>
        <v>0.29999999999999982</v>
      </c>
      <c r="S24" s="14">
        <v>1</v>
      </c>
      <c r="T24" s="2">
        <f>(12874+28570)/140963</f>
        <v>0.29400622858480596</v>
      </c>
      <c r="U24" s="2">
        <f>15241/105531</f>
        <v>0.14442201817475434</v>
      </c>
      <c r="V24" s="2">
        <f>T24-U24</f>
        <v>0.14958421041005163</v>
      </c>
    </row>
    <row r="25" spans="1:22" ht="14.25" customHeight="1" x14ac:dyDescent="0.3">
      <c r="A25" s="9">
        <v>23</v>
      </c>
      <c r="B25" s="16" t="s">
        <v>0</v>
      </c>
      <c r="C25" s="14">
        <v>48</v>
      </c>
      <c r="D25" s="15">
        <v>23.6</v>
      </c>
      <c r="E25" s="1" t="s">
        <v>8</v>
      </c>
      <c r="F25" s="14">
        <v>1</v>
      </c>
      <c r="G25" s="14">
        <v>1</v>
      </c>
      <c r="H25" s="1">
        <v>0</v>
      </c>
      <c r="I25" s="14">
        <v>1</v>
      </c>
      <c r="J25" s="1">
        <v>0</v>
      </c>
      <c r="K25" s="5">
        <v>500</v>
      </c>
      <c r="L25" s="5">
        <v>304.89999999999998</v>
      </c>
      <c r="M25" s="5">
        <v>166.08</v>
      </c>
      <c r="N25" s="5">
        <v>29.51</v>
      </c>
      <c r="O25" s="1">
        <v>5</v>
      </c>
      <c r="P25" s="5">
        <v>3.42</v>
      </c>
      <c r="Q25" s="5">
        <v>3.14</v>
      </c>
      <c r="R25" s="5">
        <f>P25-Q25</f>
        <v>0.2799999999999998</v>
      </c>
      <c r="S25" s="1">
        <v>1</v>
      </c>
      <c r="T25" s="2">
        <v>0.26669999999999999</v>
      </c>
      <c r="U25" s="2">
        <v>0.13170000000000001</v>
      </c>
      <c r="V25" s="2">
        <f>T25-U25</f>
        <v>0.13499999999999998</v>
      </c>
    </row>
    <row r="26" spans="1:22" ht="14.25" customHeight="1" x14ac:dyDescent="0.3">
      <c r="A26" s="9">
        <v>24</v>
      </c>
      <c r="B26" s="13" t="s">
        <v>5</v>
      </c>
      <c r="C26" s="14">
        <v>61</v>
      </c>
      <c r="D26" s="15">
        <v>23.61</v>
      </c>
      <c r="E26" s="1" t="s">
        <v>9</v>
      </c>
      <c r="F26" s="14">
        <v>0</v>
      </c>
      <c r="G26" s="14">
        <v>3</v>
      </c>
      <c r="H26" s="1">
        <v>0</v>
      </c>
      <c r="I26" s="14">
        <v>1</v>
      </c>
      <c r="J26" s="1">
        <v>0</v>
      </c>
      <c r="K26" s="5">
        <v>670</v>
      </c>
      <c r="L26" s="5">
        <v>311.38</v>
      </c>
      <c r="M26" s="5">
        <v>164.55</v>
      </c>
      <c r="N26" s="5">
        <v>28.287500000000001</v>
      </c>
      <c r="O26" s="1">
        <v>4</v>
      </c>
      <c r="P26" s="5">
        <v>3.1</v>
      </c>
      <c r="Q26" s="5">
        <v>3.39</v>
      </c>
      <c r="R26" s="5">
        <f>P26-Q26</f>
        <v>-0.29000000000000004</v>
      </c>
      <c r="S26" s="1">
        <v>1</v>
      </c>
      <c r="T26" s="2">
        <v>0.39190000000000003</v>
      </c>
      <c r="U26" s="2">
        <v>0.24729999999999999</v>
      </c>
      <c r="V26" s="2">
        <f>T26-U26</f>
        <v>0.14460000000000003</v>
      </c>
    </row>
    <row r="27" spans="1:22" ht="14.25" customHeight="1" x14ac:dyDescent="0.3">
      <c r="A27" s="9">
        <v>25</v>
      </c>
      <c r="B27" s="16" t="s">
        <v>0</v>
      </c>
      <c r="C27" s="14">
        <v>34</v>
      </c>
      <c r="D27" s="15">
        <v>23.9</v>
      </c>
      <c r="E27" s="1" t="s">
        <v>8</v>
      </c>
      <c r="F27" s="14">
        <v>0</v>
      </c>
      <c r="G27" s="14">
        <v>2</v>
      </c>
      <c r="H27" s="1">
        <v>0</v>
      </c>
      <c r="I27" s="14">
        <v>1</v>
      </c>
      <c r="J27" s="1">
        <v>1</v>
      </c>
      <c r="K27" s="5">
        <v>560</v>
      </c>
      <c r="L27" s="5">
        <v>267.52999999999997</v>
      </c>
      <c r="M27" s="5">
        <v>142.22</v>
      </c>
      <c r="N27" s="5">
        <v>24.66</v>
      </c>
      <c r="O27" s="1">
        <v>5</v>
      </c>
      <c r="P27" s="5">
        <v>3.64</v>
      </c>
      <c r="Q27" s="5">
        <v>3.57</v>
      </c>
      <c r="R27" s="5">
        <f>Q27-P27</f>
        <v>-7.0000000000000284E-2</v>
      </c>
      <c r="S27" s="1">
        <v>1</v>
      </c>
      <c r="T27" s="2">
        <v>0.31769999999999998</v>
      </c>
      <c r="U27" s="2">
        <v>0.1847</v>
      </c>
      <c r="V27" s="2">
        <f>T27-U27</f>
        <v>0.13299999999999998</v>
      </c>
    </row>
    <row r="28" spans="1:22" ht="14.25" customHeight="1" x14ac:dyDescent="0.3">
      <c r="A28" s="9">
        <v>26</v>
      </c>
      <c r="B28" s="16" t="s">
        <v>0</v>
      </c>
      <c r="C28" s="14">
        <v>50</v>
      </c>
      <c r="D28" s="15">
        <v>24.52</v>
      </c>
      <c r="E28" s="1" t="s">
        <v>9</v>
      </c>
      <c r="F28" s="14">
        <v>1</v>
      </c>
      <c r="G28" s="14">
        <v>0</v>
      </c>
      <c r="H28" s="1">
        <v>0</v>
      </c>
      <c r="I28" s="14">
        <v>1</v>
      </c>
      <c r="J28" s="14">
        <v>0</v>
      </c>
      <c r="K28" s="3">
        <v>694</v>
      </c>
      <c r="L28" s="3">
        <v>337.61</v>
      </c>
      <c r="M28" s="3">
        <v>153.53</v>
      </c>
      <c r="N28" s="3">
        <v>30.5</v>
      </c>
      <c r="O28" s="14">
        <v>1</v>
      </c>
      <c r="P28" s="3">
        <v>2.36</v>
      </c>
      <c r="Q28" s="3">
        <v>1.86</v>
      </c>
      <c r="R28" s="5">
        <f>P28-Q28</f>
        <v>0.49999999999999978</v>
      </c>
      <c r="S28" s="14">
        <v>1</v>
      </c>
      <c r="T28" s="2">
        <f>(36116+8969)/209979</f>
        <v>0.21471194738521471</v>
      </c>
      <c r="U28" s="2">
        <f>18204/99685</f>
        <v>0.18261523799969906</v>
      </c>
      <c r="V28" s="2">
        <f>T28-U28</f>
        <v>3.2096709385515648E-2</v>
      </c>
    </row>
    <row r="29" spans="1:22" ht="14.25" customHeight="1" x14ac:dyDescent="0.3">
      <c r="A29" s="9">
        <v>27</v>
      </c>
      <c r="B29" s="10" t="s">
        <v>0</v>
      </c>
      <c r="C29" s="1">
        <v>56</v>
      </c>
      <c r="D29" s="11">
        <v>24.9</v>
      </c>
      <c r="E29" s="1" t="s">
        <v>8</v>
      </c>
      <c r="F29" s="1">
        <v>0</v>
      </c>
      <c r="G29" s="1">
        <v>1</v>
      </c>
      <c r="H29" s="1">
        <v>0</v>
      </c>
      <c r="I29" s="1">
        <v>3</v>
      </c>
      <c r="J29" s="1">
        <v>0</v>
      </c>
      <c r="K29" s="5">
        <v>921</v>
      </c>
      <c r="L29" s="5">
        <v>298.64999999999998</v>
      </c>
      <c r="M29" s="5">
        <v>164.3</v>
      </c>
      <c r="N29" s="5">
        <v>33.914999999999999</v>
      </c>
      <c r="O29" s="1">
        <v>2</v>
      </c>
      <c r="P29" s="5">
        <v>2.83</v>
      </c>
      <c r="Q29" s="5">
        <v>2.4500000000000002</v>
      </c>
      <c r="R29" s="5">
        <f>P29-Q29</f>
        <v>0.37999999999999989</v>
      </c>
      <c r="S29" s="1">
        <v>1</v>
      </c>
      <c r="T29" s="2">
        <v>0.15920000000000001</v>
      </c>
      <c r="U29" s="2">
        <v>3.4799999999999998E-2</v>
      </c>
      <c r="V29" s="2">
        <f>T29-U29</f>
        <v>0.12440000000000001</v>
      </c>
    </row>
    <row r="30" spans="1:22" ht="14.25" customHeight="1" x14ac:dyDescent="0.3">
      <c r="A30" s="9">
        <v>28</v>
      </c>
      <c r="B30" s="13" t="s">
        <v>0</v>
      </c>
      <c r="C30" s="14">
        <v>70</v>
      </c>
      <c r="D30" s="15">
        <v>25.08</v>
      </c>
      <c r="E30" s="1" t="s">
        <v>8</v>
      </c>
      <c r="F30" s="14">
        <v>1</v>
      </c>
      <c r="G30" s="14">
        <v>2</v>
      </c>
      <c r="H30" s="1">
        <v>0</v>
      </c>
      <c r="I30" s="14">
        <v>1</v>
      </c>
      <c r="J30" s="14">
        <v>0</v>
      </c>
      <c r="K30" s="3">
        <v>1182</v>
      </c>
      <c r="L30" s="3">
        <v>331.99</v>
      </c>
      <c r="M30" s="3">
        <v>155.80000000000001</v>
      </c>
      <c r="N30" s="3">
        <v>35.01</v>
      </c>
      <c r="O30" s="14">
        <v>4</v>
      </c>
      <c r="P30" s="3">
        <v>3.51</v>
      </c>
      <c r="Q30" s="3">
        <v>3.07</v>
      </c>
      <c r="R30" s="5">
        <f>P30-Q30</f>
        <v>0.43999999999999995</v>
      </c>
      <c r="S30" s="14">
        <v>1</v>
      </c>
      <c r="T30" s="2">
        <f>68472/196119</f>
        <v>0.34913496397595339</v>
      </c>
      <c r="U30" s="2">
        <f>46375/217624</f>
        <v>0.21309690107708709</v>
      </c>
      <c r="V30" s="2">
        <f>T30-U30</f>
        <v>0.1360380628988663</v>
      </c>
    </row>
    <row r="31" spans="1:22" ht="14.25" customHeight="1" x14ac:dyDescent="0.3">
      <c r="A31" s="9">
        <v>29</v>
      </c>
      <c r="B31" s="16" t="s">
        <v>0</v>
      </c>
      <c r="C31" s="14">
        <v>44</v>
      </c>
      <c r="D31" s="15">
        <v>25.34</v>
      </c>
      <c r="E31" s="1" t="s">
        <v>9</v>
      </c>
      <c r="F31" s="14">
        <v>0</v>
      </c>
      <c r="G31" s="14">
        <v>0</v>
      </c>
      <c r="H31" s="1">
        <v>0</v>
      </c>
      <c r="I31" s="14">
        <v>1</v>
      </c>
      <c r="J31" s="14">
        <v>0</v>
      </c>
      <c r="K31" s="3">
        <v>692</v>
      </c>
      <c r="L31" s="9">
        <v>286.02999999999997</v>
      </c>
      <c r="M31" s="3">
        <v>140.22999999999999</v>
      </c>
      <c r="N31" s="3">
        <v>27.27</v>
      </c>
      <c r="O31" s="14">
        <v>1</v>
      </c>
      <c r="P31" s="3">
        <v>2.52</v>
      </c>
      <c r="Q31" s="3">
        <v>3.57</v>
      </c>
      <c r="R31" s="5">
        <f>P31-Q31</f>
        <v>-1.0499999999999998</v>
      </c>
      <c r="S31" s="14">
        <v>1</v>
      </c>
      <c r="T31" s="2">
        <f>(17009+11197)/113312</f>
        <v>0.24892332674385767</v>
      </c>
      <c r="U31" s="2">
        <f>(4753+13401)/110295</f>
        <v>0.16459494990706741</v>
      </c>
      <c r="V31" s="2">
        <f>T31-U31</f>
        <v>8.4328376836790259E-2</v>
      </c>
    </row>
    <row r="32" spans="1:22" ht="14.25" customHeight="1" x14ac:dyDescent="0.3">
      <c r="A32" s="9">
        <v>30</v>
      </c>
      <c r="B32" s="10" t="s">
        <v>0</v>
      </c>
      <c r="C32" s="1">
        <v>45</v>
      </c>
      <c r="D32" s="11">
        <v>25.48</v>
      </c>
      <c r="E32" s="1" t="s">
        <v>8</v>
      </c>
      <c r="F32" s="1">
        <v>0</v>
      </c>
      <c r="G32" s="1">
        <v>2</v>
      </c>
      <c r="H32" s="1">
        <v>0</v>
      </c>
      <c r="I32" s="1">
        <v>2</v>
      </c>
      <c r="J32" s="1">
        <v>1</v>
      </c>
      <c r="K32" s="5">
        <v>1081</v>
      </c>
      <c r="L32" s="5">
        <v>333.18</v>
      </c>
      <c r="M32" s="5">
        <v>145.27000000000001</v>
      </c>
      <c r="N32" s="5">
        <v>39.869999999999997</v>
      </c>
      <c r="O32" s="1">
        <v>2</v>
      </c>
      <c r="P32" s="5">
        <v>3.11</v>
      </c>
      <c r="Q32" s="5">
        <v>3.02</v>
      </c>
      <c r="R32" s="5">
        <f>Q32-P32</f>
        <v>-8.9999999999999858E-2</v>
      </c>
      <c r="S32" s="1">
        <v>1</v>
      </c>
      <c r="T32" s="2">
        <f>20107/84079</f>
        <v>0.23914413825093067</v>
      </c>
      <c r="U32" s="2">
        <f>15491/88964</f>
        <v>0.17412661301200485</v>
      </c>
      <c r="V32" s="2">
        <f>T32-U32</f>
        <v>6.5017525238925816E-2</v>
      </c>
    </row>
    <row r="33" spans="1:22" ht="14.25" customHeight="1" x14ac:dyDescent="0.3">
      <c r="A33" s="9">
        <v>31</v>
      </c>
      <c r="B33" s="13" t="s">
        <v>0</v>
      </c>
      <c r="C33" s="14">
        <v>49</v>
      </c>
      <c r="D33" s="15">
        <v>25.71</v>
      </c>
      <c r="E33" s="1" t="s">
        <v>9</v>
      </c>
      <c r="F33" s="14">
        <v>1</v>
      </c>
      <c r="G33" s="14">
        <v>2</v>
      </c>
      <c r="H33" s="1">
        <v>0</v>
      </c>
      <c r="I33" s="14">
        <v>1</v>
      </c>
      <c r="J33" s="14">
        <v>1</v>
      </c>
      <c r="K33" s="3">
        <v>842</v>
      </c>
      <c r="L33" s="3">
        <v>350.02</v>
      </c>
      <c r="M33" s="3">
        <v>153.15</v>
      </c>
      <c r="N33" s="3">
        <v>32.700000000000003</v>
      </c>
      <c r="O33" s="14">
        <v>3</v>
      </c>
      <c r="P33" s="3">
        <v>1.97</v>
      </c>
      <c r="Q33" s="3">
        <v>1.97</v>
      </c>
      <c r="R33" s="5">
        <f>Q33-P33</f>
        <v>0</v>
      </c>
      <c r="S33" s="14">
        <v>1</v>
      </c>
      <c r="T33" s="2">
        <f>8176/100356</f>
        <v>8.1469966917772724E-2</v>
      </c>
      <c r="U33" s="2">
        <f>2894/102553</f>
        <v>2.8219554766803507E-2</v>
      </c>
      <c r="V33" s="2">
        <f>T33-U33</f>
        <v>5.325041215096922E-2</v>
      </c>
    </row>
    <row r="34" spans="1:22" ht="14.25" customHeight="1" x14ac:dyDescent="0.3">
      <c r="A34" s="9">
        <v>32</v>
      </c>
      <c r="B34" s="16" t="s">
        <v>0</v>
      </c>
      <c r="C34" s="14">
        <v>61</v>
      </c>
      <c r="D34" s="15">
        <v>25.8</v>
      </c>
      <c r="E34" s="1" t="s">
        <v>9</v>
      </c>
      <c r="F34" s="14">
        <v>0</v>
      </c>
      <c r="G34" s="14">
        <v>2</v>
      </c>
      <c r="H34" s="1">
        <v>0</v>
      </c>
      <c r="I34" s="14">
        <v>1</v>
      </c>
      <c r="J34" s="1">
        <v>1</v>
      </c>
      <c r="K34" s="5">
        <v>700</v>
      </c>
      <c r="L34" s="5">
        <v>320.31</v>
      </c>
      <c r="M34" s="5">
        <v>164.66</v>
      </c>
      <c r="N34" s="5">
        <v>30.802499999999998</v>
      </c>
      <c r="O34" s="1">
        <v>7</v>
      </c>
      <c r="P34" s="5">
        <v>3.32</v>
      </c>
      <c r="Q34" s="5">
        <v>3.74</v>
      </c>
      <c r="R34" s="5">
        <f>Q34-P34</f>
        <v>0.42000000000000037</v>
      </c>
      <c r="S34" s="1">
        <v>1</v>
      </c>
      <c r="T34" s="2">
        <v>0.3085</v>
      </c>
      <c r="U34" s="2">
        <v>0.2397</v>
      </c>
      <c r="V34" s="2">
        <f>T34-U34</f>
        <v>6.88E-2</v>
      </c>
    </row>
    <row r="35" spans="1:22" ht="14.25" customHeight="1" x14ac:dyDescent="0.3">
      <c r="A35" s="9">
        <v>33</v>
      </c>
      <c r="B35" s="9" t="s">
        <v>0</v>
      </c>
      <c r="C35" s="1">
        <v>60</v>
      </c>
      <c r="D35" s="11">
        <v>25.92</v>
      </c>
      <c r="E35" s="1" t="s">
        <v>8</v>
      </c>
      <c r="F35" s="1">
        <v>0</v>
      </c>
      <c r="G35" s="1">
        <v>2</v>
      </c>
      <c r="H35" s="1">
        <v>0</v>
      </c>
      <c r="I35" s="1">
        <v>1</v>
      </c>
      <c r="J35" s="1">
        <v>1</v>
      </c>
      <c r="K35" s="5">
        <v>950</v>
      </c>
      <c r="L35" s="5">
        <v>355.18</v>
      </c>
      <c r="M35" s="9">
        <v>140.55000000000001</v>
      </c>
      <c r="N35" s="5">
        <v>28.79</v>
      </c>
      <c r="O35" s="1">
        <v>2</v>
      </c>
      <c r="P35" s="5">
        <v>1.54</v>
      </c>
      <c r="Q35" s="5">
        <v>2.0699999999999998</v>
      </c>
      <c r="R35" s="5">
        <f>Q35-P35</f>
        <v>0.5299999999999998</v>
      </c>
      <c r="S35" s="1">
        <v>1</v>
      </c>
      <c r="T35" s="2">
        <f>(10656+13678)/127071</f>
        <v>0.19149924058203682</v>
      </c>
      <c r="U35" s="2">
        <f>68209/598862</f>
        <v>0.11389769262367624</v>
      </c>
      <c r="V35" s="2">
        <f>T35-U35</f>
        <v>7.7601547958360578E-2</v>
      </c>
    </row>
    <row r="36" spans="1:22" ht="14.25" customHeight="1" x14ac:dyDescent="0.3">
      <c r="A36" s="9">
        <v>34</v>
      </c>
      <c r="B36" s="10" t="s">
        <v>0</v>
      </c>
      <c r="C36" s="1">
        <v>70</v>
      </c>
      <c r="D36" s="11">
        <v>26</v>
      </c>
      <c r="E36" s="1" t="s">
        <v>8</v>
      </c>
      <c r="F36" s="1">
        <v>1</v>
      </c>
      <c r="G36" s="1">
        <v>4</v>
      </c>
      <c r="H36" s="1">
        <v>1</v>
      </c>
      <c r="I36" s="1">
        <v>1</v>
      </c>
      <c r="J36" s="9">
        <v>1</v>
      </c>
      <c r="K36" s="5">
        <v>905</v>
      </c>
      <c r="L36" s="5">
        <v>293.32</v>
      </c>
      <c r="M36" s="5">
        <v>156.49</v>
      </c>
      <c r="N36" s="5">
        <v>30.11</v>
      </c>
      <c r="O36" s="9">
        <v>4</v>
      </c>
      <c r="P36" s="5">
        <v>3.23</v>
      </c>
      <c r="Q36" s="5">
        <v>2.8050000000000002</v>
      </c>
      <c r="R36" s="5">
        <f>Q36-P36</f>
        <v>-0.42499999999999982</v>
      </c>
      <c r="S36" s="1">
        <v>1</v>
      </c>
      <c r="T36" s="2">
        <v>0.3372</v>
      </c>
      <c r="U36" s="2">
        <v>0.24360000000000001</v>
      </c>
      <c r="V36" s="2">
        <f>T36-U36</f>
        <v>9.3599999999999989E-2</v>
      </c>
    </row>
    <row r="37" spans="1:22" ht="14.25" customHeight="1" x14ac:dyDescent="0.3">
      <c r="A37" s="9">
        <v>35</v>
      </c>
      <c r="B37" s="10" t="s">
        <v>0</v>
      </c>
      <c r="C37" s="1">
        <v>48</v>
      </c>
      <c r="D37" s="11">
        <v>26.01</v>
      </c>
      <c r="E37" s="1" t="s">
        <v>9</v>
      </c>
      <c r="F37" s="1">
        <v>0</v>
      </c>
      <c r="G37" s="1">
        <v>0</v>
      </c>
      <c r="H37" s="14">
        <v>0</v>
      </c>
      <c r="I37" s="1">
        <v>3</v>
      </c>
      <c r="J37" s="1">
        <v>1</v>
      </c>
      <c r="K37" s="5">
        <v>805</v>
      </c>
      <c r="L37" s="5">
        <v>335.71</v>
      </c>
      <c r="M37" s="5">
        <v>148.93</v>
      </c>
      <c r="N37" s="5">
        <v>41.29</v>
      </c>
      <c r="O37" s="1">
        <v>3</v>
      </c>
      <c r="P37" s="5">
        <v>2.85</v>
      </c>
      <c r="Q37" s="5">
        <v>3.25</v>
      </c>
      <c r="R37" s="5">
        <f>Q37-P37</f>
        <v>0.39999999999999991</v>
      </c>
      <c r="S37" s="1">
        <v>1</v>
      </c>
      <c r="T37" s="2">
        <f>27795/194245</f>
        <v>0.14309248629308347</v>
      </c>
      <c r="U37" s="2">
        <f>18302/213430</f>
        <v>8.5751768729794314E-2</v>
      </c>
      <c r="V37" s="2">
        <f>T37-U37</f>
        <v>5.7340717563289151E-2</v>
      </c>
    </row>
    <row r="38" spans="1:22" ht="14.25" customHeight="1" x14ac:dyDescent="0.3">
      <c r="A38" s="9">
        <v>36</v>
      </c>
      <c r="B38" s="16" t="s">
        <v>0</v>
      </c>
      <c r="C38" s="14">
        <v>56</v>
      </c>
      <c r="D38" s="15">
        <v>26.12</v>
      </c>
      <c r="E38" s="1" t="s">
        <v>9</v>
      </c>
      <c r="F38" s="14">
        <v>1</v>
      </c>
      <c r="G38" s="14">
        <v>1</v>
      </c>
      <c r="H38" s="1">
        <v>0</v>
      </c>
      <c r="I38" s="14">
        <v>1</v>
      </c>
      <c r="J38" s="14">
        <v>0</v>
      </c>
      <c r="K38" s="3">
        <v>1070</v>
      </c>
      <c r="L38" s="3">
        <v>320.64999999999998</v>
      </c>
      <c r="M38" s="3">
        <v>148.52000000000001</v>
      </c>
      <c r="N38" s="3">
        <v>36.69</v>
      </c>
      <c r="O38" s="14">
        <v>2</v>
      </c>
      <c r="P38" s="3">
        <v>3.3</v>
      </c>
      <c r="Q38" s="3">
        <v>3.04</v>
      </c>
      <c r="R38" s="5">
        <f>P38-Q38</f>
        <v>0.25999999999999979</v>
      </c>
      <c r="S38" s="14">
        <v>1</v>
      </c>
      <c r="T38" s="2">
        <f>(10937+18284)/214930</f>
        <v>0.13595589261620061</v>
      </c>
      <c r="U38" s="2">
        <f>(4396+16327)/207489</f>
        <v>9.9875174105615236E-2</v>
      </c>
      <c r="V38" s="2">
        <f>T38-U38</f>
        <v>3.6080718510585377E-2</v>
      </c>
    </row>
    <row r="39" spans="1:22" ht="14.25" customHeight="1" x14ac:dyDescent="0.3">
      <c r="A39" s="9">
        <v>37</v>
      </c>
      <c r="B39" s="16" t="s">
        <v>0</v>
      </c>
      <c r="C39" s="14">
        <v>50</v>
      </c>
      <c r="D39" s="15">
        <v>26.73</v>
      </c>
      <c r="E39" s="1" t="s">
        <v>9</v>
      </c>
      <c r="F39" s="14">
        <v>1</v>
      </c>
      <c r="G39" s="14">
        <v>2</v>
      </c>
      <c r="H39" s="1">
        <v>0</v>
      </c>
      <c r="I39" s="14">
        <v>2</v>
      </c>
      <c r="J39" s="14">
        <v>1</v>
      </c>
      <c r="K39" s="3">
        <v>774</v>
      </c>
      <c r="L39" s="3">
        <v>336.97</v>
      </c>
      <c r="M39" s="3">
        <v>155.30000000000001</v>
      </c>
      <c r="N39" s="3">
        <v>29.96</v>
      </c>
      <c r="O39" s="14">
        <v>2</v>
      </c>
      <c r="P39" s="3">
        <v>2.1800000000000002</v>
      </c>
      <c r="Q39" s="3">
        <v>1.95</v>
      </c>
      <c r="R39" s="5">
        <f>Q39-P39</f>
        <v>-0.2300000000000002</v>
      </c>
      <c r="S39" s="14">
        <v>1</v>
      </c>
      <c r="T39" s="2">
        <f>12382/193340</f>
        <v>6.4042619220026895E-2</v>
      </c>
      <c r="U39" s="2">
        <f>4423/155075</f>
        <v>2.8521683056585524E-2</v>
      </c>
      <c r="V39" s="2">
        <f>T39-U39</f>
        <v>3.5520936163441375E-2</v>
      </c>
    </row>
    <row r="40" spans="1:22" ht="14.25" customHeight="1" x14ac:dyDescent="0.3">
      <c r="A40" s="9">
        <v>38</v>
      </c>
      <c r="B40" s="9" t="s">
        <v>0</v>
      </c>
      <c r="C40" s="1">
        <v>54</v>
      </c>
      <c r="D40" s="11">
        <v>27.6</v>
      </c>
      <c r="E40" s="1" t="s">
        <v>9</v>
      </c>
      <c r="F40" s="1">
        <v>0</v>
      </c>
      <c r="G40" s="1">
        <v>1</v>
      </c>
      <c r="H40" s="1">
        <v>0</v>
      </c>
      <c r="I40" s="1">
        <v>2</v>
      </c>
      <c r="J40" s="1">
        <v>1</v>
      </c>
      <c r="K40" s="5">
        <v>1426</v>
      </c>
      <c r="L40" s="5">
        <v>363.46</v>
      </c>
      <c r="M40" s="5">
        <v>155.15</v>
      </c>
      <c r="N40" s="5">
        <v>39.130000000000003</v>
      </c>
      <c r="O40" s="1">
        <v>3</v>
      </c>
      <c r="P40" s="5">
        <v>2.37</v>
      </c>
      <c r="Q40" s="5">
        <v>2.75</v>
      </c>
      <c r="R40" s="5">
        <f>Q40-P40</f>
        <v>0.37999999999999989</v>
      </c>
      <c r="S40" s="1">
        <v>1</v>
      </c>
      <c r="T40" s="2">
        <f>(31147+8153)/115523</f>
        <v>0.34019199639898551</v>
      </c>
      <c r="U40" s="2">
        <f>(7017+21025)/118411</f>
        <v>0.23681921443109172</v>
      </c>
      <c r="V40" s="2">
        <f>T40-U40</f>
        <v>0.10337278196789379</v>
      </c>
    </row>
    <row r="41" spans="1:22" ht="14.25" customHeight="1" x14ac:dyDescent="0.3">
      <c r="A41" s="9">
        <v>39</v>
      </c>
      <c r="B41" s="13" t="s">
        <v>0</v>
      </c>
      <c r="C41" s="14">
        <v>38</v>
      </c>
      <c r="D41" s="15">
        <v>29.17</v>
      </c>
      <c r="E41" s="1" t="s">
        <v>9</v>
      </c>
      <c r="F41" s="14">
        <v>0</v>
      </c>
      <c r="G41" s="14">
        <v>1</v>
      </c>
      <c r="H41" s="1">
        <v>0</v>
      </c>
      <c r="I41" s="14">
        <v>1</v>
      </c>
      <c r="J41" s="1">
        <v>1</v>
      </c>
      <c r="K41" s="5">
        <v>1406</v>
      </c>
      <c r="L41" s="5">
        <v>314.64</v>
      </c>
      <c r="M41" s="5">
        <v>196.51</v>
      </c>
      <c r="N41" s="5">
        <v>43.660000000000004</v>
      </c>
      <c r="O41" s="1">
        <v>3</v>
      </c>
      <c r="P41" s="5">
        <v>2.71</v>
      </c>
      <c r="Q41" s="5">
        <v>2.89</v>
      </c>
      <c r="R41" s="5">
        <f>Q41-P41</f>
        <v>0.18000000000000016</v>
      </c>
      <c r="S41" s="1">
        <v>1</v>
      </c>
      <c r="T41" s="2">
        <v>0.41920000000000002</v>
      </c>
      <c r="U41" s="2">
        <v>0.25829999999999997</v>
      </c>
      <c r="V41" s="2">
        <f>T41-U41</f>
        <v>0.16090000000000004</v>
      </c>
    </row>
    <row r="42" spans="1:22" ht="14.25" customHeight="1" x14ac:dyDescent="0.3">
      <c r="A42" s="9">
        <v>40</v>
      </c>
      <c r="B42" s="10" t="s">
        <v>0</v>
      </c>
      <c r="C42" s="1">
        <v>50</v>
      </c>
      <c r="D42" s="11">
        <v>32.700000000000003</v>
      </c>
      <c r="E42" s="1" t="s">
        <v>9</v>
      </c>
      <c r="F42" s="1">
        <v>1</v>
      </c>
      <c r="G42" s="1">
        <v>2</v>
      </c>
      <c r="H42" s="1">
        <v>0</v>
      </c>
      <c r="I42" s="1">
        <v>1</v>
      </c>
      <c r="J42" s="1">
        <v>0</v>
      </c>
      <c r="K42" s="5">
        <v>1380</v>
      </c>
      <c r="L42" s="5">
        <v>312.02999999999997</v>
      </c>
      <c r="M42" s="5">
        <v>156.01</v>
      </c>
      <c r="N42" s="5">
        <v>40.71</v>
      </c>
      <c r="O42" s="1">
        <v>4</v>
      </c>
      <c r="P42" s="5">
        <v>3.53</v>
      </c>
      <c r="Q42" s="5">
        <v>3.24</v>
      </c>
      <c r="R42" s="5">
        <f>P42-Q42</f>
        <v>0.28999999999999959</v>
      </c>
      <c r="S42" s="1">
        <v>1</v>
      </c>
      <c r="T42" s="2">
        <v>6.88E-2</v>
      </c>
      <c r="U42" s="2">
        <v>3.6600000000000001E-2</v>
      </c>
      <c r="V42" s="2">
        <f>T42-U42</f>
        <v>3.2199999999999999E-2</v>
      </c>
    </row>
    <row r="43" spans="1:22" ht="14.25" customHeight="1" x14ac:dyDescent="0.3">
      <c r="A43" s="9">
        <v>41</v>
      </c>
      <c r="B43" s="16" t="s">
        <v>0</v>
      </c>
      <c r="C43" s="14">
        <v>49</v>
      </c>
      <c r="D43" s="15">
        <v>34.99</v>
      </c>
      <c r="E43" s="1" t="s">
        <v>8</v>
      </c>
      <c r="F43" s="14">
        <v>1</v>
      </c>
      <c r="G43" s="14">
        <v>1</v>
      </c>
      <c r="H43" s="1">
        <v>1</v>
      </c>
      <c r="I43" s="14">
        <v>2</v>
      </c>
      <c r="J43" s="1">
        <v>1</v>
      </c>
      <c r="K43" s="5">
        <v>1822</v>
      </c>
      <c r="L43" s="5">
        <v>357.16</v>
      </c>
      <c r="M43" s="5">
        <v>167.75</v>
      </c>
      <c r="N43" s="5">
        <v>48.85</v>
      </c>
      <c r="O43" s="1">
        <v>2</v>
      </c>
      <c r="P43" s="5">
        <v>3.8</v>
      </c>
      <c r="Q43" s="5">
        <v>4.17</v>
      </c>
      <c r="R43" s="5">
        <f>Q43-P43</f>
        <v>0.37000000000000011</v>
      </c>
      <c r="S43" s="1">
        <v>1</v>
      </c>
      <c r="T43" s="2">
        <v>0.379</v>
      </c>
      <c r="U43" s="2">
        <v>0.1673</v>
      </c>
      <c r="V43" s="2">
        <f>T43-U43</f>
        <v>0.2117</v>
      </c>
    </row>
    <row r="44" spans="1:22" ht="14.25" customHeight="1" x14ac:dyDescent="0.3">
      <c r="A44" s="9">
        <v>42</v>
      </c>
      <c r="B44" s="13" t="s">
        <v>5</v>
      </c>
      <c r="C44" s="14">
        <v>50</v>
      </c>
      <c r="D44" s="15">
        <v>34.99</v>
      </c>
      <c r="E44" s="1" t="s">
        <v>9</v>
      </c>
      <c r="F44" s="14">
        <v>0</v>
      </c>
      <c r="G44" s="14">
        <v>1</v>
      </c>
      <c r="H44" s="1">
        <v>1</v>
      </c>
      <c r="I44" s="14">
        <v>1</v>
      </c>
      <c r="J44" s="1">
        <v>0</v>
      </c>
      <c r="K44" s="5">
        <v>1805</v>
      </c>
      <c r="L44" s="5">
        <v>361.87</v>
      </c>
      <c r="M44" s="5">
        <v>128.19999999999999</v>
      </c>
      <c r="N44" s="5">
        <v>46.237499999999997</v>
      </c>
      <c r="O44" s="1">
        <v>3</v>
      </c>
      <c r="P44" s="5">
        <v>3.98</v>
      </c>
      <c r="Q44" s="5">
        <v>4.33</v>
      </c>
      <c r="R44" s="5">
        <f>P44-Q44</f>
        <v>-0.35000000000000009</v>
      </c>
      <c r="S44" s="1">
        <v>1</v>
      </c>
      <c r="T44" s="2">
        <v>0.23910000000000001</v>
      </c>
      <c r="U44" s="2">
        <v>0.18260000000000001</v>
      </c>
      <c r="V44" s="2">
        <f>T44-U44</f>
        <v>5.6499999999999995E-2</v>
      </c>
    </row>
    <row r="45" spans="1:22" ht="14.25" customHeight="1" x14ac:dyDescent="0.3">
      <c r="A45" s="9">
        <v>43</v>
      </c>
      <c r="B45" s="9" t="s">
        <v>0</v>
      </c>
      <c r="C45" s="1">
        <v>44</v>
      </c>
      <c r="D45" s="11">
        <v>19.100000000000001</v>
      </c>
      <c r="E45" s="1" t="s">
        <v>9</v>
      </c>
      <c r="F45" s="1">
        <v>0</v>
      </c>
      <c r="G45" s="1">
        <v>1</v>
      </c>
      <c r="H45" s="1">
        <v>0</v>
      </c>
      <c r="I45" s="1">
        <v>2</v>
      </c>
      <c r="J45" s="1">
        <v>0</v>
      </c>
      <c r="K45" s="5">
        <v>510</v>
      </c>
      <c r="L45" s="5">
        <v>324.23</v>
      </c>
      <c r="M45" s="5">
        <v>149.15</v>
      </c>
      <c r="N45" s="5">
        <v>22.99</v>
      </c>
      <c r="O45" s="1">
        <v>2</v>
      </c>
      <c r="P45" s="5">
        <v>3.26</v>
      </c>
      <c r="Q45" s="5">
        <v>2.37</v>
      </c>
      <c r="R45" s="3">
        <f>P45-Q45</f>
        <v>0.88999999999999968</v>
      </c>
      <c r="S45" s="1">
        <v>2</v>
      </c>
      <c r="T45" s="2">
        <f>(26744+25058)/170360</f>
        <v>0.30407372622681378</v>
      </c>
      <c r="U45" s="2">
        <f>(9462+13741)/81000</f>
        <v>0.28645679012345682</v>
      </c>
      <c r="V45" s="2">
        <f>T45-U45</f>
        <v>1.7616936103356962E-2</v>
      </c>
    </row>
    <row r="46" spans="1:22" ht="14.25" customHeight="1" x14ac:dyDescent="0.3">
      <c r="A46" s="9">
        <v>44</v>
      </c>
      <c r="B46" s="10" t="s">
        <v>0</v>
      </c>
      <c r="C46" s="1">
        <v>59</v>
      </c>
      <c r="D46" s="11">
        <v>20.43</v>
      </c>
      <c r="E46" s="1" t="s">
        <v>8</v>
      </c>
      <c r="F46" s="1">
        <v>1</v>
      </c>
      <c r="G46" s="1">
        <v>1</v>
      </c>
      <c r="H46" s="1">
        <v>0</v>
      </c>
      <c r="I46" s="1">
        <v>2</v>
      </c>
      <c r="J46" s="1">
        <v>1</v>
      </c>
      <c r="K46" s="5">
        <v>592</v>
      </c>
      <c r="L46" s="5">
        <v>338.51</v>
      </c>
      <c r="M46" s="5">
        <v>148.24</v>
      </c>
      <c r="N46" s="5">
        <v>24.97</v>
      </c>
      <c r="O46" s="1">
        <v>0</v>
      </c>
      <c r="P46" s="5">
        <v>2.02</v>
      </c>
      <c r="Q46" s="5">
        <v>1.68</v>
      </c>
      <c r="R46" s="3">
        <f>Q46-P46</f>
        <v>-0.34000000000000008</v>
      </c>
      <c r="S46" s="1">
        <v>2</v>
      </c>
      <c r="T46" s="2">
        <f>7937/114913</f>
        <v>6.9069643991541432E-2</v>
      </c>
      <c r="U46" s="2">
        <f>7328/103482</f>
        <v>7.081424788852167E-2</v>
      </c>
      <c r="V46" s="2">
        <f>T46-U46</f>
        <v>-1.7446038969802374E-3</v>
      </c>
    </row>
    <row r="47" spans="1:22" ht="14.25" customHeight="1" x14ac:dyDescent="0.3">
      <c r="A47" s="9">
        <v>45</v>
      </c>
      <c r="B47" s="13" t="s">
        <v>0</v>
      </c>
      <c r="C47" s="14">
        <v>40</v>
      </c>
      <c r="D47" s="15">
        <v>20.9</v>
      </c>
      <c r="E47" s="1" t="s">
        <v>9</v>
      </c>
      <c r="F47" s="14">
        <v>0</v>
      </c>
      <c r="G47" s="14">
        <v>0</v>
      </c>
      <c r="H47" s="1">
        <v>0</v>
      </c>
      <c r="I47" s="14">
        <v>2</v>
      </c>
      <c r="J47" s="14">
        <v>1</v>
      </c>
      <c r="K47" s="3">
        <v>411</v>
      </c>
      <c r="L47" s="3">
        <v>301.33999999999997</v>
      </c>
      <c r="M47" s="3">
        <v>143.52000000000001</v>
      </c>
      <c r="N47" s="3">
        <v>20.66</v>
      </c>
      <c r="O47" s="14">
        <v>2</v>
      </c>
      <c r="P47" s="3">
        <v>2.34</v>
      </c>
      <c r="Q47" s="3">
        <v>2.13</v>
      </c>
      <c r="R47" s="3">
        <f>Q47-P47</f>
        <v>-0.20999999999999996</v>
      </c>
      <c r="S47" s="14">
        <v>2</v>
      </c>
      <c r="T47" s="2">
        <f>19671/118458</f>
        <v>0.16605885630349998</v>
      </c>
      <c r="U47" s="2">
        <f>17255/101454</f>
        <v>0.17007707926745125</v>
      </c>
      <c r="V47" s="2">
        <f>T47-U47</f>
        <v>-4.0182229639512679E-3</v>
      </c>
    </row>
    <row r="48" spans="1:22" ht="14.25" customHeight="1" x14ac:dyDescent="0.3">
      <c r="A48" s="9">
        <v>46</v>
      </c>
      <c r="B48" s="16" t="s">
        <v>0</v>
      </c>
      <c r="C48" s="14">
        <v>35</v>
      </c>
      <c r="D48" s="15">
        <v>20.98</v>
      </c>
      <c r="E48" s="1" t="s">
        <v>8</v>
      </c>
      <c r="F48" s="14">
        <v>0</v>
      </c>
      <c r="G48" s="14">
        <v>0</v>
      </c>
      <c r="H48" s="1">
        <v>0</v>
      </c>
      <c r="I48" s="14">
        <v>1</v>
      </c>
      <c r="J48" s="14">
        <v>0</v>
      </c>
      <c r="K48" s="3">
        <v>540</v>
      </c>
      <c r="L48" s="3">
        <v>290.35000000000002</v>
      </c>
      <c r="M48" s="3">
        <v>140.05000000000001</v>
      </c>
      <c r="N48" s="3">
        <v>24.05</v>
      </c>
      <c r="O48" s="14">
        <v>2</v>
      </c>
      <c r="P48" s="3">
        <v>2.83</v>
      </c>
      <c r="Q48" s="3">
        <v>3.19</v>
      </c>
      <c r="R48" s="3">
        <f>P48-Q48</f>
        <v>-0.35999999999999988</v>
      </c>
      <c r="S48" s="14">
        <v>2</v>
      </c>
      <c r="T48" s="2">
        <f>9266/129552</f>
        <v>7.1523403729776461E-2</v>
      </c>
      <c r="U48" s="2">
        <f>8093/125561</f>
        <v>6.4454727184396432E-2</v>
      </c>
      <c r="V48" s="2">
        <f>T48-U48</f>
        <v>7.0686765453800288E-3</v>
      </c>
    </row>
    <row r="49" spans="1:22" ht="14.25" customHeight="1" x14ac:dyDescent="0.3">
      <c r="A49" s="9">
        <v>47</v>
      </c>
      <c r="B49" s="10" t="s">
        <v>0</v>
      </c>
      <c r="C49" s="1">
        <v>68</v>
      </c>
      <c r="D49" s="11">
        <v>21.01</v>
      </c>
      <c r="E49" s="1" t="s">
        <v>8</v>
      </c>
      <c r="F49" s="1">
        <v>0</v>
      </c>
      <c r="G49" s="1">
        <v>2</v>
      </c>
      <c r="H49" s="1">
        <v>0</v>
      </c>
      <c r="I49" s="1">
        <v>2</v>
      </c>
      <c r="J49" s="1">
        <v>0</v>
      </c>
      <c r="K49" s="5">
        <v>449</v>
      </c>
      <c r="L49" s="5">
        <v>315.32</v>
      </c>
      <c r="M49" s="5">
        <v>138.74</v>
      </c>
      <c r="N49" s="5">
        <v>16.61</v>
      </c>
      <c r="O49" s="1">
        <v>1</v>
      </c>
      <c r="P49" s="5">
        <v>3.23</v>
      </c>
      <c r="Q49" s="5">
        <v>3.32</v>
      </c>
      <c r="R49" s="3">
        <f>P49-Q49</f>
        <v>-8.9999999999999858E-2</v>
      </c>
      <c r="S49" s="1">
        <v>2</v>
      </c>
      <c r="T49" s="2">
        <f>3417/96247</f>
        <v>3.5502405269774641E-2</v>
      </c>
      <c r="U49" s="2">
        <f>3094/71901</f>
        <v>4.3031390384000223E-2</v>
      </c>
      <c r="V49" s="2">
        <f>T49-U49</f>
        <v>-7.5289851142255823E-3</v>
      </c>
    </row>
    <row r="50" spans="1:22" ht="14.25" customHeight="1" x14ac:dyDescent="0.3">
      <c r="A50" s="9">
        <v>48</v>
      </c>
      <c r="B50" s="13" t="s">
        <v>0</v>
      </c>
      <c r="C50" s="14">
        <v>65</v>
      </c>
      <c r="D50" s="15">
        <v>21.29</v>
      </c>
      <c r="E50" s="1" t="s">
        <v>9</v>
      </c>
      <c r="F50" s="14">
        <v>1</v>
      </c>
      <c r="G50" s="14">
        <v>2</v>
      </c>
      <c r="H50" s="1">
        <v>1</v>
      </c>
      <c r="I50" s="14">
        <v>1</v>
      </c>
      <c r="J50" s="14">
        <v>1</v>
      </c>
      <c r="K50" s="3">
        <v>456</v>
      </c>
      <c r="L50" s="3">
        <v>320.06</v>
      </c>
      <c r="M50" s="3">
        <v>145.37</v>
      </c>
      <c r="N50" s="3">
        <v>20.62</v>
      </c>
      <c r="O50" s="14">
        <v>2</v>
      </c>
      <c r="P50" s="3">
        <v>2.77</v>
      </c>
      <c r="Q50" s="3">
        <v>2.0699999999999998</v>
      </c>
      <c r="R50" s="3">
        <f>Q50-P50</f>
        <v>-0.70000000000000018</v>
      </c>
      <c r="S50" s="14">
        <v>2</v>
      </c>
      <c r="T50" s="2">
        <f>25469/88577</f>
        <v>0.28753513891868093</v>
      </c>
      <c r="U50" s="2">
        <f>20502/68859</f>
        <v>0.2977388576656646</v>
      </c>
      <c r="V50" s="2">
        <f>T50-U50</f>
        <v>-1.020371874698367E-2</v>
      </c>
    </row>
    <row r="51" spans="1:22" ht="14.25" customHeight="1" x14ac:dyDescent="0.3">
      <c r="A51" s="9">
        <v>49</v>
      </c>
      <c r="B51" s="16" t="s">
        <v>0</v>
      </c>
      <c r="C51" s="14">
        <v>47</v>
      </c>
      <c r="D51" s="15">
        <v>22.43</v>
      </c>
      <c r="E51" s="1" t="s">
        <v>8</v>
      </c>
      <c r="F51" s="14">
        <v>0</v>
      </c>
      <c r="G51" s="14">
        <v>1</v>
      </c>
      <c r="H51" s="1">
        <v>0</v>
      </c>
      <c r="I51" s="14">
        <v>1</v>
      </c>
      <c r="J51" s="14">
        <v>1</v>
      </c>
      <c r="K51" s="3">
        <v>680</v>
      </c>
      <c r="L51" s="3">
        <v>330.45</v>
      </c>
      <c r="M51" s="3">
        <v>148.57</v>
      </c>
      <c r="N51" s="3">
        <v>23.82</v>
      </c>
      <c r="O51" s="14">
        <v>1</v>
      </c>
      <c r="P51" s="3">
        <v>3.33</v>
      </c>
      <c r="Q51" s="3">
        <v>3.07</v>
      </c>
      <c r="R51" s="3">
        <f>Q51-P51</f>
        <v>-0.26000000000000023</v>
      </c>
      <c r="S51" s="14">
        <v>2</v>
      </c>
      <c r="T51" s="2">
        <f>8884/87307</f>
        <v>0.10175587295405866</v>
      </c>
      <c r="U51" s="2">
        <f>32755/372040</f>
        <v>8.8041608429201168E-2</v>
      </c>
      <c r="V51" s="2">
        <f>T51-U51</f>
        <v>1.3714264524857495E-2</v>
      </c>
    </row>
    <row r="52" spans="1:22" ht="14.25" customHeight="1" x14ac:dyDescent="0.3">
      <c r="A52" s="9">
        <v>50</v>
      </c>
      <c r="B52" s="9" t="s">
        <v>0</v>
      </c>
      <c r="C52" s="1">
        <v>37</v>
      </c>
      <c r="D52" s="11">
        <v>22.98</v>
      </c>
      <c r="E52" s="1" t="s">
        <v>9</v>
      </c>
      <c r="F52" s="1">
        <v>0</v>
      </c>
      <c r="G52" s="1">
        <v>0</v>
      </c>
      <c r="H52" s="1">
        <v>0</v>
      </c>
      <c r="I52" s="1">
        <v>2</v>
      </c>
      <c r="J52" s="1">
        <v>1</v>
      </c>
      <c r="K52" s="5">
        <v>974</v>
      </c>
      <c r="L52" s="5">
        <v>333.18</v>
      </c>
      <c r="M52" s="5">
        <v>155.68</v>
      </c>
      <c r="N52" s="5">
        <v>38.51</v>
      </c>
      <c r="O52" s="1">
        <v>2</v>
      </c>
      <c r="P52" s="5">
        <v>2.54</v>
      </c>
      <c r="Q52" s="5">
        <v>2.67</v>
      </c>
      <c r="R52" s="3">
        <f>Q52-P52</f>
        <v>0.12999999999999989</v>
      </c>
      <c r="S52" s="1">
        <v>2</v>
      </c>
      <c r="T52" s="2">
        <f>15270/101830</f>
        <v>0.14995580870077579</v>
      </c>
      <c r="U52" s="2">
        <f>10383/82517</f>
        <v>0.12582861713343918</v>
      </c>
      <c r="V52" s="2">
        <f>T52-U52</f>
        <v>2.4127191567336614E-2</v>
      </c>
    </row>
    <row r="53" spans="1:22" ht="14.25" customHeight="1" x14ac:dyDescent="0.3">
      <c r="A53" s="9">
        <v>51</v>
      </c>
      <c r="B53" s="10" t="s">
        <v>0</v>
      </c>
      <c r="C53" s="1">
        <v>59</v>
      </c>
      <c r="D53" s="11">
        <v>23.42</v>
      </c>
      <c r="E53" s="1" t="s">
        <v>8</v>
      </c>
      <c r="F53" s="1">
        <v>0</v>
      </c>
      <c r="G53" s="1">
        <v>2</v>
      </c>
      <c r="H53" s="1">
        <v>0</v>
      </c>
      <c r="I53" s="1">
        <v>3</v>
      </c>
      <c r="J53" s="1">
        <v>0</v>
      </c>
      <c r="K53" s="5">
        <v>525</v>
      </c>
      <c r="L53" s="5">
        <v>281.49</v>
      </c>
      <c r="M53" s="5">
        <v>145.41</v>
      </c>
      <c r="N53" s="5">
        <v>23.49</v>
      </c>
      <c r="O53" s="1">
        <v>1</v>
      </c>
      <c r="P53" s="5">
        <v>2.4300000000000002</v>
      </c>
      <c r="Q53" s="5">
        <v>2.2250000000000001</v>
      </c>
      <c r="R53" s="3">
        <f>P53-Q53</f>
        <v>0.20500000000000007</v>
      </c>
      <c r="S53" s="1">
        <v>2</v>
      </c>
      <c r="T53" s="2">
        <f>(22252+7556)/117723</f>
        <v>0.25320455645880585</v>
      </c>
      <c r="U53" s="2">
        <f>(22492+10061)/117674</f>
        <v>0.27663715009262879</v>
      </c>
      <c r="V53" s="2">
        <f>T53-U53</f>
        <v>-2.343259363382294E-2</v>
      </c>
    </row>
    <row r="54" spans="1:22" ht="14.25" customHeight="1" x14ac:dyDescent="0.3">
      <c r="A54" s="9">
        <v>52</v>
      </c>
      <c r="B54" s="10" t="s">
        <v>0</v>
      </c>
      <c r="C54" s="1">
        <v>56</v>
      </c>
      <c r="D54" s="11">
        <v>23.5</v>
      </c>
      <c r="E54" s="1" t="s">
        <v>8</v>
      </c>
      <c r="F54" s="1">
        <v>0</v>
      </c>
      <c r="G54" s="1">
        <v>3</v>
      </c>
      <c r="H54" s="1">
        <v>0</v>
      </c>
      <c r="I54" s="1">
        <v>1</v>
      </c>
      <c r="J54" s="1">
        <v>0</v>
      </c>
      <c r="K54" s="5">
        <v>484</v>
      </c>
      <c r="L54" s="5">
        <v>281.14</v>
      </c>
      <c r="M54" s="5">
        <v>157.38999999999999</v>
      </c>
      <c r="N54" s="5">
        <v>17.852499999999999</v>
      </c>
      <c r="O54" s="1">
        <v>4</v>
      </c>
      <c r="P54" s="5">
        <v>4.75</v>
      </c>
      <c r="Q54" s="5">
        <v>3.37</v>
      </c>
      <c r="R54" s="3">
        <f>P54-Q54</f>
        <v>1.38</v>
      </c>
      <c r="S54" s="1">
        <v>2</v>
      </c>
      <c r="T54" s="2">
        <v>0.10979999999999999</v>
      </c>
      <c r="U54" s="2">
        <v>0.12590000000000001</v>
      </c>
      <c r="V54" s="2">
        <f>T54-U54</f>
        <v>-1.6100000000000017E-2</v>
      </c>
    </row>
    <row r="55" spans="1:22" x14ac:dyDescent="0.3">
      <c r="A55" s="9">
        <v>53</v>
      </c>
      <c r="B55" s="10" t="s">
        <v>0</v>
      </c>
      <c r="C55" s="1">
        <v>54</v>
      </c>
      <c r="D55" s="11">
        <v>26.49</v>
      </c>
      <c r="E55" s="1" t="s">
        <v>8</v>
      </c>
      <c r="F55" s="1">
        <v>0</v>
      </c>
      <c r="G55" s="1">
        <v>1</v>
      </c>
      <c r="H55" s="1">
        <v>0</v>
      </c>
      <c r="I55" s="1">
        <v>2</v>
      </c>
      <c r="J55" s="1">
        <v>0</v>
      </c>
      <c r="K55" s="5">
        <v>1070</v>
      </c>
      <c r="L55" s="5">
        <v>353.97</v>
      </c>
      <c r="M55" s="5">
        <v>158.25</v>
      </c>
      <c r="N55" s="5">
        <v>34.33</v>
      </c>
      <c r="O55" s="1">
        <v>2</v>
      </c>
      <c r="P55" s="5">
        <v>3.08</v>
      </c>
      <c r="Q55" s="5">
        <v>2.2400000000000002</v>
      </c>
      <c r="R55" s="3">
        <f>P55-Q55</f>
        <v>0.83999999999999986</v>
      </c>
      <c r="S55" s="1">
        <v>2</v>
      </c>
      <c r="T55" s="2">
        <f>(24472+17550)/140852</f>
        <v>0.29834152159713739</v>
      </c>
      <c r="U55" s="2">
        <f>(29013+20459)/169632</f>
        <v>0.29164308621014901</v>
      </c>
      <c r="V55" s="2">
        <f>T55-U55</f>
        <v>6.6984353869883884E-3</v>
      </c>
    </row>
    <row r="56" spans="1:22" x14ac:dyDescent="0.3">
      <c r="A56" s="9">
        <v>54</v>
      </c>
      <c r="B56" s="16" t="s">
        <v>0</v>
      </c>
      <c r="C56" s="14">
        <v>45</v>
      </c>
      <c r="D56" s="15">
        <v>27.3</v>
      </c>
      <c r="E56" s="1" t="s">
        <v>8</v>
      </c>
      <c r="F56" s="14">
        <v>0</v>
      </c>
      <c r="G56" s="14">
        <v>3</v>
      </c>
      <c r="H56" s="1">
        <v>0</v>
      </c>
      <c r="I56" s="14">
        <v>3</v>
      </c>
      <c r="J56" s="1">
        <v>1</v>
      </c>
      <c r="K56" s="5">
        <v>1023</v>
      </c>
      <c r="L56" s="5">
        <v>261.43</v>
      </c>
      <c r="M56" s="5">
        <v>167.63</v>
      </c>
      <c r="N56" s="5">
        <v>34.1</v>
      </c>
      <c r="O56" s="1">
        <v>2</v>
      </c>
      <c r="P56" s="5">
        <v>2.98</v>
      </c>
      <c r="Q56" s="5">
        <v>3.33</v>
      </c>
      <c r="R56" s="3">
        <f>Q56-P56</f>
        <v>0.35000000000000009</v>
      </c>
      <c r="S56" s="14">
        <v>2</v>
      </c>
      <c r="T56" s="4">
        <f>14389/124558</f>
        <v>0.11552048041876074</v>
      </c>
      <c r="U56" s="2">
        <f>19393/136896</f>
        <v>0.14166228377746612</v>
      </c>
      <c r="V56" s="2">
        <f>T56-U56</f>
        <v>-2.6141803358705376E-2</v>
      </c>
    </row>
    <row r="57" spans="1:22" x14ac:dyDescent="0.3">
      <c r="A57" s="9">
        <v>55</v>
      </c>
      <c r="B57" s="16" t="s">
        <v>0</v>
      </c>
      <c r="C57" s="14">
        <v>59</v>
      </c>
      <c r="D57" s="15">
        <v>27.6</v>
      </c>
      <c r="E57" s="1" t="s">
        <v>8</v>
      </c>
      <c r="F57" s="14">
        <v>0</v>
      </c>
      <c r="G57" s="14">
        <v>1</v>
      </c>
      <c r="H57" s="1">
        <v>0</v>
      </c>
      <c r="I57" s="14">
        <v>1</v>
      </c>
      <c r="J57" s="1">
        <v>0</v>
      </c>
      <c r="K57" s="5">
        <v>1447</v>
      </c>
      <c r="L57" s="5">
        <v>282.94</v>
      </c>
      <c r="M57" s="5">
        <v>160.29</v>
      </c>
      <c r="N57" s="5">
        <v>35</v>
      </c>
      <c r="O57" s="1">
        <v>1</v>
      </c>
      <c r="P57" s="5">
        <v>4.09</v>
      </c>
      <c r="Q57" s="5">
        <v>3.68</v>
      </c>
      <c r="R57" s="3">
        <f>P57-Q57</f>
        <v>0.4099999999999997</v>
      </c>
      <c r="S57" s="1">
        <v>2</v>
      </c>
      <c r="T57" s="2">
        <v>0.3165</v>
      </c>
      <c r="U57" s="2">
        <v>0.3251</v>
      </c>
      <c r="V57" s="2">
        <f>T57-U57</f>
        <v>-8.5999999999999965E-3</v>
      </c>
    </row>
    <row r="58" spans="1:22" x14ac:dyDescent="0.3">
      <c r="A58" s="9">
        <v>56</v>
      </c>
      <c r="B58" s="13" t="s">
        <v>0</v>
      </c>
      <c r="C58" s="14">
        <v>39</v>
      </c>
      <c r="D58" s="15">
        <v>28.08</v>
      </c>
      <c r="E58" s="1" t="s">
        <v>9</v>
      </c>
      <c r="F58" s="14">
        <v>0</v>
      </c>
      <c r="G58" s="14">
        <v>0</v>
      </c>
      <c r="H58" s="1">
        <v>0</v>
      </c>
      <c r="I58" s="14">
        <v>1</v>
      </c>
      <c r="J58" s="14">
        <v>0</v>
      </c>
      <c r="K58" s="3">
        <v>1239</v>
      </c>
      <c r="L58" s="3">
        <v>311.89999999999998</v>
      </c>
      <c r="M58" s="3">
        <v>155.68</v>
      </c>
      <c r="N58" s="3">
        <v>35.6</v>
      </c>
      <c r="O58" s="14">
        <v>2</v>
      </c>
      <c r="P58" s="3">
        <v>2.5299999999999998</v>
      </c>
      <c r="Q58" s="3">
        <v>3.26</v>
      </c>
      <c r="R58" s="3">
        <f>P58-Q58</f>
        <v>-0.73</v>
      </c>
      <c r="S58" s="14">
        <v>2</v>
      </c>
      <c r="T58" s="2">
        <f>(27600+12916)/129433</f>
        <v>0.31302681696321649</v>
      </c>
      <c r="U58" s="2">
        <f>(28653+8823)/121601</f>
        <v>0.30818825503079744</v>
      </c>
      <c r="V58" s="2">
        <f>T58-U58</f>
        <v>4.8385619324190499E-3</v>
      </c>
    </row>
    <row r="59" spans="1:22" ht="15" customHeight="1" x14ac:dyDescent="0.3">
      <c r="A59" s="9">
        <v>57</v>
      </c>
      <c r="B59" s="16" t="s">
        <v>0</v>
      </c>
      <c r="C59" s="14">
        <v>49</v>
      </c>
      <c r="D59" s="15">
        <v>28.6</v>
      </c>
      <c r="E59" s="1" t="s">
        <v>9</v>
      </c>
      <c r="F59" s="14">
        <v>1</v>
      </c>
      <c r="G59" s="14">
        <v>2</v>
      </c>
      <c r="H59" s="1">
        <v>0</v>
      </c>
      <c r="I59" s="14">
        <v>1</v>
      </c>
      <c r="J59" s="14">
        <v>1</v>
      </c>
      <c r="K59" s="3">
        <v>1226</v>
      </c>
      <c r="L59" s="3">
        <v>350.35</v>
      </c>
      <c r="M59" s="3">
        <v>165.38</v>
      </c>
      <c r="N59" s="3">
        <v>37.36</v>
      </c>
      <c r="O59" s="14">
        <v>2</v>
      </c>
      <c r="P59" s="3">
        <v>3.57</v>
      </c>
      <c r="Q59" s="3">
        <v>2.66</v>
      </c>
      <c r="R59" s="3">
        <f>Q59-P59</f>
        <v>-0.9099999999999997</v>
      </c>
      <c r="S59" s="14">
        <v>2</v>
      </c>
      <c r="T59" s="2">
        <f>13434/130074</f>
        <v>0.10327967157156695</v>
      </c>
      <c r="U59" s="4">
        <f>13255/144182</f>
        <v>9.1932418748526173E-2</v>
      </c>
      <c r="V59" s="2">
        <f>T59-U59</f>
        <v>1.1347252823040777E-2</v>
      </c>
    </row>
    <row r="60" spans="1:22" x14ac:dyDescent="0.3">
      <c r="A60" s="9">
        <v>58</v>
      </c>
      <c r="B60" s="16" t="s">
        <v>0</v>
      </c>
      <c r="C60" s="14">
        <v>44</v>
      </c>
      <c r="D60" s="15">
        <v>29.2</v>
      </c>
      <c r="E60" s="1" t="s">
        <v>9</v>
      </c>
      <c r="F60" s="14">
        <v>1</v>
      </c>
      <c r="G60" s="14">
        <v>2</v>
      </c>
      <c r="H60" s="1">
        <v>0</v>
      </c>
      <c r="I60" s="14">
        <v>2</v>
      </c>
      <c r="J60" s="1">
        <v>0</v>
      </c>
      <c r="K60" s="5">
        <v>929</v>
      </c>
      <c r="L60" s="5">
        <v>275.39</v>
      </c>
      <c r="M60" s="5">
        <v>157.99</v>
      </c>
      <c r="N60" s="5">
        <v>30.4375</v>
      </c>
      <c r="O60" s="1">
        <v>6</v>
      </c>
      <c r="P60" s="5">
        <v>3.01</v>
      </c>
      <c r="Q60" s="5">
        <v>2.89</v>
      </c>
      <c r="R60" s="3">
        <f>P60-Q60</f>
        <v>0.11999999999999966</v>
      </c>
      <c r="S60" s="14">
        <v>2</v>
      </c>
      <c r="T60" s="2">
        <f>(62694+11015)/240960</f>
        <v>0.3058972443559097</v>
      </c>
      <c r="U60" s="2">
        <f>65590/234620</f>
        <v>0.27955843491603444</v>
      </c>
      <c r="V60" s="2">
        <f>T60-U60</f>
        <v>2.6338809439875266E-2</v>
      </c>
    </row>
    <row r="61" spans="1:22" ht="15" customHeight="1" x14ac:dyDescent="0.3">
      <c r="A61" s="9">
        <v>59</v>
      </c>
      <c r="B61" s="10" t="s">
        <v>0</v>
      </c>
      <c r="C61" s="1">
        <v>49</v>
      </c>
      <c r="D61" s="11">
        <v>29.41</v>
      </c>
      <c r="E61" s="1" t="s">
        <v>8</v>
      </c>
      <c r="F61" s="1">
        <v>0</v>
      </c>
      <c r="G61" s="1">
        <v>0</v>
      </c>
      <c r="H61" s="1">
        <v>0</v>
      </c>
      <c r="I61" s="1">
        <v>2</v>
      </c>
      <c r="J61" s="1">
        <v>0</v>
      </c>
      <c r="K61" s="5">
        <v>1336</v>
      </c>
      <c r="L61" s="5">
        <v>361.33</v>
      </c>
      <c r="M61" s="5">
        <v>159.24</v>
      </c>
      <c r="N61" s="5">
        <v>45.97</v>
      </c>
      <c r="O61" s="1">
        <v>1</v>
      </c>
      <c r="P61" s="5">
        <v>3.01</v>
      </c>
      <c r="Q61" s="5">
        <v>2.85</v>
      </c>
      <c r="R61" s="3">
        <f>P61-Q61</f>
        <v>0.1599999999999997</v>
      </c>
      <c r="S61" s="1">
        <v>2</v>
      </c>
      <c r="T61" s="2">
        <f>(5445+2228)/75118</f>
        <v>0.1021459570276099</v>
      </c>
      <c r="U61" s="2">
        <f>(4144+4243)/86016</f>
        <v>9.7505115327380959E-2</v>
      </c>
      <c r="V61" s="2">
        <f>T61-U61</f>
        <v>4.6408417002289371E-3</v>
      </c>
    </row>
    <row r="62" spans="1:22" x14ac:dyDescent="0.3">
      <c r="A62" s="9">
        <v>60</v>
      </c>
      <c r="B62" s="10" t="s">
        <v>0</v>
      </c>
      <c r="C62" s="1">
        <v>64</v>
      </c>
      <c r="D62" s="11">
        <v>30.18</v>
      </c>
      <c r="E62" s="1" t="s">
        <v>8</v>
      </c>
      <c r="F62" s="1">
        <v>1</v>
      </c>
      <c r="G62" s="1">
        <v>1</v>
      </c>
      <c r="H62" s="1">
        <v>1</v>
      </c>
      <c r="I62" s="1">
        <v>2</v>
      </c>
      <c r="J62" s="1">
        <v>1</v>
      </c>
      <c r="K62" s="5">
        <v>1396</v>
      </c>
      <c r="L62" s="5">
        <v>352.51</v>
      </c>
      <c r="M62" s="5">
        <v>158.97999999999999</v>
      </c>
      <c r="N62" s="5">
        <v>40.81</v>
      </c>
      <c r="O62" s="1">
        <v>2</v>
      </c>
      <c r="P62" s="5">
        <v>2.39</v>
      </c>
      <c r="Q62" s="5">
        <v>2.39</v>
      </c>
      <c r="R62" s="3">
        <f>Q62-P62</f>
        <v>0</v>
      </c>
      <c r="S62" s="1">
        <v>2</v>
      </c>
      <c r="T62" s="2">
        <f>(15065+1921)/84121</f>
        <v>0.20192341983571285</v>
      </c>
      <c r="U62" s="2">
        <f>14640/79417</f>
        <v>0.18434340254605436</v>
      </c>
      <c r="V62" s="2">
        <f>T62-U62</f>
        <v>1.7580017289658495E-2</v>
      </c>
    </row>
    <row r="63" spans="1:22" ht="15" customHeight="1" x14ac:dyDescent="0.3">
      <c r="A63" s="9">
        <v>61</v>
      </c>
      <c r="B63" s="16" t="s">
        <v>0</v>
      </c>
      <c r="C63" s="14">
        <v>56</v>
      </c>
      <c r="D63" s="15">
        <v>31</v>
      </c>
      <c r="E63" s="1" t="s">
        <v>8</v>
      </c>
      <c r="F63" s="14">
        <v>0</v>
      </c>
      <c r="G63" s="14">
        <v>1</v>
      </c>
      <c r="H63" s="1">
        <v>0</v>
      </c>
      <c r="I63" s="14">
        <v>1</v>
      </c>
      <c r="J63" s="14">
        <v>0</v>
      </c>
      <c r="K63" s="3">
        <v>1214</v>
      </c>
      <c r="L63" s="3">
        <v>271.45</v>
      </c>
      <c r="M63" s="3">
        <v>158.08000000000001</v>
      </c>
      <c r="N63" s="3">
        <v>40.119999999999997</v>
      </c>
      <c r="O63" s="14">
        <v>3</v>
      </c>
      <c r="P63" s="3">
        <v>2.96</v>
      </c>
      <c r="Q63" s="3">
        <v>2.72</v>
      </c>
      <c r="R63" s="3">
        <f>P63-Q63</f>
        <v>0.23999999999999977</v>
      </c>
      <c r="S63" s="14">
        <v>2</v>
      </c>
      <c r="T63" s="2">
        <f>16761/161118</f>
        <v>0.10402934495214687</v>
      </c>
      <c r="U63" s="2">
        <f>13417/160431</f>
        <v>8.36309690770487E-2</v>
      </c>
      <c r="V63" s="2">
        <f>T63-U63</f>
        <v>2.0398375875098171E-2</v>
      </c>
    </row>
    <row r="64" spans="1:22" x14ac:dyDescent="0.3">
      <c r="A64" s="9">
        <v>62</v>
      </c>
      <c r="B64" s="13" t="s">
        <v>0</v>
      </c>
      <c r="C64" s="14">
        <v>56</v>
      </c>
      <c r="D64" s="15">
        <v>32.83</v>
      </c>
      <c r="E64" s="1" t="s">
        <v>9</v>
      </c>
      <c r="F64" s="14">
        <v>1</v>
      </c>
      <c r="G64" s="14">
        <v>1</v>
      </c>
      <c r="H64" s="1">
        <v>1</v>
      </c>
      <c r="I64" s="14">
        <v>1</v>
      </c>
      <c r="J64" s="14">
        <v>0</v>
      </c>
      <c r="K64" s="3">
        <v>1185</v>
      </c>
      <c r="L64" s="3">
        <v>365.91</v>
      </c>
      <c r="M64" s="3">
        <v>150.18</v>
      </c>
      <c r="N64" s="3">
        <v>33.03</v>
      </c>
      <c r="O64" s="14">
        <v>3</v>
      </c>
      <c r="P64" s="3">
        <v>2.31</v>
      </c>
      <c r="Q64" s="3">
        <v>2.4700000000000002</v>
      </c>
      <c r="R64" s="3">
        <f>P64-Q64</f>
        <v>-0.16000000000000014</v>
      </c>
      <c r="S64" s="14">
        <v>2</v>
      </c>
      <c r="T64" s="2">
        <f>(5924+3650)/132430</f>
        <v>7.2294797251378093E-2</v>
      </c>
      <c r="U64" s="2">
        <f>(5772+4005)/140066</f>
        <v>6.9802807248011647E-2</v>
      </c>
      <c r="V64" s="2">
        <f>T64-U64</f>
        <v>2.4919900033664455E-3</v>
      </c>
    </row>
    <row r="65" spans="1:22" x14ac:dyDescent="0.3">
      <c r="A65" s="9">
        <v>63</v>
      </c>
      <c r="B65" s="12" t="s">
        <v>0</v>
      </c>
      <c r="C65" s="14">
        <v>42</v>
      </c>
      <c r="D65" s="15">
        <v>22.1</v>
      </c>
      <c r="E65" s="1" t="s">
        <v>9</v>
      </c>
      <c r="F65" s="14">
        <v>0</v>
      </c>
      <c r="G65" s="14">
        <v>1</v>
      </c>
      <c r="H65" s="1">
        <v>0</v>
      </c>
      <c r="I65" s="14">
        <v>1</v>
      </c>
      <c r="J65" s="1">
        <v>1</v>
      </c>
      <c r="K65" s="5">
        <v>743</v>
      </c>
      <c r="L65" s="5">
        <v>306.41000000000003</v>
      </c>
      <c r="M65" s="5">
        <v>187.28</v>
      </c>
      <c r="N65" s="5">
        <v>21.162500000000001</v>
      </c>
      <c r="O65" s="1">
        <v>3</v>
      </c>
      <c r="P65" s="9">
        <v>3.23</v>
      </c>
      <c r="Q65" s="5">
        <v>2.5499999999999998</v>
      </c>
      <c r="R65" s="5">
        <f>Q65-P65</f>
        <v>-0.68000000000000016</v>
      </c>
      <c r="S65" s="14">
        <v>3</v>
      </c>
      <c r="T65" s="2">
        <f>(2953+20034)/108062</f>
        <v>0.21272047528270807</v>
      </c>
      <c r="U65" s="2">
        <f>(21262+11668)/124375</f>
        <v>0.26476381909547736</v>
      </c>
      <c r="V65" s="2">
        <f>T65-U65</f>
        <v>-5.2043343812769288E-2</v>
      </c>
    </row>
    <row r="66" spans="1:22" x14ac:dyDescent="0.3">
      <c r="A66" s="9">
        <v>64</v>
      </c>
      <c r="B66" s="10" t="s">
        <v>0</v>
      </c>
      <c r="C66" s="1">
        <v>66</v>
      </c>
      <c r="D66" s="11">
        <v>23.12</v>
      </c>
      <c r="E66" s="1" t="s">
        <v>9</v>
      </c>
      <c r="F66" s="1">
        <v>0</v>
      </c>
      <c r="G66" s="1">
        <v>2</v>
      </c>
      <c r="H66" s="1">
        <v>0</v>
      </c>
      <c r="I66" s="1">
        <v>3</v>
      </c>
      <c r="J66" s="1">
        <v>0</v>
      </c>
      <c r="K66" s="5">
        <v>715</v>
      </c>
      <c r="L66" s="5">
        <v>344.14</v>
      </c>
      <c r="M66" s="5">
        <v>148.56</v>
      </c>
      <c r="N66" s="5">
        <v>26.27</v>
      </c>
      <c r="O66" s="1">
        <v>2</v>
      </c>
      <c r="P66" s="5">
        <v>3.81</v>
      </c>
      <c r="Q66" s="5">
        <v>2.93</v>
      </c>
      <c r="R66" s="5">
        <f>P66-Q66</f>
        <v>0.87999999999999989</v>
      </c>
      <c r="S66" s="1">
        <v>3</v>
      </c>
      <c r="T66" s="2">
        <f>(11182+9110)/138153</f>
        <v>0.14688063234240298</v>
      </c>
      <c r="U66" s="2">
        <f>(16428+2555)/88738</f>
        <v>0.21392188239536614</v>
      </c>
      <c r="V66" s="2">
        <f>T66-U66</f>
        <v>-6.7041250052963158E-2</v>
      </c>
    </row>
    <row r="67" spans="1:22" ht="15" customHeight="1" x14ac:dyDescent="0.3">
      <c r="A67" s="9">
        <v>65</v>
      </c>
      <c r="B67" s="9" t="s">
        <v>0</v>
      </c>
      <c r="C67" s="1">
        <v>38</v>
      </c>
      <c r="D67" s="11">
        <v>24.85</v>
      </c>
      <c r="E67" s="1" t="s">
        <v>8</v>
      </c>
      <c r="F67" s="1">
        <v>1</v>
      </c>
      <c r="G67" s="1">
        <v>1</v>
      </c>
      <c r="H67" s="1">
        <v>0</v>
      </c>
      <c r="I67" s="1">
        <v>1</v>
      </c>
      <c r="J67" s="1">
        <v>1</v>
      </c>
      <c r="K67" s="5">
        <v>862</v>
      </c>
      <c r="L67" s="5">
        <v>303.69</v>
      </c>
      <c r="M67" s="5">
        <v>153.12</v>
      </c>
      <c r="N67" s="5">
        <v>32.32</v>
      </c>
      <c r="O67" s="1">
        <v>0</v>
      </c>
      <c r="P67" s="5">
        <v>3.75</v>
      </c>
      <c r="Q67" s="5">
        <v>2.58</v>
      </c>
      <c r="R67" s="5">
        <f>Q67-P67</f>
        <v>-1.17</v>
      </c>
      <c r="S67" s="1">
        <v>3</v>
      </c>
      <c r="T67" s="2">
        <f>20765/86707</f>
        <v>0.23948470135052533</v>
      </c>
      <c r="U67" s="2">
        <f>(32221+17981)/155867</f>
        <v>0.32208228810460199</v>
      </c>
      <c r="V67" s="2">
        <f>T67-U67</f>
        <v>-8.2597586754076663E-2</v>
      </c>
    </row>
    <row r="68" spans="1:22" ht="15" customHeight="1" x14ac:dyDescent="0.3">
      <c r="A68" s="9">
        <v>66</v>
      </c>
      <c r="B68" s="16" t="s">
        <v>0</v>
      </c>
      <c r="C68" s="14">
        <v>54</v>
      </c>
      <c r="D68" s="15">
        <v>25.6</v>
      </c>
      <c r="E68" s="1" t="s">
        <v>9</v>
      </c>
      <c r="F68" s="14">
        <v>0</v>
      </c>
      <c r="G68" s="14">
        <v>2</v>
      </c>
      <c r="H68" s="1">
        <v>0</v>
      </c>
      <c r="I68" s="14">
        <v>2</v>
      </c>
      <c r="J68" s="9">
        <v>1</v>
      </c>
      <c r="K68" s="5">
        <v>825</v>
      </c>
      <c r="L68" s="5">
        <v>288.28999999999996</v>
      </c>
      <c r="M68" s="5">
        <v>159.25</v>
      </c>
      <c r="N68" s="5">
        <v>32.875</v>
      </c>
      <c r="O68" s="1">
        <v>1</v>
      </c>
      <c r="P68" s="5">
        <v>2.92</v>
      </c>
      <c r="Q68" s="5">
        <v>2.5499999999999998</v>
      </c>
      <c r="R68" s="5">
        <f>Q68-P68</f>
        <v>-0.37000000000000011</v>
      </c>
      <c r="S68" s="14">
        <v>3</v>
      </c>
      <c r="T68" s="2">
        <f>7000/111999</f>
        <v>6.2500558040696791E-2</v>
      </c>
      <c r="U68" s="2">
        <f>41045/355339</f>
        <v>0.11550941495304484</v>
      </c>
      <c r="V68" s="2">
        <f>T68-U68</f>
        <v>-5.3008856912348051E-2</v>
      </c>
    </row>
    <row r="69" spans="1:22" x14ac:dyDescent="0.3">
      <c r="A69" s="9">
        <v>67</v>
      </c>
      <c r="B69" s="16" t="s">
        <v>0</v>
      </c>
      <c r="C69" s="14">
        <v>64</v>
      </c>
      <c r="D69" s="15">
        <v>27.2</v>
      </c>
      <c r="E69" s="1" t="s">
        <v>9</v>
      </c>
      <c r="F69" s="14">
        <v>0</v>
      </c>
      <c r="G69" s="14">
        <v>3</v>
      </c>
      <c r="H69" s="1">
        <v>0</v>
      </c>
      <c r="I69" s="14">
        <v>1</v>
      </c>
      <c r="J69" s="1">
        <v>0</v>
      </c>
      <c r="K69" s="5">
        <v>924</v>
      </c>
      <c r="L69" s="5">
        <v>290.39999999999998</v>
      </c>
      <c r="M69" s="5">
        <v>144.72</v>
      </c>
      <c r="N69" s="5">
        <v>32.880000000000003</v>
      </c>
      <c r="O69" s="1">
        <v>3</v>
      </c>
      <c r="P69" s="5">
        <v>3.43</v>
      </c>
      <c r="Q69" s="5">
        <v>3.75</v>
      </c>
      <c r="R69" s="5">
        <f>P69-Q69</f>
        <v>-0.31999999999999984</v>
      </c>
      <c r="S69" s="14">
        <v>3</v>
      </c>
      <c r="T69" s="2">
        <v>1.77E-2</v>
      </c>
      <c r="U69" s="2">
        <v>7.7100000000000002E-2</v>
      </c>
      <c r="V69" s="2">
        <f>T69-U69</f>
        <v>-5.9400000000000001E-2</v>
      </c>
    </row>
    <row r="70" spans="1:22" x14ac:dyDescent="0.3">
      <c r="A70" s="9">
        <v>68</v>
      </c>
      <c r="B70" s="16" t="s">
        <v>0</v>
      </c>
      <c r="C70" s="14">
        <v>50</v>
      </c>
      <c r="D70" s="15">
        <v>29.04</v>
      </c>
      <c r="E70" s="1" t="s">
        <v>8</v>
      </c>
      <c r="F70" s="14">
        <v>1</v>
      </c>
      <c r="G70" s="14">
        <v>1</v>
      </c>
      <c r="H70" s="1">
        <v>0</v>
      </c>
      <c r="I70" s="14">
        <v>2</v>
      </c>
      <c r="J70" s="14">
        <v>0</v>
      </c>
      <c r="K70" s="3">
        <v>1200</v>
      </c>
      <c r="L70" s="3">
        <v>341.29</v>
      </c>
      <c r="M70" s="3">
        <v>158.76</v>
      </c>
      <c r="N70" s="3">
        <v>42.116</v>
      </c>
      <c r="O70" s="14">
        <v>1</v>
      </c>
      <c r="P70" s="3">
        <v>2.08</v>
      </c>
      <c r="Q70" s="3">
        <v>2.93</v>
      </c>
      <c r="R70" s="5">
        <f>P70-Q70</f>
        <v>-0.85000000000000009</v>
      </c>
      <c r="S70" s="14">
        <v>3</v>
      </c>
      <c r="T70" s="2">
        <f>3941/93995</f>
        <v>4.1927762115006116E-2</v>
      </c>
      <c r="U70" s="2">
        <f>7408/96393</f>
        <v>7.6852053572354834E-2</v>
      </c>
      <c r="V70" s="2">
        <f>T70-U70</f>
        <v>-3.4924291457348718E-2</v>
      </c>
    </row>
    <row r="71" spans="1:22" x14ac:dyDescent="0.3">
      <c r="C71" s="5"/>
      <c r="D71" s="5"/>
      <c r="E71" s="5"/>
      <c r="F71" s="5"/>
      <c r="G71" s="5"/>
      <c r="H71" s="5"/>
      <c r="I71" s="5"/>
      <c r="J71" s="5"/>
      <c r="O71" s="5"/>
      <c r="R71" s="5"/>
      <c r="S71" s="5"/>
      <c r="T71" s="5"/>
      <c r="U71" s="5"/>
      <c r="V71" s="5"/>
    </row>
    <row r="72" spans="1:22" x14ac:dyDescent="0.3"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</row>
    <row r="73" spans="1:22" x14ac:dyDescent="0.3"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</row>
  </sheetData>
  <autoFilter ref="B2:V70">
    <sortState ref="B2:W69">
      <sortCondition ref="S1:S69"/>
    </sortState>
  </autoFilter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Total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SNUH</dc:creator>
  <cp:lastModifiedBy>SNUH</cp:lastModifiedBy>
  <dcterms:created xsi:type="dcterms:W3CDTF">2022-07-18T05:39:52Z</dcterms:created>
  <dcterms:modified xsi:type="dcterms:W3CDTF">2022-12-26T02:27:29Z</dcterms:modified>
</cp:coreProperties>
</file>