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mc:AlternateContent xmlns:mc="http://schemas.openxmlformats.org/markup-compatibility/2006">
    <mc:Choice Requires="x15">
      <x15ac:absPath xmlns:x15ac="http://schemas.microsoft.com/office/spreadsheetml/2010/11/ac" url="/Users/marychang/Desktop/"/>
    </mc:Choice>
  </mc:AlternateContent>
  <bookViews>
    <workbookView xWindow="3340" yWindow="2460" windowWidth="20720" windowHeight="13940" tabRatio="500" activeTab="1"/>
  </bookViews>
  <sheets>
    <sheet name="Cyanobacterium" sheetId="1" r:id="rId1"/>
    <sheet name="Phototroph" sheetId="2" r:id="rId2"/>
    <sheet name="Methanotroph" sheetId="3" r:id="rId3"/>
    <sheet name="Sulfur-oxidizing bacteria" sheetId="4" r:id="rId4"/>
    <sheet name="Ammonia-oxidizing bacteria" sheetId="5" r:id="rId5"/>
    <sheet name="Nitrogen-fixation bacteria" sheetId="6" r:id="rId6"/>
    <sheet name="Thermophilic bacteria" sheetId="7" r:id="rId7"/>
    <sheet name="Proteobacteria&amp;others" sheetId="31" r:id="rId8"/>
    <sheet name="Iron-oxidizing bacteria" sheetId="8" r:id="rId9"/>
    <sheet name="Archeae" sheetId="10" r:id="rId10"/>
    <sheet name="Human pathogen" sheetId="9" r:id="rId11"/>
    <sheet name="Planctomycetes" sheetId="28" r:id="rId12"/>
    <sheet name="Actinobacteria" sheetId="29" r:id="rId13"/>
    <sheet name="Fungi" sheetId="13" r:id="rId14"/>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I99" i="28" l="1"/>
  <c r="I98" i="28"/>
  <c r="I97" i="28"/>
  <c r="I96" i="28"/>
  <c r="I211" i="6"/>
  <c r="I210" i="6"/>
  <c r="I209" i="6"/>
  <c r="I208" i="6"/>
  <c r="I207" i="6"/>
  <c r="I206" i="6"/>
  <c r="I205" i="6"/>
  <c r="I204" i="6"/>
  <c r="I203" i="6"/>
  <c r="I868" i="31"/>
  <c r="I850" i="31"/>
  <c r="I202" i="6"/>
  <c r="I201" i="6"/>
  <c r="I755" i="31"/>
  <c r="I200" i="6"/>
  <c r="I199" i="6"/>
  <c r="I198" i="6"/>
  <c r="I197" i="6"/>
  <c r="I196" i="6"/>
  <c r="I195" i="6"/>
  <c r="I194" i="6"/>
  <c r="I752" i="31"/>
  <c r="I608" i="29"/>
  <c r="I720" i="31"/>
  <c r="I717" i="31"/>
  <c r="I193" i="6"/>
  <c r="I192" i="6"/>
  <c r="I191" i="6"/>
  <c r="I190" i="6"/>
  <c r="I689" i="31"/>
  <c r="I673" i="31"/>
  <c r="I801" i="1"/>
  <c r="I607" i="29"/>
  <c r="I598" i="31"/>
  <c r="I800" i="1"/>
  <c r="I103" i="2"/>
  <c r="I799" i="1"/>
  <c r="I336" i="31"/>
  <c r="I798" i="1"/>
  <c r="I141" i="31"/>
  <c r="I83" i="31"/>
  <c r="I67" i="31"/>
  <c r="I44" i="31"/>
  <c r="I26" i="31"/>
  <c r="I7" i="31"/>
  <c r="I175" i="6"/>
  <c r="I171" i="6"/>
  <c r="I346" i="29"/>
  <c r="I160" i="5"/>
  <c r="I95" i="28"/>
  <c r="I27" i="9"/>
  <c r="I797" i="1"/>
  <c r="I796" i="1"/>
  <c r="I793" i="1"/>
  <c r="I794" i="1"/>
  <c r="I795" i="1"/>
  <c r="I988" i="31"/>
  <c r="I94" i="28"/>
  <c r="I986" i="31"/>
  <c r="I987" i="31"/>
  <c r="I985" i="31"/>
  <c r="I984" i="31"/>
  <c r="I983" i="31"/>
  <c r="I982" i="31"/>
  <c r="I606" i="29"/>
  <c r="I981" i="31"/>
  <c r="I980" i="31"/>
  <c r="I605" i="29"/>
  <c r="I604" i="29"/>
  <c r="I603" i="29"/>
  <c r="I602" i="29"/>
  <c r="I601" i="29"/>
  <c r="I102" i="2"/>
  <c r="I979" i="31"/>
  <c r="I978" i="31"/>
  <c r="I977" i="31"/>
  <c r="I976" i="31"/>
  <c r="I600" i="29"/>
  <c r="I975" i="31"/>
  <c r="I792" i="1"/>
  <c r="I599" i="29"/>
  <c r="I25" i="31"/>
  <c r="I974" i="31"/>
  <c r="I973" i="31"/>
  <c r="I972" i="31"/>
  <c r="I971" i="31"/>
  <c r="I970" i="31"/>
  <c r="I969" i="31"/>
  <c r="I968" i="31"/>
  <c r="I967" i="31"/>
  <c r="I966" i="31"/>
  <c r="I965" i="31"/>
  <c r="I964" i="31"/>
  <c r="I963" i="31"/>
  <c r="I962" i="31"/>
  <c r="I961" i="31"/>
  <c r="I960" i="31"/>
  <c r="I959" i="31"/>
  <c r="I958" i="31"/>
  <c r="I957" i="31"/>
  <c r="I956" i="31"/>
  <c r="I955" i="31"/>
  <c r="I954" i="31"/>
  <c r="I953" i="31"/>
  <c r="I952" i="31"/>
  <c r="I951" i="31"/>
  <c r="I950" i="31"/>
  <c r="I949" i="31"/>
  <c r="I948" i="31"/>
  <c r="I947" i="31"/>
  <c r="I946" i="31"/>
  <c r="I945" i="31"/>
  <c r="I944" i="31"/>
  <c r="I943" i="31"/>
  <c r="I942" i="31"/>
  <c r="I941" i="31"/>
  <c r="I940" i="31"/>
  <c r="I939" i="31"/>
  <c r="I938" i="31"/>
  <c r="I937" i="31"/>
  <c r="I936" i="31"/>
  <c r="I935" i="31"/>
  <c r="I934" i="31"/>
  <c r="I933" i="31"/>
  <c r="I932" i="31"/>
  <c r="I931" i="31"/>
  <c r="I930" i="31"/>
  <c r="I929" i="31"/>
  <c r="I928" i="31"/>
  <c r="I927" i="31"/>
  <c r="I926" i="31"/>
  <c r="I925" i="31"/>
  <c r="I924" i="31"/>
  <c r="I923" i="31"/>
  <c r="I922" i="31"/>
  <c r="I921" i="31"/>
  <c r="I920" i="31"/>
  <c r="I919" i="31"/>
  <c r="I918" i="31"/>
  <c r="I917" i="31"/>
  <c r="I916" i="31"/>
  <c r="I915" i="31"/>
  <c r="I914" i="31"/>
  <c r="I913" i="31"/>
  <c r="I912" i="31"/>
  <c r="I911" i="31"/>
  <c r="I910" i="31"/>
  <c r="I909" i="31"/>
  <c r="I908" i="31"/>
  <c r="I907" i="31"/>
  <c r="I906" i="31"/>
  <c r="I905" i="31"/>
  <c r="I904" i="31"/>
  <c r="I903" i="31"/>
  <c r="I902" i="31"/>
  <c r="I901" i="31"/>
  <c r="I900" i="31"/>
  <c r="I899" i="31"/>
  <c r="I898" i="31"/>
  <c r="I897" i="31"/>
  <c r="I896" i="31"/>
  <c r="I895" i="31"/>
  <c r="I894" i="31"/>
  <c r="I893" i="31"/>
  <c r="I892" i="31"/>
  <c r="I891" i="31"/>
  <c r="I890" i="31"/>
  <c r="I889" i="31"/>
  <c r="I888" i="31"/>
  <c r="I887" i="31"/>
  <c r="I886" i="31"/>
  <c r="I885" i="31"/>
  <c r="I884" i="31"/>
  <c r="I883" i="31"/>
  <c r="I882" i="31"/>
  <c r="I881" i="31"/>
  <c r="I880" i="31"/>
  <c r="I879" i="31"/>
  <c r="I878" i="31"/>
  <c r="I877" i="31"/>
  <c r="I876" i="31"/>
  <c r="I875" i="31"/>
  <c r="I874" i="31"/>
  <c r="I873" i="31"/>
  <c r="I872" i="31"/>
  <c r="I871" i="31"/>
  <c r="I870" i="31"/>
  <c r="I869" i="31"/>
  <c r="I867" i="31"/>
  <c r="I866" i="31"/>
  <c r="I865" i="31"/>
  <c r="I864" i="31"/>
  <c r="I863" i="31"/>
  <c r="I862" i="31"/>
  <c r="I861" i="31"/>
  <c r="I860" i="31"/>
  <c r="I859" i="31"/>
  <c r="I858" i="31"/>
  <c r="I857" i="31"/>
  <c r="I856" i="31"/>
  <c r="I855" i="31"/>
  <c r="I854" i="31"/>
  <c r="I853" i="31"/>
  <c r="I852" i="31"/>
  <c r="I851" i="31"/>
  <c r="I849" i="31"/>
  <c r="I848" i="31"/>
  <c r="I847" i="31"/>
  <c r="I846" i="31"/>
  <c r="I845" i="31"/>
  <c r="I844" i="31"/>
  <c r="I843" i="31"/>
  <c r="I842" i="31"/>
  <c r="I841" i="31"/>
  <c r="I840" i="31"/>
  <c r="I839" i="31"/>
  <c r="I838" i="31"/>
  <c r="I837" i="31"/>
  <c r="I836" i="31"/>
  <c r="I835" i="31"/>
  <c r="I834" i="31"/>
  <c r="I833" i="31"/>
  <c r="I832" i="31"/>
  <c r="I831" i="31"/>
  <c r="I830" i="31"/>
  <c r="I829" i="31"/>
  <c r="I828" i="31"/>
  <c r="I827" i="31"/>
  <c r="I826" i="31"/>
  <c r="I825" i="31"/>
  <c r="I824" i="31"/>
  <c r="I823" i="31"/>
  <c r="I822" i="31"/>
  <c r="I821" i="31"/>
  <c r="I820" i="31"/>
  <c r="I819" i="31"/>
  <c r="I818" i="31"/>
  <c r="I817" i="31"/>
  <c r="I816" i="31"/>
  <c r="I815" i="31"/>
  <c r="I814" i="31"/>
  <c r="I813" i="31"/>
  <c r="I812" i="31"/>
  <c r="I811" i="31"/>
  <c r="I810" i="31"/>
  <c r="I809" i="31"/>
  <c r="I808" i="31"/>
  <c r="I807" i="31"/>
  <c r="I806" i="31"/>
  <c r="I805" i="31"/>
  <c r="I804" i="31"/>
  <c r="I803" i="31"/>
  <c r="I802" i="31"/>
  <c r="I801" i="31"/>
  <c r="I800" i="31"/>
  <c r="I799" i="31"/>
  <c r="I798" i="31"/>
  <c r="I797" i="31"/>
  <c r="I796" i="31"/>
  <c r="I795" i="31"/>
  <c r="I794" i="31"/>
  <c r="I793" i="31"/>
  <c r="I792" i="31"/>
  <c r="I791" i="31"/>
  <c r="I790" i="31"/>
  <c r="I789" i="31"/>
  <c r="I788" i="31"/>
  <c r="I787" i="31"/>
  <c r="I786" i="31"/>
  <c r="I785" i="31"/>
  <c r="I784" i="31"/>
  <c r="I783" i="31"/>
  <c r="I782" i="31"/>
  <c r="I781" i="31"/>
  <c r="I780" i="31"/>
  <c r="I779" i="31"/>
  <c r="I778" i="31"/>
  <c r="I777" i="31"/>
  <c r="I776" i="31"/>
  <c r="I775" i="31"/>
  <c r="I774" i="31"/>
  <c r="I773" i="31"/>
  <c r="I772" i="31"/>
  <c r="I771" i="31"/>
  <c r="I770" i="31"/>
  <c r="I769" i="31"/>
  <c r="I768" i="31"/>
  <c r="I767" i="31"/>
  <c r="I766" i="31"/>
  <c r="I765" i="31"/>
  <c r="I764" i="31"/>
  <c r="I763" i="31"/>
  <c r="I762" i="31"/>
  <c r="I761" i="31"/>
  <c r="I760" i="31"/>
  <c r="I759" i="31"/>
  <c r="I758" i="31"/>
  <c r="I757" i="31"/>
  <c r="I756" i="31"/>
  <c r="I754" i="31"/>
  <c r="I598" i="29"/>
  <c r="I753" i="31"/>
  <c r="I751" i="31"/>
  <c r="I750" i="31"/>
  <c r="I749" i="31"/>
  <c r="I748" i="31"/>
  <c r="I747" i="31"/>
  <c r="I746" i="31"/>
  <c r="I745" i="31"/>
  <c r="I744" i="31"/>
  <c r="I743" i="31"/>
  <c r="I742" i="31"/>
  <c r="I741" i="31"/>
  <c r="I740" i="31"/>
  <c r="I739" i="31"/>
  <c r="I738" i="31"/>
  <c r="I737" i="31"/>
  <c r="I736" i="31"/>
  <c r="I735" i="31"/>
  <c r="I734" i="31"/>
  <c r="I733" i="31"/>
  <c r="I732" i="31"/>
  <c r="I731" i="31"/>
  <c r="I730" i="31"/>
  <c r="I729" i="31"/>
  <c r="I728" i="31"/>
  <c r="I727" i="31"/>
  <c r="I726" i="31"/>
  <c r="I725" i="31"/>
  <c r="I724" i="31"/>
  <c r="I723" i="31"/>
  <c r="I93" i="28"/>
  <c r="I722" i="31"/>
  <c r="I721" i="31"/>
  <c r="I719" i="31"/>
  <c r="I718" i="31"/>
  <c r="I716" i="31"/>
  <c r="I715" i="31"/>
  <c r="I714" i="31"/>
  <c r="I713" i="31"/>
  <c r="I712" i="31"/>
  <c r="I711" i="31"/>
  <c r="I710" i="31"/>
  <c r="I709" i="31"/>
  <c r="I708" i="31"/>
  <c r="I707" i="31"/>
  <c r="I706" i="31"/>
  <c r="I705" i="31"/>
  <c r="I704" i="31"/>
  <c r="I176" i="6"/>
  <c r="I174" i="6"/>
  <c r="I703" i="31"/>
  <c r="I702" i="31"/>
  <c r="I699" i="31"/>
  <c r="I700" i="31"/>
  <c r="I701" i="31"/>
  <c r="I697" i="31"/>
  <c r="I698" i="31"/>
  <c r="I668" i="31"/>
  <c r="I669" i="31"/>
  <c r="I670" i="31"/>
  <c r="I671" i="31"/>
  <c r="I672" i="31"/>
  <c r="I674" i="31"/>
  <c r="I675" i="31"/>
  <c r="I676" i="31"/>
  <c r="I677" i="31"/>
  <c r="I678" i="31"/>
  <c r="I679" i="31"/>
  <c r="I680" i="31"/>
  <c r="I681" i="31"/>
  <c r="I682" i="31"/>
  <c r="I683" i="31"/>
  <c r="I684" i="31"/>
  <c r="I685" i="31"/>
  <c r="I686" i="31"/>
  <c r="I687" i="31"/>
  <c r="I688" i="31"/>
  <c r="I690" i="31"/>
  <c r="I691" i="31"/>
  <c r="I692" i="31"/>
  <c r="I693" i="31"/>
  <c r="I694" i="31"/>
  <c r="I695" i="31"/>
  <c r="I696" i="31"/>
  <c r="I667" i="31"/>
  <c r="I662" i="31"/>
  <c r="I663" i="31"/>
  <c r="I664" i="31"/>
  <c r="I665" i="31"/>
  <c r="I666" i="31"/>
  <c r="I661" i="31"/>
  <c r="I660" i="31"/>
  <c r="I659" i="31"/>
  <c r="I658" i="31"/>
  <c r="I657" i="31"/>
  <c r="I656" i="31"/>
  <c r="I655" i="31"/>
  <c r="I654" i="31"/>
  <c r="I653" i="31"/>
  <c r="I652" i="31"/>
  <c r="I651" i="31"/>
  <c r="I650" i="31"/>
  <c r="I649" i="31"/>
  <c r="I648" i="31"/>
  <c r="I647" i="31"/>
  <c r="I646" i="31"/>
  <c r="I645" i="31"/>
  <c r="I644" i="31"/>
  <c r="I643" i="31"/>
  <c r="I642" i="31"/>
  <c r="I641" i="31"/>
  <c r="I640" i="31"/>
  <c r="I639" i="31"/>
  <c r="I638" i="31"/>
  <c r="I637" i="31"/>
  <c r="I636" i="31"/>
  <c r="I635" i="31"/>
  <c r="I634" i="31"/>
  <c r="I633" i="31"/>
  <c r="I632" i="31"/>
  <c r="I631" i="31"/>
  <c r="I630" i="31"/>
  <c r="I629" i="31"/>
  <c r="I628" i="31"/>
  <c r="I627" i="31"/>
  <c r="I626" i="31"/>
  <c r="I625" i="31"/>
  <c r="I624" i="31"/>
  <c r="I623" i="31"/>
  <c r="I622" i="31"/>
  <c r="I621" i="31"/>
  <c r="I620" i="31"/>
  <c r="I619" i="31"/>
  <c r="I618" i="31"/>
  <c r="I617" i="31"/>
  <c r="I616" i="31"/>
  <c r="I615" i="31"/>
  <c r="I614" i="31"/>
  <c r="I613" i="31"/>
  <c r="I612" i="31"/>
  <c r="I611" i="31"/>
  <c r="I610" i="31"/>
  <c r="I609" i="31"/>
  <c r="I608" i="31"/>
  <c r="I607" i="31"/>
  <c r="I606" i="31"/>
  <c r="I605" i="31"/>
  <c r="I604" i="31"/>
  <c r="I603" i="31"/>
  <c r="I602" i="31"/>
  <c r="I601" i="31"/>
  <c r="I600" i="31"/>
  <c r="I599" i="31"/>
  <c r="I597" i="31"/>
  <c r="I596" i="31"/>
  <c r="I595" i="31"/>
  <c r="I594" i="31"/>
  <c r="I593" i="31"/>
  <c r="I592" i="31"/>
  <c r="I591" i="31"/>
  <c r="I590" i="31"/>
  <c r="I589" i="31"/>
  <c r="I588" i="31"/>
  <c r="I587" i="31"/>
  <c r="I586" i="31"/>
  <c r="I585" i="31"/>
  <c r="I584" i="31"/>
  <c r="I581" i="31"/>
  <c r="I582" i="31"/>
  <c r="I583" i="31"/>
  <c r="I580" i="31"/>
  <c r="I579" i="31"/>
  <c r="I578" i="31"/>
  <c r="I577" i="31"/>
  <c r="I576" i="31"/>
  <c r="I575" i="31"/>
  <c r="I574" i="31"/>
  <c r="I573" i="31"/>
  <c r="I572" i="31"/>
  <c r="I571" i="31"/>
  <c r="I570" i="31"/>
  <c r="I569" i="31"/>
  <c r="I568" i="31"/>
  <c r="I567" i="31"/>
  <c r="I566" i="31"/>
  <c r="I565" i="31"/>
  <c r="I564" i="31"/>
  <c r="I563" i="31"/>
  <c r="I562" i="31"/>
  <c r="I561" i="31"/>
  <c r="I560" i="31"/>
  <c r="I559" i="31"/>
  <c r="I558" i="31"/>
  <c r="I557" i="31"/>
  <c r="I556" i="31"/>
  <c r="I555" i="31"/>
  <c r="I554" i="31"/>
  <c r="I553" i="31"/>
  <c r="I552" i="31"/>
  <c r="I551" i="31"/>
  <c r="I550" i="31"/>
  <c r="I549" i="31"/>
  <c r="I548" i="31"/>
  <c r="I547" i="31"/>
  <c r="I546" i="31"/>
  <c r="I545" i="31"/>
  <c r="I544" i="31"/>
  <c r="I543" i="31"/>
  <c r="I542" i="31"/>
  <c r="I541" i="31"/>
  <c r="I540" i="31"/>
  <c r="I539" i="31"/>
  <c r="I538" i="31"/>
  <c r="I537" i="31"/>
  <c r="I536" i="31"/>
  <c r="I535" i="31"/>
  <c r="I534" i="31"/>
  <c r="I533" i="31"/>
  <c r="I532" i="31"/>
  <c r="I531" i="31"/>
  <c r="I530" i="31"/>
  <c r="I529" i="31"/>
  <c r="I528" i="31"/>
  <c r="I527" i="31"/>
  <c r="I526" i="31"/>
  <c r="I525" i="31"/>
  <c r="I524" i="31"/>
  <c r="I523" i="31"/>
  <c r="I522" i="31"/>
  <c r="I521" i="31"/>
  <c r="I520" i="31"/>
  <c r="I519" i="31"/>
  <c r="I518" i="31"/>
  <c r="I517" i="31"/>
  <c r="I516" i="31"/>
  <c r="I515" i="31"/>
  <c r="I514" i="31"/>
  <c r="I513" i="31"/>
  <c r="I512" i="31"/>
  <c r="I511" i="31"/>
  <c r="I510" i="31"/>
  <c r="I509" i="31"/>
  <c r="I508" i="31"/>
  <c r="I507" i="31"/>
  <c r="I506" i="31"/>
  <c r="I505" i="31"/>
  <c r="I504" i="31"/>
  <c r="I503" i="31"/>
  <c r="I502" i="31"/>
  <c r="I501" i="31"/>
  <c r="I500" i="31"/>
  <c r="I499" i="31"/>
  <c r="I498" i="31"/>
  <c r="I497" i="31"/>
  <c r="I496" i="31"/>
  <c r="I495" i="31"/>
  <c r="I494" i="31"/>
  <c r="I493" i="31"/>
  <c r="I492" i="31"/>
  <c r="I491" i="31"/>
  <c r="I490" i="31"/>
  <c r="I489" i="31"/>
  <c r="I488" i="31"/>
  <c r="I487" i="31"/>
  <c r="I486" i="31"/>
  <c r="I597" i="29"/>
  <c r="I485" i="31"/>
  <c r="I484" i="31"/>
  <c r="I483" i="31"/>
  <c r="I482" i="31"/>
  <c r="I481" i="31"/>
  <c r="I480" i="31"/>
  <c r="I479" i="31"/>
  <c r="I478" i="31"/>
  <c r="I477" i="31"/>
  <c r="I476" i="31"/>
  <c r="I475" i="31"/>
  <c r="I474" i="31"/>
  <c r="I473" i="31"/>
  <c r="I472" i="31"/>
  <c r="I471" i="31"/>
  <c r="I470" i="31"/>
  <c r="I469" i="31"/>
  <c r="I468" i="31"/>
  <c r="I467" i="31"/>
  <c r="I466" i="31"/>
  <c r="I465" i="31"/>
  <c r="I464" i="31"/>
  <c r="I463" i="31"/>
  <c r="I462" i="31"/>
  <c r="I461" i="31"/>
  <c r="I460" i="31"/>
  <c r="I459" i="31"/>
  <c r="I458" i="31"/>
  <c r="I457" i="31"/>
  <c r="I456" i="31"/>
  <c r="I455" i="31"/>
  <c r="I454" i="31"/>
  <c r="I453" i="31"/>
  <c r="I452" i="31"/>
  <c r="I451" i="31"/>
  <c r="I450" i="31"/>
  <c r="I449" i="31"/>
  <c r="I448" i="31"/>
  <c r="I447" i="31"/>
  <c r="I446" i="31"/>
  <c r="I445" i="31"/>
  <c r="I444" i="31"/>
  <c r="I443" i="31"/>
  <c r="I442" i="31"/>
  <c r="I441" i="31"/>
  <c r="I440" i="31"/>
  <c r="I439" i="31"/>
  <c r="I438" i="31"/>
  <c r="I437" i="31"/>
  <c r="I436" i="31"/>
  <c r="I435" i="31"/>
  <c r="I434" i="31"/>
  <c r="I433" i="31"/>
  <c r="I432" i="31"/>
  <c r="I431" i="31"/>
  <c r="I430" i="31"/>
  <c r="I429" i="31"/>
  <c r="I428" i="31"/>
  <c r="I427" i="31"/>
  <c r="I426" i="31"/>
  <c r="I425" i="31"/>
  <c r="I424" i="31"/>
  <c r="I423" i="31"/>
  <c r="I422" i="31"/>
  <c r="I421" i="31"/>
  <c r="I420" i="31"/>
  <c r="I419" i="31"/>
  <c r="I418" i="31"/>
  <c r="I417" i="31"/>
  <c r="I416" i="31"/>
  <c r="I415" i="31"/>
  <c r="I414" i="31"/>
  <c r="I413" i="31"/>
  <c r="I412" i="31"/>
  <c r="I411" i="31"/>
  <c r="I410" i="31"/>
  <c r="I409" i="31"/>
  <c r="I408" i="31"/>
  <c r="I407" i="31"/>
  <c r="I406" i="31"/>
  <c r="I405" i="31"/>
  <c r="I404" i="31"/>
  <c r="I403" i="31"/>
  <c r="I402" i="31"/>
  <c r="I401" i="31"/>
  <c r="I400" i="31"/>
  <c r="I399" i="31"/>
  <c r="I398" i="31"/>
  <c r="I397" i="31"/>
  <c r="I396" i="31"/>
  <c r="I395" i="31"/>
  <c r="I394" i="31"/>
  <c r="I393" i="31"/>
  <c r="I392" i="31"/>
  <c r="I391" i="31"/>
  <c r="I390" i="31"/>
  <c r="I389" i="31"/>
  <c r="I388" i="31"/>
  <c r="I387" i="31"/>
  <c r="I386" i="31"/>
  <c r="I385" i="31"/>
  <c r="I384" i="31"/>
  <c r="I383" i="31"/>
  <c r="I382" i="31"/>
  <c r="I381" i="31"/>
  <c r="I380" i="31"/>
  <c r="I379" i="31"/>
  <c r="I378" i="31"/>
  <c r="I377" i="31"/>
  <c r="I376" i="31"/>
  <c r="I375" i="31"/>
  <c r="I374" i="31"/>
  <c r="I373" i="31"/>
  <c r="I372" i="31"/>
  <c r="I371" i="31"/>
  <c r="I370" i="31"/>
  <c r="I369" i="31"/>
  <c r="I368" i="31"/>
  <c r="I367" i="31"/>
  <c r="I366" i="31"/>
  <c r="I365" i="31"/>
  <c r="I364" i="31"/>
  <c r="I363" i="31"/>
  <c r="I362" i="31"/>
  <c r="I361" i="31"/>
  <c r="I360" i="31"/>
  <c r="I359" i="31"/>
  <c r="I358" i="31"/>
  <c r="I357" i="31"/>
  <c r="I356" i="31"/>
  <c r="I355" i="31"/>
  <c r="I354" i="31"/>
  <c r="I353" i="31"/>
  <c r="I352" i="31"/>
  <c r="I351" i="31"/>
  <c r="I350" i="31"/>
  <c r="I349" i="31"/>
  <c r="I348" i="31"/>
  <c r="I347" i="31"/>
  <c r="I346" i="31"/>
  <c r="I345" i="31"/>
  <c r="I344" i="31"/>
  <c r="I343" i="31"/>
  <c r="I342" i="31"/>
  <c r="I341" i="31"/>
  <c r="I340" i="31"/>
  <c r="I339" i="31"/>
  <c r="I338" i="31"/>
  <c r="I337" i="31"/>
  <c r="I335" i="31"/>
  <c r="I334" i="31"/>
  <c r="I333" i="31"/>
  <c r="I332" i="31"/>
  <c r="I331" i="31"/>
  <c r="I330" i="31"/>
  <c r="I329" i="31"/>
  <c r="I328" i="31"/>
  <c r="I327" i="31"/>
  <c r="I326" i="31"/>
  <c r="I325" i="31"/>
  <c r="I324" i="31"/>
  <c r="I323" i="31"/>
  <c r="I322" i="31"/>
  <c r="I321" i="31"/>
  <c r="I320" i="31"/>
  <c r="I319" i="31"/>
  <c r="I26" i="9"/>
  <c r="I318" i="31"/>
  <c r="I317" i="31"/>
  <c r="I316" i="31"/>
  <c r="I315" i="31"/>
  <c r="I314" i="31"/>
  <c r="I313" i="31"/>
  <c r="I312" i="31"/>
  <c r="I311" i="31"/>
  <c r="I310" i="31"/>
  <c r="I309" i="31"/>
  <c r="I308" i="31"/>
  <c r="I307" i="31"/>
  <c r="I306" i="31"/>
  <c r="I305" i="31"/>
  <c r="I304" i="31"/>
  <c r="I303" i="31"/>
  <c r="I302" i="31"/>
  <c r="I301" i="31"/>
  <c r="I300" i="31"/>
  <c r="I299" i="31"/>
  <c r="I101" i="2"/>
  <c r="I298" i="31"/>
  <c r="I297" i="31"/>
  <c r="I296" i="31"/>
  <c r="I295" i="31"/>
  <c r="I294" i="31"/>
  <c r="I293" i="31"/>
  <c r="I292" i="31"/>
  <c r="I291" i="31"/>
  <c r="I290" i="31"/>
  <c r="I289" i="31"/>
  <c r="I288" i="31"/>
  <c r="I287" i="31"/>
  <c r="I286" i="31"/>
  <c r="I285" i="31"/>
  <c r="I284" i="31"/>
  <c r="I283" i="31"/>
  <c r="I282" i="31"/>
  <c r="I281" i="31"/>
  <c r="I280" i="31"/>
  <c r="I279" i="31"/>
  <c r="I278" i="31"/>
  <c r="I277" i="31"/>
  <c r="I276" i="31"/>
  <c r="I275" i="31"/>
  <c r="I274" i="31"/>
  <c r="I273" i="31"/>
  <c r="I272" i="31"/>
  <c r="I271" i="31"/>
  <c r="I270" i="31"/>
  <c r="I269" i="31"/>
  <c r="I268" i="31"/>
  <c r="I267" i="31"/>
  <c r="I266" i="31"/>
  <c r="I265" i="31"/>
  <c r="I264" i="31"/>
  <c r="I263" i="31"/>
  <c r="I262" i="31"/>
  <c r="I261" i="31"/>
  <c r="I260" i="31"/>
  <c r="I259" i="31"/>
  <c r="I258" i="31"/>
  <c r="I257" i="31"/>
  <c r="I256" i="31"/>
  <c r="I255" i="31"/>
  <c r="I254" i="31"/>
  <c r="I253" i="31"/>
  <c r="I252" i="31"/>
  <c r="I251" i="31"/>
  <c r="I250" i="31"/>
  <c r="I249" i="31"/>
  <c r="I248" i="31"/>
  <c r="I247" i="31"/>
  <c r="I246" i="31"/>
  <c r="I245" i="31"/>
  <c r="I244" i="31"/>
  <c r="I243" i="31"/>
  <c r="I242" i="31"/>
  <c r="I241" i="31"/>
  <c r="I240" i="31"/>
  <c r="I239" i="31"/>
  <c r="I238" i="31"/>
  <c r="I237" i="31"/>
  <c r="I236" i="31"/>
  <c r="I235" i="31"/>
  <c r="I234" i="31"/>
  <c r="I233" i="31"/>
  <c r="I100" i="2"/>
  <c r="I232" i="31"/>
  <c r="I231" i="31"/>
  <c r="I230" i="31"/>
  <c r="I229" i="31"/>
  <c r="I228" i="31"/>
  <c r="I227" i="31"/>
  <c r="I226" i="31"/>
  <c r="I225" i="31"/>
  <c r="I224" i="31"/>
  <c r="I223" i="31"/>
  <c r="I222" i="31"/>
  <c r="I221" i="31"/>
  <c r="I220" i="31"/>
  <c r="I219" i="31"/>
  <c r="I218" i="31"/>
  <c r="I217" i="31"/>
  <c r="I216" i="31"/>
  <c r="I215" i="31"/>
  <c r="I214" i="31"/>
  <c r="I213" i="31"/>
  <c r="I212" i="31"/>
  <c r="I99" i="2"/>
  <c r="I211" i="31"/>
  <c r="I210" i="31"/>
  <c r="I209" i="31"/>
  <c r="I208" i="31"/>
  <c r="I207" i="31"/>
  <c r="I206" i="31"/>
  <c r="I205" i="31"/>
  <c r="I204" i="31"/>
  <c r="I203" i="31"/>
  <c r="I202" i="31"/>
  <c r="I201" i="31"/>
  <c r="I200" i="31"/>
  <c r="I199" i="31"/>
  <c r="I198" i="31"/>
  <c r="I197" i="31"/>
  <c r="I196" i="31"/>
  <c r="I195" i="31"/>
  <c r="I194" i="31"/>
  <c r="I193" i="31"/>
  <c r="I192" i="31"/>
  <c r="I191" i="31"/>
  <c r="I190" i="31"/>
  <c r="I189" i="31"/>
  <c r="I188" i="31"/>
  <c r="I187" i="31"/>
  <c r="I186" i="31"/>
  <c r="I185" i="31"/>
  <c r="I184" i="31"/>
  <c r="I183" i="31"/>
  <c r="I182" i="31"/>
  <c r="I181" i="31"/>
  <c r="I180" i="31"/>
  <c r="I179" i="31"/>
  <c r="I178" i="31"/>
  <c r="I177" i="31"/>
  <c r="I176" i="31"/>
  <c r="I175" i="31"/>
  <c r="I174" i="31"/>
  <c r="I173" i="31"/>
  <c r="I172" i="31"/>
  <c r="I171" i="31"/>
  <c r="I170" i="31"/>
  <c r="I169" i="31"/>
  <c r="I168" i="31"/>
  <c r="I167" i="31"/>
  <c r="I166" i="31"/>
  <c r="I165" i="31"/>
  <c r="I164" i="31"/>
  <c r="I98" i="2"/>
  <c r="I163" i="31"/>
  <c r="I162" i="31"/>
  <c r="I161" i="31"/>
  <c r="I160" i="31"/>
  <c r="I159" i="31"/>
  <c r="I158" i="31"/>
  <c r="I157" i="31"/>
  <c r="I156" i="31"/>
  <c r="I155" i="31"/>
  <c r="I154" i="31"/>
  <c r="I153" i="31"/>
  <c r="I152" i="31"/>
  <c r="I151" i="31"/>
  <c r="I97" i="2"/>
  <c r="I150" i="31"/>
  <c r="I149" i="31"/>
  <c r="I148" i="31"/>
  <c r="I147" i="31"/>
  <c r="I146" i="31"/>
  <c r="I145" i="31"/>
  <c r="I144" i="31"/>
  <c r="I143" i="31"/>
  <c r="I142" i="31"/>
  <c r="I96" i="2"/>
  <c r="I140" i="31"/>
  <c r="I139" i="31"/>
  <c r="I138" i="31"/>
  <c r="I137" i="31"/>
  <c r="I95" i="2"/>
  <c r="I136" i="31"/>
  <c r="I135" i="31"/>
  <c r="I134" i="31"/>
  <c r="I133" i="31"/>
  <c r="I132" i="31"/>
  <c r="I131" i="31"/>
  <c r="I130" i="31"/>
  <c r="I122" i="31"/>
  <c r="I123" i="31"/>
  <c r="I124" i="31"/>
  <c r="I125" i="31"/>
  <c r="I126" i="31"/>
  <c r="I127" i="31"/>
  <c r="I128" i="31"/>
  <c r="I129" i="31"/>
  <c r="I94" i="2"/>
  <c r="I121" i="31"/>
  <c r="I120" i="31"/>
  <c r="I119" i="31"/>
  <c r="I118" i="31"/>
  <c r="I117" i="31"/>
  <c r="I116" i="31"/>
  <c r="I115" i="31"/>
  <c r="I114" i="31"/>
  <c r="I113" i="31"/>
  <c r="I112" i="31"/>
  <c r="I111" i="31"/>
  <c r="I110" i="31"/>
  <c r="I109" i="31"/>
  <c r="I108" i="31"/>
  <c r="I107" i="31"/>
  <c r="I37" i="4"/>
  <c r="I189" i="6"/>
  <c r="I106" i="31"/>
  <c r="I105" i="31"/>
  <c r="I104" i="31"/>
  <c r="I103" i="31"/>
  <c r="I102" i="31"/>
  <c r="I101" i="31"/>
  <c r="I100" i="31"/>
  <c r="I99" i="31"/>
  <c r="I98" i="31"/>
  <c r="I97" i="31"/>
  <c r="I96" i="31"/>
  <c r="I95" i="31"/>
  <c r="I188" i="6"/>
  <c r="I187" i="6"/>
  <c r="I186" i="6"/>
  <c r="I185" i="6"/>
  <c r="I184" i="6"/>
  <c r="I183" i="6"/>
  <c r="I94" i="31"/>
  <c r="I93" i="31"/>
  <c r="I92" i="31"/>
  <c r="I91" i="31"/>
  <c r="I90" i="31"/>
  <c r="I89" i="31"/>
  <c r="I88" i="31"/>
  <c r="I87" i="31"/>
  <c r="I86" i="31"/>
  <c r="I85" i="31"/>
  <c r="I84" i="31"/>
  <c r="I82" i="31"/>
  <c r="I81" i="31"/>
  <c r="I80" i="31"/>
  <c r="I79" i="31"/>
  <c r="I78" i="31"/>
  <c r="I77" i="31"/>
  <c r="I76" i="31"/>
  <c r="I75" i="31"/>
  <c r="I74" i="31"/>
  <c r="I73" i="31"/>
  <c r="I72" i="31"/>
  <c r="I71" i="31"/>
  <c r="I70" i="31"/>
  <c r="I69" i="31"/>
  <c r="I68" i="31"/>
  <c r="I182" i="6"/>
  <c r="I181" i="6"/>
  <c r="I180" i="6"/>
  <c r="I179" i="6"/>
  <c r="I66" i="31"/>
  <c r="I65" i="31"/>
  <c r="I64" i="31"/>
  <c r="I63" i="31"/>
  <c r="I62" i="31"/>
  <c r="I61" i="31"/>
  <c r="I60" i="31"/>
  <c r="I59" i="31"/>
  <c r="I178" i="6"/>
  <c r="I58" i="31"/>
  <c r="I57" i="31"/>
  <c r="I56" i="31"/>
  <c r="I55" i="31"/>
  <c r="I54" i="31"/>
  <c r="I53" i="31"/>
  <c r="I52" i="31"/>
  <c r="I51" i="31"/>
  <c r="I177" i="6"/>
  <c r="I173" i="6"/>
  <c r="I172" i="6"/>
  <c r="I50" i="31"/>
  <c r="I49" i="31"/>
  <c r="I48" i="31"/>
  <c r="I47" i="31"/>
  <c r="I46" i="31"/>
  <c r="I45" i="31"/>
  <c r="I43" i="31"/>
  <c r="I42" i="31"/>
  <c r="I41" i="31"/>
  <c r="I40" i="31"/>
  <c r="I39" i="31"/>
  <c r="I38" i="31"/>
  <c r="I37" i="31"/>
  <c r="I36" i="31"/>
  <c r="I35" i="31"/>
  <c r="I34" i="31"/>
  <c r="I33" i="31"/>
  <c r="I32" i="31"/>
  <c r="I31" i="31"/>
  <c r="I30" i="31"/>
  <c r="I29" i="31"/>
  <c r="I28" i="31"/>
  <c r="I27" i="31"/>
  <c r="I24" i="31"/>
  <c r="I23" i="31"/>
  <c r="I22" i="31"/>
  <c r="I21" i="31"/>
  <c r="I20" i="31"/>
  <c r="I19" i="31"/>
  <c r="I18" i="31"/>
  <c r="I17" i="31"/>
  <c r="I16" i="31"/>
  <c r="I15" i="31"/>
  <c r="I14" i="31"/>
  <c r="I13" i="31"/>
  <c r="I12" i="31"/>
  <c r="I11" i="31"/>
  <c r="I10" i="31"/>
  <c r="I9" i="31"/>
  <c r="I8" i="31"/>
  <c r="I93" i="2"/>
  <c r="I6" i="31"/>
  <c r="I5" i="31"/>
  <c r="I4" i="31"/>
  <c r="I3" i="31"/>
  <c r="I2" i="31"/>
  <c r="I242" i="29"/>
  <c r="I56" i="6"/>
  <c r="I53" i="6"/>
  <c r="I32" i="6"/>
  <c r="I20" i="6"/>
  <c r="I3" i="3"/>
  <c r="I40" i="2"/>
  <c r="I748" i="1"/>
  <c r="I501" i="1"/>
  <c r="I485" i="1"/>
  <c r="I481" i="1"/>
  <c r="I447" i="1"/>
  <c r="I246" i="1"/>
  <c r="I256" i="1"/>
  <c r="I240" i="1"/>
  <c r="I185" i="1"/>
  <c r="I161" i="1"/>
  <c r="I94" i="1"/>
  <c r="I95" i="1"/>
  <c r="I88" i="1"/>
  <c r="I56" i="1"/>
  <c r="I159" i="5"/>
  <c r="I596" i="29"/>
  <c r="I595" i="29"/>
  <c r="I594" i="29"/>
  <c r="I593" i="29"/>
  <c r="I592" i="29"/>
  <c r="I591" i="29"/>
  <c r="I590" i="29"/>
  <c r="I589" i="29"/>
  <c r="I588" i="29"/>
  <c r="I587" i="29"/>
  <c r="I586" i="29"/>
  <c r="I585" i="29"/>
  <c r="I584" i="29"/>
  <c r="I583" i="29"/>
  <c r="I582" i="29"/>
  <c r="I581" i="29"/>
  <c r="I580" i="29"/>
  <c r="I579" i="29"/>
  <c r="I578" i="29"/>
  <c r="I577" i="29"/>
  <c r="I576" i="29"/>
  <c r="I575" i="29"/>
  <c r="I574" i="29"/>
  <c r="I573" i="29"/>
  <c r="I572" i="29"/>
  <c r="I571" i="29"/>
  <c r="I570" i="29"/>
  <c r="I569" i="29"/>
  <c r="I568" i="29"/>
  <c r="I567" i="29"/>
  <c r="I566" i="29"/>
  <c r="I565" i="29"/>
  <c r="I564" i="29"/>
  <c r="I563" i="29"/>
  <c r="I562" i="29"/>
  <c r="I561" i="29"/>
  <c r="I560" i="29"/>
  <c r="I559" i="29"/>
  <c r="I558" i="29"/>
  <c r="I557" i="29"/>
  <c r="I556" i="29"/>
  <c r="I555" i="29"/>
  <c r="I554" i="29"/>
  <c r="I553" i="29"/>
  <c r="I552" i="29"/>
  <c r="I551" i="29"/>
  <c r="I550" i="29"/>
  <c r="I549" i="29"/>
  <c r="I548" i="29"/>
  <c r="I547" i="29"/>
  <c r="I546" i="29"/>
  <c r="I545" i="29"/>
  <c r="I544" i="29"/>
  <c r="I543" i="29"/>
  <c r="I542" i="29"/>
  <c r="I541" i="29"/>
  <c r="I540" i="29"/>
  <c r="I539" i="29"/>
  <c r="I538" i="29"/>
  <c r="I537" i="29"/>
  <c r="I536" i="29"/>
  <c r="I535" i="29"/>
  <c r="I534" i="29"/>
  <c r="I533" i="29"/>
  <c r="I532" i="29"/>
  <c r="I531" i="29"/>
  <c r="I530" i="29"/>
  <c r="I529" i="29"/>
  <c r="I528" i="29"/>
  <c r="I527" i="29"/>
  <c r="I526" i="29"/>
  <c r="I525" i="29"/>
  <c r="I524" i="29"/>
  <c r="I523" i="29"/>
  <c r="I522" i="29"/>
  <c r="I521" i="29"/>
  <c r="I520" i="29"/>
  <c r="I519" i="29"/>
  <c r="I518" i="29"/>
  <c r="I517" i="29"/>
  <c r="I516" i="29"/>
  <c r="I515" i="29"/>
  <c r="I514" i="29"/>
  <c r="I513" i="29"/>
  <c r="I512" i="29"/>
  <c r="I511" i="29"/>
  <c r="I510" i="29"/>
  <c r="I509" i="29"/>
  <c r="I508" i="29"/>
  <c r="I507" i="29"/>
  <c r="I506" i="29"/>
  <c r="I505" i="29"/>
  <c r="I504" i="29"/>
  <c r="I503" i="29"/>
  <c r="I502" i="29"/>
  <c r="I501" i="29"/>
  <c r="I500" i="29"/>
  <c r="I499" i="29"/>
  <c r="I498" i="29"/>
  <c r="I497" i="29"/>
  <c r="I496" i="29"/>
  <c r="I495" i="29"/>
  <c r="I494" i="29"/>
  <c r="I493" i="29"/>
  <c r="I492" i="29"/>
  <c r="I491" i="29"/>
  <c r="I490" i="29"/>
  <c r="I489" i="29"/>
  <c r="I488" i="29"/>
  <c r="I487" i="29"/>
  <c r="I486" i="29"/>
  <c r="I485" i="29"/>
  <c r="I484" i="29"/>
  <c r="I483" i="29"/>
  <c r="I482" i="29"/>
  <c r="I481" i="29"/>
  <c r="I480" i="29"/>
  <c r="I479" i="29"/>
  <c r="I478" i="29"/>
  <c r="I477" i="29"/>
  <c r="I476" i="29"/>
  <c r="I475" i="29"/>
  <c r="I474" i="29"/>
  <c r="I473" i="29"/>
  <c r="I472" i="29"/>
  <c r="I471" i="29"/>
  <c r="I470" i="29"/>
  <c r="I469" i="29"/>
  <c r="I468" i="29"/>
  <c r="I467" i="29"/>
  <c r="I466" i="29"/>
  <c r="I465" i="29"/>
  <c r="I464" i="29"/>
  <c r="I463" i="29"/>
  <c r="I462" i="29"/>
  <c r="I461" i="29"/>
  <c r="I460" i="29"/>
  <c r="I459" i="29"/>
  <c r="I458" i="29"/>
  <c r="I457" i="29"/>
  <c r="I456" i="29"/>
  <c r="I455" i="29"/>
  <c r="I454" i="29"/>
  <c r="I453" i="29"/>
  <c r="I452" i="29"/>
  <c r="I451" i="29"/>
  <c r="I450" i="29"/>
  <c r="I449" i="29"/>
  <c r="I448" i="29"/>
  <c r="I447" i="29"/>
  <c r="I446" i="29"/>
  <c r="I445" i="29"/>
  <c r="I444" i="29"/>
  <c r="I443" i="29"/>
  <c r="I442" i="29"/>
  <c r="I441" i="29"/>
  <c r="I440" i="29"/>
  <c r="I439" i="29"/>
  <c r="I438" i="29"/>
  <c r="I437" i="29"/>
  <c r="I436" i="29"/>
  <c r="I435" i="29"/>
  <c r="I434" i="29"/>
  <c r="I433" i="29"/>
  <c r="I432" i="29"/>
  <c r="I431" i="29"/>
  <c r="I430" i="29"/>
  <c r="I429" i="29"/>
  <c r="I428" i="29"/>
  <c r="I427" i="29"/>
  <c r="I426" i="29"/>
  <c r="I425" i="29"/>
  <c r="I424" i="29"/>
  <c r="I423" i="29"/>
  <c r="I422" i="29"/>
  <c r="I421" i="29"/>
  <c r="I420" i="29"/>
  <c r="I419" i="29"/>
  <c r="I418" i="29"/>
  <c r="I417" i="29"/>
  <c r="I416" i="29"/>
  <c r="I415" i="29"/>
  <c r="I414" i="29"/>
  <c r="I413" i="29"/>
  <c r="I412" i="29"/>
  <c r="I411" i="29"/>
  <c r="I410" i="29"/>
  <c r="I409" i="29"/>
  <c r="I408" i="29"/>
  <c r="I407" i="29"/>
  <c r="I406" i="29"/>
  <c r="I405" i="29"/>
  <c r="I404" i="29"/>
  <c r="I403" i="29"/>
  <c r="I402" i="29"/>
  <c r="I401" i="29"/>
  <c r="I400" i="29"/>
  <c r="I399" i="29"/>
  <c r="I398" i="29"/>
  <c r="I397" i="29"/>
  <c r="I396" i="29"/>
  <c r="I395" i="29"/>
  <c r="I394" i="29"/>
  <c r="I393" i="29"/>
  <c r="I392" i="29"/>
  <c r="I391" i="29"/>
  <c r="I390" i="29"/>
  <c r="I389" i="29"/>
  <c r="I388" i="29"/>
  <c r="I387" i="29"/>
  <c r="I386" i="29"/>
  <c r="I385" i="29"/>
  <c r="I384" i="29"/>
  <c r="I383" i="29"/>
  <c r="I382" i="29"/>
  <c r="I381" i="29"/>
  <c r="I380" i="29"/>
  <c r="I379" i="29"/>
  <c r="I378" i="29"/>
  <c r="I377" i="29"/>
  <c r="I376" i="29"/>
  <c r="I375" i="29"/>
  <c r="I374" i="29"/>
  <c r="I373" i="29"/>
  <c r="I372" i="29"/>
  <c r="I371" i="29"/>
  <c r="I370" i="29"/>
  <c r="I369" i="29"/>
  <c r="I368" i="29"/>
  <c r="I367" i="29"/>
  <c r="I366" i="29"/>
  <c r="I365" i="29"/>
  <c r="I364" i="29"/>
  <c r="I363" i="29"/>
  <c r="I362" i="29"/>
  <c r="I361" i="29"/>
  <c r="I360" i="29"/>
  <c r="I359" i="29"/>
  <c r="I358" i="29"/>
  <c r="I357" i="29"/>
  <c r="I356" i="29"/>
  <c r="I355" i="29"/>
  <c r="I354" i="29"/>
  <c r="I353" i="29"/>
  <c r="I352" i="29"/>
  <c r="I351" i="29"/>
  <c r="I350" i="29"/>
  <c r="I349" i="29"/>
  <c r="I348" i="29"/>
  <c r="I347" i="29"/>
  <c r="I345" i="29"/>
  <c r="I344" i="29"/>
  <c r="I343" i="29"/>
  <c r="I342" i="29"/>
  <c r="I341" i="29"/>
  <c r="I340" i="29"/>
  <c r="I339" i="29"/>
  <c r="I338" i="29"/>
  <c r="I337" i="29"/>
  <c r="I336" i="29"/>
  <c r="I335" i="29"/>
  <c r="I334" i="29"/>
  <c r="I333" i="29"/>
  <c r="I332" i="29"/>
  <c r="I331" i="29"/>
  <c r="I330" i="29"/>
  <c r="I329" i="29"/>
  <c r="I328" i="29"/>
  <c r="I327" i="29"/>
  <c r="I326" i="29"/>
  <c r="I325" i="29"/>
  <c r="I324" i="29"/>
  <c r="I323" i="29"/>
  <c r="I322" i="29"/>
  <c r="I321" i="29"/>
  <c r="I320" i="29"/>
  <c r="I319" i="29"/>
  <c r="I318" i="29"/>
  <c r="I317" i="29"/>
  <c r="I316" i="29"/>
  <c r="I315" i="29"/>
  <c r="I314" i="29"/>
  <c r="I313" i="29"/>
  <c r="I312" i="29"/>
  <c r="I311" i="29"/>
  <c r="I310" i="29"/>
  <c r="I309" i="29"/>
  <c r="I308" i="29"/>
  <c r="I307" i="29"/>
  <c r="I306" i="29"/>
  <c r="I305" i="29"/>
  <c r="I304" i="29"/>
  <c r="I303" i="29"/>
  <c r="I302" i="29"/>
  <c r="I301" i="29"/>
  <c r="I300" i="29"/>
  <c r="I299" i="29"/>
  <c r="I298" i="29"/>
  <c r="I297" i="29"/>
  <c r="I296" i="29"/>
  <c r="I295" i="29"/>
  <c r="I294" i="29"/>
  <c r="I293" i="29"/>
  <c r="I292" i="29"/>
  <c r="I291" i="29"/>
  <c r="I290" i="29"/>
  <c r="I289" i="29"/>
  <c r="I288" i="29"/>
  <c r="I287" i="29"/>
  <c r="I286" i="29"/>
  <c r="I285" i="29"/>
  <c r="I284" i="29"/>
  <c r="I283" i="29"/>
  <c r="I282" i="29"/>
  <c r="I281" i="29"/>
  <c r="I280" i="29"/>
  <c r="I279" i="29"/>
  <c r="I278" i="29"/>
  <c r="I277" i="29"/>
  <c r="I276" i="29"/>
  <c r="I275" i="29"/>
  <c r="I274" i="29"/>
  <c r="I273" i="29"/>
  <c r="I272" i="29"/>
  <c r="I271" i="29"/>
  <c r="I270" i="29"/>
  <c r="I269" i="29"/>
  <c r="I268" i="29"/>
  <c r="I267" i="29"/>
  <c r="I266" i="29"/>
  <c r="I265" i="29"/>
  <c r="I264" i="29"/>
  <c r="I263" i="29"/>
  <c r="I262" i="29"/>
  <c r="I261" i="29"/>
  <c r="I260" i="29"/>
  <c r="I259" i="29"/>
  <c r="I258" i="29"/>
  <c r="I257" i="29"/>
  <c r="I256" i="29"/>
  <c r="I255" i="29"/>
  <c r="I254" i="29"/>
  <c r="I253" i="29"/>
  <c r="I252" i="29"/>
  <c r="I251" i="29"/>
  <c r="I250" i="29"/>
  <c r="I249" i="29"/>
  <c r="I248" i="29"/>
  <c r="I247" i="29"/>
  <c r="I246" i="29"/>
  <c r="I245" i="29"/>
  <c r="I244" i="29"/>
  <c r="I243" i="29"/>
  <c r="I241" i="29"/>
  <c r="I240" i="29"/>
  <c r="I239" i="29"/>
  <c r="I238" i="29"/>
  <c r="I237" i="29"/>
  <c r="I236" i="29"/>
  <c r="I235" i="29"/>
  <c r="I234" i="29"/>
  <c r="I233" i="29"/>
  <c r="I232" i="29"/>
  <c r="I231" i="29"/>
  <c r="I230" i="29"/>
  <c r="I229" i="29"/>
  <c r="I228" i="29"/>
  <c r="I227" i="29"/>
  <c r="I226" i="29"/>
  <c r="I225" i="29"/>
  <c r="I224" i="29"/>
  <c r="I223" i="29"/>
  <c r="I222" i="29"/>
  <c r="I221" i="29"/>
  <c r="I220" i="29"/>
  <c r="I219" i="29"/>
  <c r="I218" i="29"/>
  <c r="I217" i="29"/>
  <c r="I216" i="29"/>
  <c r="I215" i="29"/>
  <c r="I214" i="29"/>
  <c r="I213" i="29"/>
  <c r="I212" i="29"/>
  <c r="I211" i="29"/>
  <c r="I210" i="29"/>
  <c r="I209" i="29"/>
  <c r="I208" i="29"/>
  <c r="I207" i="29"/>
  <c r="I206" i="29"/>
  <c r="I205" i="29"/>
  <c r="I204" i="29"/>
  <c r="I203" i="29"/>
  <c r="I202" i="29"/>
  <c r="I201" i="29"/>
  <c r="I200" i="29"/>
  <c r="I199" i="29"/>
  <c r="I198" i="29"/>
  <c r="I197" i="29"/>
  <c r="I196" i="29"/>
  <c r="I195" i="29"/>
  <c r="I194" i="29"/>
  <c r="I193" i="29"/>
  <c r="I192" i="29"/>
  <c r="I191" i="29"/>
  <c r="I190" i="29"/>
  <c r="I189" i="29"/>
  <c r="I188" i="29"/>
  <c r="I187" i="29"/>
  <c r="I186" i="29"/>
  <c r="I185" i="29"/>
  <c r="I184" i="29"/>
  <c r="I183" i="29"/>
  <c r="I182" i="29"/>
  <c r="I181" i="29"/>
  <c r="I180" i="29"/>
  <c r="I179" i="29"/>
  <c r="I178" i="29"/>
  <c r="I177" i="29"/>
  <c r="I176" i="29"/>
  <c r="I175" i="29"/>
  <c r="I174" i="29"/>
  <c r="I173" i="29"/>
  <c r="I172" i="29"/>
  <c r="I171" i="29"/>
  <c r="I170" i="29"/>
  <c r="I169" i="29"/>
  <c r="I168" i="29"/>
  <c r="I167" i="29"/>
  <c r="I166" i="29"/>
  <c r="I165" i="29"/>
  <c r="I164" i="29"/>
  <c r="I163" i="29"/>
  <c r="I162" i="29"/>
  <c r="I161" i="29"/>
  <c r="I160" i="29"/>
  <c r="I159" i="29"/>
  <c r="I158" i="29"/>
  <c r="I157" i="29"/>
  <c r="I156" i="29"/>
  <c r="I155" i="29"/>
  <c r="I154" i="29"/>
  <c r="I153" i="29"/>
  <c r="I152" i="29"/>
  <c r="I151" i="29"/>
  <c r="I150" i="29"/>
  <c r="I149" i="29"/>
  <c r="I148" i="29"/>
  <c r="I147" i="29"/>
  <c r="I146" i="29"/>
  <c r="I145" i="29"/>
  <c r="I144" i="29"/>
  <c r="I143" i="29"/>
  <c r="I142" i="29"/>
  <c r="I141" i="29"/>
  <c r="I140" i="29"/>
  <c r="I139" i="29"/>
  <c r="I138" i="29"/>
  <c r="I137" i="29"/>
  <c r="I136" i="29"/>
  <c r="I135" i="29"/>
  <c r="I134" i="29"/>
  <c r="I133" i="29"/>
  <c r="I132" i="29"/>
  <c r="I131" i="29"/>
  <c r="I130" i="29"/>
  <c r="I129" i="29"/>
  <c r="I128" i="29"/>
  <c r="I127" i="29"/>
  <c r="I126" i="29"/>
  <c r="I125" i="29"/>
  <c r="I124" i="29"/>
  <c r="I123" i="29"/>
  <c r="I122" i="29"/>
  <c r="I121" i="29"/>
  <c r="I120" i="29"/>
  <c r="I119" i="29"/>
  <c r="I118" i="29"/>
  <c r="I117" i="29"/>
  <c r="I116" i="29"/>
  <c r="I115" i="29"/>
  <c r="I114" i="29"/>
  <c r="I113" i="29"/>
  <c r="I112" i="29"/>
  <c r="I111" i="29"/>
  <c r="I110" i="29"/>
  <c r="I109" i="29"/>
  <c r="I108" i="29"/>
  <c r="I107" i="29"/>
  <c r="I106" i="29"/>
  <c r="I105" i="29"/>
  <c r="I104" i="29"/>
  <c r="I103" i="29"/>
  <c r="I102" i="29"/>
  <c r="I101" i="29"/>
  <c r="I100" i="29"/>
  <c r="I99" i="29"/>
  <c r="I98" i="29"/>
  <c r="I97" i="29"/>
  <c r="I96" i="29"/>
  <c r="I95" i="29"/>
  <c r="I94" i="29"/>
  <c r="I93" i="29"/>
  <c r="I92" i="29"/>
  <c r="I91" i="29"/>
  <c r="I90" i="29"/>
  <c r="I89" i="29"/>
  <c r="I88" i="29"/>
  <c r="I87" i="29"/>
  <c r="I86" i="29"/>
  <c r="I85" i="29"/>
  <c r="I84" i="29"/>
  <c r="I83" i="29"/>
  <c r="I82" i="29"/>
  <c r="I81" i="29"/>
  <c r="I80" i="29"/>
  <c r="I79" i="29"/>
  <c r="I78" i="29"/>
  <c r="I77" i="29"/>
  <c r="I76" i="29"/>
  <c r="I75" i="29"/>
  <c r="I74" i="29"/>
  <c r="I73" i="29"/>
  <c r="I72" i="29"/>
  <c r="I71" i="29"/>
  <c r="I70" i="29"/>
  <c r="I69" i="29"/>
  <c r="I68" i="29"/>
  <c r="I67" i="29"/>
  <c r="I66" i="29"/>
  <c r="I65" i="29"/>
  <c r="I64" i="29"/>
  <c r="I63" i="29"/>
  <c r="I62" i="29"/>
  <c r="I61" i="29"/>
  <c r="I60" i="29"/>
  <c r="I59" i="29"/>
  <c r="I58" i="29"/>
  <c r="I57" i="29"/>
  <c r="I56" i="29"/>
  <c r="I55" i="29"/>
  <c r="I54" i="29"/>
  <c r="I53" i="29"/>
  <c r="I52" i="29"/>
  <c r="I51" i="29"/>
  <c r="I50" i="29"/>
  <c r="I49" i="29"/>
  <c r="I48" i="29"/>
  <c r="I47" i="29"/>
  <c r="I46" i="29"/>
  <c r="I45" i="29"/>
  <c r="I44" i="29"/>
  <c r="I43" i="29"/>
  <c r="I42" i="29"/>
  <c r="I41" i="29"/>
  <c r="I40" i="29"/>
  <c r="I39" i="29"/>
  <c r="I38" i="29"/>
  <c r="I37" i="29"/>
  <c r="I36" i="29"/>
  <c r="I35" i="29"/>
  <c r="I34" i="29"/>
  <c r="I33" i="29"/>
  <c r="I32" i="29"/>
  <c r="I31" i="29"/>
  <c r="I30" i="29"/>
  <c r="I29" i="29"/>
  <c r="I28" i="29"/>
  <c r="I27" i="29"/>
  <c r="I26" i="29"/>
  <c r="I25" i="29"/>
  <c r="I24" i="29"/>
  <c r="I23" i="29"/>
  <c r="I22" i="29"/>
  <c r="I21" i="29"/>
  <c r="I20" i="29"/>
  <c r="I19" i="29"/>
  <c r="I18" i="29"/>
  <c r="I17" i="29"/>
  <c r="I16" i="29"/>
  <c r="I15" i="29"/>
  <c r="I14" i="29"/>
  <c r="I13" i="29"/>
  <c r="I12" i="29"/>
  <c r="I11" i="29"/>
  <c r="I10" i="29"/>
  <c r="I9" i="29"/>
  <c r="I8" i="29"/>
  <c r="I7" i="29"/>
  <c r="I6" i="29"/>
  <c r="I5" i="29"/>
  <c r="I4" i="29"/>
  <c r="I3" i="29"/>
  <c r="I2" i="29"/>
  <c r="I92" i="28"/>
  <c r="I91" i="28"/>
  <c r="I90" i="28"/>
  <c r="I89" i="28"/>
  <c r="I88" i="28"/>
  <c r="I87" i="28"/>
  <c r="I86" i="28"/>
  <c r="I85" i="28"/>
  <c r="I84" i="28"/>
  <c r="I83" i="28"/>
  <c r="I82" i="28"/>
  <c r="I81" i="28"/>
  <c r="I80" i="28"/>
  <c r="I79" i="28"/>
  <c r="I78" i="28"/>
  <c r="I77" i="28"/>
  <c r="I76" i="28"/>
  <c r="I75" i="28"/>
  <c r="I74" i="28"/>
  <c r="I73" i="28"/>
  <c r="I72" i="28"/>
  <c r="I71" i="28"/>
  <c r="I70" i="28"/>
  <c r="I69" i="28"/>
  <c r="I68" i="28"/>
  <c r="I67" i="28"/>
  <c r="I66" i="28"/>
  <c r="I65" i="28"/>
  <c r="I64" i="28"/>
  <c r="I63" i="28"/>
  <c r="I62" i="28"/>
  <c r="I61" i="28"/>
  <c r="I60" i="28"/>
  <c r="I59" i="28"/>
  <c r="I92" i="2"/>
  <c r="I58" i="28"/>
  <c r="I57" i="28"/>
  <c r="I56" i="28"/>
  <c r="I55" i="28"/>
  <c r="I54" i="28"/>
  <c r="I53" i="28"/>
  <c r="I52" i="28"/>
  <c r="I51" i="28"/>
  <c r="I50" i="28"/>
  <c r="I49" i="28"/>
  <c r="I48" i="28"/>
  <c r="I47" i="28"/>
  <c r="I46" i="28"/>
  <c r="I45" i="28"/>
  <c r="I44" i="28"/>
  <c r="I43" i="28"/>
  <c r="I42" i="28"/>
  <c r="I41" i="28"/>
  <c r="I40" i="28"/>
  <c r="I39" i="28"/>
  <c r="I38" i="28"/>
  <c r="I37" i="28"/>
  <c r="I36" i="28"/>
  <c r="I35" i="28"/>
  <c r="I34" i="28"/>
  <c r="I33" i="28"/>
  <c r="I32" i="28"/>
  <c r="I31" i="28"/>
  <c r="I30" i="28"/>
  <c r="I29" i="28"/>
  <c r="I28" i="28"/>
  <c r="I27" i="28"/>
  <c r="I26" i="28"/>
  <c r="I25" i="28"/>
  <c r="I24" i="28"/>
  <c r="I23" i="28"/>
  <c r="I22" i="28"/>
  <c r="I21" i="28"/>
  <c r="I20" i="28"/>
  <c r="I19" i="28"/>
  <c r="I18" i="28"/>
  <c r="I17" i="28"/>
  <c r="I16" i="28"/>
  <c r="I15" i="28"/>
  <c r="I14" i="28"/>
  <c r="I13" i="28"/>
  <c r="I12" i="28"/>
  <c r="I11" i="28"/>
  <c r="I10" i="28"/>
  <c r="I9" i="28"/>
  <c r="I8" i="28"/>
  <c r="I7" i="28"/>
  <c r="I6" i="28"/>
  <c r="I5" i="28"/>
  <c r="I4" i="28"/>
  <c r="I3" i="28"/>
  <c r="I2" i="28"/>
  <c r="I28" i="13"/>
  <c r="I27" i="13"/>
  <c r="I26" i="13"/>
  <c r="I25" i="13"/>
  <c r="I25" i="9"/>
  <c r="I24" i="13"/>
  <c r="I23" i="13"/>
  <c r="I22" i="13"/>
  <c r="I21" i="13"/>
  <c r="I20" i="13"/>
  <c r="I19" i="13"/>
  <c r="I18" i="13"/>
  <c r="I17" i="13"/>
  <c r="I16" i="13"/>
  <c r="I15" i="13"/>
  <c r="I14" i="13"/>
  <c r="I13" i="13"/>
  <c r="I12" i="13"/>
  <c r="I170" i="6"/>
  <c r="I36" i="4"/>
  <c r="I35" i="4"/>
  <c r="I169" i="6"/>
  <c r="I168" i="6"/>
  <c r="I24" i="9"/>
  <c r="I34" i="4"/>
  <c r="I167" i="6"/>
  <c r="I11" i="13"/>
  <c r="I166" i="6"/>
  <c r="I33" i="4"/>
  <c r="I32" i="4"/>
  <c r="I31" i="4"/>
  <c r="I30" i="4"/>
  <c r="I165" i="6"/>
  <c r="I164" i="6"/>
  <c r="I163" i="6"/>
  <c r="I162" i="6"/>
  <c r="I8" i="8"/>
  <c r="I7" i="8"/>
  <c r="I23" i="9"/>
  <c r="I161" i="6"/>
  <c r="I160" i="6"/>
  <c r="I159" i="6"/>
  <c r="I158" i="6"/>
  <c r="I157" i="6"/>
  <c r="I156" i="6"/>
  <c r="I155" i="6"/>
  <c r="I154" i="6"/>
  <c r="I153" i="6"/>
  <c r="I152" i="6"/>
  <c r="I151" i="6"/>
  <c r="I791" i="1"/>
  <c r="I150" i="6"/>
  <c r="I149" i="6"/>
  <c r="I148" i="6"/>
  <c r="I147" i="6"/>
  <c r="I146" i="6"/>
  <c r="I145" i="6"/>
  <c r="I144" i="6"/>
  <c r="I6" i="8"/>
  <c r="I143" i="6"/>
  <c r="I142" i="6"/>
  <c r="I141" i="6"/>
  <c r="I140" i="6"/>
  <c r="I139" i="6"/>
  <c r="I138" i="6"/>
  <c r="I137" i="6"/>
  <c r="I136" i="6"/>
  <c r="I135" i="6"/>
  <c r="I134" i="6"/>
  <c r="I133" i="6"/>
  <c r="I132" i="6"/>
  <c r="I131" i="6"/>
  <c r="I130" i="6"/>
  <c r="I129" i="6"/>
  <c r="I128" i="6"/>
  <c r="I127" i="6"/>
  <c r="I22" i="9"/>
  <c r="I21" i="9"/>
  <c r="I126" i="6"/>
  <c r="I125" i="6"/>
  <c r="I124" i="6"/>
  <c r="I123" i="6"/>
  <c r="I122" i="6"/>
  <c r="I121" i="6"/>
  <c r="I120" i="6"/>
  <c r="I119" i="6"/>
  <c r="I118" i="6"/>
  <c r="I117" i="6"/>
  <c r="I116" i="6"/>
  <c r="I115" i="6"/>
  <c r="I114" i="6"/>
  <c r="I113" i="6"/>
  <c r="I112" i="6"/>
  <c r="I111" i="6"/>
  <c r="I110" i="6"/>
  <c r="I109" i="6"/>
  <c r="I158" i="5"/>
  <c r="I108" i="6"/>
  <c r="I107" i="6"/>
  <c r="I106" i="6"/>
  <c r="I105" i="6"/>
  <c r="I104" i="6"/>
  <c r="I103" i="6"/>
  <c r="I157" i="5"/>
  <c r="I102" i="6"/>
  <c r="I156" i="5"/>
  <c r="I155" i="5"/>
  <c r="I154" i="5"/>
  <c r="I101" i="6"/>
  <c r="I153" i="5"/>
  <c r="I152" i="5"/>
  <c r="I20" i="9"/>
  <c r="I100" i="6"/>
  <c r="I10" i="13"/>
  <c r="I99" i="6"/>
  <c r="I98" i="6"/>
  <c r="I97" i="6"/>
  <c r="I151" i="5"/>
  <c r="I96" i="6"/>
  <c r="I9" i="13"/>
  <c r="I150" i="5"/>
  <c r="I95" i="6"/>
  <c r="I149" i="5"/>
  <c r="I148" i="5"/>
  <c r="I8" i="13"/>
  <c r="I94" i="6"/>
  <c r="I93" i="6"/>
  <c r="I92" i="6"/>
  <c r="I91" i="6"/>
  <c r="I90" i="6"/>
  <c r="I147" i="5"/>
  <c r="I146" i="5"/>
  <c r="I29" i="4"/>
  <c r="I89" i="6"/>
  <c r="I88" i="6"/>
  <c r="I87" i="6"/>
  <c r="I86" i="6"/>
  <c r="I85" i="6"/>
  <c r="I145" i="5"/>
  <c r="I84" i="6"/>
  <c r="I19" i="9"/>
  <c r="I144" i="5"/>
  <c r="I18" i="9"/>
  <c r="I83" i="6"/>
  <c r="I5" i="7"/>
  <c r="I82" i="6"/>
  <c r="I81" i="6"/>
  <c r="I80" i="6"/>
  <c r="I143" i="5"/>
  <c r="I142" i="5"/>
  <c r="I79" i="6"/>
  <c r="I78" i="6"/>
  <c r="I77" i="6"/>
  <c r="I76" i="6"/>
  <c r="I75" i="6"/>
  <c r="I28" i="4"/>
  <c r="I74" i="6"/>
  <c r="I17" i="9"/>
  <c r="I141" i="5"/>
  <c r="I73" i="6"/>
  <c r="I4" i="7"/>
  <c r="I72" i="6"/>
  <c r="I71" i="6"/>
  <c r="I70" i="6"/>
  <c r="I69" i="6"/>
  <c r="I68" i="6"/>
  <c r="I16" i="9"/>
  <c r="I15" i="9"/>
  <c r="I140" i="5"/>
  <c r="I7" i="13"/>
  <c r="I27" i="4"/>
  <c r="I26" i="4"/>
  <c r="I139" i="5"/>
  <c r="I67" i="6"/>
  <c r="I138" i="5"/>
  <c r="I137" i="5"/>
  <c r="I66" i="6"/>
  <c r="I65" i="6"/>
  <c r="I136" i="5"/>
  <c r="I6" i="13"/>
  <c r="I135" i="5"/>
  <c r="I64" i="6"/>
  <c r="I63" i="6"/>
  <c r="I62" i="6"/>
  <c r="I61" i="6"/>
  <c r="I60" i="6"/>
  <c r="I59" i="6"/>
  <c r="I58" i="6"/>
  <c r="I57" i="6"/>
  <c r="I134" i="5"/>
  <c r="I55" i="6"/>
  <c r="I54" i="6"/>
  <c r="I52" i="6"/>
  <c r="I51" i="6"/>
  <c r="I133" i="5"/>
  <c r="I132" i="5"/>
  <c r="I131" i="5"/>
  <c r="I130" i="5"/>
  <c r="I129" i="5"/>
  <c r="I128" i="5"/>
  <c r="I50" i="6"/>
  <c r="I127" i="5"/>
  <c r="I49" i="6"/>
  <c r="I48" i="6"/>
  <c r="I14" i="9"/>
  <c r="I126" i="5"/>
  <c r="I47" i="6"/>
  <c r="I46" i="6"/>
  <c r="I125" i="5"/>
  <c r="I124" i="5"/>
  <c r="I45" i="6"/>
  <c r="I44" i="6"/>
  <c r="I25" i="4"/>
  <c r="I123" i="5"/>
  <c r="I122" i="5"/>
  <c r="I13" i="9"/>
  <c r="I121" i="5"/>
  <c r="I120" i="5"/>
  <c r="I119" i="5"/>
  <c r="I118" i="5"/>
  <c r="I43" i="6"/>
  <c r="I12" i="9"/>
  <c r="I117" i="5"/>
  <c r="I116" i="5"/>
  <c r="I115" i="5"/>
  <c r="I42" i="6"/>
  <c r="I41" i="6"/>
  <c r="I40" i="6"/>
  <c r="I39" i="6"/>
  <c r="I38" i="6"/>
  <c r="I37" i="6"/>
  <c r="I36" i="6"/>
  <c r="I35" i="6"/>
  <c r="I34" i="6"/>
  <c r="I114" i="5"/>
  <c r="I113" i="5"/>
  <c r="I112" i="5"/>
  <c r="I111" i="5"/>
  <c r="I110" i="5"/>
  <c r="I11" i="9"/>
  <c r="I33" i="6"/>
  <c r="I109" i="5"/>
  <c r="I108" i="5"/>
  <c r="I107" i="5"/>
  <c r="I106" i="5"/>
  <c r="I105" i="5"/>
  <c r="I104" i="5"/>
  <c r="I103" i="5"/>
  <c r="I102" i="5"/>
  <c r="I3" i="7"/>
  <c r="I101" i="5"/>
  <c r="I100" i="5"/>
  <c r="I99" i="5"/>
  <c r="I98" i="5"/>
  <c r="I97" i="5"/>
  <c r="I31" i="6"/>
  <c r="I30" i="6"/>
  <c r="I29" i="6"/>
  <c r="I96" i="5"/>
  <c r="I95" i="5"/>
  <c r="I28" i="6"/>
  <c r="I27" i="6"/>
  <c r="I26" i="6"/>
  <c r="I25" i="6"/>
  <c r="I24" i="6"/>
  <c r="I23" i="6"/>
  <c r="I22" i="6"/>
  <c r="I21" i="6"/>
  <c r="I19" i="6"/>
  <c r="I18" i="6"/>
  <c r="I17" i="6"/>
  <c r="I16" i="6"/>
  <c r="I15" i="6"/>
  <c r="I5" i="13"/>
  <c r="I14" i="6"/>
  <c r="I13" i="6"/>
  <c r="I94" i="5"/>
  <c r="I93" i="5"/>
  <c r="I92" i="5"/>
  <c r="I91" i="5"/>
  <c r="I90" i="5"/>
  <c r="I4" i="13"/>
  <c r="I89" i="5"/>
  <c r="I24" i="4"/>
  <c r="I88" i="5"/>
  <c r="I87" i="5"/>
  <c r="I86" i="5"/>
  <c r="I85" i="5"/>
  <c r="I12" i="6"/>
  <c r="I11" i="6"/>
  <c r="I10" i="6"/>
  <c r="I84" i="5"/>
  <c r="I23" i="4"/>
  <c r="I83" i="5"/>
  <c r="I10" i="9"/>
  <c r="I82" i="5"/>
  <c r="I22" i="4"/>
  <c r="I81" i="5"/>
  <c r="I80" i="5"/>
  <c r="I21" i="4"/>
  <c r="I9" i="6"/>
  <c r="I8" i="6"/>
  <c r="I7" i="6"/>
  <c r="I6" i="6"/>
  <c r="I79" i="5"/>
  <c r="I78" i="5"/>
  <c r="I9" i="9"/>
  <c r="I77" i="5"/>
  <c r="I76" i="5"/>
  <c r="I75" i="5"/>
  <c r="I74" i="5"/>
  <c r="I73" i="5"/>
  <c r="I20" i="4"/>
  <c r="I19" i="4"/>
  <c r="I72" i="5"/>
  <c r="I71" i="5"/>
  <c r="I8" i="9"/>
  <c r="I70" i="5"/>
  <c r="I69" i="5"/>
  <c r="I68" i="5"/>
  <c r="I67" i="5"/>
  <c r="I66" i="5"/>
  <c r="I65" i="5"/>
  <c r="I64" i="5"/>
  <c r="I18" i="4"/>
  <c r="I63" i="5"/>
  <c r="I62" i="5"/>
  <c r="I7" i="9"/>
  <c r="I61" i="5"/>
  <c r="I60" i="5"/>
  <c r="I17" i="4"/>
  <c r="I6" i="9"/>
  <c r="I59" i="5"/>
  <c r="I58" i="5"/>
  <c r="I57" i="5"/>
  <c r="I56" i="5"/>
  <c r="I55" i="5"/>
  <c r="I54" i="5"/>
  <c r="I53" i="5"/>
  <c r="I16" i="4"/>
  <c r="I52" i="5"/>
  <c r="I51" i="5"/>
  <c r="I50" i="5"/>
  <c r="I15" i="4"/>
  <c r="I49" i="5"/>
  <c r="I5" i="9"/>
  <c r="I48" i="5"/>
  <c r="I14" i="4"/>
  <c r="I47" i="5"/>
  <c r="I46" i="5"/>
  <c r="I45" i="5"/>
  <c r="I3" i="13"/>
  <c r="I44" i="5"/>
  <c r="I13" i="4"/>
  <c r="I43" i="5"/>
  <c r="I42" i="5"/>
  <c r="I41" i="5"/>
  <c r="I12" i="4"/>
  <c r="I40" i="5"/>
  <c r="I39" i="5"/>
  <c r="I4" i="9"/>
  <c r="I38" i="5"/>
  <c r="I11" i="4"/>
  <c r="I37" i="5"/>
  <c r="I36" i="5"/>
  <c r="I35" i="5"/>
  <c r="I34" i="5"/>
  <c r="I5" i="6"/>
  <c r="I33" i="5"/>
  <c r="I2" i="13"/>
  <c r="I32" i="5"/>
  <c r="I31" i="5"/>
  <c r="I3" i="9"/>
  <c r="I30" i="5"/>
  <c r="I29" i="5"/>
  <c r="I10" i="4"/>
  <c r="I2" i="9"/>
  <c r="I28" i="5"/>
  <c r="I91" i="2"/>
  <c r="I90" i="2"/>
  <c r="I5" i="8"/>
  <c r="I4" i="8"/>
  <c r="I3" i="8"/>
  <c r="I27" i="5"/>
  <c r="I2" i="10"/>
  <c r="I26" i="5"/>
  <c r="I25" i="5"/>
  <c r="I24" i="5"/>
  <c r="I23" i="5"/>
  <c r="I4" i="6"/>
  <c r="I9" i="4"/>
  <c r="I22" i="5"/>
  <c r="I21" i="5"/>
  <c r="I8" i="4"/>
  <c r="I20" i="5"/>
  <c r="I19" i="5"/>
  <c r="I18" i="5"/>
  <c r="I2" i="8"/>
  <c r="I17" i="5"/>
  <c r="I16" i="5"/>
  <c r="I15" i="5"/>
  <c r="I14" i="5"/>
  <c r="I13" i="5"/>
  <c r="I7" i="4"/>
  <c r="I6" i="4"/>
  <c r="I12" i="5"/>
  <c r="I2" i="7"/>
  <c r="I11" i="5"/>
  <c r="I3" i="6"/>
  <c r="I2" i="6"/>
  <c r="I9" i="5"/>
  <c r="I5" i="4"/>
  <c r="I4" i="4"/>
  <c r="I8" i="5"/>
  <c r="I3" i="4"/>
  <c r="I7" i="5"/>
  <c r="I6" i="5"/>
  <c r="I5" i="5"/>
  <c r="I4" i="5"/>
  <c r="I2" i="4"/>
  <c r="I3" i="5"/>
  <c r="I2" i="5"/>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I2" i="3"/>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 i="2"/>
  <c r="I3" i="2"/>
  <c r="I2" i="2"/>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0" i="1"/>
  <c r="I499" i="1"/>
  <c r="I498" i="1"/>
  <c r="I497" i="1"/>
  <c r="I496" i="1"/>
  <c r="I495" i="1"/>
  <c r="I494" i="1"/>
  <c r="I493" i="1"/>
  <c r="I492" i="1"/>
  <c r="I491" i="1"/>
  <c r="I490" i="1"/>
  <c r="I489" i="1"/>
  <c r="I488" i="1"/>
  <c r="I487" i="1"/>
  <c r="I486" i="1"/>
  <c r="I484" i="1"/>
  <c r="I483" i="1"/>
  <c r="I482"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5" i="1"/>
  <c r="I254" i="1"/>
  <c r="I253" i="1"/>
  <c r="I252" i="1"/>
  <c r="I251" i="1"/>
  <c r="I250" i="1"/>
  <c r="I249" i="1"/>
  <c r="I248" i="1"/>
  <c r="I247" i="1"/>
  <c r="I245" i="1"/>
  <c r="I244" i="1"/>
  <c r="I243" i="1"/>
  <c r="I242" i="1"/>
  <c r="I241"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199" i="1"/>
  <c r="I200" i="1"/>
  <c r="I198" i="1"/>
  <c r="I197" i="1"/>
  <c r="I196" i="1"/>
  <c r="I195" i="1"/>
  <c r="I194" i="1"/>
  <c r="I193" i="1"/>
  <c r="I192" i="1"/>
  <c r="I191" i="1"/>
  <c r="I190" i="1"/>
  <c r="I189" i="1"/>
  <c r="I188" i="1"/>
  <c r="I187" i="1"/>
  <c r="I186" i="1"/>
  <c r="I184" i="1"/>
  <c r="I183" i="1"/>
  <c r="I182" i="1"/>
  <c r="I181" i="1"/>
  <c r="I180" i="1"/>
  <c r="I179" i="1"/>
  <c r="I178" i="1"/>
  <c r="I177" i="1"/>
  <c r="I176" i="1"/>
  <c r="I175" i="1"/>
  <c r="I174" i="1"/>
  <c r="I173" i="1"/>
  <c r="I172" i="1"/>
  <c r="I171" i="1"/>
  <c r="I170" i="1"/>
  <c r="I169" i="1"/>
  <c r="I168" i="1"/>
  <c r="I167" i="1"/>
  <c r="I166" i="1"/>
  <c r="I165" i="1"/>
  <c r="I164" i="1"/>
  <c r="I163" i="1"/>
  <c r="I162"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3" i="1"/>
  <c r="I92" i="1"/>
  <c r="I91" i="1"/>
  <c r="I90" i="1"/>
  <c r="I89"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I2" i="1"/>
</calcChain>
</file>

<file path=xl/sharedStrings.xml><?xml version="1.0" encoding="utf-8"?>
<sst xmlns="http://schemas.openxmlformats.org/spreadsheetml/2006/main" count="9701" uniqueCount="4532">
  <si>
    <t>MULTISPECIES: phosphoketolase family protein [Synechococcus]</t>
  </si>
  <si>
    <t>Synechococcus</t>
  </si>
  <si>
    <t>Cyanobacteria</t>
  </si>
  <si>
    <t>phosphoketolase family protein [Synechococcus elongatus]</t>
  </si>
  <si>
    <t>Synechococcus elongatus</t>
  </si>
  <si>
    <t>Description</t>
  </si>
  <si>
    <t>Scientific Name</t>
  </si>
  <si>
    <t>Max Score</t>
  </si>
  <si>
    <t>Total Score</t>
  </si>
  <si>
    <t>Query Cover</t>
  </si>
  <si>
    <t>E value</t>
  </si>
  <si>
    <t>Per. ident</t>
  </si>
  <si>
    <t>Acc. Len</t>
  </si>
  <si>
    <t xml:space="preserve">Accession  </t>
  </si>
  <si>
    <t>phosphoketolase family protein [Gloeomargaritaceae cyanobacterium C42_A2020_066]</t>
  </si>
  <si>
    <t>Gloeomargaritaceae cyanobacterium C42_A2020_066</t>
  </si>
  <si>
    <t>phosphoketolase [Rhodocyclus tenuis]</t>
  </si>
  <si>
    <t>Rhodocyclus tenuis</t>
  </si>
  <si>
    <t>phosphoketolase family protein [Planktothrix sp. PCC 11201]</t>
  </si>
  <si>
    <t>Planktothrix sp. PCC 11201</t>
  </si>
  <si>
    <t>phosphoketolase family protein [Chlorogloeopsis fritschii]</t>
  </si>
  <si>
    <t>Chlorogloeopsis fritschii</t>
  </si>
  <si>
    <t>phosphoketolase [Planktothrix sp. FACHB-1365]</t>
  </si>
  <si>
    <t>Planktothrix sp. FACHB-1365</t>
  </si>
  <si>
    <t>MULTISPECIES: phosphoketolase family protein [Leptospirillum]</t>
  </si>
  <si>
    <t>Leptospirillum</t>
  </si>
  <si>
    <t>putative D-xylulose 5-phosphate/D-fructose 6-phosphate phosphoketolase [Planktothrix agardhii NIES-204]</t>
  </si>
  <si>
    <t>Planktothrix agardhii NIES-204</t>
  </si>
  <si>
    <t>TPA: phosphoketolase [Planktothrix sp. UBA8402]</t>
  </si>
  <si>
    <t>Planktothrix sp. UBA8402</t>
  </si>
  <si>
    <t>phosphoketolase family protein [Planktothrix agardhii]</t>
  </si>
  <si>
    <t>Planktothrix agardhii</t>
  </si>
  <si>
    <t>phosphoketolase [Phormidium sp. OSCR]</t>
  </si>
  <si>
    <t>Phormidium sp. OSCR</t>
  </si>
  <si>
    <t>phosphoketolase [Geitlerinema sp. P-1104]</t>
  </si>
  <si>
    <t>Geitlerinema sp. P-1104</t>
  </si>
  <si>
    <t>phosphoketolase family protein [Planktothrix paucivesiculata]</t>
  </si>
  <si>
    <t>Planktothrix paucivesiculata</t>
  </si>
  <si>
    <t>phosphoketolase family protein [Planktothrix tepida]</t>
  </si>
  <si>
    <t>Planktothrix tepida</t>
  </si>
  <si>
    <t>phosphoketolase [Planktothrix mougeotii]</t>
  </si>
  <si>
    <t>Planktothrix mougeotii</t>
  </si>
  <si>
    <t>MULTISPECIES: phosphoketolase family protein [Planktothrix]</t>
  </si>
  <si>
    <t>Planktothrix</t>
  </si>
  <si>
    <t>phosphoketolase [Microcoleus sp. FACHB-831]</t>
  </si>
  <si>
    <t>Microcoleus sp. FACHB-831</t>
  </si>
  <si>
    <t>phosphoketolase [Oscillatoriales cyanobacterium CG2_30_40_61]</t>
  </si>
  <si>
    <t>Oscillatoriales cyanobacterium CG2_30_40_61</t>
  </si>
  <si>
    <t>Phosphoketolase [Cyanobacterium stanieri PCC 7202]</t>
  </si>
  <si>
    <t>Cyanobacterium stanieri PCC 7202</t>
  </si>
  <si>
    <t>phosphoketolase family protein [Pleurocapsales cyanobacterium LEGE 06147]</t>
  </si>
  <si>
    <t>Pleurocapsales cyanobacterium LEGE 06147</t>
  </si>
  <si>
    <t>phosphoketolase [Microcoleus sp. IPPAS B-353]</t>
  </si>
  <si>
    <t>Microcoleus sp. IPPAS B-353</t>
  </si>
  <si>
    <t>phosphoketolase family protein [Phormidium sp. SL48-SHIP]</t>
  </si>
  <si>
    <t>Phormidium sp. SL48-SHIP</t>
  </si>
  <si>
    <t>phosphoketolase family protein [Phormidium willei]</t>
  </si>
  <si>
    <t>Phormidium willei</t>
  </si>
  <si>
    <t>phosphoketolase family protein [Phormidium sp. GEM2.Bin31]</t>
  </si>
  <si>
    <t>Phormidium sp. GEM2.Bin31</t>
  </si>
  <si>
    <t>phosphoketolase family protein [Scytonema sp. UIC 10036]</t>
  </si>
  <si>
    <t>Scytonema sp. UIC 10036</t>
  </si>
  <si>
    <t>phosphoketolase family protein [Planktothrix serta]</t>
  </si>
  <si>
    <t>Planktothrix serta</t>
  </si>
  <si>
    <t>phosphoketolase family protein [Planktothrix rubescens]</t>
  </si>
  <si>
    <t>Planktothrix rubescens</t>
  </si>
  <si>
    <t>phosphoketolase family protein [Cyanobacteria bacterium SBC]</t>
  </si>
  <si>
    <t>Cyanobacteria bacterium SBC</t>
  </si>
  <si>
    <t>phosphoketolase family protein [Cyanobacteria bacterium SID2]</t>
  </si>
  <si>
    <t>Cyanobacteria bacterium SID2</t>
  </si>
  <si>
    <t>phosphoketolase family protein [Cyanothece sp. SIO1E1]</t>
  </si>
  <si>
    <t>Cyanothece sp. SIO1E1</t>
  </si>
  <si>
    <t>phosphoketolase family protein [Geminocystis sp. NIES-3708]</t>
  </si>
  <si>
    <t>Geminocystis sp. NIES-3708</t>
  </si>
  <si>
    <t>phosphoketolase [Cyanobacteria bacterium M5B4]</t>
  </si>
  <si>
    <t>Cyanobacteria bacterium M5B4</t>
  </si>
  <si>
    <t>phosphoketolase family protein [Symploca sp. SIO2B6]</t>
  </si>
  <si>
    <t>Symploca sp. SIO2B6</t>
  </si>
  <si>
    <t>phosphoketolase family protein [Symploca sp. SIO3C6]</t>
  </si>
  <si>
    <t>Symploca sp. SIO3C6</t>
  </si>
  <si>
    <t>phosphoketolase family protein [Symploca sp. SIO2E9]</t>
  </si>
  <si>
    <t>Symploca sp. SIO2E9</t>
  </si>
  <si>
    <t>phosphoketolase family protein [Hydrococcus sp. C42_A2020_068]</t>
  </si>
  <si>
    <t>Hydrococcus sp. C42_A2020_068</t>
  </si>
  <si>
    <t>phosphoketolase family protein [Pleurocapsa minor]</t>
  </si>
  <si>
    <t>Pleurocapsa minor</t>
  </si>
  <si>
    <t>phosphoketolase family protein [Calothrix sp. 336/3]</t>
  </si>
  <si>
    <t>Calothrix sp. 336/3</t>
  </si>
  <si>
    <t>phosphoketolase family protein [Hydrococcus rivularis]</t>
  </si>
  <si>
    <t>Hydrococcus rivularis</t>
  </si>
  <si>
    <t>phosphoketolase family protein [Pseudanabaena sp. UWO311]</t>
  </si>
  <si>
    <t>Pseudanabaena sp. UWO311</t>
  </si>
  <si>
    <t>phosphoketolase family protein [Pseudanabaena sp. BC1403]</t>
  </si>
  <si>
    <t>Pseudanabaena sp. BC1403</t>
  </si>
  <si>
    <t>MULTISPECIES: phosphoketolase family protein [Nostocaceae]</t>
  </si>
  <si>
    <t>Nostocaceae</t>
  </si>
  <si>
    <t>phosphoketolase family protein [Leptolyngbya sp. SIO4C1]</t>
  </si>
  <si>
    <t>Leptolyngbya sp. SIO4C1</t>
  </si>
  <si>
    <t>phosphoketolase family protein [Roseofilum sp. SID3]</t>
  </si>
  <si>
    <t>Roseofilum sp. SID3</t>
  </si>
  <si>
    <t>TPA: phosphoketolase [Cyanobacteria bacterium UBA11371]</t>
  </si>
  <si>
    <t>Cyanobacteria bacterium UBA11371</t>
  </si>
  <si>
    <t>phosphoketolase [Pseudanabaena sp.]</t>
  </si>
  <si>
    <t>Pseudanabaena sp.</t>
  </si>
  <si>
    <t>phosphoketolase [Oscillatoriales cyanobacterium CG2_30_44_21]</t>
  </si>
  <si>
    <t>Oscillatoriales cyanobacterium CG2_30_44_21</t>
  </si>
  <si>
    <t>TPA: phosphoketolase [Cyanobacteria bacterium UBA11691]</t>
  </si>
  <si>
    <t>Cyanobacteria bacterium UBA11691</t>
  </si>
  <si>
    <t>phosphoketolase family protein [Geminocystis herdmanii]</t>
  </si>
  <si>
    <t>Geminocystis herdmanii</t>
  </si>
  <si>
    <t>phosphoketolase family protein [Roseofilum sp. Guam]</t>
  </si>
  <si>
    <t>Roseofilum sp. Guam</t>
  </si>
  <si>
    <t>phosphoketolase [Roseofilum reptotaenium AO1-A]</t>
  </si>
  <si>
    <t>Roseofilum reptotaenium AO1-A</t>
  </si>
  <si>
    <t>phosphoketolase family protein [Nostoc sp. 'Peltigera membranacea cyanobiont' 232]</t>
  </si>
  <si>
    <t>Nostoc sp. 'Peltigera membranacea cyanobiont' 232</t>
  </si>
  <si>
    <t>phosphoketolase family protein [Spirulinaceae cyanobacterium SM2_1_0]</t>
  </si>
  <si>
    <t>Spirulinaceae cyanobacterium SM2_1_0</t>
  </si>
  <si>
    <t>phosphoketolase family protein [Roseofilum sp. Belize BBD 4]</t>
  </si>
  <si>
    <t>Roseofilum sp. Belize BBD 4</t>
  </si>
  <si>
    <t>TPA: phosphoketolase [Cyanobacteria bacterium UBA11372]</t>
  </si>
  <si>
    <t>Cyanobacteria bacterium UBA11372</t>
  </si>
  <si>
    <t>phosphoketolase [Pseudanabaena sp. lw0831]</t>
  </si>
  <si>
    <t>Pseudanabaena sp. lw0831</t>
  </si>
  <si>
    <t>xylulose-5-phosphate phosphoketolase [Pseudanabaena sp. lw0831]</t>
  </si>
  <si>
    <t>phosphoketolase [Pseudanabaena yagii]</t>
  </si>
  <si>
    <t>Pseudanabaena yagii</t>
  </si>
  <si>
    <t>phosphoketolase [Nostoc sp. C052]</t>
  </si>
  <si>
    <t>Nostoc sp. C052</t>
  </si>
  <si>
    <t>phosphoketolase family protein [Geitlerinema sp. PCC 7105]</t>
  </si>
  <si>
    <t>Geitlerinema sp. PCC 7105</t>
  </si>
  <si>
    <t>phosphoketolase family protein [Aphanothece sacrum]</t>
  </si>
  <si>
    <t>Aphanothece sacrum</t>
  </si>
  <si>
    <t>phosphoketolase family protein [Roseofilum sp. Belize Diploria]</t>
  </si>
  <si>
    <t>Roseofilum sp. Belize Diploria</t>
  </si>
  <si>
    <t>phosphoketolase [Cyanobacterium stanieri]</t>
  </si>
  <si>
    <t>Cyanobacterium stanieri</t>
  </si>
  <si>
    <t>phosphoketolase [Pseudanabaena biceps PCC 7429]</t>
  </si>
  <si>
    <t>Pseudanabaena biceps PCC 7429</t>
  </si>
  <si>
    <t>phosphoketolase family protein [Pseudanabaena biceps]</t>
  </si>
  <si>
    <t>Pseudanabaena biceps</t>
  </si>
  <si>
    <t>phosphoketolase [Pseudanabaena sp. FACHB-1050]</t>
  </si>
  <si>
    <t>Pseudanabaena sp. FACHB-1050</t>
  </si>
  <si>
    <t>TPA: phosphoketolase [Pseudanabaena sp.]</t>
  </si>
  <si>
    <t>phosphoketolase [Pseudanabaena sp. FACHB-723]</t>
  </si>
  <si>
    <t>Pseudanabaena sp. FACHB-723</t>
  </si>
  <si>
    <t>phosphoketolase family protein [Cyanobacteria bacterium J149]</t>
  </si>
  <si>
    <t>Cyanobacteria bacterium J149</t>
  </si>
  <si>
    <t>phosphoketolase family protein [Arthrospira sp. PLM2.Bin9]</t>
  </si>
  <si>
    <t>Arthrospira sp. PLM2.Bin9</t>
  </si>
  <si>
    <t>phosphoketolase family protein [Cyanobacterium sp. IPPAS B-1200]</t>
  </si>
  <si>
    <t>Cyanobacterium sp. IPPAS B-1200</t>
  </si>
  <si>
    <t>phosphoketolase family protein [Cyanobacterium aponinum]</t>
  </si>
  <si>
    <t>Cyanobacterium aponinum</t>
  </si>
  <si>
    <t>phosphoketolase family protein [Hydrococcus sp. CRU_1_1]</t>
  </si>
  <si>
    <t>Hydrococcus sp. CRU_1_1</t>
  </si>
  <si>
    <t>phosphoketolase [Pseudanabaena frigida]</t>
  </si>
  <si>
    <t>Pseudanabaena frigida</t>
  </si>
  <si>
    <t>phosphoketolase family protein [Pseudanabaena sp. ABRG5-3]</t>
  </si>
  <si>
    <t>Pseudanabaena sp. ABRG5-3</t>
  </si>
  <si>
    <t>Xylulose-5-phosphate phosphoketolase [Geitlerinema sp. FC II]</t>
  </si>
  <si>
    <t>Geitlerinema sp. FC II</t>
  </si>
  <si>
    <t>phosphoketolase family protein [Leptolyngbya valderiana]</t>
  </si>
  <si>
    <t>Leptolyngbya valderiana</t>
  </si>
  <si>
    <t>phosphoketolase family protein [Cyanobacteria bacterium J083]</t>
  </si>
  <si>
    <t>Cyanobacteria bacterium J083</t>
  </si>
  <si>
    <t>phosphoketolase family protein [Gloeothece citriformis]</t>
  </si>
  <si>
    <t>Gloeothece citriformis</t>
  </si>
  <si>
    <t>phosphoketolase [Cyanobacterium aponinum]</t>
  </si>
  <si>
    <t>Pseudanabaena sp. SR411</t>
  </si>
  <si>
    <t>MULTISPECIES: phosphoketolase family protein [Leptolyngbya]</t>
  </si>
  <si>
    <t>Leptolyngbya</t>
  </si>
  <si>
    <t>phosphoketolase [filamentous cyanobacterium CCP2]</t>
  </si>
  <si>
    <t>filamentous cyanobacterium CCP2</t>
  </si>
  <si>
    <t>phosphoketolase family protein [Gloeothece verrucosa]</t>
  </si>
  <si>
    <t>Gloeothece verrucosa</t>
  </si>
  <si>
    <t>phosphoketolase Xfp [Cyanobacterium sp. HL-69]</t>
  </si>
  <si>
    <t>Cyanobacterium sp. HL-69</t>
  </si>
  <si>
    <t>phosphoketolase family protein [Rippkaea orientalis]</t>
  </si>
  <si>
    <t>Rippkaea orientalis</t>
  </si>
  <si>
    <t>phosphoketolase family protein [Pseudanabaena sp. UWO310]</t>
  </si>
  <si>
    <t>Pseudanabaena sp. UWO310</t>
  </si>
  <si>
    <t>phosphoketolase family protein [Pseudanabaena sp. 'Roaring Creek']</t>
  </si>
  <si>
    <t>Pseudanabaena sp. 'Roaring Creek'</t>
  </si>
  <si>
    <t>phosphoketolase [Pseudanabaena sp. FACHB-1998]</t>
  </si>
  <si>
    <t>Pseudanabaena sp. FACHB-1998</t>
  </si>
  <si>
    <t>phosphoketolase [Pseudanabaena sp. FACHB-1277]</t>
  </si>
  <si>
    <t>Pseudanabaena sp. FACHB-1277</t>
  </si>
  <si>
    <t>MULTISPECIES: phosphoketolase family protein [Arthrospira]</t>
  </si>
  <si>
    <t>Arthrospira</t>
  </si>
  <si>
    <t>phosphoketolase family protein [Geminocystis sp. NIES-3709]</t>
  </si>
  <si>
    <t>Geminocystis sp. NIES-3709</t>
  </si>
  <si>
    <t>phosphoketolase family protein [Moorea sp. SIO4A5]</t>
  </si>
  <si>
    <t>Moorea sp. SIO4A5</t>
  </si>
  <si>
    <t>phosphoketolase family protein [Cyanothece sp. PCC 7425]</t>
  </si>
  <si>
    <t>Cyanothece sp. PCC 7425</t>
  </si>
  <si>
    <t>phosphoketolase [Aphanocapsa montana]</t>
  </si>
  <si>
    <t>Aphanocapsa montana</t>
  </si>
  <si>
    <t>phosphoketolase family protein [Gloeocapsa sp. PCC 73106]</t>
  </si>
  <si>
    <t>Gloeocapsa sp. PCC 73106</t>
  </si>
  <si>
    <t>phosphoketolase family protein [Cyanobacterium sp. T60_A2020_053]</t>
  </si>
  <si>
    <t>Cyanobacterium sp. T60_A2020_053</t>
  </si>
  <si>
    <t>phosphoketolase family protein [Cyanobacteria bacterium J003]</t>
  </si>
  <si>
    <t>Cyanobacteria bacterium J003</t>
  </si>
  <si>
    <t>TPA: phosphoketolase family protein [Thermosynechococcus sp. M3746_W2019_013]</t>
  </si>
  <si>
    <t>Thermosynechococcus sp. M3746_W2019_013</t>
  </si>
  <si>
    <t>phosphoketolase [Pseudanabaena biceps]</t>
  </si>
  <si>
    <t>phosphoketolase [filamentous cyanobacterium CCP3]</t>
  </si>
  <si>
    <t>filamentous cyanobacterium CCP3</t>
  </si>
  <si>
    <t>phosphoketolase family protein [Cyanobacteria bacterium FACHB-63]</t>
  </si>
  <si>
    <t>Cyanobacteria bacterium FACHB-63</t>
  </si>
  <si>
    <t>phosphoketolase family protein [Halomicronema hongdechloris]</t>
  </si>
  <si>
    <t>Halomicronema hongdechloris</t>
  </si>
  <si>
    <t>phosphoketolase family protein [Leptolyngbyaceae cyanobacterium CRU_2_3]</t>
  </si>
  <si>
    <t>Leptolyngbyaceae cyanobacterium CRU_2_3</t>
  </si>
  <si>
    <t>phosphoketolase family protein [Thermosynechococcus sp. NK55a]</t>
  </si>
  <si>
    <t>Thermosynechococcus sp. NK55a</t>
  </si>
  <si>
    <t>phosphoketolase family protein [Hydrococcus sp. SU_1_0]</t>
  </si>
  <si>
    <t>Hydrococcus sp. SU_1_0</t>
  </si>
  <si>
    <t>phosphoketolase family protein [Gloeocapsa sp. DLM2.Bin57]</t>
  </si>
  <si>
    <t>Gloeocapsa sp. DLM2.Bin57</t>
  </si>
  <si>
    <t>phosphoketolase family protein [Pleurocapsa sp. PCC 7319]</t>
  </si>
  <si>
    <t>Pleurocapsa sp. PCC 7319</t>
  </si>
  <si>
    <t>TPA: phosphoketolase family protein [Leptolyngbyaceae cyanobacterium M65_K2018_010]</t>
  </si>
  <si>
    <t>Leptolyngbyaceae cyanobacterium M65_K2018_010</t>
  </si>
  <si>
    <t>phosphoketolase [Nodosilinea sp. FACHB-13]</t>
  </si>
  <si>
    <t>Nodosilinea sp. FACHB-13</t>
  </si>
  <si>
    <t>phosphoketolase family protein [Leptolyngbya sp. SIO1E4]</t>
  </si>
  <si>
    <t>Leptolyngbya sp. SIO1E4</t>
  </si>
  <si>
    <t>phosphoketolase family protein [Leptolyngbya sp. BC1307]</t>
  </si>
  <si>
    <t>Leptolyngbya sp. BC1307</t>
  </si>
  <si>
    <t>phosphoketolase [Oscillatoria sp. FACHB-1406]</t>
  </si>
  <si>
    <t>Oscillatoria sp. FACHB-1406</t>
  </si>
  <si>
    <t>phosphoketolase [Nostoc sp. FACHB-280]</t>
  </si>
  <si>
    <t>Nostoc sp. FACHB-280</t>
  </si>
  <si>
    <t>phosphoketolase [Leptolyngbya sp.]</t>
  </si>
  <si>
    <t>Leptolyngbya sp.</t>
  </si>
  <si>
    <t>phosphoketolase [Shackletoniella antarctica]</t>
  </si>
  <si>
    <t>Shackletoniella antarctica</t>
  </si>
  <si>
    <t>phosphoketolase [Microcoleus sp. FACHB-1515]</t>
  </si>
  <si>
    <t>Microcoleus sp. FACHB-1515</t>
  </si>
  <si>
    <t>phosphoketolase family protein [Limnospira indica]</t>
  </si>
  <si>
    <t>Limnospira indica</t>
  </si>
  <si>
    <t>phosphoketolase family protein [Pleurocapsales cyanobacterium LEGE 10410]</t>
  </si>
  <si>
    <t>Pleurocapsales cyanobacterium LEGE 10410</t>
  </si>
  <si>
    <t>phosphoketolase family protein [Phormidium ambiguum]</t>
  </si>
  <si>
    <t>Phormidium ambiguum</t>
  </si>
  <si>
    <t>phosphoketolase family protein [Leptolyngbya sp. KIOST-1]</t>
  </si>
  <si>
    <t>Leptolyngbya sp. KIOST-1</t>
  </si>
  <si>
    <t>phosphoketolase family protein [Crocosphaera subtropica]</t>
  </si>
  <si>
    <t>Crocosphaera subtropica</t>
  </si>
  <si>
    <t>MULTISPECIES: phosphoketolase [Cyanobacteria]</t>
  </si>
  <si>
    <t>phosphoketolase family protein [Chondrocystis sp. NIES-4102]</t>
  </si>
  <si>
    <t>Chondrocystis sp. NIES-4102</t>
  </si>
  <si>
    <t>phosphoketolase family protein [Pantanalinema sp. GBBB05]</t>
  </si>
  <si>
    <t>Pantanalinema sp. GBBB05</t>
  </si>
  <si>
    <t>phosphoketolase family protein [Desertifilum sp. SIO1I2]</t>
  </si>
  <si>
    <t>Desertifilum sp. SIO1I2</t>
  </si>
  <si>
    <t>MULTISPECIES: phosphoketolase family protein [Fischerella]</t>
  </si>
  <si>
    <t>Fischerella</t>
  </si>
  <si>
    <t>phosphoketolase [Phormidium sp. LEGE 05292]</t>
  </si>
  <si>
    <t>Phormidium sp. LEGE 05292</t>
  </si>
  <si>
    <t>phosphoketolase family protein [Fischerella thermalis]</t>
  </si>
  <si>
    <t>Fischerella thermalis</t>
  </si>
  <si>
    <t>phosphoketolase [filamentous cyanobacterium CCT1]</t>
  </si>
  <si>
    <t>filamentous cyanobacterium CCT1</t>
  </si>
  <si>
    <t>phosphoketolase [Nodosilinea sp. LEGE 07298]</t>
  </si>
  <si>
    <t>Nodosilinea sp. LEGE 07298</t>
  </si>
  <si>
    <t>phosphoketolase [Nodosilinea sp. FACHB-131]</t>
  </si>
  <si>
    <t>Nodosilinea sp. FACHB-131</t>
  </si>
  <si>
    <t>phosphoketolase family protein [Phormidium tenue]</t>
  </si>
  <si>
    <t>Phormidium tenue</t>
  </si>
  <si>
    <t>phosphoketolase family protein [Lyngbya aestuarii]</t>
  </si>
  <si>
    <t>Lyngbya aestuarii</t>
  </si>
  <si>
    <t>phosphoketolase family protein [Fischerella major]</t>
  </si>
  <si>
    <t>Fischerella major</t>
  </si>
  <si>
    <t>phosphoketolase family protein [Pseudanabaena sp. PCC 7367]</t>
  </si>
  <si>
    <t>Pseudanabaena sp. PCC 7367</t>
  </si>
  <si>
    <t>phosphoketolase family protein [Arthrospira sp. O9.13F]</t>
  </si>
  <si>
    <t>Arthrospira sp. O9.13F</t>
  </si>
  <si>
    <t>MULTISPECIES: phosphoketolase family protein [Thermosynechococcus]</t>
  </si>
  <si>
    <t>Thermosynechococcus</t>
  </si>
  <si>
    <t>phosphoketolase family protein [Alkalinema sp. FL-bin-369]</t>
  </si>
  <si>
    <t>Alkalinema sp. FL-bin-369</t>
  </si>
  <si>
    <t>phosphoketolase [Limnospira fusiformis]</t>
  </si>
  <si>
    <t>Limnospira fusiformis</t>
  </si>
  <si>
    <t>MULTISPECIES: phosphoketolase family protein [Microcoleaceae]</t>
  </si>
  <si>
    <t>Microcoleaceae</t>
  </si>
  <si>
    <t>phosphoketolase family protein [cyanobacterium endosymbiont of Epithemia turgida]</t>
  </si>
  <si>
    <t>cyanobacterium endosymbiont of Epithemia turgida</t>
  </si>
  <si>
    <t>phosphoketolase family protein [Xenococcus sp. PCC 7305]</t>
  </si>
  <si>
    <t>Xenococcus sp. PCC 7305</t>
  </si>
  <si>
    <t>MULTISPECIES: phosphoketolase family protein [unclassified Desertifilum]</t>
  </si>
  <si>
    <t>unclassified Desertifilum</t>
  </si>
  <si>
    <t>phosphoketolase family protein [Calothrix sp. NIES-3974]</t>
  </si>
  <si>
    <t>Calothrix sp. NIES-3974</t>
  </si>
  <si>
    <t>phosphoketolase family protein [Rubidibacter lacunae]</t>
  </si>
  <si>
    <t>Rubidibacter lacunae</t>
  </si>
  <si>
    <t>phosphoketolase [Leptolyngbya foveolarum]</t>
  </si>
  <si>
    <t>Leptolyngbya foveolarum</t>
  </si>
  <si>
    <t>phosphoketolase [filamentous cyanobacterium CCP5]</t>
  </si>
  <si>
    <t>filamentous cyanobacterium CCP5</t>
  </si>
  <si>
    <t>Xylulose-5-phosphate phosphoketolase; Fructose-6-phosphate phosphoketolase [Crocosphaera watsonii WH 0005]</t>
  </si>
  <si>
    <t>Crocosphaera watsonii WH 0005</t>
  </si>
  <si>
    <t>phosphoketolase family protein [Fischerella thermalis M48_A2018_028]</t>
  </si>
  <si>
    <t>Fischerella thermalis M48_A2018_028</t>
  </si>
  <si>
    <t>phosphoketolase family protein [Fischerella thermalis M58_A2018_009]</t>
  </si>
  <si>
    <t>Fischerella thermalis M58_A2018_009</t>
  </si>
  <si>
    <t>phosphoketolase family protein [Fischerella thermalis M66_A2018_004]</t>
  </si>
  <si>
    <t>Fischerella thermalis M66_A2018_004</t>
  </si>
  <si>
    <t>phosphoketolase [Leptolyngbya sp. FACHB-1624]</t>
  </si>
  <si>
    <t>Leptolyngbya sp. FACHB-1624</t>
  </si>
  <si>
    <t>phosphoketolase family protein [cyanobacterium endosymbiont of Rhopalodia gibberula]</t>
  </si>
  <si>
    <t>cyanobacterium endosymbiont of Rhopalodia gibberula</t>
  </si>
  <si>
    <t>phosphoketolase [Nodosilinea sp. LEGE 07088]</t>
  </si>
  <si>
    <t>Nodosilinea sp. LEGE 07088</t>
  </si>
  <si>
    <t>phosphoketolase [Phormidesmis priestleyi]</t>
  </si>
  <si>
    <t>Phormidesmis priestleyi</t>
  </si>
  <si>
    <t>phosphoketolase [Fischerella thermalis CCMEE 5319]</t>
  </si>
  <si>
    <t>Fischerella thermalis CCMEE 5319</t>
  </si>
  <si>
    <t>phosphoketolase family protein [Stanieria sp. NIES-3757]</t>
  </si>
  <si>
    <t>Stanieria sp. NIES-3757</t>
  </si>
  <si>
    <t>phosphoketolase family protein [Symploca sp. SIO1C2]</t>
  </si>
  <si>
    <t>Symploca sp. SIO1C2</t>
  </si>
  <si>
    <t>phosphoketolase [Nodosilinea sp. FACHB-141]</t>
  </si>
  <si>
    <t>Nodosilinea sp. FACHB-141</t>
  </si>
  <si>
    <t>phosphoketolase [Thermosynechococcus sp. TA-1]</t>
  </si>
  <si>
    <t>Thermosynechococcus sp. TA-1</t>
  </si>
  <si>
    <t>TPA: phosphoketolase family protein [Oscillatoriales cyanobacterium SpSt-418]</t>
  </si>
  <si>
    <t>Oscillatoriales cyanobacterium SpSt-418</t>
  </si>
  <si>
    <t>phosphoketolase [Halochromatium roseum]</t>
  </si>
  <si>
    <t>Halochromatium roseum</t>
  </si>
  <si>
    <t>phosphoketolase [Halochromatium salexigens]</t>
  </si>
  <si>
    <t>Halochromatium salexigens</t>
  </si>
  <si>
    <t>phosphoketolase family protein [Cyanothece sp. BG0011]</t>
  </si>
  <si>
    <t>Cyanothece sp. BG0011</t>
  </si>
  <si>
    <t>phosphoketolase [Chroococcus sp. FPU101]</t>
  </si>
  <si>
    <t>Chroococcus sp. FPU101</t>
  </si>
  <si>
    <t>phosphoketolase family protein [Lyngbya sp. PCC 8106]</t>
  </si>
  <si>
    <t>Lyngbya sp. PCC 8106</t>
  </si>
  <si>
    <t>phosphoketolase family protein [Oscillatoriales cyanobacterium SM2_3_0]</t>
  </si>
  <si>
    <t>Oscillatoriales cyanobacterium SM2_3_0</t>
  </si>
  <si>
    <t>phosphoketolase family protein [Fischerella sp. NIES-3754]</t>
  </si>
  <si>
    <t>Fischerella sp. NIES-3754</t>
  </si>
  <si>
    <t>phosphoketolase family protein [Thermosynechococcus sp. CL-1]</t>
  </si>
  <si>
    <t>Thermosynechococcus sp. CL-1</t>
  </si>
  <si>
    <t>TPA: phosphoketolase family protein [Thermosynechococcus sp. M46_R2017_013]</t>
  </si>
  <si>
    <t>Thermosynechococcus sp. M46_R2017_013</t>
  </si>
  <si>
    <t>phosphoketolase family protein [Synechococcus sp. PCC 7336]</t>
  </si>
  <si>
    <t>Synechococcus sp. PCC 7336</t>
  </si>
  <si>
    <t>phosphoketolase family protein [filamentous cyanobacterium LEGE 07170]</t>
  </si>
  <si>
    <t>filamentous cyanobacterium LEGE 07170</t>
  </si>
  <si>
    <t>phosphoketolase family protein [Hyella patelloides]</t>
  </si>
  <si>
    <t>Hyella patelloides</t>
  </si>
  <si>
    <t>phosphoketolase family protein [Fischerella sp. PCC 9605]</t>
  </si>
  <si>
    <t>Fischerella sp. PCC 9605</t>
  </si>
  <si>
    <t>Symploca sp. SIO1A3</t>
  </si>
  <si>
    <t>phosphoketolase family protein [Symploca sp. SIO1A3]</t>
  </si>
  <si>
    <t>Nodosilinea nodulosa</t>
  </si>
  <si>
    <t>phosphoketolase family protein [Nodosilinea nodulosa]</t>
  </si>
  <si>
    <t>phosphoketolase [Phormidium sp. FACHB-1136]</t>
  </si>
  <si>
    <t>Phormidium sp. FACHB-1136</t>
  </si>
  <si>
    <t>phosphoketolase family protein [Crocosphaera watsonii]</t>
  </si>
  <si>
    <t>Crocosphaera watsonii</t>
  </si>
  <si>
    <t>phosphoketolase family protein [Leptolyngbya sp. LCM1.Bin17]</t>
  </si>
  <si>
    <t>Leptolyngbya sp. LCM1.Bin17</t>
  </si>
  <si>
    <t>phosphoketolase family protein [Leptolyngbya sp. PCC 7375]</t>
  </si>
  <si>
    <t>Leptolyngbya sp. PCC 7375</t>
  </si>
  <si>
    <t>phosphoketolase [Oculatella sp. LEGE 06141]</t>
  </si>
  <si>
    <t>Oculatella sp. LEGE 06141</t>
  </si>
  <si>
    <t>phosphoketolase family protein [Oscillatoriophycideae cyanobacterium NC_groundwater_1537_Pr4_S-0.65um_50_18]</t>
  </si>
  <si>
    <t>Oscillatoriophycideae cyanobacterium NC_groundwater_1537_Pr4_S-0.65um_50_18</t>
  </si>
  <si>
    <t>phosphoketolase [Synechocystis salina]</t>
  </si>
  <si>
    <t>Synechocystis salina</t>
  </si>
  <si>
    <t>phosphoketolase family protein [Synechocystis sp. PCC 6714]</t>
  </si>
  <si>
    <t>Synechocystis sp. PCC 6714</t>
  </si>
  <si>
    <t>phosphoketolase family protein [Symploca sp. SIO1B1]</t>
  </si>
  <si>
    <t>Symploca sp. SIO1B1</t>
  </si>
  <si>
    <t>phosphoketolase family protein [Synechococcus sp. PCC 7502]</t>
  </si>
  <si>
    <t>Synechococcus sp. PCC 7502</t>
  </si>
  <si>
    <t>phosphoketolase [Phormidium sp. FACHB-592]</t>
  </si>
  <si>
    <t>Phormidium sp. FACHB-592</t>
  </si>
  <si>
    <t>phosphoketolase [Leptolyngbya sp. FACHB-321]</t>
  </si>
  <si>
    <t>Leptolyngbya sp. FACHB-321</t>
  </si>
  <si>
    <t>Chroococcidiopsis sp. PCC 6712</t>
  </si>
  <si>
    <t>xylulose-5-phosphate/fructose-6-phosphate phosphoketolase [Chroococcidiopsis sp. PCC 6712]</t>
  </si>
  <si>
    <t>phosphoketolase family protein [Thermosynechococcus elongatus]</t>
  </si>
  <si>
    <t>Thermosynechococcus elongatus</t>
  </si>
  <si>
    <t>phosphoketolase family protein [Synechococcus sp. PCC 6312]</t>
  </si>
  <si>
    <t>Synechococcus sp. PCC 6312</t>
  </si>
  <si>
    <t>MULTISPECIES: phosphoketolase [unclassified Leptolyngbya]</t>
  </si>
  <si>
    <t>unclassified Leptolyngbya</t>
  </si>
  <si>
    <t>phosphoketolase family protein [Symploca sp. SIO2G7]</t>
  </si>
  <si>
    <t>Symploca sp. SIO2G7</t>
  </si>
  <si>
    <t>phosphoketolase family protein [Hapalosiphon sp. MRB220]</t>
  </si>
  <si>
    <t>Hapalosiphon sp. MRB220</t>
  </si>
  <si>
    <t>phosphoketolase family protein [Fischerella sp.]</t>
  </si>
  <si>
    <t>Fischerella sp.</t>
  </si>
  <si>
    <t>phosphoketolase family protein [Cylindrospermopsis raciborskii KL1]</t>
  </si>
  <si>
    <t>Cylindrospermopsis raciborskii KL1</t>
  </si>
  <si>
    <t>phosphoketolase family protein [Microcystis aeruginosa Ma_AC_P_19900807_S299]</t>
  </si>
  <si>
    <t>Microcystis aeruginosa Ma_AC_P_19900807_S299</t>
  </si>
  <si>
    <t>phosphoketolase family protein [Leptolyngbyaceae cyanobacterium CCMR0082]</t>
  </si>
  <si>
    <t>Leptolyngbyaceae cyanobacterium CCMR0082</t>
  </si>
  <si>
    <t>phosphoketolase [Phormidium sp. CLA17]</t>
  </si>
  <si>
    <t>Phormidium sp. CLA17</t>
  </si>
  <si>
    <t>phosphoketolase [Synechocystis sp. CACIAM 05]</t>
  </si>
  <si>
    <t>Synechocystis sp. CACIAM 05</t>
  </si>
  <si>
    <t>TPA: phosphoketolase family protein [Thermosynechococcus sp. M98_K2018_005]</t>
  </si>
  <si>
    <t>Thermosynechococcus sp. M98_K2018_005</t>
  </si>
  <si>
    <t>phosphoketolase [Synechocystis sp. FACHB-383]</t>
  </si>
  <si>
    <t>Synechocystis sp. FACHB-383</t>
  </si>
  <si>
    <t>phosphoketolase family protein [Synechococcus lividus]</t>
  </si>
  <si>
    <t>Synechococcus lividus</t>
  </si>
  <si>
    <t>phosphoketolase [Leptolyngbyaceae cyanobacterium JSC-12]</t>
  </si>
  <si>
    <t>Leptolyngbyaceae cyanobacterium JSC-12</t>
  </si>
  <si>
    <t>phosphoketolase family protein [Caldora sp. SIO3E6]</t>
  </si>
  <si>
    <t>Caldora sp. SIO3E6</t>
  </si>
  <si>
    <t>phosphoketolase family protein [Halothece sp. PCC 7418]</t>
  </si>
  <si>
    <t>Halothece sp. PCC 7418</t>
  </si>
  <si>
    <t>phosphoketolase [Spirulina major]</t>
  </si>
  <si>
    <t>Spirulina major</t>
  </si>
  <si>
    <t>phosphoketolase family protein [Crocosphaera chwakensis]</t>
  </si>
  <si>
    <t>Crocosphaera chwakensis</t>
  </si>
  <si>
    <t>phosphoketolase family protein [Aphanothece hegewaldii]</t>
  </si>
  <si>
    <t>Aphanothece hegewaldii</t>
  </si>
  <si>
    <t>phosphoketolase family protein [Leptolyngbyaceae cyanobacterium JSC-12]</t>
  </si>
  <si>
    <t>MULTISPECIES: phosphoketolase family protein [Hapalosiphonaceae]</t>
  </si>
  <si>
    <t>Hapalosiphonaceae</t>
  </si>
  <si>
    <t>phosphoketolase family protein [Leptolyngbya sp. SIO3F4]</t>
  </si>
  <si>
    <t>Leptolyngbya sp. SIO3F4</t>
  </si>
  <si>
    <t>phosphoketolase [Leptolyngbya sp. BL0902]</t>
  </si>
  <si>
    <t>Leptolyngbya sp. BL0902</t>
  </si>
  <si>
    <t>phosphoketolase [Nodosilinea sp. P-1105]</t>
  </si>
  <si>
    <t>Nodosilinea sp. P-1105</t>
  </si>
  <si>
    <t>phosphoketolase family protein [Microcystis aeruginosa Ma_QC_Ch_20071001_S25D]</t>
  </si>
  <si>
    <t>Microcystis aeruginosa Ma_QC_Ch_20071001_S25D</t>
  </si>
  <si>
    <t>phosphoketolase family protein [Microcystis aeruginosa LL13-06]</t>
  </si>
  <si>
    <t>Microcystis aeruginosa LL13-06</t>
  </si>
  <si>
    <t>phosphoketolase family protein [Fischerella sp. PCC 9339]</t>
  </si>
  <si>
    <t>Fischerella sp. PCC 9339</t>
  </si>
  <si>
    <t>phosphoketolase family protein [Synechococcales cyanobacterium T60_A2020_003]</t>
  </si>
  <si>
    <t>Synechococcales cyanobacterium T60_A2020_003</t>
  </si>
  <si>
    <t>phosphoketolase [Hapalosiphonaceae cyanobacterium JJU2]</t>
  </si>
  <si>
    <t>Hapalosiphonaceae cyanobacterium JJU2</t>
  </si>
  <si>
    <t>phosphoketolase family protein [Leptolyngbya sp. SIOISBB]</t>
  </si>
  <si>
    <t>Leptolyngbya sp. SIOISBB</t>
  </si>
  <si>
    <t>phosphoketolase family protein [Cyanobacteria bacterium RU_5_0]</t>
  </si>
  <si>
    <t>Cyanobacteria bacterium RU_5_0</t>
  </si>
  <si>
    <t>phosphoketolase family protein [Microcystis viridis]</t>
  </si>
  <si>
    <t>Microcystis viridis</t>
  </si>
  <si>
    <t>phosphoketolase family protein [Microcystis aeruginosa]</t>
  </si>
  <si>
    <t>Microcystis aeruginosa</t>
  </si>
  <si>
    <t>phosphoketolase family protein [Microcystis novacekii Mn_MB_F_20050700_S1D]</t>
  </si>
  <si>
    <t>Microcystis novacekii Mn_MB_F_20050700_S1D</t>
  </si>
  <si>
    <t>phosphoketolase family protein [Microcystis aeruginosa F13-15]</t>
  </si>
  <si>
    <t>Microcystis aeruginosa F13-15</t>
  </si>
  <si>
    <t>hypothetical protein MYO_131380 [Synechocystis sp. PCC 6803]</t>
  </si>
  <si>
    <t>Synechocystis sp. PCC 6803</t>
  </si>
  <si>
    <t>MULTISPECIES: phosphoketolase family protein [unclassified Synechocystis]</t>
  </si>
  <si>
    <t>unclassified Synechocystis</t>
  </si>
  <si>
    <t>phosphoketolase family protein [Fischerella muscicola]</t>
  </si>
  <si>
    <t>Fischerella muscicola</t>
  </si>
  <si>
    <t>phosphoketolase family protein [Fischerella sp. PCC 9431]</t>
  </si>
  <si>
    <t>Fischerella sp. PCC 9431</t>
  </si>
  <si>
    <t>phosphoketolase family protein [Acaryochloris sp. CCMEE 5410]</t>
  </si>
  <si>
    <t>Acaryochloris sp. CCMEE 5410</t>
  </si>
  <si>
    <t>phosphoketolase family protein [Okeania sp. SIO2G5]</t>
  </si>
  <si>
    <t>Okeania sp. SIO2G5</t>
  </si>
  <si>
    <t>phosphoketolase family protein [Microcystis aeruginosa G13-11]</t>
  </si>
  <si>
    <t>Microcystis aeruginosa G13-11</t>
  </si>
  <si>
    <t>phosphoketolase family protein [Microcystis aeruginosa Ma_QC_Ca_00000000_S207]</t>
  </si>
  <si>
    <t>Microcystis aeruginosa Ma_QC_Ca_00000000_S207</t>
  </si>
  <si>
    <t>phosphoketolase family protein [Microcystis aeruginosa W13-16]</t>
  </si>
  <si>
    <t>Microcystis aeruginosa W13-16</t>
  </si>
  <si>
    <t>phosphoketolase family protein [Microcystis aeruginosa G13-03]</t>
  </si>
  <si>
    <t>Microcystis aeruginosa G13-03</t>
  </si>
  <si>
    <t>phosphoketolase family protein [Microcystis aeruginosa L211-11]</t>
  </si>
  <si>
    <t>Microcystis aeruginosa L211-11</t>
  </si>
  <si>
    <t>phosphoketolase family protein [Microcystis panniformis Mp_MB_F_20080800_S26D]</t>
  </si>
  <si>
    <t>Microcystis panniformis Mp_MB_F_20080800_S26D</t>
  </si>
  <si>
    <t>phosphoketolase family protein [Microcystis aeruginosa PMC 728.11]</t>
  </si>
  <si>
    <t>Microcystis aeruginosa PMC 728.11</t>
  </si>
  <si>
    <t>MULTISPECIES: phosphoketolase family protein [Microcystis]</t>
  </si>
  <si>
    <t>Microcystis</t>
  </si>
  <si>
    <t>phosphoketolase family protein [Microcystis sp. M_QC_C_20170808_M3Col]</t>
  </si>
  <si>
    <t>Microcystis sp. M_QC_C_20170808_M3Col</t>
  </si>
  <si>
    <t>phosphoketolase family protein [Microcystis aeruginosa L211-07]</t>
  </si>
  <si>
    <t>Microcystis aeruginosa L211-07</t>
  </si>
  <si>
    <t>phosphoketolase family protein [Microcystis aeruginosa Ma_QC_B_20070730_S2]</t>
  </si>
  <si>
    <t>Microcystis aeruginosa Ma_QC_B_20070730_S2</t>
  </si>
  <si>
    <t>phosphoketolase family protein [Microcystis aeruginosa LG13-12]</t>
  </si>
  <si>
    <t>Microcystis aeruginosa LG13-12</t>
  </si>
  <si>
    <t>phosphoketolase [Microcystis aeruginosa]</t>
  </si>
  <si>
    <t>phosphoketolase [Microcystis flos-aquae]</t>
  </si>
  <si>
    <t>Microcystis flos-aquae</t>
  </si>
  <si>
    <t>phosphoketolase [Microcystis sp. LEGE 08355]</t>
  </si>
  <si>
    <t>Microcystis sp. LEGE 08355</t>
  </si>
  <si>
    <t>phosphoketolase family protein [Microcystis wesenbergii Mw_QC_B_20070930_S4D]</t>
  </si>
  <si>
    <t>Microcystis wesenbergii Mw_QC_B_20070930_S4D</t>
  </si>
  <si>
    <t>phosphoketolase family protein [Microcystis flos-aquae DF17]</t>
  </si>
  <si>
    <t>Microcystis flos-aquae DF17</t>
  </si>
  <si>
    <t>phosphoketolase family protein [Microcystis wesenbergii Mw_QC_S_20081001_S30D]</t>
  </si>
  <si>
    <t>Microcystis wesenbergii Mw_QC_S_20081001_S30D</t>
  </si>
  <si>
    <t>phosphoketolase family protein [Microcystis aeruginosa K13-10]</t>
  </si>
  <si>
    <t>Microcystis aeruginosa K13-10</t>
  </si>
  <si>
    <t>phosphoketolase family protein [Leptolyngbya sp. Heron Island J]</t>
  </si>
  <si>
    <t>Leptolyngbya sp. Heron Island J</t>
  </si>
  <si>
    <t>phosphoketolase family protein [Synechococcales cyanobacterium RM1_1_8]</t>
  </si>
  <si>
    <t>Synechococcales cyanobacterium RM1_1_8</t>
  </si>
  <si>
    <t>phosphoketolase [Phormidesmis priestleyi Ana]</t>
  </si>
  <si>
    <t>Phormidesmis priestleyi Ana</t>
  </si>
  <si>
    <t>phosphoketolase family protein [Okeania hirsuta]</t>
  </si>
  <si>
    <t>Okeania hirsuta</t>
  </si>
  <si>
    <t>phosphoketolase family protein [Microcystis aeruginosa W13-18]</t>
  </si>
  <si>
    <t>Microcystis aeruginosa W13-18</t>
  </si>
  <si>
    <t>phosphoketolase family protein [Microcystis aeruginosa G11-04]</t>
  </si>
  <si>
    <t>Microcystis aeruginosa G11-04</t>
  </si>
  <si>
    <t>phosphoketolase family protein [Microcystis aeruginosa Ma_SC_T_19800800_S464]</t>
  </si>
  <si>
    <t>Microcystis aeruginosa Ma_SC_T_19800800_S464</t>
  </si>
  <si>
    <t>phosphoketolase family protein [Microcystis aeruginosa LG13-11]</t>
  </si>
  <si>
    <t>Microcystis aeruginosa LG13-11</t>
  </si>
  <si>
    <t>phosphoketolase family protein [Microcystis wesenbergii Mw_MB_S_20031200_S109]</t>
  </si>
  <si>
    <t>Microcystis wesenbergii Mw_MB_S_20031200_S109</t>
  </si>
  <si>
    <t>phosphoketolase [Microcystis sp. LEGE 00066]</t>
  </si>
  <si>
    <t>Microcystis sp. LEGE 00066</t>
  </si>
  <si>
    <t>phosphoketolase family protein [Microcystis aeruginosa LG13-13]</t>
  </si>
  <si>
    <t>Microcystis aeruginosa LG13-13</t>
  </si>
  <si>
    <t>phosphoketolase [Microcystis wesenbergii]</t>
  </si>
  <si>
    <t>Microcystis wesenbergii</t>
  </si>
  <si>
    <t>phosphoketolase family protein [Microcystis aeruginosa BS13-02]</t>
  </si>
  <si>
    <t>Microcystis aeruginosa BS13-02</t>
  </si>
  <si>
    <t>phosphoketolase family protein [Microcystis aeruginosa W11-03]</t>
  </si>
  <si>
    <t>Microcystis aeruginosa W11-03</t>
  </si>
  <si>
    <t>phosphoketolase family protein [Microcystis aeruginosa W13-11]</t>
  </si>
  <si>
    <t>Microcystis aeruginosa W13-11</t>
  </si>
  <si>
    <t>phosphoketolase family protein [Microcystis aeruginosa Ma_QC_C_20070703_M131]</t>
  </si>
  <si>
    <t>Microcystis aeruginosa Ma_QC_C_20070703_M131</t>
  </si>
  <si>
    <t>phosphoketolase family protein [Microcystis flos-aquae Ma_QC_C_20070823_S18D]</t>
  </si>
  <si>
    <t>Microcystis flos-aquae Ma_QC_C_20070823_S18D</t>
  </si>
  <si>
    <t>MULTISPECIES: phosphoketolase family protein [Cyanobacteria]</t>
  </si>
  <si>
    <t>phosphoketolase [Synechocystis sp. LEGE 06083]</t>
  </si>
  <si>
    <t>Synechocystis sp. LEGE 06083</t>
  </si>
  <si>
    <t>phosphoketolase family protein [Microcystis aeruginosa TA09]</t>
  </si>
  <si>
    <t>Microcystis aeruginosa TA09</t>
  </si>
  <si>
    <t>phosphoketolase family protein [Microcystis sp. 0824]</t>
  </si>
  <si>
    <t>Microcystis sp. 0824</t>
  </si>
  <si>
    <t>phosphoketolase [Halomicronema sp. CCY15110]</t>
  </si>
  <si>
    <t>Halomicronema sp. CCY15110</t>
  </si>
  <si>
    <t>phosphoketolase family protein [Cyanobacteria bacterium J069]</t>
  </si>
  <si>
    <t>Cyanobacteria bacterium J069</t>
  </si>
  <si>
    <t>phosphoketolase family protein [Okeania sp. SIO3B5]</t>
  </si>
  <si>
    <t>Okeania sp. SIO3B5</t>
  </si>
  <si>
    <t>phosphoketolase family protein [Cylindrospermopsis raciborskii]</t>
  </si>
  <si>
    <t>Cylindrospermopsis raciborskii</t>
  </si>
  <si>
    <t>phosphoketolase family protein [Fischerella sp. NIES-4106]</t>
  </si>
  <si>
    <t>Fischerella sp. NIES-4106</t>
  </si>
  <si>
    <t>phosphoketolase family protein [Elainella sp. C42_A2020_010]</t>
  </si>
  <si>
    <t>Elainella sp. C42_A2020_010</t>
  </si>
  <si>
    <t>phosphoketolase family protein [Stenomitos frigidus]</t>
  </si>
  <si>
    <t>Stenomitos frigidus</t>
  </si>
  <si>
    <t>phosphoketolase family protein [Okeania sp. SIO2C2]</t>
  </si>
  <si>
    <t>Okeania sp. SIO2C2</t>
  </si>
  <si>
    <t>phosphoketolase family protein [Okeania sp. SIO2B3]</t>
  </si>
  <si>
    <t>Okeania sp. SIO2B3</t>
  </si>
  <si>
    <t>phosphoketolase family protein [Okeania sp. SIO2D1]</t>
  </si>
  <si>
    <t>Okeania sp. SIO2D1</t>
  </si>
  <si>
    <t>phosphoketolase family protein [Acaryochloris marina]</t>
  </si>
  <si>
    <t>Acaryochloris marina</t>
  </si>
  <si>
    <t>phosphoketolase family protein [Okeania sp. SIO2C9]</t>
  </si>
  <si>
    <t>Okeania sp. SIO2C9</t>
  </si>
  <si>
    <t>phosphoketolase family protein [Okeania sp. SIO2F4]</t>
  </si>
  <si>
    <t>Okeania sp. SIO2F4</t>
  </si>
  <si>
    <t>phosphoketolase [Leptolyngbya sp. FACHB-711]</t>
  </si>
  <si>
    <t>Leptolyngbya sp. FACHB-711</t>
  </si>
  <si>
    <t>TPA: phosphoketolase family protein [Synechococcales cyanobacterium M55_K2018_004]</t>
  </si>
  <si>
    <t>Synechococcales cyanobacterium M55_K2018_004</t>
  </si>
  <si>
    <t>phosphoketolase [Cyanobacteria bacterium RI_101]</t>
  </si>
  <si>
    <t>Cyanobacteria bacterium RI_101</t>
  </si>
  <si>
    <t>phosphoketolase family protein [Okeania sp. SIO1I7]</t>
  </si>
  <si>
    <t>Okeania sp. SIO1I7</t>
  </si>
  <si>
    <t>phosphoketolase family protein [Cyanobacteria bacterium RM1_2_2]</t>
  </si>
  <si>
    <t>Cyanobacteria bacterium RM1_2_2</t>
  </si>
  <si>
    <t>phosphoketolase [Leptolyngbya ectocarpi]</t>
  </si>
  <si>
    <t>Leptolyngbya ectocarpi</t>
  </si>
  <si>
    <t>phosphoketolase family protein [Okeania sp. SIO3H1]</t>
  </si>
  <si>
    <t>Okeania sp. SIO3H1</t>
  </si>
  <si>
    <t>phosphoketolase family protein [Leptolyngbya ohadii]</t>
  </si>
  <si>
    <t>Leptolyngbya ohadii</t>
  </si>
  <si>
    <t>phosphoketolase family protein [Leptolyngbya sp. RL_3_1]</t>
  </si>
  <si>
    <t>Leptolyngbya sp. RL_3_1</t>
  </si>
  <si>
    <t>phosphoketolase family protein [Leptolyngbya sp. 'hensonii']</t>
  </si>
  <si>
    <t>Leptolyngbya sp. 'hensonii'</t>
  </si>
  <si>
    <t>phosphoketolase family protein [Gloeomargarita lithophora]</t>
  </si>
  <si>
    <t>Gloeomargarita lithophora</t>
  </si>
  <si>
    <t>MULTISPECIES: phosphoketolase [unclassified Thermoleptolyngbya]</t>
  </si>
  <si>
    <t>unclassified Thermoleptolyngbya</t>
  </si>
  <si>
    <t>phosphoketolase family protein [Thermoleptolyngbya sp. C42_A2020_037]</t>
  </si>
  <si>
    <t>Thermoleptolyngbya sp. C42_A2020_037</t>
  </si>
  <si>
    <t>phosphoketolase family protein [Cyanobacteria bacterium SBLK]</t>
  </si>
  <si>
    <t>Cyanobacteria bacterium SBLK</t>
  </si>
  <si>
    <t>phosphoketolase family protein [Acaryochloris sp. RCC1774]</t>
  </si>
  <si>
    <t>Acaryochloris sp. RCC1774</t>
  </si>
  <si>
    <t>phosphoketolase family protein [Synechococcus sp. PCC 7335]</t>
  </si>
  <si>
    <t>Synechococcus sp. PCC 7335</t>
  </si>
  <si>
    <t>phosphoketolase family protein [Stanieria cyanosphaera]</t>
  </si>
  <si>
    <t>Stanieria cyanosphaera</t>
  </si>
  <si>
    <t>TPA: phosphoketolase family protein [Thermoleptolyngbya sp. M55_K2018_002]</t>
  </si>
  <si>
    <t>Thermoleptolyngbya sp. M55_K2018_002</t>
  </si>
  <si>
    <t>phosphoketolase [Candidatus Melainabacteria bacterium]</t>
  </si>
  <si>
    <t>Candidatus Melainabacteria bacterium</t>
  </si>
  <si>
    <t>phosphoketolase family protein [Okeania sp. SIO3B3]</t>
  </si>
  <si>
    <t>Okeania sp. SIO3B3</t>
  </si>
  <si>
    <t>phosphoketolase family protein [Pseudanabaena sp. PCC 6802]</t>
  </si>
  <si>
    <t>Pseudanabaena sp. PCC 6802</t>
  </si>
  <si>
    <t>phosphoketolase family protein [Leptolyngbya sp. O-77]</t>
  </si>
  <si>
    <t>Leptolyngbya sp. O-77</t>
  </si>
  <si>
    <t>Xylulose-5-phosphate phosphoketolase [Leptolyngbya sp. O-77]</t>
  </si>
  <si>
    <t>phosphoketolase [Romeria gracilis]</t>
  </si>
  <si>
    <t>Romeria gracilis</t>
  </si>
  <si>
    <t>phosphoketolase family protein [Okeania sp. SIO3I5]</t>
  </si>
  <si>
    <t>Okeania sp. SIO3I5</t>
  </si>
  <si>
    <t>phosphoketolase family protein [Gemmatimonadaceae bacterium]</t>
  </si>
  <si>
    <t>Gemmatimonadaceae bacterium</t>
  </si>
  <si>
    <t>phosphoketolase family protein [Chamaesiphon minutus]</t>
  </si>
  <si>
    <t>Chamaesiphon minutus</t>
  </si>
  <si>
    <t>phosphoketolase family protein [Hydrocoleum sp. CS-953]</t>
  </si>
  <si>
    <t>Hydrocoleum sp. CS-953</t>
  </si>
  <si>
    <t>phosphoketolase [Pseudanabaena sp. FACHB-2040]</t>
  </si>
  <si>
    <t>Pseudanabaena sp. FACHB-2040</t>
  </si>
  <si>
    <t>phosphoketolase [cf. Phormidesmis sp. LEGE 11477]</t>
  </si>
  <si>
    <t>cf. Phormidesmis sp. LEGE 11477</t>
  </si>
  <si>
    <t>phosphoketolase family protein [Geitlerinema sp. PCC 7407]</t>
  </si>
  <si>
    <t>Geitlerinema sp. PCC 7407</t>
  </si>
  <si>
    <t>phosphoketolase family protein [Pleurocapsa sp. CCALA 161]</t>
  </si>
  <si>
    <t>Pleurocapsa sp. CCALA 161</t>
  </si>
  <si>
    <t>MULTISPECIES: phosphoketolase family protein [unclassified Synechococcus]</t>
  </si>
  <si>
    <t>unclassified Synechococcus</t>
  </si>
  <si>
    <t>phosphoketolase family protein [Merismopedia glauca]</t>
  </si>
  <si>
    <t>Merismopedia glauca</t>
  </si>
  <si>
    <t>phosphoketolase [Nostoc sp. TCL26-01]</t>
  </si>
  <si>
    <t>Nostoc sp. TCL26-01</t>
  </si>
  <si>
    <t>phosphoketolase family protein [Scytonema hofmannii]</t>
  </si>
  <si>
    <t>Scytonema hofmannii</t>
  </si>
  <si>
    <t>phosphoketolase [Nostoc sp. CENA67]</t>
  </si>
  <si>
    <t>Nostoc sp. CENA67</t>
  </si>
  <si>
    <t>MULTISPECIES: phosphoketolase [Nostoc]</t>
  </si>
  <si>
    <t>Nostoc</t>
  </si>
  <si>
    <t>phosphoketolase [Nostoc sp. B(2019)]</t>
  </si>
  <si>
    <t>Nostoc sp. B(2019)</t>
  </si>
  <si>
    <t>phosphoketolase family protein [Nostoc sp. T09]</t>
  </si>
  <si>
    <t>Nostoc sp. T09</t>
  </si>
  <si>
    <t>TPA: phosphoketolase family protein [Synechococcus sp.]</t>
  </si>
  <si>
    <t>Synechococcus sp.</t>
  </si>
  <si>
    <t>phosphoketolase [Nostoc parmelioides]</t>
  </si>
  <si>
    <t>Nostoc parmelioides</t>
  </si>
  <si>
    <t>phosphoketolase family protein [Nostoc sp. HG1]</t>
  </si>
  <si>
    <t>Nostoc sp. HG1</t>
  </si>
  <si>
    <t>phosphoketolase family protein [Nostoc sp. NIES-4103]</t>
  </si>
  <si>
    <t>Nostoc sp. NIES-4103</t>
  </si>
  <si>
    <t>phosphoketolase family protein [Leptolyngbyaceae cyanobacterium RM1_1_2]</t>
  </si>
  <si>
    <t>Leptolyngbyaceae cyanobacterium RM1_1_2</t>
  </si>
  <si>
    <t>phosphoketolase family protein [Synechococcus sp. JA-2-3B'a(2-13)]</t>
  </si>
  <si>
    <t>Synechococcus sp. JA-2-3B'a(2-13)</t>
  </si>
  <si>
    <t>phosphoketolase [Cyanobacteria bacterium QH_10_48_56]</t>
  </si>
  <si>
    <t>Cyanobacteria bacterium QH_10_48_56</t>
  </si>
  <si>
    <t>phosphoketolase [Cyanobacteria bacterium SW_6_48_11]</t>
  </si>
  <si>
    <t>Cyanobacteria bacterium SW_6_48_11</t>
  </si>
  <si>
    <t>phosphoketolase [Cyanobacteria bacterium QH_7_48_89]</t>
  </si>
  <si>
    <t>Cyanobacteria bacterium QH_7_48_89</t>
  </si>
  <si>
    <t>phosphoketolase [Cyanobacteria bacterium QS_1_48_34]</t>
  </si>
  <si>
    <t>Cyanobacteria bacterium QS_1_48_34</t>
  </si>
  <si>
    <t>phosphoketolase family protein [Chlorogloeopsis fritschii C42_A2020_084]</t>
  </si>
  <si>
    <t>Chlorogloeopsis fritschii C42_A2020_084</t>
  </si>
  <si>
    <t>phosphoketolase [Tolypothrix sp. PCC 7910]</t>
  </si>
  <si>
    <t>Tolypothrix sp. PCC 7910</t>
  </si>
  <si>
    <t>phosphoketolase [Nostoc minutum NIES-26]</t>
  </si>
  <si>
    <t>Nostoc minutum NIES-26</t>
  </si>
  <si>
    <t>phosphoketolase [Nostoc sp. UHCC 0702]</t>
  </si>
  <si>
    <t>Nostoc sp. UHCC 0702</t>
  </si>
  <si>
    <t>phosphoketolase family protein [Nostoc sp. 106C]</t>
  </si>
  <si>
    <t>Nostoc sp. 106C</t>
  </si>
  <si>
    <t>phosphoketolase family protein [Nostoc sp. RF31YmG]</t>
  </si>
  <si>
    <t>Nostoc sp. RF31YmG</t>
  </si>
  <si>
    <t>phosphoketolase family protein [Hormoscilla sp. SP12CHS1]</t>
  </si>
  <si>
    <t>Hormoscilla sp. SP12CHS1</t>
  </si>
  <si>
    <t>phosphoketolase [Cyanobacteria bacterium SW_8_48_13]</t>
  </si>
  <si>
    <t>Cyanobacteria bacterium SW_8_48_13</t>
  </si>
  <si>
    <t>phosphoketolase [Cyanobacteria bacterium QS_5_48_63]</t>
  </si>
  <si>
    <t>Cyanobacteria bacterium QS_5_48_63</t>
  </si>
  <si>
    <t>phosphoketolase [Cyanobacteria bacterium QS_4_48_99]</t>
  </si>
  <si>
    <t>Cyanobacteria bacterium QS_4_48_99</t>
  </si>
  <si>
    <t>phosphoketolase family protein [Chroococcidiopsis sp. TS-821]</t>
  </si>
  <si>
    <t>Chroococcidiopsis sp. TS-821</t>
  </si>
  <si>
    <t>phosphoketolase family protein [Gloeocapsa sp. PCC 7428]</t>
  </si>
  <si>
    <t>Gloeocapsa sp. PCC 7428</t>
  </si>
  <si>
    <t>phosphoketolase [Anabaena subtropica]</t>
  </si>
  <si>
    <t>Anabaena subtropica</t>
  </si>
  <si>
    <t>phosphoketolase family protein [Leptolyngbya sp. DLM2.Bin15]</t>
  </si>
  <si>
    <t>Leptolyngbya sp. DLM2.Bin15</t>
  </si>
  <si>
    <t>phosphoketolase [Tolypothrix bouteillei]</t>
  </si>
  <si>
    <t>Tolypothrix bouteillei</t>
  </si>
  <si>
    <t>phosphoketolase family protein [Synechococcales cyanobacterium K32_A2020_035]</t>
  </si>
  <si>
    <t>Synechococcales cyanobacterium K32_A2020_035</t>
  </si>
  <si>
    <t>phosphoketolase [Leptolyngbya sp. CCY15150]</t>
  </si>
  <si>
    <t>Leptolyngbya sp. CCY15150</t>
  </si>
  <si>
    <t>phosphoketolase family protein [Calothrix sp. NIES-2100]</t>
  </si>
  <si>
    <t>Calothrix sp. NIES-2100</t>
  </si>
  <si>
    <t>phosphoketolase [Plectonema radiosum]</t>
  </si>
  <si>
    <t>Plectonema radiosum</t>
  </si>
  <si>
    <t>MULTISPECIES: phosphoketolase [unclassified Nostoc]</t>
  </si>
  <si>
    <t>unclassified Nostoc</t>
  </si>
  <si>
    <t>D-xylulose 5-phosphate/D-fructose 6-phosphate phosphoketolase [Cylindrospermum sp. NIES-4074]</t>
  </si>
  <si>
    <t>Cylindrospermum sp. NIES-4074</t>
  </si>
  <si>
    <t>phosphoketolase [Cyanobacteria bacterium QH_2_48_84]</t>
  </si>
  <si>
    <t>Cyanobacteria bacterium QH_2_48_84</t>
  </si>
  <si>
    <t>phosphoketolase family protein [Chroogloeocystis siderophila]</t>
  </si>
  <si>
    <t>Chroogloeocystis siderophila</t>
  </si>
  <si>
    <t>phosphoketolase [Komarekiella sp. 'clone 1']</t>
  </si>
  <si>
    <t>Komarekiella sp. 'clone 1'</t>
  </si>
  <si>
    <t>phosphoketolase [Calothrix membranacea]</t>
  </si>
  <si>
    <t>Calothrix membranacea</t>
  </si>
  <si>
    <t>phosphoketolase family protein [Nostoc carneum]</t>
  </si>
  <si>
    <t>Nostoc carneum</t>
  </si>
  <si>
    <t>phosphoketolase family protein [Aliterella atlantica]</t>
  </si>
  <si>
    <t>Aliterella atlantica</t>
  </si>
  <si>
    <t>TPA: phosphoketolase family protein [Gloeobacter violaceus SpSt-379]</t>
  </si>
  <si>
    <t>Gloeobacter violaceus SpSt-379</t>
  </si>
  <si>
    <t>phosphoketolase family protein [Gloeobacter violaceus]</t>
  </si>
  <si>
    <t>Gloeobacter violaceus</t>
  </si>
  <si>
    <t>phosphoketolase family protein [Scytonema sp. HK-05]</t>
  </si>
  <si>
    <t>Scytonema sp. HK-05</t>
  </si>
  <si>
    <t>phosphoketolase [Nostocales cyanobacterium HT-58-2]</t>
  </si>
  <si>
    <t>Nostocales cyanobacterium HT-58-2</t>
  </si>
  <si>
    <t>phosphoketolase [Gloeocapsopsis crepidinum]</t>
  </si>
  <si>
    <t>Gloeocapsopsis crepidinum</t>
  </si>
  <si>
    <t>phosphoketolase family protein [Tolypothrix sp. NIES-4075]</t>
  </si>
  <si>
    <t>Tolypothrix sp. NIES-4075</t>
  </si>
  <si>
    <t>phosphoketolase family protein [Mastigocladopsis repens]</t>
  </si>
  <si>
    <t>Mastigocladopsis repens</t>
  </si>
  <si>
    <t>phosphoketolase [Calothrix sp. FACHB-156]</t>
  </si>
  <si>
    <t>Calothrix sp. FACHB-156</t>
  </si>
  <si>
    <t>phosphoketolase [Nostoc linckia]</t>
  </si>
  <si>
    <t>Nostoc linckia</t>
  </si>
  <si>
    <t>phosphoketolase [Fortiea sp. LEGE XX443]</t>
  </si>
  <si>
    <t>Fortiea sp. LEGE XX443</t>
  </si>
  <si>
    <t>phosphoketolase [Nostoc spongiaeforme]</t>
  </si>
  <si>
    <t>Nostoc spongiaeforme</t>
  </si>
  <si>
    <t>phosphoketolase family protein [Nostoc piscinale]</t>
  </si>
  <si>
    <t>Nostoc piscinale</t>
  </si>
  <si>
    <t>MULTISPECIES: phosphoketolase family protein [Nostocales]</t>
  </si>
  <si>
    <t>Nostocales</t>
  </si>
  <si>
    <t>phosphoketolase family protein [Rivularia sp. T60_A2020_040]</t>
  </si>
  <si>
    <t>Rivularia sp. T60_A2020_040</t>
  </si>
  <si>
    <t>phosphoketolase [Richelia sinica]</t>
  </si>
  <si>
    <t>Richelia sinica</t>
  </si>
  <si>
    <t>phosphoketolase family protein [Gloeocapsopsis sp. AAB1 = 1H9]</t>
  </si>
  <si>
    <t>Gloeocapsopsis sp. AAB1 = 1H9</t>
  </si>
  <si>
    <t>phosphoketolase [Nostoc sp. BAE]</t>
  </si>
  <si>
    <t>Nostoc sp. BAE</t>
  </si>
  <si>
    <t>phosphoketolase family protein [Synechococcaceae cyanobacterium SM2_3_2]</t>
  </si>
  <si>
    <t>Synechococcaceae cyanobacterium SM2_3_2</t>
  </si>
  <si>
    <t>phosphoketolase family protein [Tolypothrix campylonemoides]</t>
  </si>
  <si>
    <t>Tolypothrix campylonemoides</t>
  </si>
  <si>
    <t>phosphoketolase family protein [Scytonema sp. NIES-4073]</t>
  </si>
  <si>
    <t>Scytonema sp. NIES-4073</t>
  </si>
  <si>
    <t>phosphoketolase [Nostoc sp. ATCC 43529]</t>
  </si>
  <si>
    <t>Nostoc sp. ATCC 43529</t>
  </si>
  <si>
    <t>phosphoketolase family protein [Calothrix parietina]</t>
  </si>
  <si>
    <t>Calothrix parietina</t>
  </si>
  <si>
    <t>phosphoketolase [Nostoc sp. PCC 7120 = FACHB-418]</t>
  </si>
  <si>
    <t>Nostoc sp. PCC 7120 = FACHB-418</t>
  </si>
  <si>
    <t>phosphoketolase [Anabaena azotica]</t>
  </si>
  <si>
    <t>Anabaena azotica</t>
  </si>
  <si>
    <t>phosphoketolase family protein [Tolypothrix sp. Co-bin9]</t>
  </si>
  <si>
    <t>Tolypothrix sp. Co-bin9</t>
  </si>
  <si>
    <t>phosphoketolase family protein [Nostoc sp. NIES-3756]</t>
  </si>
  <si>
    <t>Nostoc sp. NIES-3756</t>
  </si>
  <si>
    <t>phosphoketolase [Nostoc sp. WHI]</t>
  </si>
  <si>
    <t>Nostoc sp. WHI</t>
  </si>
  <si>
    <t>phosphoketolase [Nostoc sp. MG11]</t>
  </si>
  <si>
    <t>Nostoc sp. MG11</t>
  </si>
  <si>
    <t>phosphoketolase family protein [Sphaerospermopsis kisseleviana]</t>
  </si>
  <si>
    <t>Sphaerospermopsis kisseleviana</t>
  </si>
  <si>
    <t>phosphoketolase [Sphaerospermopsis sp. LEGE 08334]</t>
  </si>
  <si>
    <t>Sphaerospermopsis sp. LEGE 08334</t>
  </si>
  <si>
    <t>phosphoketolase family protein [Anabaena sp. 4-3]</t>
  </si>
  <si>
    <t>Anabaena sp. 4-3</t>
  </si>
  <si>
    <t>phosphoketolase family protein [Nostoc linckia]</t>
  </si>
  <si>
    <t>MULTISPECIES: phosphoketolase [Nostocales]</t>
  </si>
  <si>
    <t>phosphoketolase family protein [Richelia sp. SM2_1_7]</t>
  </si>
  <si>
    <t>Richelia sp. SM2_1_7</t>
  </si>
  <si>
    <t>phosphoketolase [Nostoc punctiforme]</t>
  </si>
  <si>
    <t>Nostoc punctiforme</t>
  </si>
  <si>
    <t>phosphoketolase family protein [Richelia sp. SM1_7_0]</t>
  </si>
  <si>
    <t>Richelia sp. SM1_7_0</t>
  </si>
  <si>
    <t>phosphoketolase family protein [Nodularia sp. (in: Bacteria)]</t>
  </si>
  <si>
    <t>Nodularia sp. (in: Bacteria)</t>
  </si>
  <si>
    <t>phosphoketolase [Nostoc sp. MBR 210]</t>
  </si>
  <si>
    <t>Nostoc sp. MBR 210</t>
  </si>
  <si>
    <t>phosphoketolase family protein [Nostoc sp. CENA543]</t>
  </si>
  <si>
    <t>Nostoc sp. CENA543</t>
  </si>
  <si>
    <t>D-xylulose 5-phosphate/D-fructose 6-phosphate phosphoketolase [Tolypothrix sp. PCC 7601]</t>
  </si>
  <si>
    <t>Tolypothrix sp. PCC 7601</t>
  </si>
  <si>
    <t>phosphoketolase [Brasilonema sp. UFV-L1]</t>
  </si>
  <si>
    <t>Brasilonema sp. UFV-L1</t>
  </si>
  <si>
    <t>phosphoketolase family protein [Microcoleus sp. SIO2G3]</t>
  </si>
  <si>
    <t>Microcoleus sp. SIO2G3</t>
  </si>
  <si>
    <t>phosphoketolase [Anabaena minutissima]</t>
  </si>
  <si>
    <t>Anabaena minutissima</t>
  </si>
  <si>
    <t>phosphoketolase family protein [Anabaena sp. PCC 7108]</t>
  </si>
  <si>
    <t>Anabaena sp. PCC 7108</t>
  </si>
  <si>
    <t>putative phosphoketolase [Calothrix desertica PCC 7102]</t>
  </si>
  <si>
    <t>Calothrix desertica PCC 7102</t>
  </si>
  <si>
    <t>phosphoketolase family protein [Calothrix desertica]</t>
  </si>
  <si>
    <t>Calothrix desertica</t>
  </si>
  <si>
    <t>phosphoketolase family protein [Anaerolineae bacterium]</t>
  </si>
  <si>
    <t>Anaerolineae bacterium</t>
  </si>
  <si>
    <t>phosphoketolase family protein [Nostoc sp. PCC 7107]</t>
  </si>
  <si>
    <t>Nostoc sp. PCC 7107</t>
  </si>
  <si>
    <t>phosphoketolase family protein [Nostoc sp. NIES-2111]</t>
  </si>
  <si>
    <t>Nostoc sp. NIES-2111</t>
  </si>
  <si>
    <t>phosphoketolase [Brasilonema bromeliae]</t>
  </si>
  <si>
    <t>Brasilonema bromeliae</t>
  </si>
  <si>
    <t>phosphoketolase [Sphaerospermopsis sp. LEGE 00249]</t>
  </si>
  <si>
    <t>Sphaerospermopsis sp. LEGE 00249</t>
  </si>
  <si>
    <t>phosphoketolase [Nostoc sp. LEGE 06077]</t>
  </si>
  <si>
    <t>Nostoc sp. LEGE 06077</t>
  </si>
  <si>
    <t>phosphoketolase family protein [Nostoc sp. PA-18-2419]</t>
  </si>
  <si>
    <t>Nostoc sp. PA-18-2419</t>
  </si>
  <si>
    <t>phosphoketolase [Oscillatoria sp. FACHB-1407]</t>
  </si>
  <si>
    <t>Oscillatoria sp. FACHB-1407</t>
  </si>
  <si>
    <t>MULTISPECIES: phosphoketolase [Calothrix]</t>
  </si>
  <si>
    <t>Calothrix</t>
  </si>
  <si>
    <t>phosphoketolase [Desmonostoc muscorum]</t>
  </si>
  <si>
    <t>Desmonostoc muscorum</t>
  </si>
  <si>
    <t>phosphoketolase [Sphaerospermopsis aphanizomenoides]</t>
  </si>
  <si>
    <t>Sphaerospermopsis aphanizomenoides</t>
  </si>
  <si>
    <t>MULTISPECIES: phosphoketolase family protein [Sphaerospermopsis]</t>
  </si>
  <si>
    <t>Sphaerospermopsis</t>
  </si>
  <si>
    <t>phosphoketolase [Sphaerospermopsis sp. FACHB-1194]</t>
  </si>
  <si>
    <t>Sphaerospermopsis sp. FACHB-1194</t>
  </si>
  <si>
    <t>phosphoketolase family protein [Anabaena sp. CA = ATCC 33047]</t>
  </si>
  <si>
    <t>Anabaena sp. CA = ATCC 33047</t>
  </si>
  <si>
    <t>phosphoketolase [Nostoc sp. 2RC]</t>
  </si>
  <si>
    <t>Nostoc sp. 2RC</t>
  </si>
  <si>
    <t>phosphoketolase [Tolypothrix sp. FACHB-123]</t>
  </si>
  <si>
    <t>Tolypothrix sp. FACHB-123</t>
  </si>
  <si>
    <t>phosphoketolase family protein [Nostoc sp. GBBB01]</t>
  </si>
  <si>
    <t>Nostoc sp. GBBB01</t>
  </si>
  <si>
    <t>phosphoketolase family protein [Scytonema tolypothrichoides]</t>
  </si>
  <si>
    <t>Scytonema tolypothrichoides</t>
  </si>
  <si>
    <t>phosphoketolase [Acidobacteria bacterium]</t>
  </si>
  <si>
    <t>Acidobacteria bacterium</t>
  </si>
  <si>
    <t>Acidobacteria</t>
  </si>
  <si>
    <t>phosphoketolase family protein [Nostocales cyanobacterium LEGE 11386]</t>
  </si>
  <si>
    <t>Nostocales cyanobacterium LEGE 11386</t>
  </si>
  <si>
    <t>MULTISPECIES: phosphoketolase [unclassified Calothrix]</t>
  </si>
  <si>
    <t>unclassified Calothrix</t>
  </si>
  <si>
    <t>phosphoketolase family protein [Nostoc sp. PCC 7524]</t>
  </si>
  <si>
    <t>Nostoc sp. PCC 7524</t>
  </si>
  <si>
    <t>phosphoketolase [Nostoc flagelliforme]</t>
  </si>
  <si>
    <t>Nostoc flagelliforme</t>
  </si>
  <si>
    <t>phosphoketolase family protein [Chroococcidiopsis cubana]</t>
  </si>
  <si>
    <t>Chroococcidiopsis cubana</t>
  </si>
  <si>
    <t>phosphoketolase [Fischerella thermalis CCMEE 5328]</t>
  </si>
  <si>
    <t>Fischerella thermalis CCMEE 5328</t>
  </si>
  <si>
    <t>phosphoketolase family protein [Nostoc sp. NOS(2021)]</t>
  </si>
  <si>
    <t>Nostoc sp. NOS(2021)</t>
  </si>
  <si>
    <t>phosphoketolase family protein [Calothrix sp. C42_A2020_038]</t>
  </si>
  <si>
    <t>Calothrix sp. C42_A2020_038</t>
  </si>
  <si>
    <t>phosphoketolase [Chroococcales cyanobacterium IPPAS B-1203]</t>
  </si>
  <si>
    <t>Chroococcales cyanobacterium IPPAS B-1203</t>
  </si>
  <si>
    <t>phosphoketolase family protein [Hormoscilla sp. GM7CHS1pb]</t>
  </si>
  <si>
    <t>Hormoscilla sp. GM7CHS1pb</t>
  </si>
  <si>
    <t>phosphoketolase family protein [Aphanizomenon flos-aquae AFA_KM1/D3]</t>
  </si>
  <si>
    <t>Aphanizomenon flos-aquae AFA_KM1/D3</t>
  </si>
  <si>
    <t>phosphoketolase [Aphanizomenon sp. UHCC 0183]</t>
  </si>
  <si>
    <t>Aphanizomenon sp. UHCC 0183</t>
  </si>
  <si>
    <t>phosphoketolase family protein [Tolypothrix sp. T3-bin4]</t>
  </si>
  <si>
    <t>Tolypothrix sp. T3-bin4</t>
  </si>
  <si>
    <t>phosphoketolase family protein [Hassallia byssoidea]</t>
  </si>
  <si>
    <t>Hassallia byssoidea</t>
  </si>
  <si>
    <t>phosphoketolase [Nostoc sp. FACHB-973]</t>
  </si>
  <si>
    <t>Nostoc sp. FACHB-973</t>
  </si>
  <si>
    <t>phosphoketolase family protein [Nodularia spumigena]</t>
  </si>
  <si>
    <t>Nodularia spumigena</t>
  </si>
  <si>
    <t>phosphoketolase family protein [Nostoc cycadae]</t>
  </si>
  <si>
    <t>Nostoc cycadae</t>
  </si>
  <si>
    <t>phosphoketolase family protein [Calothrix brevissima]</t>
  </si>
  <si>
    <t>Calothrix brevissima</t>
  </si>
  <si>
    <t>phosphoketolase family protein [Nostoc calcicola]</t>
  </si>
  <si>
    <t>Nostoc calcicola</t>
  </si>
  <si>
    <t>phosphoketolase [Nostoc sp. FACHB-110]</t>
  </si>
  <si>
    <t>Nostoc sp. FACHB-110</t>
  </si>
  <si>
    <t>phosphoketolase family protein [Nostocales cyanobacterium]</t>
  </si>
  <si>
    <t>Nostocales cyanobacterium</t>
  </si>
  <si>
    <t>phosphoketolase [Nostoc sp. FACHB-892]</t>
  </si>
  <si>
    <t>Nostoc sp. FACHB-892</t>
  </si>
  <si>
    <t>phosphoketolase [Leptolyngbya sp. FACHB-261]</t>
  </si>
  <si>
    <t>Leptolyngbya sp. FACHB-261</t>
  </si>
  <si>
    <t>phosphoketolase [Cyanobacteria bacterium QS_8_64_29]</t>
  </si>
  <si>
    <t>Cyanobacteria bacterium QS_8_64_29</t>
  </si>
  <si>
    <t>phosphoketolase family protein [Microcoleus sp. SU_5_3]</t>
  </si>
  <si>
    <t>Microcoleus sp. SU_5_3</t>
  </si>
  <si>
    <t>phosphoketolase family protein [Chroococcidiopsis sp. CCALA 051]</t>
  </si>
  <si>
    <t>Chroococcidiopsis sp. CCALA 051</t>
  </si>
  <si>
    <t>phosphoketolase [Cyanosarcina cf. burmensis CCALA 770]</t>
  </si>
  <si>
    <t>Cyanosarcina cf. burmensis CCALA 770</t>
  </si>
  <si>
    <t>phosphoketolase family protein [Chroococcidiopsis thermalis]</t>
  </si>
  <si>
    <t>Chroococcidiopsis thermalis</t>
  </si>
  <si>
    <t>phosphoketolase family protein [Scytonema millei]</t>
  </si>
  <si>
    <t>Scytonema millei</t>
  </si>
  <si>
    <t>phosphoketolase [Anaerolinea sp.]</t>
  </si>
  <si>
    <t>Anaerolinea sp.</t>
  </si>
  <si>
    <t>phosphoketolase family protein [Trichormus variabilis]</t>
  </si>
  <si>
    <t>Trichormus variabilis</t>
  </si>
  <si>
    <t>phosphoketolase family protein [Calothrix sp. HK-06]</t>
  </si>
  <si>
    <t>Calothrix sp. HK-06</t>
  </si>
  <si>
    <t>phosphoketolase family protein [Nostoc sp. KVJ20]</t>
  </si>
  <si>
    <t>Nostoc sp. KVJ20</t>
  </si>
  <si>
    <t>phosphoketolase family protein [Gloeobacter kilaueensis]</t>
  </si>
  <si>
    <t>Gloeobacter kilaueensis</t>
  </si>
  <si>
    <t>phosphoketolase family protein [Anabaena sp. WA102]</t>
  </si>
  <si>
    <t>Anabaena sp. WA102</t>
  </si>
  <si>
    <t>phosphoketolase [Iningainema tapete]</t>
  </si>
  <si>
    <t>Iningainema tapete</t>
  </si>
  <si>
    <t>phosphoketolase family protein [Nostocaceae cyanobacterium CENA357]</t>
  </si>
  <si>
    <t>Nostocaceae cyanobacterium CENA357</t>
  </si>
  <si>
    <t>putative phosphoketolase [Nostoc sp. HK-01]</t>
  </si>
  <si>
    <t>Nostoc sp. HK-01</t>
  </si>
  <si>
    <t>phosphoketolase family protein [Nostocaceae cyanobacterium CENA369]</t>
  </si>
  <si>
    <t>Nostocaceae cyanobacterium CENA369</t>
  </si>
  <si>
    <t>phosphoketolase family protein [Nostoc sp. 'Peltigera membranacea cyanobiont' 210A]</t>
  </si>
  <si>
    <t>Nostoc sp. 'Peltigera membranacea cyanobiont' 210A</t>
  </si>
  <si>
    <t>phosphoketolase [Anabaena sphaerica]</t>
  </si>
  <si>
    <t>Anabaena sphaerica</t>
  </si>
  <si>
    <t>phosphoketolase [Nostoc sp. NZL]</t>
  </si>
  <si>
    <t>Nostoc sp. NZL</t>
  </si>
  <si>
    <t>phosphoketolase [Nostoc sp. LEGE 12447]</t>
  </si>
  <si>
    <t>Nostoc sp. LEGE 12447</t>
  </si>
  <si>
    <t>phosphoketolase family protein [Nostoc sp. NMS1]</t>
  </si>
  <si>
    <t>Nostoc sp. NMS1</t>
  </si>
  <si>
    <t>phosphoketolase family protein [Synechocystis sp. PCC 7509]</t>
  </si>
  <si>
    <t>Synechocystis sp. PCC 7509</t>
  </si>
  <si>
    <t>phosphoketolase family protein [Oscillatoriales cyanobacterium]</t>
  </si>
  <si>
    <t>Oscillatoriales cyanobacterium</t>
  </si>
  <si>
    <t>TPA: phosphoketolase [Microcoleaceae bacterium UBA10368]</t>
  </si>
  <si>
    <t>Microcoleaceae bacterium UBA10368</t>
  </si>
  <si>
    <t>phosphoketolase family protein [Calothrix sp. NIES-2098]</t>
  </si>
  <si>
    <t>Calothrix sp. NIES-2098</t>
  </si>
  <si>
    <t>TPA: phosphoketolase [Microcoleaceae bacterium UBA11344]</t>
  </si>
  <si>
    <t>Microcoleaceae bacterium UBA11344</t>
  </si>
  <si>
    <t>phosphoketolase [cyanobacterium TDX16]</t>
  </si>
  <si>
    <t>cyanobacterium TDX16</t>
  </si>
  <si>
    <t>phosphoketolase [Calothrix sp. PCC 6303]</t>
  </si>
  <si>
    <t>Calothrix sp. PCC 6303</t>
  </si>
  <si>
    <t>phosphoketolase family protein [Calothrix sp. PCC 7103]</t>
  </si>
  <si>
    <t>Calothrix sp. PCC 7103</t>
  </si>
  <si>
    <t>phosphoketolase [Aphanizomenon flos-aquae]</t>
  </si>
  <si>
    <t>Aphanizomenon flos-aquae</t>
  </si>
  <si>
    <t>phosphoketolase [Dolichospermum flos-aquae]</t>
  </si>
  <si>
    <t>Dolichospermum flos-aquae</t>
  </si>
  <si>
    <t>phosphoketolase [Nostoc edaphicum]</t>
  </si>
  <si>
    <t>Nostoc edaphicum</t>
  </si>
  <si>
    <t>phosphoketolase family protein [Anabaenopsis circularis]</t>
  </si>
  <si>
    <t>Anabaenopsis circularis</t>
  </si>
  <si>
    <t>phosphoketolase family protein [Dolichospermum sp.]</t>
  </si>
  <si>
    <t>Dolichospermum sp.</t>
  </si>
  <si>
    <t>phosphoketolase family protein [Nostoc sphaeroides]</t>
  </si>
  <si>
    <t>Nostoc sphaeroides</t>
  </si>
  <si>
    <t>phosphoketolase [Nostoc sp. UIC 10630]</t>
  </si>
  <si>
    <t>Nostoc sp. UIC 10630</t>
  </si>
  <si>
    <t>phosphoketolase [Nostoc sp. FACHB-888]</t>
  </si>
  <si>
    <t>Nostoc sp. FACHB-888</t>
  </si>
  <si>
    <t>phosphoketolase [Cyanobacteria bacterium 13_1_20CM_4_61_6]</t>
  </si>
  <si>
    <t>Cyanobacteria bacterium 13_1_20CM_4_61_6</t>
  </si>
  <si>
    <t>phosphoketolase [Chroococcidiopsis sp. FACHB-1243]</t>
  </si>
  <si>
    <t>Chroococcidiopsis sp. FACHB-1243</t>
  </si>
  <si>
    <t>phosphoketolase [Gloeobacter kilaueensis JS1]</t>
  </si>
  <si>
    <t>Gloeobacter kilaueensis JS1</t>
  </si>
  <si>
    <t>phosphoketolase family protein [Trichormus sp. NMC-1]</t>
  </si>
  <si>
    <t>Trichormus sp. NMC-1</t>
  </si>
  <si>
    <t>phosphoketolase family protein [Calothrix sp. CSU_2_0]</t>
  </si>
  <si>
    <t>Calothrix sp. CSU_2_0</t>
  </si>
  <si>
    <t>phosphoketolase family protein [Calothrix elsteri]</t>
  </si>
  <si>
    <t>Calothrix elsteri</t>
  </si>
  <si>
    <t>phosphoketolase family protein [Synechococcus sp. SB0668_bin_13]</t>
  </si>
  <si>
    <t>Synechococcus sp. SB0668_bin_13</t>
  </si>
  <si>
    <t>phosphoketolase family protein [Synechococcus sp. SB0676_bin_10]</t>
  </si>
  <si>
    <t>Synechococcus sp. SB0676_bin_10</t>
  </si>
  <si>
    <t>phosphoketolase family protein [Kamptonema sp. SIO1D9]</t>
  </si>
  <si>
    <t>Kamptonema sp. SIO1D9</t>
  </si>
  <si>
    <t>phosphoketolase [Nodularia sp. LEGE 06071]</t>
  </si>
  <si>
    <t>Nodularia sp. LEGE 06071</t>
  </si>
  <si>
    <t>phosphoketolase [Cylindrospermum sp. FACHB-282]</t>
  </si>
  <si>
    <t>Cylindrospermum sp. FACHB-282</t>
  </si>
  <si>
    <t>phosphoketolase [Dolichospermum sp. LEGE 00246]</t>
  </si>
  <si>
    <t>Dolichospermum sp. LEGE 00246</t>
  </si>
  <si>
    <t>phosphoketolase family protein [Aphanizomenon flos-aquae]</t>
  </si>
  <si>
    <t>TPA: phosphoketolase [Cyanobacteria bacterium UBA8543]</t>
  </si>
  <si>
    <t>Cyanobacteria bacterium UBA8543</t>
  </si>
  <si>
    <t>phosphoketolase [Anabaena sp. AL09]</t>
  </si>
  <si>
    <t>Anabaena sp. AL09</t>
  </si>
  <si>
    <t>phosphoketolase [Nostoc sp. 'Peltigera malacea cyanobiont' DB3992]</t>
  </si>
  <si>
    <t>Nostoc sp. 'Peltigera malacea cyanobiont' DB3992</t>
  </si>
  <si>
    <t>phosphoketolase family protein [Nostoc sp. ATCC 53789]</t>
  </si>
  <si>
    <t>Nostoc sp. ATCC 53789</t>
  </si>
  <si>
    <t>phosphoketolase [Cyanobium sp. CACIAM 14]</t>
  </si>
  <si>
    <t>Cyanobium sp. CACIAM 14</t>
  </si>
  <si>
    <t>phosphoketolase family protein [Tychonema bourrellyi]</t>
  </si>
  <si>
    <t>Tychonema bourrellyi</t>
  </si>
  <si>
    <t>phosphoketolase family protein [Microcoleus sp. PCC 7113]</t>
  </si>
  <si>
    <t>Microcoleus sp. PCC 7113</t>
  </si>
  <si>
    <t>phosphoketolase family protein [Myxosarcina sp. GI1]</t>
  </si>
  <si>
    <t>Myxosarcina sp. GI1</t>
  </si>
  <si>
    <t>phosphoketolase family protein [Calothrix sp. PCC 7507]</t>
  </si>
  <si>
    <t>Calothrix sp. PCC 7507</t>
  </si>
  <si>
    <t>putative phosphoketolase [Calothrix sp. NIES-4101]</t>
  </si>
  <si>
    <t>Calothrix sp. NIES-4101</t>
  </si>
  <si>
    <t>phosphoketolase [Microcoleus sp. FACHB-1]</t>
  </si>
  <si>
    <t>Microcoleus sp. FACHB-1</t>
  </si>
  <si>
    <t>phosphoketolase [Anabaenopsis elenkinii]</t>
  </si>
  <si>
    <t>Anabaenopsis elenkinii</t>
  </si>
  <si>
    <t>phosphoketolase family protein [Calothrix parasitica]</t>
  </si>
  <si>
    <t>Calothrix parasitica</t>
  </si>
  <si>
    <t>phosphoketolase family protein [Dolichospermum compactum]</t>
  </si>
  <si>
    <t>Dolichospermum compactum</t>
  </si>
  <si>
    <t>phosphoketolase [Dolichospermum sp. UHCC 0259]</t>
  </si>
  <si>
    <t>Dolichospermum sp. UHCC 0259</t>
  </si>
  <si>
    <t>phosphoketolase [Dolichospermum sp. LEGE 00240]</t>
  </si>
  <si>
    <t>Dolichospermum sp. LEGE 00240</t>
  </si>
  <si>
    <t>phosphoketolase family protein [Scytonema sp. RU_4_4]</t>
  </si>
  <si>
    <t>Scytonema sp. RU_4_4</t>
  </si>
  <si>
    <t>phosphoketolase family protein [Sphaerospermopsis sp. SIO1G1]</t>
  </si>
  <si>
    <t>Sphaerospermopsis sp. SIO1G1</t>
  </si>
  <si>
    <t>phosphoketolase family protein [Dolichospermum sp. DEX182a]</t>
  </si>
  <si>
    <t>Dolichospermum sp. DEX182a</t>
  </si>
  <si>
    <t>phosphoketolase family protein [Nostoc sp. NMS8]</t>
  </si>
  <si>
    <t>Nostoc sp. NMS8</t>
  </si>
  <si>
    <t>phosphoketolase family protein [Dolichospermum sp. JUN01]</t>
  </si>
  <si>
    <t>Dolichospermum sp. JUN01</t>
  </si>
  <si>
    <t>phosphoketolase [Anabaena sp. LE011-02]</t>
  </si>
  <si>
    <t>Anabaena sp. LE011-02</t>
  </si>
  <si>
    <t>phosphoketolase [Anabaena sp. MDT14b]</t>
  </si>
  <si>
    <t>Anabaena sp. MDT14b</t>
  </si>
  <si>
    <t>phosphoketolase [Nostoc sp. 'Peltigera membranacea cyanobiont' N6]</t>
  </si>
  <si>
    <t>Nostoc sp. 'Peltigera membranacea cyanobiont' N6</t>
  </si>
  <si>
    <t>MULTISPECIES: phosphoketolase [unclassified Dolichospermum]</t>
  </si>
  <si>
    <t>unclassified Dolichospermum</t>
  </si>
  <si>
    <t>phosphoketolase family protein [Rivularia sp. PCC 7116]</t>
  </si>
  <si>
    <t>Rivularia sp. PCC 7116</t>
  </si>
  <si>
    <t>phosphoketolase [Nostoc sp. TCL240-02]</t>
  </si>
  <si>
    <t>Nostoc sp. TCL240-02</t>
  </si>
  <si>
    <t>MULTISPECIES: phosphoketolase family protein [unclassified Nostoc]</t>
  </si>
  <si>
    <t>phosphoketolase [Nostoc sp. FACHB-133]</t>
  </si>
  <si>
    <t>Nostoc sp. FACHB-133</t>
  </si>
  <si>
    <t>phosphoketolase [Nostoc sp. C057]</t>
  </si>
  <si>
    <t>Nostoc sp. C057</t>
  </si>
  <si>
    <t>TPA: phosphoketolase family protein [Anabaena sp.]</t>
  </si>
  <si>
    <t>Anabaena sp.</t>
  </si>
  <si>
    <t>putative phosphoketolase [Deinococcus aquiradiocola]</t>
  </si>
  <si>
    <t>Deinococcus aquiradiocola</t>
  </si>
  <si>
    <t>phosphoketolase [Cuspidothrix issatschenkoi]</t>
  </si>
  <si>
    <t>Cuspidothrix issatschenkoi</t>
  </si>
  <si>
    <t>phosphoketolase family protein [Fortiea contorta]</t>
  </si>
  <si>
    <t>Fortiea contorta</t>
  </si>
  <si>
    <t>phosphoketolase [Microcoleus sp. FACHB-53]</t>
  </si>
  <si>
    <t>Microcoleus sp. FACHB-53</t>
  </si>
  <si>
    <t>phosphoketolase [Anabaena lutea]</t>
  </si>
  <si>
    <t>Anabaena lutea</t>
  </si>
  <si>
    <t>phosphoketolase [Anabaena sp. AL93]</t>
  </si>
  <si>
    <t>Anabaena sp. AL93</t>
  </si>
  <si>
    <t>phosphoketolase family protein [Leptolyngbyaceae cyanobacterium RM2_2_4]</t>
  </si>
  <si>
    <t>Leptolyngbyaceae cyanobacterium RM2_2_4</t>
  </si>
  <si>
    <t>phosphoketolase family protein [Mastigocoleus testarum]</t>
  </si>
  <si>
    <t>Mastigocoleus testarum</t>
  </si>
  <si>
    <t>phosphoketolase family protein [Dolichospermum sp. DL01]</t>
  </si>
  <si>
    <t>Dolichospermum sp. DL01</t>
  </si>
  <si>
    <t>phosphoketolase family protein [Dolichospermum sp. UHCC 0315A]</t>
  </si>
  <si>
    <t>Dolichospermum sp. UHCC 0315A</t>
  </si>
  <si>
    <t>phosphoketolase family protein [Nostoc sp. NMS7]</t>
  </si>
  <si>
    <t>Nostoc sp. NMS7</t>
  </si>
  <si>
    <t>phosphoketolase family protein [Nodularia sp. NIES-3585]</t>
  </si>
  <si>
    <t>Nodularia sp. NIES-3585</t>
  </si>
  <si>
    <t>phosphoketolase family protein [Actinobacteria bacterium]</t>
  </si>
  <si>
    <t>Actinobacteria bacterium</t>
  </si>
  <si>
    <t>Actinobacteria</t>
  </si>
  <si>
    <t>phosphoketolase family protein [Nostoc punctiforme]</t>
  </si>
  <si>
    <t>phosphoketolase family protein [Nostoc sp. NMS9]</t>
  </si>
  <si>
    <t>Nostoc sp. NMS9</t>
  </si>
  <si>
    <t>phosphoketolase family protein [Nostoc flagelliforme]</t>
  </si>
  <si>
    <t>phosphoketolase family protein [Nostoc commune]</t>
  </si>
  <si>
    <t>Nostoc commune</t>
  </si>
  <si>
    <t>phosphoketolase [Aphanothece cf. minutissima CCALA 015]</t>
  </si>
  <si>
    <t>Aphanothece cf. minutissima CCALA 015</t>
  </si>
  <si>
    <t>phosphoketolase [Anabaena sp. UHCC 0253]</t>
  </si>
  <si>
    <t>Anabaena sp. UHCC 0253</t>
  </si>
  <si>
    <t>phosphoketolase [Anabaena sp. UHCC 0204]</t>
  </si>
  <si>
    <t>Anabaena sp. UHCC 0204</t>
  </si>
  <si>
    <t>TPA: phosphoketolase [Cyanobacteria bacterium UBA11049]</t>
  </si>
  <si>
    <t>Cyanobacteria bacterium UBA11049</t>
  </si>
  <si>
    <t>phosphoketolase family protein [Synechococcus sp. WH 5701]</t>
  </si>
  <si>
    <t>Synechococcus sp. WH 5701</t>
  </si>
  <si>
    <t>phosphoketolase [Trichocoleus sp. FACHB-90]</t>
  </si>
  <si>
    <t>Trichocoleus sp. FACHB-90</t>
  </si>
  <si>
    <t>phosphoketolase family protein [Dactylococcopsis salina]</t>
  </si>
  <si>
    <t>Dactylococcopsis salina</t>
  </si>
  <si>
    <t>phosphoketolase family protein [Synechococcus sp. SB0675_bin_7]</t>
  </si>
  <si>
    <t>Synechococcus sp. SB0675_bin_7</t>
  </si>
  <si>
    <t>phosphoketolase family protein [Dolichospermum sp. DET69]</t>
  </si>
  <si>
    <t>Dolichospermum sp. DET69</t>
  </si>
  <si>
    <t>phosphoketolase family protein [Leptolyngbyaceae cyanobacterium SM1_4_3]</t>
  </si>
  <si>
    <t>Leptolyngbyaceae cyanobacterium SM1_4_3</t>
  </si>
  <si>
    <t>phosphoketolase [Nostoc sp. RI_552]</t>
  </si>
  <si>
    <t>Nostoc sp. RI_552</t>
  </si>
  <si>
    <t>phosphoketolase family protein [Dolichospermum sp. DET73]</t>
  </si>
  <si>
    <t>Dolichospermum sp. DET73</t>
  </si>
  <si>
    <t>phosphoketolase family protein [Dolichospermum sp. UKL201]</t>
  </si>
  <si>
    <t>Dolichospermum sp. UKL201</t>
  </si>
  <si>
    <t>phosphoketolase [Nostoc punctiforme NIES-2108]</t>
  </si>
  <si>
    <t>Nostoc punctiforme NIES-2108</t>
  </si>
  <si>
    <t>phosphoketolase family protein [Nostoc sp. 'Lobaria pulmonaria (5183) cyanobiont']</t>
  </si>
  <si>
    <t>Nostoc sp. 'Lobaria pulmonaria (5183) cyanobiont'</t>
  </si>
  <si>
    <t>phosphoketolase family protein [Nostocales cyanobacterium LEGE 12452]</t>
  </si>
  <si>
    <t>Nostocales cyanobacterium LEGE 12452</t>
  </si>
  <si>
    <t>phosphoketolase family protein [Nitrobacter sp. Nb-311A]</t>
  </si>
  <si>
    <t>Nitrobacter sp. Nb-311A</t>
  </si>
  <si>
    <t>phosphoketolase [Microcoleus asticus]</t>
  </si>
  <si>
    <t>Microcoleus asticus</t>
  </si>
  <si>
    <t>phosphoketolase [Trichocoleus sp. FACHB-40]</t>
  </si>
  <si>
    <t>Trichocoleus sp. FACHB-40</t>
  </si>
  <si>
    <t>phosphoketolase family protein [Cyanobacteria bacterium FACHB-472]</t>
  </si>
  <si>
    <t>Cyanobacteria bacterium FACHB-472</t>
  </si>
  <si>
    <t>phosphoketolase family protein [Synechococcus sp. SB0678_bin_12]</t>
  </si>
  <si>
    <t>Synechococcus sp. SB0678_bin_12</t>
  </si>
  <si>
    <t>phosphoketolase [Euhalothece sp. KZN 001]</t>
  </si>
  <si>
    <t>Euhalothece sp. KZN 001</t>
  </si>
  <si>
    <t>phosphoketolase family protein [Euhalothece natronophila]</t>
  </si>
  <si>
    <t>Euhalothece natronophila</t>
  </si>
  <si>
    <t>MULTISPECIES: phosphoketolase [unclassified Coleofasciculus]</t>
  </si>
  <si>
    <t>unclassified Coleofasciculus</t>
  </si>
  <si>
    <t>Probable phosphoketolase [Chrysosporum ovalisporum]</t>
  </si>
  <si>
    <t>Chrysosporum ovalisporum</t>
  </si>
  <si>
    <t>phosphoketolase [Dolichospermum sp. UHCC 0260]</t>
  </si>
  <si>
    <t>Dolichospermum sp. UHCC 0260</t>
  </si>
  <si>
    <t>phosphoketolase family protein [Nostoc sp. JL31]</t>
  </si>
  <si>
    <t>Nostoc sp. JL31</t>
  </si>
  <si>
    <t>phosphoketolase [Microcoleus sp. FACHB-SPT15]</t>
  </si>
  <si>
    <t>Microcoleus sp. FACHB-SPT15</t>
  </si>
  <si>
    <t>phosphoketolase [Mizugakiibacter sediminis]</t>
  </si>
  <si>
    <t>Mizugakiibacter sediminis</t>
  </si>
  <si>
    <t>phosphoketolase family protein [Cyanobacteria bacterium M_surface_10_m1_298]</t>
  </si>
  <si>
    <t>Cyanobacteria bacterium M_surface_10_m1_298</t>
  </si>
  <si>
    <t>phosphoketolase family protein [Cyanobacteria bacterium K_Offshore_surface_m2_011]</t>
  </si>
  <si>
    <t>Cyanobacteria bacterium K_Offshore_surface_m2_011</t>
  </si>
  <si>
    <t>phosphoketolase [Verrucosispora sp. CWR15]</t>
  </si>
  <si>
    <t>Verrucosispora sp. CWR15</t>
  </si>
  <si>
    <t>phosphoketolase [Trichocoleus sp. FACHB-69]</t>
  </si>
  <si>
    <t>Trichocoleus sp. FACHB-69</t>
  </si>
  <si>
    <t>MULTISPECIES: phosphoketolase [unclassified Trichocoleus]</t>
  </si>
  <si>
    <t>unclassified Trichocoleus</t>
  </si>
  <si>
    <t>phosphoketolase [Aetokthonos hydrillicola]</t>
  </si>
  <si>
    <t>Aetokthonos hydrillicola</t>
  </si>
  <si>
    <t>phosphoketolase family protein [Nostoc sp. JL34]</t>
  </si>
  <si>
    <t>Nostoc sp. JL34</t>
  </si>
  <si>
    <t>phosphoketolase [Phormidium tenue]</t>
  </si>
  <si>
    <t>phosphoketolase family protein [Cuspidothrix issatschenkoi]</t>
  </si>
  <si>
    <t>MULTISPECIES: phosphoketolase family protein [unclassified Calothrix]</t>
  </si>
  <si>
    <t>phosphoketolase [Oculatella sp. FACHB-28]</t>
  </si>
  <si>
    <t>Oculatella sp. FACHB-28</t>
  </si>
  <si>
    <t>phosphoketolase [Aphanizomenon flos-aquae MDT14a]</t>
  </si>
  <si>
    <t>Aphanizomenon flos-aquae MDT14a</t>
  </si>
  <si>
    <t>phosphoketolase family protein [Vulcanococcus sp. Clear-D1]</t>
  </si>
  <si>
    <t>Vulcanococcus sp. Clear-D1</t>
  </si>
  <si>
    <t>phosphoketolase [Microcoleus sp. FACHB-61]</t>
  </si>
  <si>
    <t>Microcoleus sp. FACHB-61</t>
  </si>
  <si>
    <t>phosphoketolase [Dolichospermum sp. FACHB-1091]</t>
  </si>
  <si>
    <t>Dolichospermum sp. FACHB-1091</t>
  </si>
  <si>
    <t>phosphoketolase [Nostoc sp. LEGE 12450]</t>
  </si>
  <si>
    <t>Nostoc sp. LEGE 12450</t>
  </si>
  <si>
    <t>phosphoketolase family protein [Synechococcaceae bacterium WBB_10_009]</t>
  </si>
  <si>
    <t>Synechococcaceae bacterium WBB_10_009</t>
  </si>
  <si>
    <t>phosphoketolase family protein [Candidatus Parcubacteria bacterium]</t>
  </si>
  <si>
    <t>Candidatus Parcubacteria bacterium</t>
  </si>
  <si>
    <t>phosphoketolase family protein [Synechococcus sp. CB0101]</t>
  </si>
  <si>
    <t>Synechococcus sp. CB0101</t>
  </si>
  <si>
    <t>putative phosphoketolase [Cyanobium sp.]</t>
  </si>
  <si>
    <t>Cyanobium sp.</t>
  </si>
  <si>
    <t>MULTISPECIES: phosphoketolase family protein [Kamptonema]</t>
  </si>
  <si>
    <t>Kamptonema</t>
  </si>
  <si>
    <t>phosphoketolase [filamentous cyanobacterium Phorm 6]</t>
  </si>
  <si>
    <t>filamentous cyanobacterium Phorm 6</t>
  </si>
  <si>
    <t>phosphoketolase family protein [Synechococcus sp. SB0665_bin_28]</t>
  </si>
  <si>
    <t>Synechococcus sp. SB0665_bin_28</t>
  </si>
  <si>
    <t>phosphoketolase family protein [Synechococcus sp. RSCCF101]</t>
  </si>
  <si>
    <t>Synechococcus sp. RSCCF101</t>
  </si>
  <si>
    <t>MULTISPECIES: phosphoketolase family protein [Aphanizomenon]</t>
  </si>
  <si>
    <t>Aphanizomenon</t>
  </si>
  <si>
    <t>phosphoketolase family protein [Microcoleus vaginatus]</t>
  </si>
  <si>
    <t>Microcoleus vaginatus</t>
  </si>
  <si>
    <t>phosphoketolase family protein [Cyanobacteria bacterium K_DeepCast_0m_m1_088]</t>
  </si>
  <si>
    <t>Cyanobacteria bacterium K_DeepCast_0m_m1_088</t>
  </si>
  <si>
    <t>phosphoketolase family protein [Nocardioides halotolerans]</t>
  </si>
  <si>
    <t>Nocardioides halotolerans</t>
  </si>
  <si>
    <t>phosphoketolase family protein [Synechococcaceae bacterium WB9_2_170]</t>
  </si>
  <si>
    <t>Synechococcaceae bacterium WB9_2_170</t>
  </si>
  <si>
    <t>phosphoketolase family protein [Oscillatoriales cyanobacterium SM2_2_1]</t>
  </si>
  <si>
    <t>Oscillatoriales cyanobacterium SM2_2_1</t>
  </si>
  <si>
    <t>phosphoketolase [Synechococcus sp. CBW1004]</t>
  </si>
  <si>
    <t>Synechococcus sp. CBW1004</t>
  </si>
  <si>
    <t>phosphoketolase [Leptolyngbya sp. FACHB-541]</t>
  </si>
  <si>
    <t>Leptolyngbya sp. FACHB-541</t>
  </si>
  <si>
    <t>phosphoketolase [Leptolyngbya sp. FACHB-671]</t>
  </si>
  <si>
    <t>Leptolyngbya sp. FACHB-671</t>
  </si>
  <si>
    <t>phosphoketolase family protein [Cyanobacteria bacterium FACHB-471]</t>
  </si>
  <si>
    <t>Cyanobacteria bacterium FACHB-471</t>
  </si>
  <si>
    <t>phosphoketolase [Anabaena catenula]</t>
  </si>
  <si>
    <t>Anabaena catenula</t>
  </si>
  <si>
    <t>phosphoketolase [Cyanobium sp. FACHB-13342]</t>
  </si>
  <si>
    <t>Cyanobium sp. FACHB-13342</t>
  </si>
  <si>
    <t>phosphoketolase family protein [Aphanizomenon flos-aquae Clear-A1]</t>
  </si>
  <si>
    <t>Aphanizomenon flos-aquae Clear-A1</t>
  </si>
  <si>
    <t>phosphoketolase family protein [Synechococcus sp. 1G10]</t>
  </si>
  <si>
    <t>Synechococcus sp. 1G10</t>
  </si>
  <si>
    <t>phosphoketolase family protein [Phormidesmis priestleyi]</t>
  </si>
  <si>
    <t>phosphoketolase family protein [Leifsonia sp. Root112D2]</t>
  </si>
  <si>
    <t>Leifsonia sp. Root112D2</t>
  </si>
  <si>
    <t>phosphoketolase family protein [Dolichospermum circinale Clear-D4]</t>
  </si>
  <si>
    <t>Dolichospermum circinale Clear-D4</t>
  </si>
  <si>
    <t>phosphoketolase [Microcoleus sp. LEGE 07076]</t>
  </si>
  <si>
    <t>Microcoleus sp. LEGE 07076</t>
  </si>
  <si>
    <t>phosphoketolase family protein [Leptolyngbya boryana]</t>
  </si>
  <si>
    <t>Leptolyngbya boryana</t>
  </si>
  <si>
    <t>phosphoketolase [Tychonema sp. LEGE 06208]</t>
  </si>
  <si>
    <t>Tychonema sp. LEGE 06208</t>
  </si>
  <si>
    <t>phosphoketolase [Actinobacteria bacterium]</t>
  </si>
  <si>
    <t>phosphoketolase family protein [Nocardioides sp.]</t>
  </si>
  <si>
    <t>Nocardioides sp.</t>
  </si>
  <si>
    <t>phosphoketolase [Aphanothece minutissima]</t>
  </si>
  <si>
    <t>Aphanothece minutissima</t>
  </si>
  <si>
    <t>phosphoketolase [Dolichospermum planctonicum]</t>
  </si>
  <si>
    <t>Dolichospermum planctonicum</t>
  </si>
  <si>
    <t>MULTISPECIES: phosphoketolase [unclassified Tychonema]</t>
  </si>
  <si>
    <t>unclassified Tychonema</t>
  </si>
  <si>
    <t>phosphoketolase family protein [Calothrix sp. SM1_7_51]</t>
  </si>
  <si>
    <t>Calothrix sp. SM1_7_51</t>
  </si>
  <si>
    <t>phosphoketolase [Tychonema sp. LEGE 07203]</t>
  </si>
  <si>
    <t>Tychonema sp. LEGE 07203</t>
  </si>
  <si>
    <t>phosphoketolase [Candidatus Synechococcus spongiarum 15L]</t>
  </si>
  <si>
    <t>Candidatus Synechococcus spongiarum 15L</t>
  </si>
  <si>
    <t>phosphoketolase family protein [Candidatus Synechococcus spongiarum]</t>
  </si>
  <si>
    <t>Candidatus Synechococcus spongiarum</t>
  </si>
  <si>
    <t>MULTISPECIES: phosphoketolase [unclassified Synechococcus]</t>
  </si>
  <si>
    <t>phosphoketolase [Nodosilinea sp. LEGE 06152]</t>
  </si>
  <si>
    <t>Nodosilinea sp. LEGE 06152</t>
  </si>
  <si>
    <t>putative phosphoketolase 1 [Cyanobium sp. NIES-981]</t>
  </si>
  <si>
    <t>Cyanobium sp. NIES-981</t>
  </si>
  <si>
    <t>phosphoketolase family protein [Cyanobium sp. NIES-981]</t>
  </si>
  <si>
    <t>phosphoketolase family protein [Synechococcus sp. BO 8801]</t>
  </si>
  <si>
    <t>Synechococcus sp. BO 8801</t>
  </si>
  <si>
    <t>phosphoketolase [Ensifer sp. MPMI2T]</t>
  </si>
  <si>
    <t>Ensifer sp. MPMI2T</t>
  </si>
  <si>
    <t>phosphoketolase [Synechococcus sp. FACHB-909]</t>
  </si>
  <si>
    <t>Synechococcus sp. FACHB-909</t>
  </si>
  <si>
    <t>phosphoketolase [Cyanobium sp. Copco_Reservoir_LC18]</t>
  </si>
  <si>
    <t>Cyanobium sp. Copco_Reservoir_LC18</t>
  </si>
  <si>
    <t>phosphoketolase family protein [Richelia sp. CSU_2_1]</t>
  </si>
  <si>
    <t>Richelia sp. CSU_2_1</t>
  </si>
  <si>
    <t>phosphoketolase family protein [Cyanobacteria bacterium FACHB-DQ100]</t>
  </si>
  <si>
    <t>Cyanobacteria bacterium FACHB-DQ100</t>
  </si>
  <si>
    <t>phosphoketolase [Leptolyngbya sp. FACHB-17]</t>
  </si>
  <si>
    <t>Leptolyngbya sp. FACHB-17</t>
  </si>
  <si>
    <t>phosphoketolase [Candidatus Synechococcus spongiarum]</t>
  </si>
  <si>
    <t>TPA: phosphoketolase family protein [Synechococcus sp. UBA8638]</t>
  </si>
  <si>
    <t>Synechococcus sp. UBA8638</t>
  </si>
  <si>
    <t>phosphoketolase family protein [Synechococcus sp. KORDI-49]</t>
  </si>
  <si>
    <t>Synechococcus sp. KORDI-49</t>
  </si>
  <si>
    <t>phosphoketolase family protein [Synechococcus sp. BS301-5m-G54]</t>
  </si>
  <si>
    <t>Synechococcus sp. BS301-5m-G54</t>
  </si>
  <si>
    <t>phosphoketolase family protein [Cyanobacteria bacterium K_DeepCast_35m_m2_023]</t>
  </si>
  <si>
    <t>Cyanobacteria bacterium K_DeepCast_35m_m2_023</t>
  </si>
  <si>
    <t>phosphoketolase [Synechococcus sp. BMK-MC-1]</t>
  </si>
  <si>
    <t>Synechococcus sp. BMK-MC-1</t>
  </si>
  <si>
    <t>phosphoketolase [Oscillatoriales cyanobacterium USR001]</t>
  </si>
  <si>
    <t>Oscillatoriales cyanobacterium USR001</t>
  </si>
  <si>
    <t>phosphoketolase family protein [Microcoleus sp. SU_5_6]</t>
  </si>
  <si>
    <t>Microcoleus sp. SU_5_6</t>
  </si>
  <si>
    <t>phosphoketolase [Synechococcus sp. A15-127]</t>
  </si>
  <si>
    <t>Synechococcus sp. A15-127</t>
  </si>
  <si>
    <t>phosphoketolase family protein [Cyanobium gracile]</t>
  </si>
  <si>
    <t>Cyanobium gracile</t>
  </si>
  <si>
    <t>MULTISPECIES: phosphoketolase [unclassified Anabaena]</t>
  </si>
  <si>
    <t>unclassified Anabaena</t>
  </si>
  <si>
    <t>phosphoketolase family protein [Dolichospermum planctonicum]</t>
  </si>
  <si>
    <t>phosphoketolase family protein [Dolichospermum circinale]</t>
  </si>
  <si>
    <t>Dolichospermum circinale</t>
  </si>
  <si>
    <t>phosphoketolase [Synechococcus sp. XM-24]</t>
  </si>
  <si>
    <t>Synechococcus sp. XM-24</t>
  </si>
  <si>
    <t>phosphoketolase family protein [Synechococcus sp. CB0205]</t>
  </si>
  <si>
    <t>Synechococcus sp. CB0205</t>
  </si>
  <si>
    <t>phosphoketolase family protein [Oscillatoria nigro-viridis]</t>
  </si>
  <si>
    <t>Oscillatoria nigro-viridis</t>
  </si>
  <si>
    <t>phosphoketolase family protein [Synechococcaceae bacterium WB9_2_112]</t>
  </si>
  <si>
    <t>Synechococcaceae bacterium WB9_2_112</t>
  </si>
  <si>
    <t>phosphoketolase [Synechococcus sp. PROS-U-1]</t>
  </si>
  <si>
    <t>Synechococcus sp. PROS-U-1</t>
  </si>
  <si>
    <t>phosphoketolase [Cyanobacteria bacterium DS2.008]</t>
  </si>
  <si>
    <t>Cyanobacteria bacterium DS2.008</t>
  </si>
  <si>
    <t>phosphoketolase family protein [Candidatus Dormibacteraeota bacterium]</t>
  </si>
  <si>
    <t>Candidatus Dormibacteraeota bacterium</t>
  </si>
  <si>
    <t>phosphoketolase family protein [Richelia sp. RM1_1_1]</t>
  </si>
  <si>
    <t>Richelia sp. RM1_1_1</t>
  </si>
  <si>
    <t>phosphoketolase family protein [Trichormus azollae]</t>
  </si>
  <si>
    <t>Trichormus azollae</t>
  </si>
  <si>
    <t>phosphoketolase family protein [Synechococcus sp. CC9616]</t>
  </si>
  <si>
    <t>Synechococcus sp. CC9616</t>
  </si>
  <si>
    <t>phosphoketolase [Fischerella sp. ATCC 43239]</t>
  </si>
  <si>
    <t>Fischerella sp. ATCC 43239</t>
  </si>
  <si>
    <t>phosphoketolase [Microcystis elabens]</t>
  </si>
  <si>
    <t>Microcystis elabens</t>
  </si>
  <si>
    <t>phosphoketolase [Cyanobium sp.]</t>
  </si>
  <si>
    <t>phosphoketolase [Synechococcus sp. MED650]</t>
  </si>
  <si>
    <t>Synechococcus sp. MED650</t>
  </si>
  <si>
    <t>phosphoketolase family protein [Leptolyngbya sp. NIES-3755]</t>
  </si>
  <si>
    <t>Leptolyngbya sp. NIES-3755</t>
  </si>
  <si>
    <t>phosphoketolase family protein [Synechococcus sp. UW179B]</t>
  </si>
  <si>
    <t>Synechococcus sp. UW179B</t>
  </si>
  <si>
    <t>phosphoketolase [Candidatus Gallionella acididurans]</t>
  </si>
  <si>
    <t>Candidatus Gallionella acididurans</t>
  </si>
  <si>
    <t>phosphoketolase [Synechococcus sp. MED850]</t>
  </si>
  <si>
    <t>Synechococcus sp. MED850</t>
  </si>
  <si>
    <t>phosphoketolase family protein [Synechococcus sp. KORDI-100]</t>
  </si>
  <si>
    <t>Synechococcus sp. KORDI-100</t>
  </si>
  <si>
    <t>phosphoketolase family protein [Synechococcus sp. WH 8016]</t>
  </si>
  <si>
    <t>Synechococcus sp. WH 8016</t>
  </si>
  <si>
    <t>phosphoketolase [Synechococcus sp. ROS8604]</t>
  </si>
  <si>
    <t>Synechococcus sp. ROS8604</t>
  </si>
  <si>
    <t>phosphoketolase family protein [Synechococcus sp. BS307-5m-G38]</t>
  </si>
  <si>
    <t>Synechococcus sp. BS307-5m-G38</t>
  </si>
  <si>
    <t>phosphoketolase family protein [Synechococcus sp.]</t>
  </si>
  <si>
    <t>phosphoketolase family protein [Rhodocyclus tenuis]</t>
  </si>
  <si>
    <t>A facultative purple non sulfur bacterium </t>
  </si>
  <si>
    <t>phosphoketolase family protein [Chromatiales bacterium]</t>
  </si>
  <si>
    <t>Chromatiales bacterium</t>
  </si>
  <si>
    <t>A group of Proteobacteria capable of photosynthesis, collectively referred to as purple bacteri</t>
  </si>
  <si>
    <t>phosphoketolase family protein [Chloroflexaceae bacterium]</t>
  </si>
  <si>
    <t>Chloroflexaceae bacterium</t>
  </si>
  <si>
    <t>The Chloroflexia are one of six classes of bacteria in the phylum Chloroflexi, known as filamentous green non-sulfur bacteria. They use light for energy and are named for their green pigment, usually found in photosynthetic bodies called chlorosomes.</t>
  </si>
  <si>
    <t>phosphoketolase [Thiococcus pfennigii]</t>
  </si>
  <si>
    <t>Thiococcus pfennigii</t>
  </si>
  <si>
    <t>Gram-negative, non‐motile, obligately phototrophic and strictly anaerobic genus of bacteria</t>
  </si>
  <si>
    <t>phosphoketolase family protein [Chromatiaceae bacterium No.7]</t>
  </si>
  <si>
    <t>Chromatiaceae bacterium No.7</t>
  </si>
  <si>
    <t> A novel thermophilic phototrophic purple sulphur bacterium</t>
  </si>
  <si>
    <t>phosphoketolase family protein [Thioflavicoccus mobilis]</t>
  </si>
  <si>
    <t>Thioflavicoccus mobilis</t>
  </si>
  <si>
    <t>phototrophic purple sulfur bacteria</t>
  </si>
  <si>
    <t>phosphoketolase family protein [Thiobaca trueperi]</t>
  </si>
  <si>
    <t>Thiobaca trueperi</t>
  </si>
  <si>
    <t>A phototrophic purple sulfur bacterium </t>
  </si>
  <si>
    <t>phosphoketolase family protein [Chloroflexi bacterium]</t>
  </si>
  <si>
    <t>Chloroflexi bacterium</t>
  </si>
  <si>
    <t>phosphoketolase [Pelodictyon luteolum]</t>
  </si>
  <si>
    <t>Pelodictyon luteolum</t>
  </si>
  <si>
    <t>phosphoketolase family protein [Pelodictyon luteolum]</t>
  </si>
  <si>
    <t>phosphoketolase [Thiocapsa imhoffii]</t>
  </si>
  <si>
    <t>Thiocapsa imhoffii</t>
  </si>
  <si>
    <t xml:space="preserve">An alkaliphilic purple sulfur bacterium </t>
  </si>
  <si>
    <t>phosphoketolase [Chloroflexi bacterium GWC2_73_18]</t>
  </si>
  <si>
    <t>Chloroflexi bacterium GWC2_73_18</t>
  </si>
  <si>
    <t>phosphoketolase family protein [Chlorobiaceae bacterium]</t>
  </si>
  <si>
    <t>Chlorobiaceae bacterium</t>
  </si>
  <si>
    <t>Fructose-6-phosphate phosphoketolase [Chlorobium ferrooxidans DSM 13031]</t>
  </si>
  <si>
    <t>Chlorobium ferrooxidans DSM 13031</t>
  </si>
  <si>
    <t>phosphoketolase [Chlorobium ferrooxidans]</t>
  </si>
  <si>
    <t>Chlorobium ferrooxidans</t>
  </si>
  <si>
    <t>phosphoketolase family protein [Chlorobium sp. N1]</t>
  </si>
  <si>
    <t>Chlorobium sp. N1</t>
  </si>
  <si>
    <t>phosphoketolase family protein [Pelodictyon phaeoclathratiforme]</t>
  </si>
  <si>
    <t>Pelodictyon phaeoclathratiforme</t>
  </si>
  <si>
    <t>phosphoketolase family protein [Chlorogloea sp. CCALA 695]</t>
  </si>
  <si>
    <t>Chlorogloea sp. CCALA 695</t>
  </si>
  <si>
    <t>phosphoketolase [Prosthecochloris marina]</t>
  </si>
  <si>
    <t>Prosthecochloris marina</t>
  </si>
  <si>
    <t>phosphoketolase [Chloroflexi bacterium]</t>
  </si>
  <si>
    <t>phosphoketolase [Chloroflexi bacterium RBG_16_70_13]</t>
  </si>
  <si>
    <t>Chloroflexi bacterium RBG_16_70_13</t>
  </si>
  <si>
    <t>phosphoketolase [Prosthecochloris ethylica]</t>
  </si>
  <si>
    <t>Prosthecochloris ethylica</t>
  </si>
  <si>
    <t>phosphoketolase family protein [Chlorobium sp.]</t>
  </si>
  <si>
    <t>Chlorobium sp.</t>
  </si>
  <si>
    <t>phosphoketolase family protein [Chlorobaculum sp.]</t>
  </si>
  <si>
    <t>Chlorobaculum sp.</t>
  </si>
  <si>
    <t>Anaerobic, thermophilic green sulfur bacteria </t>
  </si>
  <si>
    <t>phosphoketolase family protein [Chlorobaculum thiosulfatiphilum]</t>
  </si>
  <si>
    <t>Chlorobaculum thiosulfatiphilum</t>
  </si>
  <si>
    <t>phosphoketolase family protein [Prosthecochloris sp. HL-130-GSB]</t>
  </si>
  <si>
    <t>Prosthecochloris sp. HL-130-GSB</t>
  </si>
  <si>
    <t>Chlorobia</t>
  </si>
  <si>
    <t>phosphoketolase family protein [Prosthecochloris sp.]</t>
  </si>
  <si>
    <t>Prosthecochloris sp.</t>
  </si>
  <si>
    <t>TPA: phosphoketolase family protein [Prosthecochloris aestuarii]</t>
  </si>
  <si>
    <t>Prosthecochloris aestuarii</t>
  </si>
  <si>
    <t>phosphoketolase family protein [Chlorobaculum tepidum]</t>
  </si>
  <si>
    <t>Chlorobaculum tepidum</t>
  </si>
  <si>
    <t>phosphoketolase [Chloroflexi bacterium 13_1_20CM_4_66_15]</t>
  </si>
  <si>
    <t>Chloroflexi bacterium 13_1_20CM_4_66_15</t>
  </si>
  <si>
    <t>Green sulfur bacteria are a family of obligately anaerobic photoautotrophic bacteria. </t>
  </si>
  <si>
    <t>phosphoketolase family protein [Rhodopseudomonas palustris]</t>
  </si>
  <si>
    <t>Rhodopseudomonas palustris</t>
  </si>
  <si>
    <t>A rod-shaped, Gram-negative purple nonsulfur bacterium, notable for its ability to switch between four different modes of metabolism. </t>
  </si>
  <si>
    <t>phosphoketolase family protein [Chlorobi bacterium]</t>
  </si>
  <si>
    <t>Chlorobi bacterium</t>
  </si>
  <si>
    <t>Chloroflexi, filamentous green non-sulfur bacteria.</t>
  </si>
  <si>
    <t>phosphoketolase family protein [Chloroflexales bacterium ZM16-3]</t>
  </si>
  <si>
    <t>Chloroflexales bacterium ZM16-3</t>
  </si>
  <si>
    <t>phosphoketolase family protein [Prosthecochloris sp. ZM]</t>
  </si>
  <si>
    <t>Prosthecochloris sp. ZM</t>
  </si>
  <si>
    <t>phosphoketolase family protein [Prosthecochloris aestuarii]</t>
  </si>
  <si>
    <t>phosphoketolase [Prosthecochloris sp.]</t>
  </si>
  <si>
    <t>Capable of photosynthesis in the presence of hydrogen sulfide, during which they produce and deposit, as an intermediate oxidation product</t>
  </si>
  <si>
    <t>phosphoketolase family protein [Herpetosiphonaceae bacterium]</t>
  </si>
  <si>
    <t>Herpetosiphonaceae bacterium</t>
  </si>
  <si>
    <t>TPA: phosphoketolase family protein [Chlorobaculum parvum]</t>
  </si>
  <si>
    <t>Chlorobaculum parvum</t>
  </si>
  <si>
    <t>phototrophic bacteria</t>
  </si>
  <si>
    <t>phosphoketolase family protein [Chlorobaculum parvum]</t>
  </si>
  <si>
    <t>The Chloroflexia are one of six classes of bacteria in the phylum Chloroflexi, known as filamentous green non-sulfur bacteria. They use light for energy and are named for their green pigment, usually found in photosynthetic bodies called chlorosomes.</t>
  </si>
  <si>
    <t>phosphoketolase family protein [Methylomicrobium sp. wino1]</t>
  </si>
  <si>
    <t>Methylomicrobium sp. wino1</t>
  </si>
  <si>
    <t xml:space="preserve"> Methylococcales/Methanotroph</t>
  </si>
  <si>
    <t>phosphoketolase family protein [Methylotuvimicrobium alcaliphilum]</t>
  </si>
  <si>
    <t>Methylotuvimicrobium alcaliphilum</t>
  </si>
  <si>
    <t xml:space="preserve"> Methylococcales/ Methanotroph</t>
  </si>
  <si>
    <t>phosphoketolase family protein [Methylomicrobium sp.]</t>
  </si>
  <si>
    <t>Methylomicrobium sp.</t>
  </si>
  <si>
    <t>TPA: phosphoketolase [Methylococcaceae bacterium]</t>
  </si>
  <si>
    <t>Methylococcaceae bacterium</t>
  </si>
  <si>
    <t>phosphoketolase family protein [Methylosarcina fibrata]</t>
  </si>
  <si>
    <t>Methylosarcina fibrata</t>
  </si>
  <si>
    <t>phosphoketolase family protein [Methylotuvimicrobium buryatense]</t>
  </si>
  <si>
    <t>Methylotuvimicrobium buryatense</t>
  </si>
  <si>
    <t>phosphoketolase [Methylomonas sp. EFPC1]</t>
  </si>
  <si>
    <t>Methylomonas sp. EFPC1</t>
  </si>
  <si>
    <t>phosphoketolase family protein [Methylomonas rhizoryzae]</t>
  </si>
  <si>
    <t>Methylomonas rhizoryzae</t>
  </si>
  <si>
    <t>phosphoketolase family protein [Methylomonas sp. LW13]</t>
  </si>
  <si>
    <t>Methylomonas sp. LW13</t>
  </si>
  <si>
    <t>phosphoketolase family protein [Methylomonas methanica]</t>
  </si>
  <si>
    <t>Methylomonas methanica</t>
  </si>
  <si>
    <t>MULTISPECIES: phosphoketolase family protein [Methylomonas]</t>
  </si>
  <si>
    <t>Methylomonas</t>
  </si>
  <si>
    <t>phosphoketolase family protein [Methylotuvimicrobium kenyense]</t>
  </si>
  <si>
    <t>Methylotuvimicrobium kenyense</t>
  </si>
  <si>
    <t>phosphoketolase [Methylomonas sp. ZR1]</t>
  </si>
  <si>
    <t>Methylomonas sp. ZR1</t>
  </si>
  <si>
    <t>phosphoketolase family protein [Methylocaldum sp. BRCS4]</t>
  </si>
  <si>
    <t>Methylocaldum sp. BRCS4</t>
  </si>
  <si>
    <t>phosphoketolase family protein [Methyloglobulus morosus]</t>
  </si>
  <si>
    <t>Methyloglobulus morosus</t>
  </si>
  <si>
    <t>phosphoketolase [Methylobacter sp.]</t>
  </si>
  <si>
    <t>Methylobacter sp.</t>
  </si>
  <si>
    <t>phosphoketolase [Methylicorpusculum oleiharenae]</t>
  </si>
  <si>
    <t>Methylicorpusculum oleiharenae</t>
  </si>
  <si>
    <t>phosphoketolase [Methylomonas sp. EbB]</t>
  </si>
  <si>
    <t>Methylomonas sp. EbB</t>
  </si>
  <si>
    <t>phosphoketolase family protein [Methylomonas koyamae]</t>
  </si>
  <si>
    <t>Methylomonas koyamae</t>
  </si>
  <si>
    <t>phosphoketolase family protein [Methylomonas sp. LWB]</t>
  </si>
  <si>
    <t>Methylomonas sp. LWB</t>
  </si>
  <si>
    <t>phosphoketolase family protein [Methylococcaceae bacterium WWC4]</t>
  </si>
  <si>
    <t>Methylococcaceae bacterium WWC4</t>
  </si>
  <si>
    <t>phosphoketolase family protein [Methylocaldum sp. 14B]</t>
  </si>
  <si>
    <t>Methylocaldum sp. 14B</t>
  </si>
  <si>
    <t>phosphoketolase family protein [Methylomonas sp. MK1]</t>
  </si>
  <si>
    <t>Methylomonas sp. MK1</t>
  </si>
  <si>
    <t>phosphoketolase family protein [Methylocaldum szegediense]</t>
  </si>
  <si>
    <t>Methylocaldum szegediense</t>
  </si>
  <si>
    <t>MULTISPECIES: phosphoketolase family protein [unclassified Methylocaldum]</t>
  </si>
  <si>
    <t>unclassified Methylocaldum</t>
  </si>
  <si>
    <t>phosphoketolase family protein [Methylococcaceae bacterium]</t>
  </si>
  <si>
    <t>a type I methane-oxidizing bacterium</t>
  </si>
  <si>
    <t>phosphoketolase [Methylobacter sp. BlB1]</t>
  </si>
  <si>
    <t>Methylobacter sp. BlB1</t>
  </si>
  <si>
    <t>phosphoketolase family protein [Methylomonas sp. DH-1]</t>
  </si>
  <si>
    <t>Methylomonas sp. DH-1</t>
  </si>
  <si>
    <r>
      <t>Methylomonas sp</t>
    </r>
    <r>
      <rPr>
        <sz val="14"/>
        <color rgb="FF4D5156"/>
        <rFont val="Arial"/>
      </rPr>
      <t>. </t>
    </r>
    <r>
      <rPr>
        <b/>
        <sz val="14"/>
        <color rgb="FF5F6368"/>
        <rFont val="Arial"/>
      </rPr>
      <t>DH-1</t>
    </r>
    <r>
      <rPr>
        <sz val="14"/>
        <color rgb="FF4D5156"/>
        <rFont val="Arial"/>
      </rPr>
      <t>, a novel type I methanotroph isolated from brewery sludge, has been evaluated as a promising candidate for an industrial bio-catalyst.</t>
    </r>
  </si>
  <si>
    <t>phosphoketolase family protein [Methyloglobulus sp.]</t>
  </si>
  <si>
    <t>Methyloglobulus sp.</t>
  </si>
  <si>
    <t>Xylulose-5-phosphate phosphoketolase [Candidatus Methylomirabilis lanthanidiphila]</t>
  </si>
  <si>
    <t>Candidatus Methylomirabilis lanthanidiphila</t>
  </si>
  <si>
    <t>nitrite-dependent anaerobic methane oxidation</t>
  </si>
  <si>
    <t>phosphoketolase family protein [Methylomonas sp. 11b]</t>
  </si>
  <si>
    <t>Methylomonas sp. 11b</t>
  </si>
  <si>
    <t>phosphoketolase family protein [Methylocaldum marinum]</t>
  </si>
  <si>
    <t>Methylocaldum marinum</t>
  </si>
  <si>
    <t>a thermotolerant, methane-oxidizing bacterium</t>
  </si>
  <si>
    <t>phosphoketolase family protein [Methylomagnum ishizawai]</t>
  </si>
  <si>
    <t>Methylomagnum ishizawai</t>
  </si>
  <si>
    <t>phosphoketolase [Methylomonas sp.]</t>
  </si>
  <si>
    <t>Methylomonas sp.</t>
  </si>
  <si>
    <t>phosphoketolase [Methylomonas sp. LL1]</t>
  </si>
  <si>
    <t>Methylomonas sp. LL1</t>
  </si>
  <si>
    <t>TPA: phosphoketolase family protein [Methylophaga sp.]</t>
  </si>
  <si>
    <t>Methylophaga sp.</t>
  </si>
  <si>
    <t>Thiotrichales/Methanotroph</t>
  </si>
  <si>
    <r>
      <t>Methylophaga</t>
    </r>
    <r>
      <rPr>
        <sz val="14"/>
        <color rgb="FF222222"/>
        <rFont val="Arial"/>
      </rPr>
      <t> spp. are methylotrophs commonly associated with marine environments and have been defined as strict aerobic methylotrophs.</t>
    </r>
  </si>
  <si>
    <t>phosphoketolase family protein [Methylomarinum vadi]</t>
  </si>
  <si>
    <t>Methylomarinum vadi</t>
  </si>
  <si>
    <t>phosphoketolase [Methylomonas methanica MC09]</t>
  </si>
  <si>
    <t>Methylomonas methanica MC09</t>
  </si>
  <si>
    <t>phosphoketolase [Methylomonas methanica]</t>
  </si>
  <si>
    <t>phosphoketolase family protein [Methyloprofundus sedimenti]</t>
  </si>
  <si>
    <t>Methyloprofundus sedimenti</t>
  </si>
  <si>
    <t>phosphoketolase family protein [Methylobacter tundripaludum]</t>
  </si>
  <si>
    <t>Methylobacter tundripaludum</t>
  </si>
  <si>
    <t>phosphoketolase family protein [Candidatus Methylobacter oryzae]</t>
  </si>
  <si>
    <t>Candidatus Methylobacter oryzae</t>
  </si>
  <si>
    <t>phosphoketolase family protein [Methylobacter sp.]</t>
  </si>
  <si>
    <t>phosphoketolase [Methylococcus sp. EFPC2]</t>
  </si>
  <si>
    <t>Methylococcus sp. EFPC2</t>
  </si>
  <si>
    <t>phosphoketolase family protein [Methyloterricola oryzae]</t>
  </si>
  <si>
    <t>Methyloterricola oryzae</t>
  </si>
  <si>
    <t>phosphoketolase family protein [Methylomonas lenta]</t>
  </si>
  <si>
    <t>Methylomonas lenta</t>
  </si>
  <si>
    <t>phosphoketolase [Methylococcus sp. BF19-07]</t>
  </si>
  <si>
    <t>Methylococcus sp. BF19-07</t>
  </si>
  <si>
    <t>phosphoketolase family protein [Methylococcus capsulatus]</t>
  </si>
  <si>
    <t>Methylococcus capsulatus</t>
  </si>
  <si>
    <t>phosphoketolase [Methylococcus sp. IM1]</t>
  </si>
  <si>
    <t>Methylococcus sp. IM1</t>
  </si>
  <si>
    <t>phosphoketolase [Methylophaga sp.]</t>
  </si>
  <si>
    <t>phosphoketolase [Methylotenera sp. 17-45-7]</t>
  </si>
  <si>
    <t>Methylotenera sp. 17-45-7</t>
  </si>
  <si>
    <t>Methylophilaceae/Methanotroph</t>
  </si>
  <si>
    <t>phosphoketolase family protein [Methylophilus methylotrophus]</t>
  </si>
  <si>
    <t>Methylophilus methylotrophus</t>
  </si>
  <si>
    <t>Methylophilus/Methanotroph</t>
  </si>
  <si>
    <t>phosphoketolase [Methylomicrobium sp. RS1]</t>
  </si>
  <si>
    <t>Methylomicrobium sp. RS1</t>
  </si>
  <si>
    <t>phosphoketolase family protein [Methylobacter luteus]</t>
  </si>
  <si>
    <t>Methylobacter luteus</t>
  </si>
  <si>
    <t>phosphoketolase family protein [Methylobacter whittenburyi]</t>
  </si>
  <si>
    <t>Methylobacter whittenburyi</t>
  </si>
  <si>
    <t>phosphoketolase family protein [Methylotetracoccus oryzae]</t>
  </si>
  <si>
    <t>Methylotetracoccus oryzae</t>
  </si>
  <si>
    <t>phosphoketolase family protein [Methylobacter marinus]</t>
  </si>
  <si>
    <t>Methylobacter marinus</t>
  </si>
  <si>
    <t>phosphoketolase [Methylothermaceae bacteria B42]</t>
  </si>
  <si>
    <t>Methylothermaceae bacteria B42</t>
  </si>
  <si>
    <t>phosphoketolase family protein [Methylobacterium sp. MB200]</t>
  </si>
  <si>
    <t>Methylobacterium sp. MB200</t>
  </si>
  <si>
    <t>MethylobacteriaceaeMethanotroph</t>
  </si>
  <si>
    <r>
      <t>Methylobacterium</t>
    </r>
    <r>
      <rPr>
        <sz val="14"/>
        <color rgb="FF000000"/>
        <rFont val="Arial"/>
      </rPr>
      <t> are extremely important because they can use methanol and methylamine as well as C</t>
    </r>
    <r>
      <rPr>
        <vertAlign val="subscript"/>
        <sz val="14"/>
        <color rgb="FF000000"/>
        <rFont val="Arial"/>
      </rPr>
      <t>2</t>
    </r>
    <r>
      <rPr>
        <sz val="14"/>
        <color rgb="FF000000"/>
        <rFont val="Arial"/>
      </rPr>
      <t>, C</t>
    </r>
    <r>
      <rPr>
        <vertAlign val="subscript"/>
        <sz val="14"/>
        <color rgb="FF000000"/>
        <rFont val="Arial"/>
      </rPr>
      <t>3</t>
    </r>
    <r>
      <rPr>
        <sz val="14"/>
        <color rgb="FF000000"/>
        <rFont val="Arial"/>
      </rPr>
      <t> and C</t>
    </r>
    <r>
      <rPr>
        <vertAlign val="subscript"/>
        <sz val="14"/>
        <color rgb="FF000000"/>
        <rFont val="Arial"/>
      </rPr>
      <t>4</t>
    </r>
    <r>
      <rPr>
        <sz val="14"/>
        <color rgb="FF000000"/>
        <rFont val="Arial"/>
      </rPr>
      <t> compounds to grow.</t>
    </r>
  </si>
  <si>
    <t>MULTISPECIES: phosphoketolase [Methylorubrum]</t>
  </si>
  <si>
    <t>Methylorubrum</t>
  </si>
  <si>
    <t>Methanotroph</t>
  </si>
  <si>
    <t> facultatively methylotrophic bacterium</t>
  </si>
  <si>
    <t>phosphoketolase family protein [Methylobacterium sp. DB1607]</t>
  </si>
  <si>
    <t>Methylobacterium sp. DB1607</t>
  </si>
  <si>
    <t>phosphoketolase family protein [Methylorubrum extorquens]</t>
  </si>
  <si>
    <t>Methylorubrum extorquens</t>
  </si>
  <si>
    <t>phosphoketolase [Methylobacterium sp. Leaf92]</t>
  </si>
  <si>
    <t>Methylobacterium sp. Leaf92</t>
  </si>
  <si>
    <t>phosphoketolase [Methylorubrum extorquens]</t>
  </si>
  <si>
    <t>methanotroph</t>
  </si>
  <si>
    <t>phosphoketolase family protein [Methylobacter sp. BBA5.1]</t>
  </si>
  <si>
    <t>Methylobacter sp. BBA5.1</t>
  </si>
  <si>
    <t>phosphoketolase family protein [Methylobacterium segetis]</t>
  </si>
  <si>
    <t>Methylobacterium segetis</t>
  </si>
  <si>
    <t>phosphoketolase family protein [Methylobacterium sp. AMS5]</t>
  </si>
  <si>
    <t>Methylobacterium sp. AMS5</t>
  </si>
  <si>
    <t>phosphoketolase [Methylobacterium sp. Leaf121]</t>
  </si>
  <si>
    <t>Methylobacterium sp. Leaf121</t>
  </si>
  <si>
    <t>phosphoketolase family protein [Methylorubrum zatmanii]</t>
  </si>
  <si>
    <t>Methylorubrum zatmanii</t>
  </si>
  <si>
    <t>phosphoketolase family protein [Methylobacterium durans]</t>
  </si>
  <si>
    <t>Methylobacterium durans</t>
  </si>
  <si>
    <t>A gamma radiation-resistant, Gram-stain negative, oxidase and catalase positive, aerobic, flagellated, rod-shaped, methylotrophic and pink-pigmented bacterial</t>
  </si>
  <si>
    <t>phosphoketolase family protein [Methylomicrobium agile]</t>
  </si>
  <si>
    <t>Methylomicrobium agile</t>
  </si>
  <si>
    <t>phosphoketolase family protein [Methylorubrum sp. Q1]</t>
  </si>
  <si>
    <t>Methylorubrum sp. Q1</t>
  </si>
  <si>
    <t>phosphoketolase family protein [Methylorubrum populi]</t>
  </si>
  <si>
    <t>Methylorubrum populi</t>
  </si>
  <si>
    <t>phosphoketolase family protein [Methylobacterium oxalidis]</t>
  </si>
  <si>
    <t>Methylobacterium oxalidis</t>
  </si>
  <si>
    <t>phosphoketolase family protein [Methylovulum sp.]</t>
  </si>
  <si>
    <t>Methylovulum sp.</t>
  </si>
  <si>
    <t>phosphoketolase [Methylomicrobium album BG8]</t>
  </si>
  <si>
    <t>Methylomicrobium album BG8</t>
  </si>
  <si>
    <t>phosphoketolase family protein [Methylocystis bryophila]</t>
  </si>
  <si>
    <t>Methylocystis bryophila</t>
  </si>
  <si>
    <t>Methylocystis bryophila is a Gram-negative, aerobic, facultatively methanotrophic and non-motile bacterium species </t>
  </si>
  <si>
    <t>phosphoketolase family protein [Methylibium petroleiphilum]</t>
  </si>
  <si>
    <t>Methylibium petroleiphilum</t>
  </si>
  <si>
    <t>Methylibium petroleiphilum is a species of methyl tert-butyl ether-degrading methylotroph</t>
  </si>
  <si>
    <t>phosphoketolase family protein [Methyloceanibacter sp.]</t>
  </si>
  <si>
    <t>Methyloceanibacter sp.</t>
  </si>
  <si>
    <t>phosphoketolase [Methylomarinum sp.]</t>
  </si>
  <si>
    <t>Methylomarinum sp.</t>
  </si>
  <si>
    <t>phosphoketolase [Methyloligella sp. GL2]</t>
  </si>
  <si>
    <t>Methyloligella sp. GL2</t>
  </si>
  <si>
    <t>phosphoketolase family protein [Methyloversatilis universalis]</t>
  </si>
  <si>
    <t>Methyloversatilis universalis</t>
  </si>
  <si>
    <t>utilizes single carbon compounds such as methanol or methylamine as a sole source of carbon and energ</t>
  </si>
  <si>
    <t>phosphoketolase family protein [Methylocucumis oryzae]</t>
  </si>
  <si>
    <t>Methylocucumis oryzae</t>
  </si>
  <si>
    <t>a Gram-negative, pale pink pigmented, motile, large Type I methanotroph</t>
  </si>
  <si>
    <t>phosphoketolase [Methylocucumis oryzae]</t>
  </si>
  <si>
    <t>phosphoketolase family protein [Methyloferula stellata]</t>
  </si>
  <si>
    <t>Methyloferula stellata</t>
  </si>
  <si>
    <t>phosphoketolase [Methylovulum psychrotolerans]</t>
  </si>
  <si>
    <t>Methylovulum psychrotolerans</t>
  </si>
  <si>
    <t>phosphoketolase family protein [Methylovulum psychrotolerans]</t>
  </si>
  <si>
    <t>phosphoketolase family protein [Methylothermaceae bacterium]</t>
  </si>
  <si>
    <t>Methylothermaceae bacterium</t>
  </si>
  <si>
    <t>phosphoketolase [Methylococcaceae bacterium]</t>
  </si>
  <si>
    <t>phosphoketolase [methanotrophic endosymbiont of Bathymodiolus puteoserpentis (Logatchev)]</t>
  </si>
  <si>
    <t>methanotrophic endosymbiont of Bathymodiolus puteoserpentis (Logatchev)</t>
  </si>
  <si>
    <t>phosphoketolase family protein [Methylovulum miyakonense]</t>
  </si>
  <si>
    <t>Methylovulum miyakonense</t>
  </si>
  <si>
    <t>phosphoketolase family protein [Leptospirillum ferriphilum]</t>
  </si>
  <si>
    <t>Leptospirillum ferriphilum</t>
  </si>
  <si>
    <t>Nitrospirae, oxidize nitrite </t>
  </si>
  <si>
    <t>phosphoketolase family protein [Sulfuritortus calidifontis]</t>
  </si>
  <si>
    <t>Sulfuritortus calidifontis</t>
  </si>
  <si>
    <t>A sulfur oxidizer</t>
  </si>
  <si>
    <t>Fructose-6-phosphate phosphoketolase [Leptospirillum sp. Group II '5-way CG']</t>
  </si>
  <si>
    <t>Leptospirillum sp. Group II '5-way CG'</t>
  </si>
  <si>
    <t>TPA: phosphoketolase family protein [Leptospirillum ferriphilum]</t>
  </si>
  <si>
    <t>phosphoketolase family protein [Nitrosomonas sp.]</t>
  </si>
  <si>
    <t>Nitrosomonas sp.</t>
  </si>
  <si>
    <t>Ammonia-oxidizing bacterium</t>
  </si>
  <si>
    <t>phosphoketolase [Thiobacillus sp. SCN 63-374]</t>
  </si>
  <si>
    <t>Thiobacillus sp. SCN 63-374</t>
  </si>
  <si>
    <t>Sulfur oxidising heterotrophs and chemolithoheterotrophs</t>
  </si>
  <si>
    <t>phosphoketolase family protein [Nitrosococcus halophilus]</t>
  </si>
  <si>
    <t>Nitrosococcus halophilus</t>
  </si>
  <si>
    <t>phosphoketolase family protein [Allochromatium vinosum]</t>
  </si>
  <si>
    <t>Allochromatium vinosum</t>
  </si>
  <si>
    <t>A gram negative, halotolerant, rod shaped, sulfide and thiosulfate oxidizing</t>
  </si>
  <si>
    <t>phosphoketolase [Allochromatium vinosum]</t>
  </si>
  <si>
    <t>phosphoketolase family protein [Nitrosomonas sp. Nm33]</t>
  </si>
  <si>
    <t>Nitrosomonas sp. Nm33</t>
  </si>
  <si>
    <t>phosphoketolase family protein [Nitrosomonas sp. Nm34]</t>
  </si>
  <si>
    <t>Nitrosomonas sp. Nm34</t>
  </si>
  <si>
    <t>phosphoketolase family protein [Caballeronia arationis]</t>
  </si>
  <si>
    <t>Caballeronia arationis</t>
  </si>
  <si>
    <t>Caballeronia is a genus of bacteria from the family of Burkholderiaceae which has been reported to perform biological nitrogen fixation and promote plant growth. </t>
  </si>
  <si>
    <t>phosphoketolase family protein [Nitrosospira sp. NpAV]</t>
  </si>
  <si>
    <t>Nitrosospira sp. NpAV</t>
  </si>
  <si>
    <t>phosphoketolase [Thermotogales bacterium]</t>
  </si>
  <si>
    <t>Thermotogales bacterium</t>
  </si>
  <si>
    <t>The phylum Thermotogae is composed of Gram-negative staining, anaerobic, and mostly thermophilic and hyperthermophilic bacteria</t>
  </si>
  <si>
    <t>phosphoketolase family protein [Nitrosomonas communis]</t>
  </si>
  <si>
    <t>Nitrosomonas communis</t>
  </si>
  <si>
    <t>phosphoketolase family protein [Thiobacillus sp.]</t>
  </si>
  <si>
    <t>Thiobacillus sp.</t>
  </si>
  <si>
    <t>sulfur oxidising heterotrophs and chemolithoheterotrophs</t>
  </si>
  <si>
    <t>phosphoketolase [Thiobacillus sp.]</t>
  </si>
  <si>
    <t>MULTISPECIES: phosphoketolase family protein [Nitrosospira]</t>
  </si>
  <si>
    <t>Nitrosospira</t>
  </si>
  <si>
    <t>phosphoketolase family protein [Nitrosospira sp. Nsp44]</t>
  </si>
  <si>
    <t>Nitrosospira sp. Nsp44</t>
  </si>
  <si>
    <t>phosphoketolase family protein [Nitrosospira sp. Nsp13]</t>
  </si>
  <si>
    <t>Nitrosospira sp. Nsp13</t>
  </si>
  <si>
    <t>phosphoketolase family protein [Nitrosomonas sp. Nm132]</t>
  </si>
  <si>
    <t>Nitrosomonas sp. Nm132</t>
  </si>
  <si>
    <t>phosphoketolase family protein [Ferriphaselus amnicola]</t>
  </si>
  <si>
    <t>Ferriphaselus amnicola</t>
  </si>
  <si>
    <t>A neutrophilic, stalk-forming, iron-oxidizing bacterium</t>
  </si>
  <si>
    <t>phosphoketolase family protein [Nitrosomonas sp. Nm58]</t>
  </si>
  <si>
    <t>Nitrosomonas sp. Nm58</t>
  </si>
  <si>
    <t>phosphoketolase family protein [Nitrosospira sp. Nsp14]</t>
  </si>
  <si>
    <t>Nitrosospira sp. Nsp14</t>
  </si>
  <si>
    <t>phosphoketolase [Leptospirillum ferrodiazotrophum]</t>
  </si>
  <si>
    <t>Leptospirillum ferrodiazotrophum</t>
  </si>
  <si>
    <t>phosphoketolase [Sulfurimicrobium lacus]</t>
  </si>
  <si>
    <t>Sulfurimicrobium lacus</t>
  </si>
  <si>
    <t>A sulfur oxidizer </t>
  </si>
  <si>
    <t>xylulose-5-phosphate/fructose-6-phosphate phosphoketolase [Nitrosomonas communis]</t>
  </si>
  <si>
    <t>phosphoketolase family protein [Caballeronia sordidicola]</t>
  </si>
  <si>
    <t>Caballeronia sordidicola</t>
  </si>
  <si>
    <t>A species of proteobacteria which has been reported to perform biological nitrogen fixation and promote plant growth.</t>
  </si>
  <si>
    <t>phosphoketolase family protein [Nitrosomonadales bacterium]</t>
  </si>
  <si>
    <t>Nitrosomonadales bacterium</t>
  </si>
  <si>
    <t>phosphoketolase family protein [Nitrosococcus wardiae]</t>
  </si>
  <si>
    <t>Nitrosococcus wardiae</t>
  </si>
  <si>
    <t>phosphoketolase family protein [Nitrosomonas aestuarii]</t>
  </si>
  <si>
    <t>Nitrosomonas aestuarii</t>
  </si>
  <si>
    <t>phosphoketolase family protein [Euryarchaeota archaeon]</t>
  </si>
  <si>
    <t>Euryarchaeota archaeon</t>
  </si>
  <si>
    <t>Euryarchaeota is a phylum of archaea.</t>
  </si>
  <si>
    <t>phosphoketolase [Mariprofundus ferrooxydans]</t>
  </si>
  <si>
    <t>Mariprofundus ferrooxydans</t>
  </si>
  <si>
    <t>A neutrophilic, chemolithotrophic, Gram-negative bacterium which can grow by oxidising ferrous to ferric iron</t>
  </si>
  <si>
    <t>phosphoketolase family protein [Mariprofundus ferrooxydans]</t>
  </si>
  <si>
    <t>phosphoketolase family protein [Thiohalocapsa sp. PB-PSB1]</t>
  </si>
  <si>
    <t>Thiohalocapsa sp. PB-PSB1</t>
  </si>
  <si>
    <t>A spherical-shaped, phototrophic, purple sulfur bacterium</t>
  </si>
  <si>
    <t>phosphoketolase [Thiohalocapsa sp. PB-PSB1]</t>
  </si>
  <si>
    <t>phosphoketolase family protein [Nitrospirae bacterium]</t>
  </si>
  <si>
    <t>Nitrospirae bacterium</t>
  </si>
  <si>
    <t>ammonia-oxidizing bacterium</t>
  </si>
  <si>
    <t>phosphoketolase family protein [Spirochaetales bacterium]</t>
  </si>
  <si>
    <t>Spirochaetales bacterium</t>
  </si>
  <si>
    <t>Spirochaetes are chemoheterotrophic in nature</t>
  </si>
  <si>
    <t>phosphoketolase family protein [Thioalbus denitrificans]</t>
  </si>
  <si>
    <t>Thioalbus denitrificans</t>
  </si>
  <si>
    <t>A chemolithoautotrophic sulfur-oxidizing gammaproteobacterium</t>
  </si>
  <si>
    <t>phosphoketolase family protein [Nitrospiraceae bacterium]</t>
  </si>
  <si>
    <t>Nitrospiraceae bacterium</t>
  </si>
  <si>
    <t>phosphoketolase [Spirochaetes bacterium DG_61]</t>
  </si>
  <si>
    <t>Spirochaetes bacterium DG_61</t>
  </si>
  <si>
    <t>phosphoketolase [Nitrosomonas europaea]</t>
  </si>
  <si>
    <t>Nitrosomonas europaea</t>
  </si>
  <si>
    <t>phosphoketolase [Caulobacter sp. 17J80-11]</t>
  </si>
  <si>
    <t>Caulobacter sp. 17J80-11</t>
  </si>
  <si>
    <t>Alphaproteobacteria</t>
  </si>
  <si>
    <t>D-xylulose 5-phosphate/D-fructose 6-phosphate phosphoketolase [Didymosphaeria enalia]</t>
  </si>
  <si>
    <t>Didymosphaeria enalia</t>
  </si>
  <si>
    <t>Fungi</t>
  </si>
  <si>
    <t>phosphoketolase family protein [Nitrosomonas europaea]</t>
  </si>
  <si>
    <t>phosphoketolase family protein [Rhizobium sullae]</t>
  </si>
  <si>
    <t>Rhizobium sullae</t>
  </si>
  <si>
    <t>Rhizobium is a genus of Gram-negative soil bacteria that fix nitrogen.</t>
  </si>
  <si>
    <t>phosphoketolase [Nitrospirae bacterium 13_2_20CM_2_62_8]</t>
  </si>
  <si>
    <t>Nitrospirae bacterium 13_2_20CM_2_62_8</t>
  </si>
  <si>
    <t>phosphoketolase family protein [Geodermatophilus sp. TF02-6]</t>
  </si>
  <si>
    <t>Geodermatophilus sp. TF02-6</t>
  </si>
  <si>
    <t>phosphoketolase family protein [Nitrosomonas sp. H1_AOB3]</t>
  </si>
  <si>
    <t>Nitrosomonas sp. H1_AOB3</t>
  </si>
  <si>
    <t>phosphoketolase [Lentisphaerae bacterium GWF2_50_93]</t>
  </si>
  <si>
    <t>Lentisphaerae bacterium GWF2_50_93</t>
  </si>
  <si>
    <t>Lentisphaerae is a phylum of bacteria closely related to Chlamydiae and Verrucomicrobia.</t>
  </si>
  <si>
    <t>TPA: phosphoketolase [Nitrospiraceae bacterium]</t>
  </si>
  <si>
    <t>phosphoketolase [Nitrospirae bacterium CG2_30_53_67]</t>
  </si>
  <si>
    <t>Nitrospirae bacterium CG2_30_53_67</t>
  </si>
  <si>
    <t>phosphoketolase [Thiobacillus denitrificans]</t>
  </si>
  <si>
    <t>Thiobacillus denitrificans</t>
  </si>
  <si>
    <t>Gram-negative, obligate chemolithoautotroph</t>
  </si>
  <si>
    <t>phosphoketolase family protein [Nitrosomonas eutropha]</t>
  </si>
  <si>
    <t>Nitrosomonas eutropha</t>
  </si>
  <si>
    <t>phosphoketolase [Neochlamydia sp. AcF84]</t>
  </si>
  <si>
    <t>Neochlamydia sp. AcF84</t>
  </si>
  <si>
    <t>Chlamydiae</t>
  </si>
  <si>
    <t>phosphoketolase family protein [Nitrosomonas nitrosa]</t>
  </si>
  <si>
    <t>Nitrosomonas nitrosa</t>
  </si>
  <si>
    <t>phosphoketolase family protein [Sulfuricaulis limicola]</t>
  </si>
  <si>
    <t>Sulfuricaulis limicola</t>
  </si>
  <si>
    <t>Sulfur-oxidizer, Gammaproteobacteria</t>
  </si>
  <si>
    <t>phosphoketolase family protein [Nitrosococcus watsonii]</t>
  </si>
  <si>
    <t>Nitrosococcus watsonii</t>
  </si>
  <si>
    <t>phosphoketolase family protein [Nitrospira sp.]</t>
  </si>
  <si>
    <t>Nitrospira sp.</t>
  </si>
  <si>
    <t>phosphoketolase family protein [Sulfuricella denitrificans]</t>
  </si>
  <si>
    <t>Sulfuricella denitrificans</t>
  </si>
  <si>
    <t>Asulfur-oxidizing autotroph</t>
  </si>
  <si>
    <t>D-xylulose 5-phosphate/D-fructose 6-phosphate phosphoketolase [Trematosphaeria pertusa]</t>
  </si>
  <si>
    <t>Trematosphaeria pertusa</t>
  </si>
  <si>
    <t>phosphoketolase family protein [Thiobacillus denitrificans]</t>
  </si>
  <si>
    <t>Gram-negative, obligate chemolithoautotroph betaproteobacteria</t>
  </si>
  <si>
    <t>phosphoketolase family protein [Neochlamydia sp. S13]</t>
  </si>
  <si>
    <t>Neochlamydia sp. S13</t>
  </si>
  <si>
    <t>phosphoketolase family protein [Nitrosomonas sp. APG5]</t>
  </si>
  <si>
    <t>Nitrosomonas sp. APG5</t>
  </si>
  <si>
    <t>chemolithoautotrophic ammonia-oxidizing bacterium</t>
  </si>
  <si>
    <t>phosphoketolase [Thiobacillus sp. 65-29]</t>
  </si>
  <si>
    <t>Thiobacillus sp. 65-29</t>
  </si>
  <si>
    <t>phosphoketolase [Nitrosococcus oceani]</t>
  </si>
  <si>
    <t>Nitrosococcus oceani</t>
  </si>
  <si>
    <t>Gram-negative, chemolithoautotrophic, ammonia-oxidizing bacterium</t>
  </si>
  <si>
    <t>phosphoketolase family protein [Nitrosococcus oceani]</t>
  </si>
  <si>
    <t>putative phosphoketolase 2 [Candidatus Sulfobium mesophilum]</t>
  </si>
  <si>
    <t>Candidatus Sulfobium mesophilum</t>
  </si>
  <si>
    <t>Nitrospirae</t>
  </si>
  <si>
    <t>phosphoketolase [Nitrospira sp.]</t>
  </si>
  <si>
    <t>phosphoketolase family protein [Nitrosomonas halophila]</t>
  </si>
  <si>
    <t>Nitrosomonas halophila</t>
  </si>
  <si>
    <t>MULTISPECIES: phosphoketolase family protein [Nitrosomonas]</t>
  </si>
  <si>
    <t>Nitrosomonas</t>
  </si>
  <si>
    <t>phosphoketolase family protein [Nitrospira sp. CG24D]</t>
  </si>
  <si>
    <t>Nitrospira sp. CG24D</t>
  </si>
  <si>
    <t>phosphoketolase family protein [Neochlamydia sp. EPS4]</t>
  </si>
  <si>
    <t>Neochlamydia sp. EPS4</t>
  </si>
  <si>
    <t>phosphoketolase [Sulfuriferula thiophila]</t>
  </si>
  <si>
    <t>Sulfuriferula thiophila</t>
  </si>
  <si>
    <t>A chemolithoautotrophic sulfur-oxidizing bacterium</t>
  </si>
  <si>
    <t>phosphoketolase [Nitrospirae bacterium CG17_big_fil_post_rev_8_21_14_2_50_50_9]</t>
  </si>
  <si>
    <t>Nitrospirae bacterium CG17_big_fil_post_rev_8_21_14_2_50_50_9</t>
  </si>
  <si>
    <t>phosphoketolase [Nitrospirae bacterium CG08_land_8_20_14_0_20_52_24]</t>
  </si>
  <si>
    <t>Nitrospirae bacterium CG08_land_8_20_14_0_20_52_24</t>
  </si>
  <si>
    <t>phosphoketolase family protein [Parachlamydia sp. C2]</t>
  </si>
  <si>
    <t>Parachlamydia sp. C2</t>
  </si>
  <si>
    <t>phosphoketolase [Nitrosococcus oceani C-27]</t>
  </si>
  <si>
    <t>Nitrosococcus oceani C-27</t>
  </si>
  <si>
    <t>phosphoketolase family protein [Sulfurivermis fontis]</t>
  </si>
  <si>
    <t>Sulfurivermis fontis</t>
  </si>
  <si>
    <t>A sulfur-oxidizing autotroph</t>
  </si>
  <si>
    <t>phosphoketolase family protein [Nitrosospira multiformis]</t>
  </si>
  <si>
    <t>Nitrosospira multiformis</t>
  </si>
  <si>
    <t>phosphoketolase family protein [Nitrosospira lacus]</t>
  </si>
  <si>
    <t>Nitrosospira lacus</t>
  </si>
  <si>
    <t>phosphoketolase family protein [Nitrospira sp. CG24E]</t>
  </si>
  <si>
    <t>Nitrospira sp. CG24E</t>
  </si>
  <si>
    <t>phosphoketolase family protein [Candidatus Protochlamydia amoebophila]</t>
  </si>
  <si>
    <t>Candidatus Protochlamydia amoebophila</t>
  </si>
  <si>
    <t>hypothetical protein NB311A_01789 [Nitrobacter sp. Nb-311A]</t>
  </si>
  <si>
    <t>phosphoketolase [Nitrospira sp. SG-bin1]</t>
  </si>
  <si>
    <t>Nitrospira sp. SG-bin1</t>
  </si>
  <si>
    <t>phosphoketolase family protein [Sulfuriferula sp. AH1]</t>
  </si>
  <si>
    <t>Sulfuriferula sp. AH1</t>
  </si>
  <si>
    <t>phosphoketolase [Thiobacillus sp. 65-1402]</t>
  </si>
  <si>
    <t>Thiobacillus sp. 65-1402</t>
  </si>
  <si>
    <t>phosphoketolase [Mesorhizobium sp. L-8-3]</t>
  </si>
  <si>
    <t>Mesorhizobium sp. L-8-3</t>
  </si>
  <si>
    <t>Mesorhizobium is a genus of Gram-negative soil bacteria.</t>
  </si>
  <si>
    <t>phosphoketolase [Mesorhizobium sp. L-8-10]</t>
  </si>
  <si>
    <t>Mesorhizobium sp. L-8-10</t>
  </si>
  <si>
    <t>phosphoketolase family protein [Nitrospira sp. LK70]</t>
  </si>
  <si>
    <t>Nitrospira sp. LK70</t>
  </si>
  <si>
    <t>phosphoketolase family protein [Nitrosospira briensis]</t>
  </si>
  <si>
    <t>Nitrosospira briensis</t>
  </si>
  <si>
    <t>phosphoketolase family protein [Nitrospirales bacterium]</t>
  </si>
  <si>
    <t>Nitrospirales bacterium</t>
  </si>
  <si>
    <t>phosphoketolase [Nitrosomonadales bacterium SCN 54-20]</t>
  </si>
  <si>
    <t>Nitrosomonadales bacterium SCN 54-20</t>
  </si>
  <si>
    <t>phosphoketolase [Nitrospirae bacterium RBG_13_43_8]</t>
  </si>
  <si>
    <t>Nitrospirae bacterium RBG_13_43_8</t>
  </si>
  <si>
    <t>phosphoketolase family protein [Candidatus Protochlamydia naegleriophila]</t>
  </si>
  <si>
    <t>Candidatus Protochlamydia naegleriophila</t>
  </si>
  <si>
    <t>phosphoketolase family protein [Nitrospira sp. CG24B]</t>
  </si>
  <si>
    <t>Nitrospira sp. CG24B</t>
  </si>
  <si>
    <t>phosphoketolase family protein [Nitrospira japonica]</t>
  </si>
  <si>
    <t>Nitrospira japonica</t>
  </si>
  <si>
    <t>phosphoketolase family protein [Rhizobium azibense]</t>
  </si>
  <si>
    <t>Rhizobium azibense</t>
  </si>
  <si>
    <t>phosphoketolase family protein [Rhizobium etli]</t>
  </si>
  <si>
    <t>Rhizobium etli</t>
  </si>
  <si>
    <t>phosphoketolase protein [Rhizobium etli 8C-3]</t>
  </si>
  <si>
    <t>Rhizobium etli 8C-3</t>
  </si>
  <si>
    <t>phosphoketolase family protein [Rhizobium leguminosarum]</t>
  </si>
  <si>
    <t>Rhizobium leguminosarum</t>
  </si>
  <si>
    <t>phosphoketolase family protein [Sulfurifustis variabilis]</t>
  </si>
  <si>
    <t>Sulfurifustis variabilis</t>
  </si>
  <si>
    <t>Autotrophic sulfur-oxidizing bacteria </t>
  </si>
  <si>
    <t>phosphoketolase family protein [Candidatus Protochlamydia sp. R18]</t>
  </si>
  <si>
    <t>Candidatus Protochlamydia sp. R18</t>
  </si>
  <si>
    <t>phosphoketolase [Sulfuricella denitrificans skB26]</t>
  </si>
  <si>
    <t>Sulfuricella denitrificans skB26</t>
  </si>
  <si>
    <t>phosphoketolase family protein [Rhizobium sp. Root1203]</t>
  </si>
  <si>
    <t>Rhizobium sp. Root1203</t>
  </si>
  <si>
    <t>phosphoketolase [Rhizobium sp. Root1203]</t>
  </si>
  <si>
    <t>phosphoketolase [Rhizobium leguminosarum]</t>
  </si>
  <si>
    <t>MULTISPECIES: phosphoketolase family protein [Nitrosomonadaceae]</t>
  </si>
  <si>
    <t>Nitrosomonadaceae</t>
  </si>
  <si>
    <t>phosphoketolase family protein [Nitrosospira sp. Nsp22]</t>
  </si>
  <si>
    <t>Nitrosospira sp. Nsp22</t>
  </si>
  <si>
    <t>MULTISPECIES: phosphoketolase family protein [unclassified Nitrosospira]</t>
  </si>
  <si>
    <t>unclassified Nitrosospira</t>
  </si>
  <si>
    <t>phosphoketolase family protein [Nitrosospira sp. Nsp2]</t>
  </si>
  <si>
    <t>Nitrosospira sp. Nsp2</t>
  </si>
  <si>
    <t>phosphoketolase family protein [Thiohalomonas denitrificans]</t>
  </si>
  <si>
    <t>Thiohalomonas denitrificans</t>
  </si>
  <si>
    <t>A moderately halophilic, obligately chemolithoautotrophic and sulfur-oxidizing bacterium </t>
  </si>
  <si>
    <t>phosphoketolase [Nitrosomonas sp. HPC101]</t>
  </si>
  <si>
    <t>Nitrosomonas sp. HPC101</t>
  </si>
  <si>
    <t>Ammonia-oxidizing bacteria and, as an obligate chemolithoautotroph, uses ammonia as an energy source and {\displaystyle {\ce {CO2}}} as a carbon source in presence of oxygen.</t>
  </si>
  <si>
    <t>phosphoketolase [Exophiala dermatitidis NIH/UT8656]</t>
  </si>
  <si>
    <t>Exophiala dermatitidis NIH/UT8656</t>
  </si>
  <si>
    <t>phosphoketolase [Nitrospira sp. UW-LDO-01]</t>
  </si>
  <si>
    <t>Nitrospira sp. UW-LDO-01</t>
  </si>
  <si>
    <t>putative phosphoketolase [Sinorhizobium meliloti CCNWSX0020]</t>
  </si>
  <si>
    <t>Sinorhizobium meliloti CCNWSX0020</t>
  </si>
  <si>
    <t xml:space="preserve">A nitrogen fixing bacteria </t>
  </si>
  <si>
    <t>RecName: Full=Probable phosphoketolase 1 [Sinorhizobium meliloti 1021]</t>
  </si>
  <si>
    <t>Sinorhizobium meliloti 1021</t>
  </si>
  <si>
    <t>D-xylulose 5-phosphate/D-fructose 6-phosphate phosphoketolase [Amniculicola lignicola CBS 123094]</t>
  </si>
  <si>
    <t>Amniculicola lignicola CBS 123094</t>
  </si>
  <si>
    <t>phosphoketolase [Rhizobium sp. AC44/96]</t>
  </si>
  <si>
    <t>Rhizobium sp. AC44/96</t>
  </si>
  <si>
    <t>phosphoketolase [Rhizobium leguminosarum bv. viciae]</t>
  </si>
  <si>
    <t>Rhizobium leguminosarum bv. viciae</t>
  </si>
  <si>
    <t>MULTISPECIES: phosphoketolase family protein [Rhizobium]</t>
  </si>
  <si>
    <t>Rhizobium</t>
  </si>
  <si>
    <t>phosphoketolase [Rhizobium ruizarguesonis]</t>
  </si>
  <si>
    <t>Rhizobium ruizarguesonis</t>
  </si>
  <si>
    <t>phosphoketolase family protein [Nitrospira cf. moscoviensis SBR1015]</t>
  </si>
  <si>
    <t>Nitrospira cf. moscoviensis SBR1015</t>
  </si>
  <si>
    <t>phosphoketolase [Nitrospira sp. ST-bin4]</t>
  </si>
  <si>
    <t>Nitrospira sp. ST-bin4</t>
  </si>
  <si>
    <t>phosphoketolase [Rhizobium sp. 007]</t>
  </si>
  <si>
    <t>Rhizobium sp. 007</t>
  </si>
  <si>
    <t>phosphoketolase family protein [Candidatus Nitrospira nitrificans]</t>
  </si>
  <si>
    <t>Candidatus Nitrospira nitrificans</t>
  </si>
  <si>
    <t>putative phosphoketolase 1 [Candidatus Nitrospira nitrificans]</t>
  </si>
  <si>
    <t>phosphoketolase family protein [Nitrosomonas cryotolerans]</t>
  </si>
  <si>
    <t>Nitrosomonas cryotolerans</t>
  </si>
  <si>
    <t>TPA: phosphoketolase family protein [Chthonomonas sp.]</t>
  </si>
  <si>
    <t>Chthonomonas sp.</t>
  </si>
  <si>
    <t>An aerobic, pigmented, thermophilic micro-organism of a novel bacterial class</t>
  </si>
  <si>
    <t>phosphoketolase [Rhizobium sp. SEMIA 4085]</t>
  </si>
  <si>
    <t>Rhizobium sp. SEMIA 4085</t>
  </si>
  <si>
    <t>phosphoketolase [Nitrospira sp. ST-bin5]</t>
  </si>
  <si>
    <t>Nitrospira sp. ST-bin5</t>
  </si>
  <si>
    <t>phosphoketolase [Nitrospira sp. CR1.1]</t>
  </si>
  <si>
    <t>Nitrospira sp. CR1.1</t>
  </si>
  <si>
    <t>phosphoketolase family protein [Sinorhizobium fredii]</t>
  </si>
  <si>
    <t>Sinorhizobium fredii</t>
  </si>
  <si>
    <t>Sinorhizobium fredii is a nitrogen fixing bacteria of the genus Sinorhizobium. </t>
  </si>
  <si>
    <t>phosphoketolase family protein [Candidatus Protochlamydia sp.]</t>
  </si>
  <si>
    <t>Candidatus Protochlamydia sp.</t>
  </si>
  <si>
    <t>TPA: phosphoketolase [Nitrosomonas sp.]</t>
  </si>
  <si>
    <t>phosphoketolase family protein [Nitrosomonas mobilis]</t>
  </si>
  <si>
    <t>Nitrosomonas mobilis</t>
  </si>
  <si>
    <t>phosphoketolase family protein [Nitrosovibrio tenuis]</t>
  </si>
  <si>
    <t>Nitrosovibrio tenuis</t>
  </si>
  <si>
    <t>An ammonia-oxidizing, autotroph growing, slender, curved rod </t>
  </si>
  <si>
    <t>phosphoketolase family protein [Spirochaetes bacterium]</t>
  </si>
  <si>
    <t>Spirochaetes bacterium</t>
  </si>
  <si>
    <t>phosphoketolase family protein [Rhizobium gallicum]</t>
  </si>
  <si>
    <t>Rhizobium gallicum</t>
  </si>
  <si>
    <t>D-xylulose 5-phosphate/D-fructose 6-phosphate phosphoketolase [Nitrospira defluvii]</t>
  </si>
  <si>
    <t>Nitrospira defluvii</t>
  </si>
  <si>
    <t>TPA: phosphoketolase family protein [Nitrospirae bacterium]</t>
  </si>
  <si>
    <t>phosphoketolase family protein [Parachlamydiaceae bacterium]</t>
  </si>
  <si>
    <t>Parachlamydiaceae bacterium</t>
  </si>
  <si>
    <t>xylulose-5-phosphate/fructose-6-phosphate phosphoketolase [Rhizobium leguminosarum]</t>
  </si>
  <si>
    <t>phosphoketolase family protein [Sinorhizobium meliloti]</t>
  </si>
  <si>
    <t>Sinorhizobium meliloti</t>
  </si>
  <si>
    <t>phosphoketolase family protein [Candidatus Nitrospira nitrosa]</t>
  </si>
  <si>
    <t>Candidatus Nitrospira nitrosa</t>
  </si>
  <si>
    <t>phosphoketolase family protein [Candidatus Protochlamydia sp. W-9]</t>
  </si>
  <si>
    <t>Candidatus Protochlamydia sp. W-9</t>
  </si>
  <si>
    <t>phosphoketolase family protein [Rhizobium subbaraonis]</t>
  </si>
  <si>
    <t>Rhizobium subbaraonis</t>
  </si>
  <si>
    <t>phosphoketolase [Rhizobium rhizolycopersici]</t>
  </si>
  <si>
    <t>Rhizobium rhizolycopersici</t>
  </si>
  <si>
    <t>phosphoketolase family protein [Nitrospira sp. ND1]</t>
  </si>
  <si>
    <t>Nitrospira sp. ND1</t>
  </si>
  <si>
    <t>phosphoketolase [Rhizobium mongolense]</t>
  </si>
  <si>
    <t>Rhizobium mongolense</t>
  </si>
  <si>
    <t>phosphoketolase family protein [Nitrospira defluvii]</t>
  </si>
  <si>
    <t>phosphoketolase [Nitrospira sp. CR1.2]</t>
  </si>
  <si>
    <t>Nitrospira sp. CR1.2</t>
  </si>
  <si>
    <t>TPA: phosphoketolase [Nitrospira sp.]</t>
  </si>
  <si>
    <t>phosphoketolase [Sinorhizobium sp. BG8]</t>
  </si>
  <si>
    <t>Sinorhizobium sp. BG8</t>
  </si>
  <si>
    <t>phosphoketolase family protein [Sinorhizobium sp. BJ1]</t>
  </si>
  <si>
    <t>Sinorhizobium sp. BJ1</t>
  </si>
  <si>
    <t>phosphoketolase [Rhizobium sp. R693]</t>
  </si>
  <si>
    <t>Rhizobium sp. R693</t>
  </si>
  <si>
    <t>Xylulose-5-phosphate phosphoketolase [Nitrosospira sp. NRS527]</t>
  </si>
  <si>
    <t>Nitrosospira sp. NRS527</t>
  </si>
  <si>
    <t>phosphoketolase [Rhizobium leguminosarum bv. trifolii]</t>
  </si>
  <si>
    <t>Rhizobium leguminosarum bv. trifolii</t>
  </si>
  <si>
    <t>phosphoketolase family protein [Rhizobium sp. BK251]</t>
  </si>
  <si>
    <t>Rhizobium sp. BK251</t>
  </si>
  <si>
    <t>phosphoketolase family protein [Rhizobium loessense]</t>
  </si>
  <si>
    <t>Rhizobium loessense</t>
  </si>
  <si>
    <t>phosphoketolase 1 [Capronia coronata CBS 617.96]</t>
  </si>
  <si>
    <t>Capronia coronata CBS 617.96</t>
  </si>
  <si>
    <t>phosphoketolase [Nitrospirae bacterium RIFCSPLOWO2_01_FULL_62_17]</t>
  </si>
  <si>
    <t>Nitrospirae bacterium RIFCSPLOWO2_01_FULL_62_17</t>
  </si>
  <si>
    <t>phosphoketolase family protein [Rhizobium sp. Root1220]</t>
  </si>
  <si>
    <t>Rhizobium sp. Root1220</t>
  </si>
  <si>
    <t>phosphoketolase [Rhizobium sp. Root1220]</t>
  </si>
  <si>
    <t>putative phosphoketolase 1 [Candidatus Nitrospira kreftii]</t>
  </si>
  <si>
    <t>Candidatus Nitrospira kreftii</t>
  </si>
  <si>
    <t>phosphoketolase family protein [Mesorhizobium sophorae]</t>
  </si>
  <si>
    <t>Mesorhizobium sophorae</t>
  </si>
  <si>
    <t>phosphoketolase [Nitrospirae bacterium RIFCSPLOWO2_02_FULL_62_14]</t>
  </si>
  <si>
    <t>Nitrospirae bacterium RIFCSPLOWO2_02_FULL_62_14</t>
  </si>
  <si>
    <t>phosphoketolase family protein [Sulfuriferula multivorans]</t>
  </si>
  <si>
    <t>Sulfuriferula multivorans</t>
  </si>
  <si>
    <t>phosphoketolase [Sulfuriferula nivalis]</t>
  </si>
  <si>
    <t>Sulfuriferula nivalis</t>
  </si>
  <si>
    <t>putative phosphoketolase [Sulfuriferula nivalis]</t>
  </si>
  <si>
    <t>phosphoketolase [Mytilinidion resinicola]</t>
  </si>
  <si>
    <t>Mytilinidion resinicola</t>
  </si>
  <si>
    <t>phosphoketolase [Spirochaetes bacterium RBG_16_49_21]</t>
  </si>
  <si>
    <t>Spirochaetes bacterium RBG_16_49_21</t>
  </si>
  <si>
    <t>A group of spiral-shaped bacteria, some of which are serious pathogens for humans, causing diseases such as syphilis, yaws, Lyme disease, and relapsing fever. </t>
  </si>
  <si>
    <t>TPA: phosphoketolase family protein [Crenotrichaceae bacterium]</t>
  </si>
  <si>
    <t>Crenotrichaceae bacterium</t>
  </si>
  <si>
    <t>Spiral-shaped bacteria, some of which are serious pathogens for humans</t>
  </si>
  <si>
    <t>phosphoketolase [Rhizobium leguminosarum bv. viciae USDA 2370]</t>
  </si>
  <si>
    <t>Rhizobium leguminosarum bv. viciae USDA 2370</t>
  </si>
  <si>
    <t>phosphoketolase [Rhizobium sp. BK007]</t>
  </si>
  <si>
    <t>Rhizobium sp. BK007</t>
  </si>
  <si>
    <t>phosphoketolase family protein [Chlorobaculum limnaeum]</t>
  </si>
  <si>
    <t>Chlorobaculum limnaeum</t>
  </si>
  <si>
    <t>phosphoketolase [Nitrospira sp. SCN 59-13]</t>
  </si>
  <si>
    <t>Nitrospira sp. SCN 59-13</t>
  </si>
  <si>
    <t>Ammonia-oxidizing bacteria.</t>
  </si>
  <si>
    <t>phosphoketolase [Lentisphaerae bacterium GWF2_57_35]</t>
  </si>
  <si>
    <t>Lentisphaerae bacterium GWF2_57_35</t>
  </si>
  <si>
    <t>Lentisphaerae is a phylum of bacteria closely related to Chlamydiae and Verrucomicrobia. </t>
  </si>
  <si>
    <t>phosphoketolase family protein [Rhizobium sp. CF097]</t>
  </si>
  <si>
    <t>Rhizobium sp. CF097</t>
  </si>
  <si>
    <t>Gram-negative, obligately chemolithoautotrophic, and a member of the beta- subclass of the Proteobacteria.</t>
  </si>
  <si>
    <t>phosphoketolase family protein [Sinorhizobium americanum]</t>
  </si>
  <si>
    <t>Sinorhizobium americanum</t>
  </si>
  <si>
    <t>phosphoketolase [Sinorhizobium americanum]</t>
  </si>
  <si>
    <t>phosphoketolase [Rhizobium sp. BK650]</t>
  </si>
  <si>
    <t>Rhizobium sp. BK650</t>
  </si>
  <si>
    <t>phosphoketolase [Rhizobium sp. ARZ01]</t>
  </si>
  <si>
    <t>Rhizobium sp. ARZ01</t>
  </si>
  <si>
    <t>phosphoketolase [Rhizobium sp. NZLR1]</t>
  </si>
  <si>
    <t>Rhizobium sp. NZLR1</t>
  </si>
  <si>
    <t>phosphoketolase family protein [Blastocatellia bacterium]</t>
  </si>
  <si>
    <t>Blastocatellia bacterium</t>
  </si>
  <si>
    <t>Aerobic, mesophilic or thermophilic, chemo-heterotrophic bacteria </t>
  </si>
  <si>
    <t>phosphoketolase family protein [Sinorhizobium terangae]</t>
  </si>
  <si>
    <t>Sinorhizobium terangae</t>
  </si>
  <si>
    <t>A genus of nitrogen-fixing bacteria</t>
  </si>
  <si>
    <t>putative phosphoketolase [Chlamydiales bacterium STE3]</t>
  </si>
  <si>
    <t>Chlamydiales bacterium STE3</t>
  </si>
  <si>
    <t>Obligately intracellular bacteria</t>
  </si>
  <si>
    <t>phosphoketolase [Parachlamydia sp.]</t>
  </si>
  <si>
    <t>Parachlamydia sp.</t>
  </si>
  <si>
    <t xml:space="preserve">Chlamydiae; a bacterial phylum and class whose members are remarkably diverse, including pathogens of humans and animals, symbionts of ubiquitous protozoa, and marine forms not yet well understood. </t>
  </si>
  <si>
    <t>phosphoketolase family protein [Candidatus Nitrospira inopinata]</t>
  </si>
  <si>
    <t>Candidatus Nitrospira inopinata</t>
  </si>
  <si>
    <t>MULTISPECIES: phosphoketolase family protein [unclassified Rhizobium]</t>
  </si>
  <si>
    <t>unclassified Rhizobium</t>
  </si>
  <si>
    <t>phosphoketolase [Rhizobium viscosum]</t>
  </si>
  <si>
    <t>Rhizobium viscosum</t>
  </si>
  <si>
    <t>phosphoketolase 1 [Sinorhizobium fredii NGR234]</t>
  </si>
  <si>
    <t>Sinorhizobium fredii NGR234</t>
  </si>
  <si>
    <t>phosphoketolase [Sinorhizobium fredii]</t>
  </si>
  <si>
    <t>phosphoketolase [Thiobacillus sp. GWE1_62_9]</t>
  </si>
  <si>
    <t>Thiobacillus sp. GWE1_62_9</t>
  </si>
  <si>
    <t>sulfur oxidising heterotrophs and chemolithoheterotrophs </t>
  </si>
  <si>
    <t>phosphoketolase family protein [Nitrosospira sp. Nl5]</t>
  </si>
  <si>
    <t>Nitrosospira sp. Nl5</t>
  </si>
  <si>
    <t>ammonia-oxidizing bacteria.</t>
  </si>
  <si>
    <t>phosphoketolase [Rhizobium paranaense]</t>
  </si>
  <si>
    <t>Rhizobium paranaense</t>
  </si>
  <si>
    <t>phosphoketolase [Rhizobium esperanzae]</t>
  </si>
  <si>
    <t>Rhizobium esperanzae</t>
  </si>
  <si>
    <t>phosphoketolase [Rhizobium sp. P32RR-XVIII]</t>
  </si>
  <si>
    <t>Rhizobium sp. P32RR-XVIII</t>
  </si>
  <si>
    <t>MULTISPECIES: phosphoketolase family protein [unclassified Mesorhizobium]</t>
  </si>
  <si>
    <t>unclassified Mesorhizobium</t>
  </si>
  <si>
    <t>phosphoketolase [Mesorhizobium silamurunense]</t>
  </si>
  <si>
    <t>Mesorhizobium silamurunense</t>
  </si>
  <si>
    <t>uncharacterized protein TREMEDRAFT_37476 [Tremella mesenterica DSM 1558]</t>
  </si>
  <si>
    <t>Tremella mesenterica DSM 1558</t>
  </si>
  <si>
    <t>phosphoketolase family protein [Mesorhizobium loti]</t>
  </si>
  <si>
    <t>Mesorhizobium loti</t>
  </si>
  <si>
    <t>An ammonia-oxidizing bacterium isolated from an acid agricultural soil. </t>
  </si>
  <si>
    <t>MULTISPECIES: phosphoketolase [unclassified Rhizobium]</t>
  </si>
  <si>
    <t>phosphoketolase family protein [Nitrosospira sp.]</t>
  </si>
  <si>
    <t>Nitrosospira sp.</t>
  </si>
  <si>
    <t>D-xylulose 5-phosphate/D-fructose 6-phosphate phosphoketolase [Delitschia confertaspora ATCC 74209]</t>
  </si>
  <si>
    <t>Delitschia confertaspora ATCC 74209</t>
  </si>
  <si>
    <t>phosphoketolase family protein [Rhizobium sp. CF048]</t>
  </si>
  <si>
    <t>Rhizobium sp. CF048</t>
  </si>
  <si>
    <t>phosphoketolase family protein [Rhizobium sp. NXC24]</t>
  </si>
  <si>
    <t>Rhizobium sp. NXC24</t>
  </si>
  <si>
    <t>phosphoketolase family protein [Rhizobium chutanense]</t>
  </si>
  <si>
    <t>Rhizobium chutanense</t>
  </si>
  <si>
    <t>phosphoketolase [Mesorhizobium sp. OAE845]</t>
  </si>
  <si>
    <t>Mesorhizobium sp. OAE845</t>
  </si>
  <si>
    <t>hypothetical protein Z518_09735 [Rhinocladiella mackenziei CBS 650.93]</t>
  </si>
  <si>
    <t>Rhinocladiella mackenziei CBS 650.93</t>
  </si>
  <si>
    <t>Chlamydiales</t>
  </si>
  <si>
    <t>phosphoketolase family protein [Nitrosomonas sp. Nm143]</t>
  </si>
  <si>
    <t>Nitrosomonas sp. Nm143</t>
  </si>
  <si>
    <t>Ammonia-oxidizing bacteria</t>
  </si>
  <si>
    <t>The family is physiologically highly diverse and contains chemolithoautotrophic aerobic nitrite-oxidizing bacteria</t>
  </si>
  <si>
    <t>xylulose-5-phosphate/fructose-6-phosphate phosphoketolase [Nitrosomonas sp. Nm143]</t>
  </si>
  <si>
    <t>phosphoketolase family protein [Nitrosomonas sp. Nm51]</t>
  </si>
  <si>
    <t>Nitrosomonas sp. Nm51</t>
  </si>
  <si>
    <t>phosphoketolase family protein [Rhizobium tibeticum]</t>
  </si>
  <si>
    <t>Rhizobium tibeticum</t>
  </si>
  <si>
    <t>phosphoketolase family protein [Sinorhizobium sp. PC2]</t>
  </si>
  <si>
    <t>Sinorhizobium sp. PC2</t>
  </si>
  <si>
    <t>A genus of nitrogen-fixing bacteria,</t>
  </si>
  <si>
    <t>phosphoketolase [Rhizobium hidalgonense]</t>
  </si>
  <si>
    <t>Rhizobium hidalgonense</t>
  </si>
  <si>
    <t>phosphoketolase family protein [Rhizobium hidalgonense]</t>
  </si>
  <si>
    <t xml:space="preserve">Betaproteobacteria, Ammonia Oxidation </t>
  </si>
  <si>
    <t>phosphoketolase family protein [Rhizobium sp. AC44/96]</t>
  </si>
  <si>
    <t>phosphoketolase [Sinorhizobium meliloti]</t>
  </si>
  <si>
    <t>Nitrogen-fixing bacteria</t>
  </si>
  <si>
    <t>MULTISPECIES: phosphoketolase family protein [Sinorhizobium]</t>
  </si>
  <si>
    <t>Sinorhizobium</t>
  </si>
  <si>
    <t>phosphoketolase family protein [Parachlamydia acanthamoebae]</t>
  </si>
  <si>
    <t>Parachlamydia acanthamoebae</t>
  </si>
  <si>
    <t>Parachlamydia acanthamoebae are bacterium that fall into the category of host-associated microorganisms.</t>
  </si>
  <si>
    <t>phosphoketolase family protein [Rhizobium grahamii]</t>
  </si>
  <si>
    <t>Rhizobium grahamii</t>
  </si>
  <si>
    <t>phosphoketolase [Rhizobium leguminosarum bv. trifolii WSM2297]</t>
  </si>
  <si>
    <t>Rhizobium leguminosarum bv. trifolii WSM2297</t>
  </si>
  <si>
    <t>phosphoketolase family protein [Rhizobiales bacterium]</t>
  </si>
  <si>
    <t>Rhizobiales bacterium</t>
  </si>
  <si>
    <t>The Rhizobiales are an order of Gram-negative Alphaproteobacteria. The rhizobia, which fix nitrogen and are symbiotic with plant roots, appear in several different families.</t>
  </si>
  <si>
    <t>Sinorhizobium meliloti are an aerobic, Gram-negative, and diazotrophic species of bacteria.</t>
  </si>
  <si>
    <t>phosphoketolase family protein [Sinorhizobium arboris]</t>
  </si>
  <si>
    <t>Sinorhizobium arboris</t>
  </si>
  <si>
    <t>phosphoketolase family protein [Ferrovum myxofaciens]</t>
  </si>
  <si>
    <t>Ferrovum myxofaciens</t>
  </si>
  <si>
    <t>Iron-oxidizing acidophilic bacterium</t>
  </si>
  <si>
    <t>phosphoketolase family protein [Rhizobium sp. CF122]</t>
  </si>
  <si>
    <t>Rhizobium sp. CF122</t>
  </si>
  <si>
    <t>phosphoketolase [Rhizobium sp. BK060]</t>
  </si>
  <si>
    <t>Rhizobium sp. BK060</t>
  </si>
  <si>
    <t>phosphoketolase family protein [Rhizobium sp. BK068]</t>
  </si>
  <si>
    <t>Rhizobium sp. BK068</t>
  </si>
  <si>
    <t>phosphoketolase [Rhizobium sp. BK538]</t>
  </si>
  <si>
    <t>Rhizobium sp. BK538</t>
  </si>
  <si>
    <t>phosphoketolase family protein [Rhizobium altiplani]</t>
  </si>
  <si>
    <t>Rhizobium altiplani</t>
  </si>
  <si>
    <t>phosphoketolase family protein [Rhizobium sp. IBUN]</t>
  </si>
  <si>
    <t>Rhizobium sp. IBUN</t>
  </si>
  <si>
    <t>phosphoketolase [Fischerella ambigua UTEX 1903]</t>
  </si>
  <si>
    <t>Fischerella ambigua UTEX 1903</t>
  </si>
  <si>
    <t>phosphoketolase family protein [Rhizobium mesoamericanum]</t>
  </si>
  <si>
    <t>Rhizobium mesoamericanum</t>
  </si>
  <si>
    <t>phosphoketolase family protein [Rhizobium vallis]</t>
  </si>
  <si>
    <t>Rhizobium vallis</t>
  </si>
  <si>
    <t>phosphoketolase [Rhizobium azooxidifex]</t>
  </si>
  <si>
    <t>Rhizobium azooxidifex</t>
  </si>
  <si>
    <t>phosphoketolase family protein [Rhizobium sp. CF142]</t>
  </si>
  <si>
    <t>Rhizobium sp. CF142</t>
  </si>
  <si>
    <t>phosphoketolase [Chlamydiae bacterium CG10_big_fil_rev_8_21_14_0_10_42_34]</t>
  </si>
  <si>
    <t>Chlamydiae bacterium CG10_big_fil_rev_8_21_14_0_10_42_34</t>
  </si>
  <si>
    <t>Chlamydia is a genus of pathogenic Gram-negative bacteria that are obligate intracellular parasites.</t>
  </si>
  <si>
    <t>phosphoketolase family protein [Ferrovum sp. Z-31]</t>
  </si>
  <si>
    <t>Ferrovum sp. Z-31</t>
  </si>
  <si>
    <t>Betaproteobacteria</t>
  </si>
  <si>
    <t>An iron-oxidizing betaproteobacterium with widespread distribution in acidic low-temperature environments</t>
  </si>
  <si>
    <t>phosphoketolase family protein [Rhizobium ecuadorense]</t>
  </si>
  <si>
    <t>Rhizobium ecuadorense</t>
  </si>
  <si>
    <t>Alphaproteobacteria, an indigenous N2-fixing symbiont of the Ecuadorian common bean</t>
  </si>
  <si>
    <t>MULTISPECIES: phosphoketolase [Rhizobium]</t>
  </si>
  <si>
    <t>Rhizobium is a genus of Gram-negative soil bacteria that fix nitrogen. </t>
  </si>
  <si>
    <t>An aerobic, Gram-negative, and diazotrophic species of bacteria. </t>
  </si>
  <si>
    <t>xylulose-5-phosphate/fructose-6-phosphate phosphoketolase [Sulfurirhabdus autotrophica]</t>
  </si>
  <si>
    <t>Sulfurirhabdus autotrophica</t>
  </si>
  <si>
    <t>A novel sulfur-oxidizing bacterium</t>
  </si>
  <si>
    <t>phosphoketolase family protein [Sulfurirhabdus autotrophica]</t>
  </si>
  <si>
    <t>phosphoketolase family protein [Thiohalobacter thiocyanaticus]</t>
  </si>
  <si>
    <t>Thiohalobacter thiocyanaticus</t>
  </si>
  <si>
    <t>A moderately halophilic, sulfur-oxidizing gammaproteobacterium</t>
  </si>
  <si>
    <t>phosphoketolase [Thiothrix sp.]</t>
  </si>
  <si>
    <t>Thiothrix is a genus of filamentous sulfur-oxidizing bacteria</t>
  </si>
  <si>
    <t>phosphoketolase family protein [Rhizobium jaguaris]</t>
  </si>
  <si>
    <t>Rhizobium jaguaris</t>
  </si>
  <si>
    <t>A nitrogen-fixing bacterium</t>
  </si>
  <si>
    <t>D-xylulose 5-phosphate/D-fructose 6-phosphate phosphoketolase [Aspergillus candidus]</t>
  </si>
  <si>
    <t>Aspergillus candidus</t>
  </si>
  <si>
    <t>Pararhizobium giardinii is a Gram negative root nodule bacteria. It forms nitrogen-fixing root nodules on legumes.</t>
  </si>
  <si>
    <t>phosphoketolase family protein [Thiothrix sp. Ku-5]</t>
  </si>
  <si>
    <t>Thiothrix sp. Ku-5</t>
  </si>
  <si>
    <t>A genus of filamentous sulfur-oxidizing bacteria</t>
  </si>
  <si>
    <t>Parachlamydiaceae is a family of bacteria in the order Chlamydiales. Intracellular bacteria can infect human.</t>
  </si>
  <si>
    <t>phosphoketolase family protein [Rhizobium giardinii]</t>
  </si>
  <si>
    <t>Rhizobium giardinii</t>
  </si>
  <si>
    <t xml:space="preserve">Betaproteobacteria. A sulfur oxidizer. </t>
  </si>
  <si>
    <t>phosphoketolase [Thiothrix sp. Ku-5]</t>
  </si>
  <si>
    <t>Gammaproteobacteria, a genus of filamentous sulfur-oxidizing bacteria</t>
  </si>
  <si>
    <t>phosphoketolase [Cryptococcus gattii CA1280]</t>
  </si>
  <si>
    <t>Cryptococcus gattii CA1280</t>
  </si>
  <si>
    <t>phosphoketolase [Cryptococcus gattii CA1873]</t>
  </si>
  <si>
    <t>Cryptococcus gattii CA1873</t>
  </si>
  <si>
    <t>phosphoketolase [Cryptococcus gattii Ru294]</t>
  </si>
  <si>
    <t>Cryptococcus gattii Ru294</t>
  </si>
  <si>
    <t>phosphoketolase [Cryptococcus gattii E566]</t>
  </si>
  <si>
    <t>Cryptococcus gattii E566</t>
  </si>
  <si>
    <t>phosphoketolase, putative [Cryptococcus neoformans var. neoformans JEC21]</t>
  </si>
  <si>
    <t>Cryptococcus neoformans var. neoformans JEC21</t>
  </si>
  <si>
    <t>hypothetical protein CNBK3360 [Cryptococcus neoformans var. neoformans B-3501A]</t>
  </si>
  <si>
    <t>Cryptococcus neoformans var. neoformans B-3501A</t>
  </si>
  <si>
    <t>hypothetical protein AYX15_03482 [Cryptococcus neoformans var. grubii]</t>
  </si>
  <si>
    <t>Cryptococcus neoformans var. grubii</t>
  </si>
  <si>
    <t>phosphoketolase [Cryptococcus neoformans var. grubii Th84]</t>
  </si>
  <si>
    <t>Cryptococcus neoformans var. grubii Th84</t>
  </si>
  <si>
    <t>phosphoketolase [Cryptococcus neoformans var. grubii H99]</t>
  </si>
  <si>
    <t>Cryptococcus neoformans var. grubii H99</t>
  </si>
  <si>
    <t>hypothetical protein AYX13_05339 [Cryptococcus neoformans var. grubii]</t>
  </si>
  <si>
    <t>phosphoketolase [Cryptococcus neoformans var. grubii Bt1]</t>
  </si>
  <si>
    <t>Cryptococcus neoformans var. grubii Bt1</t>
  </si>
  <si>
    <t>phosphoketolase [Cryptococcus neoformans var. grubii]</t>
  </si>
  <si>
    <t>phosphoketolase [Cryptococcus neoformans var. grubii c45]</t>
  </si>
  <si>
    <t>Cryptococcus neoformans var. grubii c45</t>
  </si>
  <si>
    <t>phosphoketolase [Parachlamydiales bacterium]</t>
  </si>
  <si>
    <t>Parachlamydiales bacterium</t>
  </si>
  <si>
    <r>
      <t>The Chlamydiae are a bacterial phylum and class whose members are remarkably diverse, including pathogens of humans and animals, symbionts of ubiquitous protozoa,</t>
    </r>
    <r>
      <rPr>
        <vertAlign val="superscript"/>
        <sz val="12"/>
        <color rgb="FFFF0000"/>
        <rFont val="Arial"/>
      </rPr>
      <t>[1]</t>
    </r>
    <r>
      <rPr>
        <sz val="12"/>
        <color rgb="FFFF0000"/>
        <rFont val="Arial"/>
      </rPr>
      <t> and marine forms not yet well understood.</t>
    </r>
    <r>
      <rPr>
        <vertAlign val="superscript"/>
        <sz val="12"/>
        <color rgb="FFFF0000"/>
        <rFont val="Arial"/>
      </rPr>
      <t>[2]</t>
    </r>
    <r>
      <rPr>
        <sz val="12"/>
        <color rgb="FFFF0000"/>
        <rFont val="Arial"/>
      </rPr>
      <t> All of the Chlamydiae that humans have known about for many decades are obligate intracellular bacteria</t>
    </r>
  </si>
  <si>
    <t>hypothetical protein E8E14_014338 [Neopestalotiopsis sp. 37M]</t>
  </si>
  <si>
    <t>Neopestalotiopsis sp. 37M</t>
  </si>
  <si>
    <t>Fungi, plant pathogen</t>
  </si>
  <si>
    <t>hypothetical protein G7054_g14781 [Neopestalotiopsis clavispora]</t>
  </si>
  <si>
    <t>Neopestalotiopsis clavispora</t>
  </si>
  <si>
    <t>putative phosphoketolase [Pestalotiopsis fici W106-1]</t>
  </si>
  <si>
    <t>Pestalotiopsis fici W106-1</t>
  </si>
  <si>
    <t>Pestalotiopsis is a genus of ascomycete fungi. Pestalotiopsis species are known as plant pathogens</t>
  </si>
  <si>
    <t>putative phosphoketolase [Aspergillus steynii IBT 23096]</t>
  </si>
  <si>
    <t>Aspergillus steynii IBT 23096</t>
  </si>
  <si>
    <t>Fungi, Aspergillus steynii is a species of fungus in the genus Aspergillus.</t>
  </si>
  <si>
    <t>phosphoketolase family protein [Planctomycetes bacterium]</t>
  </si>
  <si>
    <t>Planctomycetes bacterium</t>
  </si>
  <si>
    <t>Planctomycetes</t>
  </si>
  <si>
    <t>phosphoketolase [Candidatus Brocadia pituitae]</t>
  </si>
  <si>
    <t>Candidatus Brocadia pituitae</t>
  </si>
  <si>
    <t>phosphoketolase [Candidatus Brocadia caroliniensis]</t>
  </si>
  <si>
    <t>Candidatus Brocadia caroliniensis</t>
  </si>
  <si>
    <t>phosphoketolase family protein [Candidatus Brocadia sinica]</t>
  </si>
  <si>
    <t>Candidatus Brocadia sinica</t>
  </si>
  <si>
    <t>phosphoketolase [Candidatus Brocadia sp. UTAMX2]</t>
  </si>
  <si>
    <t>Candidatus Brocadia sp. UTAMX2</t>
  </si>
  <si>
    <t>hypothetical protein UZ01_02045 [Candidatus Brocadia sinica]</t>
  </si>
  <si>
    <t>Xylulose-5-phosphate phosphoketolase [Candidatus Jettenia ecosi]</t>
  </si>
  <si>
    <t>Candidatus Jettenia ecosi</t>
  </si>
  <si>
    <t>phosphoketolase family protein [Planctomycetia bacterium]</t>
  </si>
  <si>
    <t>Planctomycetia bacterium</t>
  </si>
  <si>
    <t>phosphoketolase family protein [Candidatus Brocadia sapporoensis]</t>
  </si>
  <si>
    <t>Candidatus Brocadia sapporoensis</t>
  </si>
  <si>
    <t>phosphoketolase family protein [Candidatus Brocadia sp.]</t>
  </si>
  <si>
    <t>Candidatus Brocadia sp.</t>
  </si>
  <si>
    <t>phosphoketolase [Candidatus Brocadia sp. UTAMX1]</t>
  </si>
  <si>
    <t>Candidatus Brocadia sp. UTAMX1</t>
  </si>
  <si>
    <t>phosphoketolase family protein [Singulisphaera acidiphila]</t>
  </si>
  <si>
    <t>Singulisphaera acidiphila</t>
  </si>
  <si>
    <t>Xylulose-5-phosphate phosphoketolase [Planctomycetes bacterium ADurb.Bin401]</t>
  </si>
  <si>
    <t>Planctomycetes bacterium ADurb.Bin401</t>
  </si>
  <si>
    <t>phosphoketolase [Gemmata massiliana]</t>
  </si>
  <si>
    <t>Gemmata massiliana</t>
  </si>
  <si>
    <t>xylulose-5-phosphate/fructose-6-phosphate phosphoketolase [Singulisphaera sp. GP187]</t>
  </si>
  <si>
    <t>Singulisphaera sp. GP187</t>
  </si>
  <si>
    <t>phosphoketolase family protein [Singulisphaera sp. GP187]</t>
  </si>
  <si>
    <t>phosphoketolase family protein [Zavarzinella sp.]</t>
  </si>
  <si>
    <t>Zavarzinella sp.</t>
  </si>
  <si>
    <t>phosphoketolase : Probable phosphoketolase OS=Singulisphaera acidiphila (strain ATCC BAA-1392 / DSM 18658 / VKM B-2454 / MOB10) GN=Sinac_2784 PE=3 SV=1: XFP_N: XFP: XFP_C [Gemmataceae bacterium]</t>
  </si>
  <si>
    <t>Gemmataceae bacterium</t>
  </si>
  <si>
    <t>phosphoketolase family protein [Gemmata sp. SH-PL17]</t>
  </si>
  <si>
    <t>Gemmata sp. SH-PL17</t>
  </si>
  <si>
    <t>phosphoketolase [Planctomycetaceae bacterium]</t>
  </si>
  <si>
    <t>Planctomycetaceae bacterium</t>
  </si>
  <si>
    <t>Xylulose-5-phosphate phosphoketolase [Pirellula sp. SH-Sr6A]</t>
  </si>
  <si>
    <t>Pirellula sp. SH-Sr6A</t>
  </si>
  <si>
    <t>phosphoketolase family protein [Pirellula sp. SH-Sr6A]</t>
  </si>
  <si>
    <t>phosphoketolase [Isosphaera sp.]</t>
  </si>
  <si>
    <t>Isosphaera sp.</t>
  </si>
  <si>
    <t>phosphoketolase family protein [Lacipirellula parvula]</t>
  </si>
  <si>
    <t>Lacipirellula parvula</t>
  </si>
  <si>
    <t>phosphoketolase family protein [Limnoglobus roseus]</t>
  </si>
  <si>
    <t>Limnoglobus roseus</t>
  </si>
  <si>
    <t>phosphoketolase family protein [Candidatus Scalindua japonica]</t>
  </si>
  <si>
    <t>Candidatus Scalindua japonica</t>
  </si>
  <si>
    <t>phosphoketolase family protein [Zavarzinella formosa]</t>
  </si>
  <si>
    <t>Zavarzinella formosa</t>
  </si>
  <si>
    <t>phosphoketolase [Frigoriglobus tundricola]</t>
  </si>
  <si>
    <t>Frigoriglobus tundricola</t>
  </si>
  <si>
    <t>phosphoketolase family protein [Rhodopirellula maiorica]</t>
  </si>
  <si>
    <t>Rhodopirellula maiorica</t>
  </si>
  <si>
    <t>phosphoketolase [Planctomycetaceae bacterium SCGC AG-212-D15]</t>
  </si>
  <si>
    <t>Planctomycetaceae bacterium SCGC AG-212-D15</t>
  </si>
  <si>
    <t>phosphoketolase family protein [Candidatus Scalindua sp.]</t>
  </si>
  <si>
    <t>Candidatus Scalindua sp.</t>
  </si>
  <si>
    <t>xylulose-5-phosphate phosphoketolase [Lacipirellula parvula]</t>
  </si>
  <si>
    <t>phosphoketolase [Lacipirellula parvula]</t>
  </si>
  <si>
    <t>hypothetical protein SCABRO_01631 [Candidatus Scalindua brodae]</t>
  </si>
  <si>
    <t>Candidatus Scalindua brodae</t>
  </si>
  <si>
    <t>TPA: phosphoketolase family protein [Gemmataceae bacterium]</t>
  </si>
  <si>
    <t>Xylulose-5-phosphate phosphoketolase [Fimbriiglobus ruber]</t>
  </si>
  <si>
    <t>Fimbriiglobus ruber</t>
  </si>
  <si>
    <t>phosphoketolase family protein [Fimbriiglobus ruber]</t>
  </si>
  <si>
    <t>phosphoketolase family protein [Gemmata obscuriglobus]</t>
  </si>
  <si>
    <t>Gemmata obscuriglobus</t>
  </si>
  <si>
    <t>phosphoketolase family protein [Planctomicrobium piriforme]</t>
  </si>
  <si>
    <t>Planctomicrobium piriforme</t>
  </si>
  <si>
    <t>phosphoketolase family protein [Rubripirellula tenax]</t>
  </si>
  <si>
    <t>Rubripirellula tenax</t>
  </si>
  <si>
    <t>Xylulose-5-phosphate phosphoketolase [Rubripirellula tenax]</t>
  </si>
  <si>
    <t>phosphoketolase family protein [Rhodopirellula pilleata]</t>
  </si>
  <si>
    <t>Rhodopirellula pilleata</t>
  </si>
  <si>
    <t>Xylulose 5-phosphate/Fructose 6-phosphate phosphoketolase [Rhodopirellula europaea SH398]</t>
  </si>
  <si>
    <t>Rhodopirellula europaea SH398</t>
  </si>
  <si>
    <t>phosphoketolase family protein [Roseimaritima ulvae]</t>
  </si>
  <si>
    <t>Roseimaritima ulvae</t>
  </si>
  <si>
    <t>phosphoketolase family protein [Rhodopirellula europaea]</t>
  </si>
  <si>
    <t>Rhodopirellula europaea</t>
  </si>
  <si>
    <t>Xylulose-5-phosphate phosphoketolase [Caulifigura coniformis]</t>
  </si>
  <si>
    <t>Caulifigura coniformis</t>
  </si>
  <si>
    <t>phosphoketolase [Rhodococcus sp. WAY2]</t>
  </si>
  <si>
    <t>Rhodococcus sp. WAY2</t>
  </si>
  <si>
    <t>Planctomycete</t>
  </si>
  <si>
    <t>phosphoketolase family protein [Caulifigura coniformis]</t>
  </si>
  <si>
    <t>phosphoketolase family protein [Prosthecochloris sp. GSB1]</t>
  </si>
  <si>
    <t>Prosthecochloris sp. GSB1</t>
  </si>
  <si>
    <t>phosphoketolase family protein [Phycisphaerae bacterium]</t>
  </si>
  <si>
    <t>Phycisphaerae bacterium</t>
  </si>
  <si>
    <t>phosphoketolase family protein [Schlesneria paludicola]</t>
  </si>
  <si>
    <t>Schlesneria paludicola</t>
  </si>
  <si>
    <t>phosphoketolase family protein [Lignipirellula cremea]</t>
  </si>
  <si>
    <t>Lignipirellula cremea</t>
  </si>
  <si>
    <t>phosphoketolase family protein [Gimesia benthica]</t>
  </si>
  <si>
    <t>Gimesia benthica</t>
  </si>
  <si>
    <t>phosphoketolase family protein [Novipirellula galeiformis]</t>
  </si>
  <si>
    <t>Novipirellula galeiformis</t>
  </si>
  <si>
    <t>Xylulose-5-phosphate phosphoketolase [Planctomycetes bacterium K22_7]</t>
  </si>
  <si>
    <t>Planctomycetes bacterium K22_7</t>
  </si>
  <si>
    <t>TPA: phosphoketolase 2 [Planctomycetaceae bacterium]</t>
  </si>
  <si>
    <t>phosphoketolase family protein [Gimesia fumaroli]</t>
  </si>
  <si>
    <t>Gimesia fumaroli</t>
  </si>
  <si>
    <t>phosphoketolase family protein [Rhodopirellula sp. SWK7]</t>
  </si>
  <si>
    <t>Rhodopirellula sp. SWK7</t>
  </si>
  <si>
    <t>phosphoketolase [Planctomycetaceae bacterium SCGC AG-212-F19]</t>
  </si>
  <si>
    <t>Planctomycetaceae bacterium SCGC AG-212-F19</t>
  </si>
  <si>
    <t>Xylulose 5-phosphate/Fructose 6-phosphate phosphoketolase [Rhodopirellula sallentina SM41]</t>
  </si>
  <si>
    <t>Rhodopirellula sallentina SM41</t>
  </si>
  <si>
    <t>phosphoketolase family protein [Rhodopirellula sallentina]</t>
  </si>
  <si>
    <t>Rhodopirellula sallentina</t>
  </si>
  <si>
    <t>phosphoketolase family protein [Gimesia aquarii]</t>
  </si>
  <si>
    <t>Gimesia aquarii</t>
  </si>
  <si>
    <t>phosphoketolase family protein [Roseimaritima sp. JC651]</t>
  </si>
  <si>
    <t>Roseimaritima sp. JC651</t>
  </si>
  <si>
    <t>phosphoketolase family protein [Gimesia chilikensis]</t>
  </si>
  <si>
    <t>Gimesia chilikensis</t>
  </si>
  <si>
    <t>phosphoketolase family protein [Phycisphaerales bacterium]</t>
  </si>
  <si>
    <t>Phycisphaerales bacterium</t>
  </si>
  <si>
    <t>phosphoketolase family protein [Planctomycetaceae bacterium TMED241]</t>
  </si>
  <si>
    <t>Planctomycetaceae bacterium TMED241</t>
  </si>
  <si>
    <t>phosphoketolase family protein [Mariniblastus fucicola]</t>
  </si>
  <si>
    <t>Mariniblastus fucicola</t>
  </si>
  <si>
    <t>phosphoketolase [Planctomycetes bacterium]</t>
  </si>
  <si>
    <t>phosphoketolase family protein [Planctomycetaceae bacterium]</t>
  </si>
  <si>
    <t>Planctomycetes are a phylum of widely distributed bacteria, occurring in both aquatic and terrestrial habitats. They play a considerable role in global carbon and nitrogen cycles, with many species of this phylum capable of anaerobic ammonium oxidation.</t>
  </si>
  <si>
    <t>phosphoketolase family protein [Thalassoglobus neptunius]</t>
  </si>
  <si>
    <t>Thalassoglobus neptunius</t>
  </si>
  <si>
    <t>phosphoketolase family protein [Gimesia algae]</t>
  </si>
  <si>
    <t>Gimesia algae</t>
  </si>
  <si>
    <t>Xylulose-5-phosphate phosphoketolase [Planctomycetes bacterium FF011L]</t>
  </si>
  <si>
    <t>Planctomycetes bacterium FF011L</t>
  </si>
  <si>
    <t>phosphoketolase family protein [Rubripirellula amarantea]</t>
  </si>
  <si>
    <t>Rubripirellula amarantea</t>
  </si>
  <si>
    <t>phosphoketolase family protein [Symmachiella macrocystis]</t>
  </si>
  <si>
    <t>Symmachiella macrocystis</t>
  </si>
  <si>
    <t>phosphoketolase [Saccharopolyspora hordei]</t>
  </si>
  <si>
    <t>Saccharopolyspora hordei</t>
  </si>
  <si>
    <t>phosphoketolase family protein [Acidimicrobiales bacterium]</t>
  </si>
  <si>
    <t>Acidimicrobiales bacterium</t>
  </si>
  <si>
    <t>phosphoketolase family protein [Saccharopolyspora sp. 7K502]</t>
  </si>
  <si>
    <t>Saccharopolyspora sp. 7K502</t>
  </si>
  <si>
    <t>phosphoketolase [Nocardioides pelophilus]</t>
  </si>
  <si>
    <t>Nocardioides pelophilus</t>
  </si>
  <si>
    <t>phosphoketolase family protein [Saccharopolyspora hirsuta]</t>
  </si>
  <si>
    <t>Saccharopolyspora hirsuta</t>
  </si>
  <si>
    <t>phosphoketolase [Kribbella pittospori]</t>
  </si>
  <si>
    <t>Kribbella pittospori</t>
  </si>
  <si>
    <t>MULTISPECIES: phosphoketolase family protein [Saccharopolyspora]</t>
  </si>
  <si>
    <t>Saccharopolyspora</t>
  </si>
  <si>
    <t>phosphoketolase family protein [Nocardia farcinica]</t>
  </si>
  <si>
    <t>Nocardia farcinica</t>
  </si>
  <si>
    <t>phosphoketolase [Blastococcus sp. TF02A-30]</t>
  </si>
  <si>
    <t>Blastococcus sp. TF02A-30</t>
  </si>
  <si>
    <t>phosphoketolase family protein [Marmoricola pocheonensis]</t>
  </si>
  <si>
    <t>Marmoricola pocheonensis</t>
  </si>
  <si>
    <t>phosphoketolase [Phytohabitans suffuscus]</t>
  </si>
  <si>
    <t>Phytohabitans suffuscus</t>
  </si>
  <si>
    <t>phosphoketolase family protein [Kribbella sp. YM55]</t>
  </si>
  <si>
    <t>Kribbella sp. YM55</t>
  </si>
  <si>
    <t>phosphoketolase family protein [Saccharopolyspora rhizosphaerae]</t>
  </si>
  <si>
    <t>Saccharopolyspora rhizosphaerae</t>
  </si>
  <si>
    <t>phosphoketolase [Kribbella aluminosa]</t>
  </si>
  <si>
    <t>Kribbella aluminosa</t>
  </si>
  <si>
    <t>phosphoketolase family protein [Pseudarthrobacter sp. AG30]</t>
  </si>
  <si>
    <t>Pseudarthrobacter sp. AG30</t>
  </si>
  <si>
    <t>phosphoketolase family protein [Frankia sp. CgIS1]</t>
  </si>
  <si>
    <t>Frankia sp. CgIS1</t>
  </si>
  <si>
    <t>MULTISPECIES: phosphoketolase family protein [Frankia]</t>
  </si>
  <si>
    <t>Frankia</t>
  </si>
  <si>
    <t>MULTISPECIES: phosphoketolase family protein [Micrococcaceae]</t>
  </si>
  <si>
    <t>Micrococcaceae</t>
  </si>
  <si>
    <t>phosphoketolase family protein [Kocuria rosea]</t>
  </si>
  <si>
    <t>Kocuria rosea</t>
  </si>
  <si>
    <t>phosphoketolase family protein [Kribbellaceae bacterium]</t>
  </si>
  <si>
    <t>Kribbellaceae bacterium</t>
  </si>
  <si>
    <t>phosphoketolase [Alpinimonas psychrophila]</t>
  </si>
  <si>
    <t>Alpinimonas psychrophila</t>
  </si>
  <si>
    <t>phosphoketolase family protein [Saccharopolyspora antimicrobica]</t>
  </si>
  <si>
    <t>Saccharopolyspora antimicrobica</t>
  </si>
  <si>
    <t>phosphoketolase family protein [Kribbella pittospori]</t>
  </si>
  <si>
    <t>phosphoketolase family protein [Frankia sp. CcI156]</t>
  </si>
  <si>
    <t>Frankia sp. CcI156</t>
  </si>
  <si>
    <t>phosphoketolase family protein [Frankia casuarinae]</t>
  </si>
  <si>
    <t>Frankia casuarinae</t>
  </si>
  <si>
    <t>phosphoketolase family protein [Frankia sp. Allo2]</t>
  </si>
  <si>
    <t>Frankia sp. Allo2</t>
  </si>
  <si>
    <t>phosphoketolase family protein [Saccharopolyspora erythraea]</t>
  </si>
  <si>
    <t>Saccharopolyspora erythraea</t>
  </si>
  <si>
    <t>phosphoketolase family protein [Arthrobacter sp. 4R501]</t>
  </si>
  <si>
    <t>Arthrobacter sp. 4R501</t>
  </si>
  <si>
    <t>phosphoketolase [Saccharopolyspora phatthalungensis]</t>
  </si>
  <si>
    <t>Saccharopolyspora phatthalungensis</t>
  </si>
  <si>
    <t>phosphoketolase family protein [Saccharopolyspora shandongensis]</t>
  </si>
  <si>
    <t>Saccharopolyspora shandongensis</t>
  </si>
  <si>
    <t>phosphoketolase [Kribbella shirazensis]</t>
  </si>
  <si>
    <t>Kribbella shirazensis</t>
  </si>
  <si>
    <t>phosphoketolase [Paeniglutamicibacter terrestris]</t>
  </si>
  <si>
    <t>Paeniglutamicibacter terrestris</t>
  </si>
  <si>
    <t>phosphoketolase family protein [Frankia sp. CgIM4]</t>
  </si>
  <si>
    <t>Frankia sp. CgIM4</t>
  </si>
  <si>
    <t>phosphoketolase [Saccharopolyspora sp. HNM0983]</t>
  </si>
  <si>
    <t>Saccharopolyspora sp. HNM0983</t>
  </si>
  <si>
    <t>phosphoketolase family protein [Kribbella sp. VKM Ac-2571]</t>
  </si>
  <si>
    <t>Kribbella sp. VKM Ac-2571</t>
  </si>
  <si>
    <t>phosphoketolase family protein [Mycolicibacterium phlei]</t>
  </si>
  <si>
    <t>Mycolicibacterium phlei</t>
  </si>
  <si>
    <t>Pseudonocardia hierapolitana</t>
  </si>
  <si>
    <t>xylulose-5-phosphate/fructose-6-phosphate phosphoketolase [Pseudonocardia hierapolitana]</t>
  </si>
  <si>
    <t>phosphoketolase family protein [Cryobacterium sp. Sr8]</t>
  </si>
  <si>
    <t>Cryobacterium sp. Sr8</t>
  </si>
  <si>
    <t>phosphoketolase [Agrococcus sp. KRD186]</t>
  </si>
  <si>
    <t>Agrococcus sp. KRD186</t>
  </si>
  <si>
    <t>xylulose-5-phosphate/fructose-6-phosphate phosphoketolase [Blastococcus sp. DSM 46790]</t>
  </si>
  <si>
    <t>Blastococcus sp. DSM 46790</t>
  </si>
  <si>
    <t>phosphoketolase family protein [Arthrobacter glacialis]</t>
  </si>
  <si>
    <t>Arthrobacter glacialis</t>
  </si>
  <si>
    <t>phosphoketolase [Mycobacterium heckeshornense]</t>
  </si>
  <si>
    <t>Mycobacterium heckeshornense</t>
  </si>
  <si>
    <t>Xylulose-5-phosphate phosphoketolase [Mycolicibacterium phlei]</t>
  </si>
  <si>
    <t>phosphoketolase family protein [Thermoleophilia bacterium]</t>
  </si>
  <si>
    <t>Thermoleophilia bacterium</t>
  </si>
  <si>
    <t>phosphoketolase [Pseudarthrobacter sp. AB1]</t>
  </si>
  <si>
    <t>Pseudarthrobacter sp. AB1</t>
  </si>
  <si>
    <t>phosphoketolase family protein [Micromonospora sp. RP3T]</t>
  </si>
  <si>
    <t>Micromonospora sp. RP3T</t>
  </si>
  <si>
    <t>phosphoketolase family protein [Micromonospora humi]</t>
  </si>
  <si>
    <t>Micromonospora humi</t>
  </si>
  <si>
    <t>phosphoketolase family protein [Micromonospora eburnea]</t>
  </si>
  <si>
    <t>Micromonospora eburnea</t>
  </si>
  <si>
    <t>phosphoketolase family protein [Blastococcus endophyticus]</t>
  </si>
  <si>
    <t>Blastococcus endophyticus</t>
  </si>
  <si>
    <t>phosphoketolase [Blastococcus sp. DSM 46790]</t>
  </si>
  <si>
    <t>phosphoketolase [Micromonospora maritima]</t>
  </si>
  <si>
    <t>Micromonospora maritima</t>
  </si>
  <si>
    <t>phosphoketolase family protein [Citricoccus sp. SGAir0253]</t>
  </si>
  <si>
    <t>Citricoccus sp. SGAir0253</t>
  </si>
  <si>
    <t>xylulose-5-phosphate/fructose-6-phosphate phosphoketolase [Geodermatophilus saharensis]</t>
  </si>
  <si>
    <t>Geodermatophilus saharensis</t>
  </si>
  <si>
    <t>phosphoketolase family protein [Blastococcus atacamensis]</t>
  </si>
  <si>
    <t>Blastococcus atacamensis</t>
  </si>
  <si>
    <t>phosphoketolase family protein [Arthrobacter sp. U41]</t>
  </si>
  <si>
    <t>Arthrobacter sp. U41</t>
  </si>
  <si>
    <t>phosphoketolase family protein [Mycobacterium heckeshornense]</t>
  </si>
  <si>
    <t>phosphoketolase [Kribbella solani]</t>
  </si>
  <si>
    <t>Kribbella solani</t>
  </si>
  <si>
    <t>phosphoketolase family protein [Mycobacterium kubicae]</t>
  </si>
  <si>
    <t>Mycobacterium kubicae</t>
  </si>
  <si>
    <t>phosphoketolase [Mycobacterium bourgelatii]</t>
  </si>
  <si>
    <t>Mycobacterium bourgelatii</t>
  </si>
  <si>
    <t>phosphoketolase family protein [Saccharopolyspora sp. 5K548]</t>
  </si>
  <si>
    <t>Saccharopolyspora sp. 5K548</t>
  </si>
  <si>
    <t>phosphoketolase family protein [Micromonospora sp. NBS 11-29]</t>
  </si>
  <si>
    <t>Micromonospora sp. NBS 11-29</t>
  </si>
  <si>
    <t>phosphoketolase [Micromonospora sp. 28ISP2-46]</t>
  </si>
  <si>
    <t>Micromonospora sp. 28ISP2-46</t>
  </si>
  <si>
    <t>phosphoketolase [Geodermatophilus saharensis]</t>
  </si>
  <si>
    <t>phosphoketolase family protein [Mycobacterium sp.]</t>
  </si>
  <si>
    <t>Mycobacterium sp.</t>
  </si>
  <si>
    <t>phosphoketolase [Micromonospora chalcea]</t>
  </si>
  <si>
    <t>Micromonospora chalcea</t>
  </si>
  <si>
    <t>phosphoketolase family protein [Micromonospora aurantiaca]</t>
  </si>
  <si>
    <t>Micromonospora aurantiaca</t>
  </si>
  <si>
    <t>phosphoketolase family protein [Paeniglutamicibacter gangotriensis]</t>
  </si>
  <si>
    <t>Paeniglutamicibacter gangotriensis</t>
  </si>
  <si>
    <t>phosphoketolase [Saccharopolyspora pogona]</t>
  </si>
  <si>
    <t>Saccharopolyspora pogona</t>
  </si>
  <si>
    <t>phosphoketolase [Saccharopolyspora sp. ASAGF58]</t>
  </si>
  <si>
    <t>Saccharopolyspora sp. ASAGF58</t>
  </si>
  <si>
    <t>phosphoketolase family protein [Arthrobacter sp. N199823]</t>
  </si>
  <si>
    <t>Arthrobacter sp. N199823</t>
  </si>
  <si>
    <t>phosphoketolase family protein [Actinomycetales bacterium]</t>
  </si>
  <si>
    <t>Actinomycetales bacterium</t>
  </si>
  <si>
    <t>phosphoketolase [Phytohabitans houttuyneae]</t>
  </si>
  <si>
    <t>Phytohabitans houttuyneae</t>
  </si>
  <si>
    <t>phosphoketolase family protein [Rhodococcus ruber]</t>
  </si>
  <si>
    <t>Rhodococcus ruber</t>
  </si>
  <si>
    <t>phosphoketolase family protein [Rhodococcus sp. P14]</t>
  </si>
  <si>
    <t>Rhodococcus sp. P14</t>
  </si>
  <si>
    <t>xylulose-5-phosphate/fructose-6-phosphate phosphoketolase [Saccharopolyspora flava]</t>
  </si>
  <si>
    <t>Saccharopolyspora flava</t>
  </si>
  <si>
    <t>phosphoketolase family protein [Saccharopolyspora flava]</t>
  </si>
  <si>
    <t>phosphoketolase family protein [Micromonospora terminaliae]</t>
  </si>
  <si>
    <t>Micromonospora terminaliae</t>
  </si>
  <si>
    <t>phosphoketolase family protein [Micromonospora sp. WMMA2032]</t>
  </si>
  <si>
    <t>Micromonospora sp. WMMA2032</t>
  </si>
  <si>
    <t>phosphoketolase [Geodermatophilus sabuli]</t>
  </si>
  <si>
    <t>Geodermatophilus sabuli</t>
  </si>
  <si>
    <t>phosphoketolase family protein [Blastococcus sp. CT_GayMR16]</t>
  </si>
  <si>
    <t>Blastococcus sp. CT_GayMR16</t>
  </si>
  <si>
    <t>phosphoketolase family protein [Candidatus Blastococcus massiliensis]</t>
  </si>
  <si>
    <t>Candidatus Blastococcus massiliensis</t>
  </si>
  <si>
    <t>MULTISPECIES: phosphoketolase family protein [Micromonospora]</t>
  </si>
  <si>
    <t>Micromonospora</t>
  </si>
  <si>
    <t>phosphoketolase [Micromonospora aurantiaca]</t>
  </si>
  <si>
    <t>phosphoketolase family protein [Micromonospora tulbaghiae]</t>
  </si>
  <si>
    <t>Micromonospora tulbaghiae</t>
  </si>
  <si>
    <t>phosphoketolase family protein [Micromonospora purpureochromogenes]</t>
  </si>
  <si>
    <t>Micromonospora purpureochromogenes</t>
  </si>
  <si>
    <t>phosphoketolase family protein [Saccharopolyspora spinosa]</t>
  </si>
  <si>
    <t>Saccharopolyspora spinosa</t>
  </si>
  <si>
    <t>phosphoketolase family protein [Kribbella soli]</t>
  </si>
  <si>
    <t>Kribbella soli</t>
  </si>
  <si>
    <t>phosphoketolase family protein [Paeniglutamicibacter antarcticus]</t>
  </si>
  <si>
    <t>Paeniglutamicibacter antarcticus</t>
  </si>
  <si>
    <t>phosphoketolase [Arthrobacter mobilis]</t>
  </si>
  <si>
    <t>Arthrobacter mobilis</t>
  </si>
  <si>
    <t>phosphoketolase family protein [Mycobacterium shigaense]</t>
  </si>
  <si>
    <t>Mycobacterium shigaense</t>
  </si>
  <si>
    <t>phosphoketolase family protein [Saccharopolyspora sp. 16K309]</t>
  </si>
  <si>
    <t>Saccharopolyspora sp. 16K309</t>
  </si>
  <si>
    <t>phosphoketolase family protein [Micromonospora chaiyaphumensis]</t>
  </si>
  <si>
    <t>Micromonospora chaiyaphumensis</t>
  </si>
  <si>
    <t>phosphoketolase family protein [Micromonospora auratinigra]</t>
  </si>
  <si>
    <t>Micromonospora auratinigra</t>
  </si>
  <si>
    <t>phosphoketolase family protein [Micromonospora sp. HK10]</t>
  </si>
  <si>
    <t>Micromonospora sp. HK10</t>
  </si>
  <si>
    <t>phosphoketolase [Micromonospora sp. CNZ286]</t>
  </si>
  <si>
    <t>Micromonospora sp. CNZ286</t>
  </si>
  <si>
    <t>phosphoketolase family protein [Kribbella sp. VKM Ac-2570]</t>
  </si>
  <si>
    <t>Kribbella sp. VKM Ac-2570</t>
  </si>
  <si>
    <t>phosphoketolase family protein [Micromonospora sp. TSRI0369]</t>
  </si>
  <si>
    <t>Micromonospora sp. TSRI0369</t>
  </si>
  <si>
    <t>phosphoketolase family protein [Micromonospora sp. NBRC 110037]</t>
  </si>
  <si>
    <t>Micromonospora sp. NBRC 110037</t>
  </si>
  <si>
    <t>phosphoketolase family protein [Micromonospora chalcea]</t>
  </si>
  <si>
    <t>MULTISPECIES: phosphoketolase family protein [unclassified Micromonospora]</t>
  </si>
  <si>
    <t>unclassified Micromonospora</t>
  </si>
  <si>
    <t>phosphoketolase family protein [Blastococcus sp. CCUG 61487]</t>
  </si>
  <si>
    <t>Blastococcus sp. CCUG 61487</t>
  </si>
  <si>
    <t>phosphoketolase [Mycobacterium kubicae]</t>
  </si>
  <si>
    <t>Xylulose-5-phosphate phosphoketolase [Mycolicibacterium hassiacum DSM 44199]</t>
  </si>
  <si>
    <t>Mycolicibacterium hassiacum DSM 44199</t>
  </si>
  <si>
    <t>phosphoketolase family protein [Mycolicibacterium hassiacum]</t>
  </si>
  <si>
    <t>Mycolicibacterium hassiacum</t>
  </si>
  <si>
    <t>phosphoketolase family protein [Mycobacterium triplex]</t>
  </si>
  <si>
    <t>Mycobacterium triplex</t>
  </si>
  <si>
    <t>phosphoketolase family protein [Mycolicibacterium acapulense]</t>
  </si>
  <si>
    <t>Mycolicibacterium acapulense</t>
  </si>
  <si>
    <t>phosphoketolase family protein [Mycobacterium sp. IS-836]</t>
  </si>
  <si>
    <t>Mycobacterium sp. IS-836</t>
  </si>
  <si>
    <t>phosphoketolase family protein [Microbispora sp. GMKU363]</t>
  </si>
  <si>
    <t>Microbispora sp. GMKU363</t>
  </si>
  <si>
    <t>phosphoketolase [Glycomyces sp. YIM93776]</t>
  </si>
  <si>
    <t>Glycomyces sp. YIM93776</t>
  </si>
  <si>
    <t>phosphoketolase family protein [Rhodococcus sp. M8]</t>
  </si>
  <si>
    <t>Rhodococcus sp. M8</t>
  </si>
  <si>
    <t>phosphoketolase [Rhodococcus ruber]</t>
  </si>
  <si>
    <t>phosphoketolase family protein [Saccharopolyspora sp. 16K404]</t>
  </si>
  <si>
    <t>Saccharopolyspora sp. 16K404</t>
  </si>
  <si>
    <t>phosphoketolase family protein [Micromonospora viridifaciens]</t>
  </si>
  <si>
    <t>Micromonospora viridifaciens</t>
  </si>
  <si>
    <t>phosphoketolase family protein [Micromonospora sp. BL1]</t>
  </si>
  <si>
    <t>Micromonospora sp. BL1</t>
  </si>
  <si>
    <t>phosphoketolase family protein [Micromonospora marina]</t>
  </si>
  <si>
    <t>Micromonospora marina</t>
  </si>
  <si>
    <t>phosphoketolase [Rhodococcus sp. YH1]</t>
  </si>
  <si>
    <t>Rhodococcus sp. YH1</t>
  </si>
  <si>
    <t>phosphoketolase [Rhodococcus aetherivorans]</t>
  </si>
  <si>
    <t>Rhodococcus aetherivorans</t>
  </si>
  <si>
    <t>phosphoketolase [Saccharothrix ecbatanensis]</t>
  </si>
  <si>
    <t>Saccharothrix ecbatanensis</t>
  </si>
  <si>
    <t>MULTISPECIES: phosphoketolase family protein [Arthrobacter]</t>
  </si>
  <si>
    <t>Arthrobacter</t>
  </si>
  <si>
    <t>Phosphoketolase [Mycobacterium numidiamassiliense]</t>
  </si>
  <si>
    <t>Mycobacterium numidiamassiliense</t>
  </si>
  <si>
    <t>phosphoketolase family protein [Mycobacterium numidiamassiliense]</t>
  </si>
  <si>
    <t>phosphoketolase family protein [Micromonospora sp. RV43]</t>
  </si>
  <si>
    <t>Micromonospora sp. RV43</t>
  </si>
  <si>
    <t>phosphoketolase [Micromonospora sp. ANENR4]</t>
  </si>
  <si>
    <t>Micromonospora sp. ANENR4</t>
  </si>
  <si>
    <t>phosphoketolase [Micromonospora sp. HB375]</t>
  </si>
  <si>
    <t>Micromonospora sp. HB375</t>
  </si>
  <si>
    <t>phosphoketolase family protein [Micromonospora sp. LHW51205]</t>
  </si>
  <si>
    <t>Micromonospora sp. LHW51205</t>
  </si>
  <si>
    <t>phosphoketolase [Verrucosispora sonchi]</t>
  </si>
  <si>
    <t>Verrucosispora sonchi</t>
  </si>
  <si>
    <t>MULTISPECIES: phosphoketolase [Micromonospora]</t>
  </si>
  <si>
    <t>phosphoketolase family protein [Micromonospora narathiwatensis]</t>
  </si>
  <si>
    <t>Micromonospora narathiwatensis</t>
  </si>
  <si>
    <t>phosphoketolase family protein [Micromonospora sp. WMMA1996]</t>
  </si>
  <si>
    <t>Micromonospora sp. WMMA1996</t>
  </si>
  <si>
    <t>MULTISPECIES: phosphoketolase family protein [Mycobacterium avium complex (MAC)]</t>
  </si>
  <si>
    <t>Mycobacterium avium complex (MAC)</t>
  </si>
  <si>
    <t>phosphoketolase family protein [Mycobacterium avium]</t>
  </si>
  <si>
    <t>Mycobacterium avium</t>
  </si>
  <si>
    <t>phosphoketolase family protein [Actinomadura rudentiformis]</t>
  </si>
  <si>
    <t>Actinomadura rudentiformis</t>
  </si>
  <si>
    <t>phosphoketolase [Arthrobacter sp. 260]</t>
  </si>
  <si>
    <t>Arthrobacter sp. 260</t>
  </si>
  <si>
    <t>phosphoketolase family protein [Rhodococcus opacus]</t>
  </si>
  <si>
    <t>Rhodococcus opacus</t>
  </si>
  <si>
    <t>phosphoketolase family protein [Mycobacterium sp. IS-3022]</t>
  </si>
  <si>
    <t>Mycobacterium sp. IS-3022</t>
  </si>
  <si>
    <t>phosphoketolase family protein [Mycobacterium sp. IS-1264]</t>
  </si>
  <si>
    <t>Mycobacterium sp. IS-1264</t>
  </si>
  <si>
    <t>phosphoketolase [Phytohabitans flavus]</t>
  </si>
  <si>
    <t>Phytohabitans flavus</t>
  </si>
  <si>
    <t>phosphoketolase family protein [Mycobacterium sp. SP-6446]</t>
  </si>
  <si>
    <t>Mycobacterium sp. SP-6446</t>
  </si>
  <si>
    <t>Xylulose-5-phosphate phosphoketolase [Rhodococcus sp. YH1]</t>
  </si>
  <si>
    <t>MULTISPECIES: phosphoketolase family protein [Rhodococcus]</t>
  </si>
  <si>
    <t>Rhodococcus</t>
  </si>
  <si>
    <t>phosphoketolase family protein [Rhodococcus aetherivorans]</t>
  </si>
  <si>
    <t>phosphoketolase family protein [Rhodococcus sp. ENV425]</t>
  </si>
  <si>
    <t>Rhodococcus sp. ENV425</t>
  </si>
  <si>
    <t>phosphoketolase family protein [Rhodococcus sp. WB1]</t>
  </si>
  <si>
    <t>Rhodococcus sp. WB1</t>
  </si>
  <si>
    <t>phosphoketolase family protein [Mycobacterium asiaticum]</t>
  </si>
  <si>
    <t>Mycobacterium asiaticum</t>
  </si>
  <si>
    <t>phosphoketolase [Rhodococcus sp. DMU1]</t>
  </si>
  <si>
    <t>Rhodococcus sp. DMU1</t>
  </si>
  <si>
    <t>phosphoketolase family protein [Micromonospora sp. CNB394]</t>
  </si>
  <si>
    <t>Micromonospora sp. CNB394</t>
  </si>
  <si>
    <t>phosphoketolase family protein [Micromonospora halophytica]</t>
  </si>
  <si>
    <t>Micromonospora halophytica</t>
  </si>
  <si>
    <t>phosphoketolase family protein [Micromonospora coxensis]</t>
  </si>
  <si>
    <t>Micromonospora coxensis</t>
  </si>
  <si>
    <t>phosphoketolase family protein [Salinispora pacifica]</t>
  </si>
  <si>
    <t>Salinispora pacifica</t>
  </si>
  <si>
    <t>phosphoketolase family protein [Geodermatophilus sp. LHW52908]</t>
  </si>
  <si>
    <t>Geodermatophilus sp. LHW52908</t>
  </si>
  <si>
    <t>MULTISPECIES: phosphoketolase [unclassified Blastococcus]</t>
  </si>
  <si>
    <t>unclassified Blastococcus</t>
  </si>
  <si>
    <t>phosphoketolase family protein [Bryobacterales bacterium]</t>
  </si>
  <si>
    <t>Bryobacterales bacterium</t>
  </si>
  <si>
    <t>phosphoketolase [Micromonospora echinospora]</t>
  </si>
  <si>
    <t>Micromonospora echinospora</t>
  </si>
  <si>
    <t>phosphoketolase family protein [Micromonospora sp. B006]</t>
  </si>
  <si>
    <t>Micromonospora sp. B006</t>
  </si>
  <si>
    <t>putative phosphoketolase [Nonomuraea sp. TT08I-71]</t>
  </si>
  <si>
    <t>Nonomuraea sp. TT08I-71</t>
  </si>
  <si>
    <t>phosphoketolase family protein [Micromonospora sediminicola]</t>
  </si>
  <si>
    <t>Micromonospora sediminicola</t>
  </si>
  <si>
    <t>phosphoketolase [Nocardiopsis alba]</t>
  </si>
  <si>
    <t>Nocardiopsis alba</t>
  </si>
  <si>
    <t>phosphoketolase [Mycobacterium sp. OAS707]</t>
  </si>
  <si>
    <t>Mycobacterium sp. OAS707</t>
  </si>
  <si>
    <t>xylulose-5-phosphate/fructose-6-phosphate phosphoketolase [Mycobacterium sp. OAS707]</t>
  </si>
  <si>
    <t>phosphoketolase family protein [Agrococcus pavilionensis]</t>
  </si>
  <si>
    <t>Agrococcus pavilionensis</t>
  </si>
  <si>
    <t>phosphoketolase family protein [Agrococcus lahaulensis]</t>
  </si>
  <si>
    <t>Agrococcus lahaulensis</t>
  </si>
  <si>
    <t>phosphoketolase family protein [Frankia sp. QA3]</t>
  </si>
  <si>
    <t>Frankia sp. QA3</t>
  </si>
  <si>
    <t>xylulose-5-phosphate/fructose-6-phosphate phosphoketolase [Geodermatophilus nigrescens]</t>
  </si>
  <si>
    <t>Geodermatophilus nigrescens</t>
  </si>
  <si>
    <t>phosphoketolase family protein [Geodermatophilus nigrescens]</t>
  </si>
  <si>
    <t>phosphoketolase family protein [Rhodococcus rhodochrous]</t>
  </si>
  <si>
    <t>Rhodococcus rhodochrous</t>
  </si>
  <si>
    <t>MULTISPECIES: phosphoketolase [Rhodococcus]</t>
  </si>
  <si>
    <t>phosphoketolase family protein [Solirubrobacterales bacterium]</t>
  </si>
  <si>
    <t>Solirubrobacterales bacterium</t>
  </si>
  <si>
    <t>phosphoketolase family protein [Actinokineospora auranticolor]</t>
  </si>
  <si>
    <t>Actinokineospora auranticolor</t>
  </si>
  <si>
    <t>phosphoketolase family protein [Mycobacterium simiae]</t>
  </si>
  <si>
    <t>Mycobacterium simiae</t>
  </si>
  <si>
    <t>phosphoketolase family protein [Mycobacterium riyadhense]</t>
  </si>
  <si>
    <t>Mycobacterium riyadhense</t>
  </si>
  <si>
    <t>phosphoketolase family protein [Saccharothrix sp. NRRL B-16314]</t>
  </si>
  <si>
    <t>Saccharothrix sp. NRRL B-16314</t>
  </si>
  <si>
    <t>xylulose-5-phosphate/fructose-6-phosphate phosphoketolase [Blastococcus sp. DSM 44205]</t>
  </si>
  <si>
    <t>Blastococcus sp. DSM 44205</t>
  </si>
  <si>
    <t>TPA: phosphoketolase family protein [Candidatus Solibacter sp.]</t>
  </si>
  <si>
    <t>Candidatus Solibacter sp.</t>
  </si>
  <si>
    <t>phosphoketolase family protein [Micromonospora sp. CNZ285]</t>
  </si>
  <si>
    <t>Micromonospora sp. CNZ285</t>
  </si>
  <si>
    <t>phosphoketolase family protein [Blastococcus litoris]</t>
  </si>
  <si>
    <t>Blastococcus litoris</t>
  </si>
  <si>
    <t>phosphoketolase family protein [Actinomadura rubrobrunea]</t>
  </si>
  <si>
    <t>Actinomadura rubrobrunea</t>
  </si>
  <si>
    <t>xylulose-5-phosphate/fructose-6-phosphate phosphoketolase [Silvimonas terrae]</t>
  </si>
  <si>
    <t>Silvimonas terrae</t>
  </si>
  <si>
    <t>phosphoketolase [Silvimonas terrae]</t>
  </si>
  <si>
    <t>phosphoketolase family protein [Kribbella sp. VKM Ac-2572]</t>
  </si>
  <si>
    <t>Kribbella sp. VKM Ac-2572</t>
  </si>
  <si>
    <t>putative phosphoketolase [Silvimonas iriomotensis]</t>
  </si>
  <si>
    <t>Silvimonas iriomotensis</t>
  </si>
  <si>
    <t>phosphoketolase [Silvimonas iriomotensis]</t>
  </si>
  <si>
    <t>phosphoketolase family protein [Mycobacterium sp. IS-2888]</t>
  </si>
  <si>
    <t>Mycobacterium sp. IS-2888</t>
  </si>
  <si>
    <t>MULTISPECIES: phosphoketolase family protein [unclassified Arthrobacter]</t>
  </si>
  <si>
    <t>unclassified Arthrobacter</t>
  </si>
  <si>
    <t>phosphoketolase [Planosporangium thailandense]</t>
  </si>
  <si>
    <t>Planosporangium thailandense</t>
  </si>
  <si>
    <t>phosphoketolase family protein [Saccharopolyspora dendranthemae]</t>
  </si>
  <si>
    <t>Saccharopolyspora dendranthemae</t>
  </si>
  <si>
    <t>phosphoketolase family protein [Actinokineospora enzanensis]</t>
  </si>
  <si>
    <t>Actinokineospora enzanensis</t>
  </si>
  <si>
    <t>phosphoketolase [Nocardioides sp. ZJ1313]</t>
  </si>
  <si>
    <t>Nocardioides sp. ZJ1313</t>
  </si>
  <si>
    <t>phosphoketolase family protein [Micromonospora sp. CNZ303]</t>
  </si>
  <si>
    <t>Micromonospora sp. CNZ303</t>
  </si>
  <si>
    <t>phosphoketolase family protein [Micromonospora echinofusca]</t>
  </si>
  <si>
    <t>Micromonospora echinofusca</t>
  </si>
  <si>
    <t>phosphoketolase family protein [Micromonospora sp. AP08]</t>
  </si>
  <si>
    <t>Micromonospora sp. AP08</t>
  </si>
  <si>
    <t>phosphoketolase family protein [Micromonospora sp. CNZ295]</t>
  </si>
  <si>
    <t>Micromonospora sp. CNZ295</t>
  </si>
  <si>
    <t>phosphoketolase family protein [Micromonospora sp. AMSO31t]</t>
  </si>
  <si>
    <t>Micromonospora sp. AMSO31t</t>
  </si>
  <si>
    <t>phosphoketolase [Micromonospora purpureochromogenes]</t>
  </si>
  <si>
    <t>phosphoketolase family protein [Kribbella sp. VKM Ac-2568]</t>
  </si>
  <si>
    <t>Kribbella sp. VKM Ac-2568</t>
  </si>
  <si>
    <t>phosphoketolase [Mycobacterium riyadhense]</t>
  </si>
  <si>
    <t>phosphoketolase family protein [Mycobacterium florentinum]</t>
  </si>
  <si>
    <t>Mycobacterium florentinum</t>
  </si>
  <si>
    <t>phosphoketolase [Mycobacterium gordonae]</t>
  </si>
  <si>
    <t>Mycobacterium gordonae</t>
  </si>
  <si>
    <t>phosphoketolase family protein [Nocardioides ferulae]</t>
  </si>
  <si>
    <t>Nocardioides ferulae</t>
  </si>
  <si>
    <t>phosphoketolase family protein [Saccharothrix syringae]</t>
  </si>
  <si>
    <t>Saccharothrix syringae</t>
  </si>
  <si>
    <t>phosphoketolase [Arthrobacter sp. S13_S34]</t>
  </si>
  <si>
    <t>Arthrobacter sp. S13_S34</t>
  </si>
  <si>
    <t>MULTISPECIES: phosphoketolase family protein [Mycobacterium]</t>
  </si>
  <si>
    <t>Mycobacterium</t>
  </si>
  <si>
    <t>phosphoketolase family protein [Mycobacterium conspicuum]</t>
  </si>
  <si>
    <t>Mycobacterium conspicuum</t>
  </si>
  <si>
    <t>phosphoketolase family protein [Mycobacterium pseudoshottsii]</t>
  </si>
  <si>
    <t>Mycobacterium pseudoshottsii</t>
  </si>
  <si>
    <t>phosphoketolase family protein [Blastococcus sp. AZ43]</t>
  </si>
  <si>
    <t>Blastococcus sp. AZ43</t>
  </si>
  <si>
    <t>phosphoketolase family protein [Verrucosispora sp. FIM060022]</t>
  </si>
  <si>
    <t>Verrucosispora sp. FIM060022</t>
  </si>
  <si>
    <t>phosphoketolase family protein [Kribbella sp. VKM Ac-2573]</t>
  </si>
  <si>
    <t>Kribbella sp. VKM Ac-2573</t>
  </si>
  <si>
    <t>phosphoketolase family protein [Micromonospora chersina]</t>
  </si>
  <si>
    <t>Micromonospora chersina</t>
  </si>
  <si>
    <t>phosphoketolase family protein [Nocardiopsis alba]</t>
  </si>
  <si>
    <t>phosphoketolase [Actinomadura barringtoniae]</t>
  </si>
  <si>
    <t>Actinomadura barringtoniae</t>
  </si>
  <si>
    <t>phosphoketolase family protein [Blastococcus sp. CT_GayMR20]</t>
  </si>
  <si>
    <t>Blastococcus sp. CT_GayMR20</t>
  </si>
  <si>
    <t>phosphoketolase family protein [Arthrobacter sp. TB 23]</t>
  </si>
  <si>
    <t>Arthrobacter sp. TB 23</t>
  </si>
  <si>
    <t>MULTISPECIES: phosphoketolase [unclassified Arthrobacter]</t>
  </si>
  <si>
    <t>phosphoketolase family protein [Mycoplana dimorpha]</t>
  </si>
  <si>
    <t>Mycoplana dimorpha</t>
  </si>
  <si>
    <t>phosphoketolase [Mycolicibacterium sp. LJ126]</t>
  </si>
  <si>
    <t>Mycolicibacterium sp. LJ126</t>
  </si>
  <si>
    <t>phosphoketolase family protein [Mycobacterium sp. QGD 101]</t>
  </si>
  <si>
    <t>Mycobacterium sp. QGD 101</t>
  </si>
  <si>
    <t>phosphoketolase family protein [Rhodococcus sp. DK17]</t>
  </si>
  <si>
    <t>Rhodococcus sp. DK17</t>
  </si>
  <si>
    <t>phosphoketolase [Mycobacterium sp. OAE908]</t>
  </si>
  <si>
    <t>Mycobacterium sp. OAE908</t>
  </si>
  <si>
    <t>xylulose-5-phosphate/fructose-6-phosphate phosphoketolase [Mycobacterium sp. OAE908]</t>
  </si>
  <si>
    <t>phosphoketolase [Spirosoma aureum]</t>
  </si>
  <si>
    <t>Spirosoma aureum</t>
  </si>
  <si>
    <t>phosphoketolase [Rhodococcus sp. 14C212]</t>
  </si>
  <si>
    <t>Rhodococcus sp. 14C212</t>
  </si>
  <si>
    <t>phosphoketolase [Nocardioides sp. ZJ1307]</t>
  </si>
  <si>
    <t>Nocardioides sp. ZJ1307</t>
  </si>
  <si>
    <t>phosphoketolase family protein [Micromonospora sp. M71_S20]</t>
  </si>
  <si>
    <t>Micromonospora sp. M71_S20</t>
  </si>
  <si>
    <t>phosphoketolase family protein [Micromonospora sp. CNZ309]</t>
  </si>
  <si>
    <t>Micromonospora sp. CNZ309</t>
  </si>
  <si>
    <t>phosphoketolase family protein [Micromonospora fluostatini]</t>
  </si>
  <si>
    <t>Micromonospora fluostatini</t>
  </si>
  <si>
    <t>phosphoketolase family protein [Proteobacteria bacterium]</t>
  </si>
  <si>
    <t>Proteobacteria bacterium</t>
  </si>
  <si>
    <t>Proteobacteria</t>
  </si>
  <si>
    <t>phosphoketolase family protein [Salinispora mooreana]</t>
  </si>
  <si>
    <t>Salinispora mooreana</t>
  </si>
  <si>
    <t>phosphoketolase family protein [Micromonospora rosaria]</t>
  </si>
  <si>
    <t>Micromonospora rosaria</t>
  </si>
  <si>
    <t>phosphoketolase family protein [Micromonospora sp. 4G51]</t>
  </si>
  <si>
    <t>Micromonospora sp. 4G51</t>
  </si>
  <si>
    <t>phosphoketolase family protein [Micromonospora avicenniae]</t>
  </si>
  <si>
    <t>Micromonospora avicenniae</t>
  </si>
  <si>
    <t>MULTISPECIES: phosphoketolase family protein [Salinispora]</t>
  </si>
  <si>
    <t>Salinispora</t>
  </si>
  <si>
    <t>phosphoketolase family protein [Micromonospora palomenae]</t>
  </si>
  <si>
    <t>Micromonospora palomenae</t>
  </si>
  <si>
    <t>phosphoketolase family protein [Salinispora arenicola]</t>
  </si>
  <si>
    <t>Salinispora arenicola</t>
  </si>
  <si>
    <t>phosphoketolase family protein [Geodermatophilus obscurus]</t>
  </si>
  <si>
    <t>Geodermatophilus obscurus</t>
  </si>
  <si>
    <t>phosphoketolase [Mycobacterium simulans]</t>
  </si>
  <si>
    <t>Mycobacterium simulans</t>
  </si>
  <si>
    <t>phosphoketolase [Saccharothrix sp. 6-C]</t>
  </si>
  <si>
    <t>Saccharothrix sp. 6-C</t>
  </si>
  <si>
    <t>phosphoketolase family protein [Mycobacterium ulcerans]</t>
  </si>
  <si>
    <t>Mycobacterium ulcerans</t>
  </si>
  <si>
    <t>phosphoketolase family protein [Mycobacterium marinum]</t>
  </si>
  <si>
    <t>Mycobacterium marinum</t>
  </si>
  <si>
    <t>phosphoketolase [Micromonospora fiedleri]</t>
  </si>
  <si>
    <t>Micromonospora fiedleri</t>
  </si>
  <si>
    <t>phosphoketolase [Micromonospora gifhornensis]</t>
  </si>
  <si>
    <t>Micromonospora gifhornensis</t>
  </si>
  <si>
    <t>phosphoketolase family protein [Micromonospora radicis]</t>
  </si>
  <si>
    <t>Micromonospora radicis</t>
  </si>
  <si>
    <t>phosphoketolase [Micromonospora fulviviridis]</t>
  </si>
  <si>
    <t>Micromonospora fulviviridis</t>
  </si>
  <si>
    <t>phosphoketolase family protein [Micromonospora endophytica (Xie et al. 2001) Li et al. 2019]</t>
  </si>
  <si>
    <t>Micromonospora endophytica (Xie et al. 2001) Li et al. 2019</t>
  </si>
  <si>
    <t>phosphoketolase [Micromonospora qiuiae]</t>
  </si>
  <si>
    <t>Micromonospora qiuiae</t>
  </si>
  <si>
    <t>phosphoketolase [Ensifer psoraleae]</t>
  </si>
  <si>
    <t>Ensifer psoraleae</t>
  </si>
  <si>
    <t>phosphoketolase family protein [Ensifer mexicanus]</t>
  </si>
  <si>
    <t>Ensifer mexicanus</t>
  </si>
  <si>
    <t>phosphoketolase family protein [Saccharothrix sp. NRRL B-16348]</t>
  </si>
  <si>
    <t>Saccharothrix sp. NRRL B-16348</t>
  </si>
  <si>
    <t>phosphoketolase family protein [Mycobacterium attenuatum]</t>
  </si>
  <si>
    <t>Mycobacterium attenuatum</t>
  </si>
  <si>
    <t>phosphoketolase family protein [Sphaerisporangium album]</t>
  </si>
  <si>
    <t>Sphaerisporangium album</t>
  </si>
  <si>
    <t>Actinobacteria;</t>
  </si>
  <si>
    <t>phosphoketolase family protein [Mycobacterium nebraskense]</t>
  </si>
  <si>
    <t>Mycobacterium nebraskense</t>
  </si>
  <si>
    <t>phosphoketolase family protein [Mycobacterium sp. 4858]</t>
  </si>
  <si>
    <t>Mycobacterium sp. 4858</t>
  </si>
  <si>
    <t>phosphoketolase family protein [Mycobacterium sp. E2497]</t>
  </si>
  <si>
    <t>Mycobacterium sp. E2497</t>
  </si>
  <si>
    <t>phosphoketolase family protein [Thermasporomyces composti]</t>
  </si>
  <si>
    <t>Thermasporomyces composti</t>
  </si>
  <si>
    <t>phosphoketolase family protein [Mycobacterium sp. IEC1808]</t>
  </si>
  <si>
    <t>Mycobacterium sp. IEC1808</t>
  </si>
  <si>
    <t>phosphoketolase family protein [Micromonospora citrea]</t>
  </si>
  <si>
    <t>Micromonospora citrea</t>
  </si>
  <si>
    <t>phosphoketolase family protein [Micromonospora nigra]</t>
  </si>
  <si>
    <t>Micromonospora nigra</t>
  </si>
  <si>
    <t>phosphoketolase family protein [Micromonospora sp. ATA51]</t>
  </si>
  <si>
    <t>Micromonospora sp. ATA51</t>
  </si>
  <si>
    <t>phosphoketolase family protein [Salinispora oceanensis]</t>
  </si>
  <si>
    <t>Salinispora oceanensis</t>
  </si>
  <si>
    <t>phosphoketolase [Mycobacterium ahvazicum]</t>
  </si>
  <si>
    <t>Mycobacterium ahvazicum</t>
  </si>
  <si>
    <t>phosphoketolase family protein [Blastococcus sp. DSM 46838]</t>
  </si>
  <si>
    <t>Blastococcus sp. DSM 46838</t>
  </si>
  <si>
    <t>putative phosphoketolase [Actinokineospora fastidiosa]</t>
  </si>
  <si>
    <t>Actinokineospora fastidiosa</t>
  </si>
  <si>
    <t>phosphoketolase family protein [Micromonospora phaseoli]</t>
  </si>
  <si>
    <t>Micromonospora phaseoli</t>
  </si>
  <si>
    <t>phosphoketolase family protein [Ensifer sp. MPMI2T]</t>
  </si>
  <si>
    <t>phosphoketolase family protein [Verrucosispora sp. ts21]</t>
  </si>
  <si>
    <t>Verrucosispora sp. ts21</t>
  </si>
  <si>
    <t>phosphoketolase family protein [Micromonospora sp. MH33]</t>
  </si>
  <si>
    <t>Micromonospora sp. MH33</t>
  </si>
  <si>
    <t>phosphoketolase family protein [Micromonospora echinospora]</t>
  </si>
  <si>
    <t>phosphoketolase [Nocardia amamiensis]</t>
  </si>
  <si>
    <t>Nocardia amamiensis</t>
  </si>
  <si>
    <t>phosphoketolase family protein [Kineosporia sp. A_224]</t>
  </si>
  <si>
    <t>Kineosporia sp. A_224</t>
  </si>
  <si>
    <t>phosphoketolase family protein [Streptosporangium amethystogenes]</t>
  </si>
  <si>
    <t>Streptosporangium amethystogenes</t>
  </si>
  <si>
    <t>phosphoketolase [Micromonospora sp. HSS6-12]</t>
  </si>
  <si>
    <t>Micromonospora sp. HSS6-12</t>
  </si>
  <si>
    <t>MULTISPECIES: phosphoketolase [unclassified Microcoleus]</t>
  </si>
  <si>
    <t>unclassified Microcoleus</t>
  </si>
  <si>
    <t>phosphoketolase [Microcoleus sp. FACHB-DQ6]</t>
  </si>
  <si>
    <t>Microcoleus sp. FACHB-DQ6</t>
  </si>
  <si>
    <t>phosphoketolase family protein [Microcoleus sp. T1-bin1]</t>
  </si>
  <si>
    <t>Microcoleus sp. T1-bin1</t>
  </si>
  <si>
    <t>phosphoketolase [Mycobacteriaceae bacterium 1482268.1]</t>
  </si>
  <si>
    <t>Mycobacteriaceae bacterium 1482268.1</t>
  </si>
  <si>
    <t>phosphoketolase [Mycolicibacterium sp. S18]</t>
  </si>
  <si>
    <t>Mycolicibacterium sp. S18</t>
  </si>
  <si>
    <t>phosphoketolase family protein [Mycobacterium neumannii]</t>
  </si>
  <si>
    <t>Mycobacterium neumannii</t>
  </si>
  <si>
    <t>phosphoketolase family protein [Mycobacterium sp. E136]</t>
  </si>
  <si>
    <t>Mycobacterium sp. E136</t>
  </si>
  <si>
    <t>phosphoketolase family protein [Mycobacterium sp. 852014-52144_SCH5372336]</t>
  </si>
  <si>
    <t>Mycobacterium sp. 852014-52144_SCH5372336</t>
  </si>
  <si>
    <t>phosphoketolase family protein [Amycolatopsis sacchari]</t>
  </si>
  <si>
    <t>Amycolatopsis sacchari</t>
  </si>
  <si>
    <t>phosphoketolase family protein [Mycobacterium sp. E3247]</t>
  </si>
  <si>
    <t>Mycobacterium sp. E3247</t>
  </si>
  <si>
    <t>phosphoketolase family protein [Lentzea waywayandensis]</t>
  </si>
  <si>
    <t>Lentzea waywayandensis</t>
  </si>
  <si>
    <t>phosphoketolase family protein [Branchiibius hedensis]</t>
  </si>
  <si>
    <t>Branchiibius hedensis</t>
  </si>
  <si>
    <t>phosphoketolase [Nocardiopsaceae bacterium]</t>
  </si>
  <si>
    <t>Nocardiopsaceae bacterium</t>
  </si>
  <si>
    <t>phosphoketolase [Nocardioides sp. zg-DK7169]</t>
  </si>
  <si>
    <t>Nocardioides sp. zg-DK7169</t>
  </si>
  <si>
    <t>phosphoketolase family protein [Leptolyngbya sp. UWPOB_LEPTO1]</t>
  </si>
  <si>
    <t>Leptolyngbya sp. UWPOB_LEPTO1</t>
  </si>
  <si>
    <t>phosphoketolase family protein [Micromonospora sp. AMSO12t]</t>
  </si>
  <si>
    <t>Micromonospora sp. AMSO12t</t>
  </si>
  <si>
    <t>phosphoketolase [Nocardioides mesophilus]</t>
  </si>
  <si>
    <t>Nocardioides mesophilus</t>
  </si>
  <si>
    <t>phosphoketolase family protein [Micromonospora sp. CP22]</t>
  </si>
  <si>
    <t>Micromonospora sp. CP22</t>
  </si>
  <si>
    <t>phosphoketolase family protein [Micromonospora matsumotoense]</t>
  </si>
  <si>
    <t>Micromonospora matsumotoense</t>
  </si>
  <si>
    <t>phosphoketolase family protein [Mycobacterium fragae]</t>
  </si>
  <si>
    <t>Mycobacterium fragae</t>
  </si>
  <si>
    <t>phosphoketolase family protein [Thermopolyspora flexuosa]</t>
  </si>
  <si>
    <t>Thermopolyspora flexuosa</t>
  </si>
  <si>
    <t>phosphoketolase family protein [Micromonospora mirobrigensis]</t>
  </si>
  <si>
    <t>Micromonospora mirobrigensis</t>
  </si>
  <si>
    <t>phosphoketolase family protein [Microtetraspora fusca]</t>
  </si>
  <si>
    <t>Microtetraspora fusca</t>
  </si>
  <si>
    <t>phosphoketolase family protein [Mycobacterium basiliense]</t>
  </si>
  <si>
    <t>Mycobacterium basiliense</t>
  </si>
  <si>
    <t>phosphoketolase family protein [Streptosporangiales bacterium]</t>
  </si>
  <si>
    <t>Streptosporangiales bacterium</t>
  </si>
  <si>
    <t>xylulose-5-phosphate/fructose-6-phosphate phosphoketolase [Mycolicibacterium rutilum]</t>
  </si>
  <si>
    <t>Mycolicibacterium rutilum</t>
  </si>
  <si>
    <t>phosphoketolase family protein [Mycolicibacterium rutilum]</t>
  </si>
  <si>
    <t>phosphoketolase family protein [Mycobacterium sp. 1164985.4]</t>
  </si>
  <si>
    <t>Mycobacterium sp. 1164985.4</t>
  </si>
  <si>
    <t>phosphoketolase family protein [Mycolicibacterium flavescens]</t>
  </si>
  <si>
    <t>Mycolicibacterium flavescens</t>
  </si>
  <si>
    <t>phosphoketolase family protein [Geodermatophilus sabuli]</t>
  </si>
  <si>
    <t>phosphoketolase family protein [Mycobacterium sp. ACS4054]</t>
  </si>
  <si>
    <t>Mycobacterium sp. ACS4054</t>
  </si>
  <si>
    <t>phosphoketolase family protein [Nocardioides insulae]</t>
  </si>
  <si>
    <t>Nocardioides insulae</t>
  </si>
  <si>
    <t>phosphoketolase [Nocardia arthritidis]</t>
  </si>
  <si>
    <t>Nocardia arthritidis</t>
  </si>
  <si>
    <t>phosphoketolase family protein [Jatrophihabitans endophyticus]</t>
  </si>
  <si>
    <t>Jatrophihabitans endophyticus</t>
  </si>
  <si>
    <t>phosphoketolase [Micromonospora trujilloniae]</t>
  </si>
  <si>
    <t>Micromonospora trujilloniae</t>
  </si>
  <si>
    <t>phosphoketolase family protein [Micromonospora sediminimaris]</t>
  </si>
  <si>
    <t>Micromonospora sediminimaris</t>
  </si>
  <si>
    <t>phosphoketolase [Micromonospora carbonacea]</t>
  </si>
  <si>
    <t>Micromonospora carbonacea</t>
  </si>
  <si>
    <t>phosphoketolase family protein [Micromonospora kangleipakensis]</t>
  </si>
  <si>
    <t>Micromonospora kangleipakensis</t>
  </si>
  <si>
    <t>phosphoketolase family protein [Salinispora fenicalii]</t>
  </si>
  <si>
    <t>Salinispora fenicalii</t>
  </si>
  <si>
    <t>phosphoketolase family protein [Salinispora cortesiana]</t>
  </si>
  <si>
    <t>Salinispora cortesiana</t>
  </si>
  <si>
    <t>phosphoketolase family protein [Micromonospora wenchangensis]</t>
  </si>
  <si>
    <t>Micromonospora wenchangensis</t>
  </si>
  <si>
    <t>phosphoketolase [Micromonospora sp. HNM0581]</t>
  </si>
  <si>
    <t>Micromonospora sp. HNM0581</t>
  </si>
  <si>
    <t>phosphoketolase family protein [Streptomyces sp. NRRL B-24720]</t>
  </si>
  <si>
    <t>Streptomyces sp. NRRL B-24720</t>
  </si>
  <si>
    <t>phosphoketolase family protein [Micromonospora rifamycinica]</t>
  </si>
  <si>
    <t>Micromonospora rifamycinica</t>
  </si>
  <si>
    <t>phosphoketolase family protein [Streptomyces sp. 136MFCol5.1]</t>
  </si>
  <si>
    <t>Streptomyces sp. 136MFCol5.1</t>
  </si>
  <si>
    <t>phosphoketolase [Salinispora sp. H7-4]</t>
  </si>
  <si>
    <t>Salinispora sp. H7-4</t>
  </si>
  <si>
    <t>phosphoketolase family protein [Chlamydiales bacterium]</t>
  </si>
  <si>
    <t>Chlamydiales bacterium</t>
  </si>
  <si>
    <t>phosphoketolase family protein [Actinomadura rubteroloni]</t>
  </si>
  <si>
    <t>Actinomadura rubteroloni</t>
  </si>
  <si>
    <t>MULTISPECIES: phosphoketolase family protein [Rhodopirellula]</t>
  </si>
  <si>
    <t>Rhodopirellula</t>
  </si>
  <si>
    <t>phosphoketolase family protein [Micromonospora zingiberis]</t>
  </si>
  <si>
    <t>Micromonospora zingiberis</t>
  </si>
  <si>
    <t>putative phosphoketolase [Micromonospora sagamiensis]</t>
  </si>
  <si>
    <t>Micromonospora sagamiensis</t>
  </si>
  <si>
    <t>phosphoketolase family protein [Micromonospora sagamiensis]</t>
  </si>
  <si>
    <t>phosphoketolase family protein [Blastococcus aggregatus]</t>
  </si>
  <si>
    <t>Blastococcus aggregatus</t>
  </si>
  <si>
    <t>phosphoketolase family protein [Micromonospora craniellae]</t>
  </si>
  <si>
    <t>Micromonospora craniellae</t>
  </si>
  <si>
    <t>phosphoketolase family protein [Saccharothrix saharensis]</t>
  </si>
  <si>
    <t>Saccharothrix saharensis</t>
  </si>
  <si>
    <t>phosphoketolase family protein [Actinomadura geliboluensis]</t>
  </si>
  <si>
    <t>Actinomadura geliboluensis</t>
  </si>
  <si>
    <t>phosphoketolase family protein [Mycobacterium sp. 852002-51152_SCH6134967]</t>
  </si>
  <si>
    <t>Mycobacterium sp. 852002-51152_SCH6134967</t>
  </si>
  <si>
    <t>phosphoketolase family protein [Mycobacterium sp. 852002-51961_SCH5331710]</t>
  </si>
  <si>
    <t>Mycobacterium sp. 852002-51961_SCH5331710</t>
  </si>
  <si>
    <t>phosphoketolase family protein [Mycobacterium sp. MFM001]</t>
  </si>
  <si>
    <t>Mycobacterium sp. MFM001</t>
  </si>
  <si>
    <t>phosphoketolase family protein [Mycobacterium branderi]</t>
  </si>
  <si>
    <t>Mycobacterium branderi</t>
  </si>
  <si>
    <t>phosphoketolase family protein [Mycobacterium kyorinense]</t>
  </si>
  <si>
    <t>Mycobacterium kyorinense</t>
  </si>
  <si>
    <t>phosphoketolase family protein [Angustibacter sp. Root456]</t>
  </si>
  <si>
    <t>Angustibacter sp. Root456</t>
  </si>
  <si>
    <t>phosphoketolase family protein [Stackebrandtia endophytica]</t>
  </si>
  <si>
    <t>Stackebrandtia endophytica</t>
  </si>
  <si>
    <t>phosphoketolase family protein [Kribbella sp. VKM Ac-2575]</t>
  </si>
  <si>
    <t>Kribbella sp. VKM Ac-2575</t>
  </si>
  <si>
    <t>phosphoketolase family protein [Nocardioides iriomotensis]</t>
  </si>
  <si>
    <t>Nocardioides iriomotensis</t>
  </si>
  <si>
    <t>phosphoketolase family protein [Micromonospora siamensis]</t>
  </si>
  <si>
    <t>Micromonospora siamensis</t>
  </si>
  <si>
    <t>phosphoketolase family protein [Verrucosispora sp. CNZ293]</t>
  </si>
  <si>
    <t>Verrucosispora sp. CNZ293</t>
  </si>
  <si>
    <t>phosphoketolase family protein [Micromonospora carbonacea]</t>
  </si>
  <si>
    <t>phosphoketolase family protein [Micromonospora zamorensis]</t>
  </si>
  <si>
    <t>Micromonospora zamorensis</t>
  </si>
  <si>
    <t>phosphoketolase family protein [Micromonospora sp. CNZ299]</t>
  </si>
  <si>
    <t>Micromonospora sp. CNZ299</t>
  </si>
  <si>
    <t>phosphoketolase family protein [Micromonospora sp. Rc5]</t>
  </si>
  <si>
    <t>Micromonospora sp. Rc5</t>
  </si>
  <si>
    <t>phosphoketolase family protein [Micromonospora haikouensis]</t>
  </si>
  <si>
    <t>Micromonospora haikouensis</t>
  </si>
  <si>
    <t>phosphoketolase [Micromonospora sp. MMS20-R2-29]</t>
  </si>
  <si>
    <t>Micromonospora sp. MMS20-R2-29</t>
  </si>
  <si>
    <t>phosphoketolase family protein [Micromonospora sp. MW-13]</t>
  </si>
  <si>
    <t>Micromonospora sp. MW-13</t>
  </si>
  <si>
    <t>phosphoketolase [Micromonospora sp. MMS20-R2-23]</t>
  </si>
  <si>
    <t>Micromonospora sp. MMS20-R2-23</t>
  </si>
  <si>
    <t>phosphoketolase family protein [Micromonospora sp. MP36]</t>
  </si>
  <si>
    <t>Micromonospora sp. MP36</t>
  </si>
  <si>
    <t>phosphoketolase family protein [Salinispora vitiensis]</t>
  </si>
  <si>
    <t>Salinispora vitiensis</t>
  </si>
  <si>
    <t>phosphoketolase family protein [Saccharothrix texasensis]</t>
  </si>
  <si>
    <t>Saccharothrix texasensis</t>
  </si>
  <si>
    <t>phosphoketolase family protein [Prauserella muralis]</t>
  </si>
  <si>
    <t>Prauserella muralis</t>
  </si>
  <si>
    <t>phosphoketolase family protein [Mycolicibacterium fluoranthenivorans]</t>
  </si>
  <si>
    <t>Mycolicibacterium fluoranthenivorans</t>
  </si>
  <si>
    <t>phosphoketolase family protein [Micromonospora rhizosphaerae]</t>
  </si>
  <si>
    <t>Micromonospora rhizosphaerae</t>
  </si>
  <si>
    <t>phosphoketolase family protein [Micromonospora costi]</t>
  </si>
  <si>
    <t>Micromonospora costi</t>
  </si>
  <si>
    <t>phosphoketolase family protein [Blastococcus sp. TF02-8]</t>
  </si>
  <si>
    <t>Blastococcus sp. TF02-8</t>
  </si>
  <si>
    <t>phosphoketolase family protein [Nocardioides guangzhouensis]</t>
  </si>
  <si>
    <t>Nocardioides guangzhouensis</t>
  </si>
  <si>
    <t>phosphoketolase [Mycolicibacterium lutetiense]</t>
  </si>
  <si>
    <t>phosphoketolase family protein [Actinosynnema pretiosum]</t>
  </si>
  <si>
    <t>Actinosynnema pretiosum</t>
  </si>
  <si>
    <t>phosphoketolase family protein [Thermoleophilum album]</t>
  </si>
  <si>
    <t>Thermoleophilum album</t>
  </si>
  <si>
    <t>phosphoketolase family protein [Mycobacterium sp. JS623]</t>
  </si>
  <si>
    <t>Mycobacterium sp. JS623</t>
  </si>
  <si>
    <t>phosphoketolase family protein [Micromonospora sp. WP24]</t>
  </si>
  <si>
    <t>Micromonospora sp. WP24</t>
  </si>
  <si>
    <t>phosphoketolase family protein [Micromonospora peucetia]</t>
  </si>
  <si>
    <t>Micromonospora peucetia</t>
  </si>
  <si>
    <t>phosphoketolase family protein [Micromonospora parva]</t>
  </si>
  <si>
    <t>Micromonospora parva</t>
  </si>
  <si>
    <t>phosphoketolase family protein [Micromonospora echinaurantiaca]</t>
  </si>
  <si>
    <t>Micromonospora echinaurantiaca</t>
  </si>
  <si>
    <t>phosphoketolase [Micromonospora andamanensis]</t>
  </si>
  <si>
    <t>Micromonospora andamanensis</t>
  </si>
  <si>
    <t>phosphoketolase [Micromonospora veneta]</t>
  </si>
  <si>
    <t>Micromonospora veneta</t>
  </si>
  <si>
    <t>phosphoketolase family protein [Micromonospora sp. ATA32]</t>
  </si>
  <si>
    <t>Micromonospora sp. ATA32</t>
  </si>
  <si>
    <t>phosphoketolase family protein [Micromonospora sp. A202]</t>
  </si>
  <si>
    <t>Micromonospora sp. A202</t>
  </si>
  <si>
    <t>phosphoketolase family protein [Micromonospora ureilytica]</t>
  </si>
  <si>
    <t>Micromonospora ureilytica</t>
  </si>
  <si>
    <t>phosphoketolase [Micromonospora sp. NEAU-HG-1]</t>
  </si>
  <si>
    <t>Micromonospora sp. NEAU-HG-1</t>
  </si>
  <si>
    <t>phosphoketolase family protein [Salinispora tropica]</t>
  </si>
  <si>
    <t>Salinispora tropica</t>
  </si>
  <si>
    <t>phosphoketolase family protein [Micromonospora sp. KC207]</t>
  </si>
  <si>
    <t>Micromonospora sp. KC207</t>
  </si>
  <si>
    <t>phosphoketolase [Micromonospora sp. S-DT3-3-22]</t>
  </si>
  <si>
    <t>Micromonospora sp. S-DT3-3-22</t>
  </si>
  <si>
    <t>phosphoketolase family protein [Micromonospora olivasterospora]</t>
  </si>
  <si>
    <t>Micromonospora olivasterospora</t>
  </si>
  <si>
    <t>phosphoketolase [Micromonospora sp. MMS20-R1-14]</t>
  </si>
  <si>
    <t>Micromonospora sp. MMS20-R1-14</t>
  </si>
  <si>
    <t>phosphoketolase [Actinobacteria bacterium HGW-Actinobacteria-10]</t>
  </si>
  <si>
    <t>Actinobacteria bacterium HGW-Actinobacteria-10</t>
  </si>
  <si>
    <t>phosphoketolase family protein [Actinomadura madurae]</t>
  </si>
  <si>
    <t>Actinomadura madurae</t>
  </si>
  <si>
    <t>phosphoketolase family protein [Nocardiopsis listeri]</t>
  </si>
  <si>
    <t>Nocardiopsis listeri</t>
  </si>
  <si>
    <t>phosphoketolase family protein [Nitrosospira sp. Nsp1]</t>
  </si>
  <si>
    <t>Nitrosospira sp. Nsp1</t>
  </si>
  <si>
    <t>phosphoketolase family protein [Micromonospora craterilacus]</t>
  </si>
  <si>
    <t>Micromonospora craterilacus</t>
  </si>
  <si>
    <t>phosphoketolase family protein [Micromonospora yangpuensis]</t>
  </si>
  <si>
    <t>Micromonospora yangpuensis</t>
  </si>
  <si>
    <t>phosphoketolase family protein [Actinomadura sp. WMMB 499]</t>
  </si>
  <si>
    <t>Actinomadura sp. WMMB 499</t>
  </si>
  <si>
    <t>phosphoketolase family protein [Kribbella monticola]</t>
  </si>
  <si>
    <t>Kribbella monticola</t>
  </si>
  <si>
    <t>phosphoketolase family protein [Mycobacterium lentiflavum]</t>
  </si>
  <si>
    <t>Mycobacterium lentiflavum</t>
  </si>
  <si>
    <t>phosphoketolase [Microlunatus endophyticus]</t>
  </si>
  <si>
    <t>Microlunatus endophyticus</t>
  </si>
  <si>
    <t>phosphoketolase [Branchiibius sp. NY16-3462-2]</t>
  </si>
  <si>
    <t>Branchiibius sp. NY16-3462-2</t>
  </si>
  <si>
    <t>phosphoketolase [Nocardioides sp. zg-1308]</t>
  </si>
  <si>
    <t>Nocardioides sp. zg-1308</t>
  </si>
  <si>
    <t>phosphoketolase family protein [Saccharothrix sp.]</t>
  </si>
  <si>
    <t>Saccharothrix sp.</t>
  </si>
  <si>
    <t>phosphoketolase family protein [Micromonospora musae]</t>
  </si>
  <si>
    <t>Micromonospora musae</t>
  </si>
  <si>
    <t>phosphoketolase family protein [Micromonospora globbae]</t>
  </si>
  <si>
    <t>Micromonospora globbae</t>
  </si>
  <si>
    <t>phosphoketolase family protein [Micromonospora endolithica]</t>
  </si>
  <si>
    <t>Micromonospora endolithica</t>
  </si>
  <si>
    <t>phosphoketolase family protein [Micromonospora inyonensis]</t>
  </si>
  <si>
    <t>Micromonospora inyonensis</t>
  </si>
  <si>
    <t>phosphoketolase family protein [Micromonospora sp. CB01531]</t>
  </si>
  <si>
    <t>Micromonospora sp. CB01531</t>
  </si>
  <si>
    <t>phosphoketolase family protein [Micromonospora sp. HM134]</t>
  </si>
  <si>
    <t>Micromonospora sp. HM134</t>
  </si>
  <si>
    <t>phosphoketolase family protein [Saccharothrix carnea]</t>
  </si>
  <si>
    <t>Saccharothrix carnea</t>
  </si>
  <si>
    <t>phosphoketolase [Mycolicibacterium fluoranthenivorans]</t>
  </si>
  <si>
    <t>phosphoketolase [Mycolicibacterium flavescens]</t>
  </si>
  <si>
    <t>xylulose-5-phosphate/fructose-6-phosphate phosphoketolase [Micromonospora ureilytica]</t>
  </si>
  <si>
    <t>phosphoketolase [Micromonospora ureilytica]</t>
  </si>
  <si>
    <t>phosphoketolase family protein [Amycolatopsis cihanbeyliensis]</t>
  </si>
  <si>
    <t>Amycolatopsis cihanbeyliensis</t>
  </si>
  <si>
    <t>phosphoketolase family protein [Mycobacterium ahvazicum]</t>
  </si>
  <si>
    <t>phosphoketolase family protein [Mycobacterium montefiorense]</t>
  </si>
  <si>
    <t>Mycobacterium montefiorense</t>
  </si>
  <si>
    <t>xylulose-5-phosphate/fructose-6-phosphate phosphoketolase [Streptomyces sp. 136MFCol5.1]</t>
  </si>
  <si>
    <t>phosphoketolase family protein [Mycobacterium sp. IS-1496]</t>
  </si>
  <si>
    <t>Mycobacterium sp. IS-1496</t>
  </si>
  <si>
    <t>phosphoketolase family protein [Microlunatus sp.]</t>
  </si>
  <si>
    <t>Microlunatus sp.</t>
  </si>
  <si>
    <t>phosphoketolase [Rugosimonospora africana]</t>
  </si>
  <si>
    <t>Rugosimonospora africana</t>
  </si>
  <si>
    <t>phosphoketolase [Micromonospora profundi]</t>
  </si>
  <si>
    <t>Micromonospora profundi</t>
  </si>
  <si>
    <t>phosphoketolase [Micromonospora sp. CNZ280]</t>
  </si>
  <si>
    <t>Micromonospora sp. CNZ280</t>
  </si>
  <si>
    <t>phosphoketolase family protein [Micromonospora globispora]</t>
  </si>
  <si>
    <t>Micromonospora globispora</t>
  </si>
  <si>
    <t>phosphoketolase [Micromonospora jinlongensis]</t>
  </si>
  <si>
    <t>Micromonospora jinlongensis</t>
  </si>
  <si>
    <t>phosphoketolase [Actinokineospora fastidiosa]</t>
  </si>
  <si>
    <t>phosphoketolase [Sphaerisporangium melleum]</t>
  </si>
  <si>
    <t>Sphaerisporangium melleum</t>
  </si>
  <si>
    <t>MULTISPECIES: phosphoketolase family protein [unclassified Mycobacterium]</t>
  </si>
  <si>
    <t>unclassified Mycobacterium</t>
  </si>
  <si>
    <t>phosphoketolase family protein [Mycobacterium sp. ITM-2016-00318]</t>
  </si>
  <si>
    <t>Mycobacterium sp. ITM-2016-00318</t>
  </si>
  <si>
    <t>phosphoketolase family protein [Arthrobacter sp. SLBN-53]</t>
  </si>
  <si>
    <t>Arthrobacter sp. SLBN-53</t>
  </si>
  <si>
    <t>MULTISPECIES: phosphoketolase family protein [Actinomycetia]</t>
  </si>
  <si>
    <t>Actinomycetia</t>
  </si>
  <si>
    <t>phosphoketolase [Saccharothrix coeruleofusca]</t>
  </si>
  <si>
    <t>Saccharothrix coeruleofusca</t>
  </si>
  <si>
    <t>phosphoketolase family protein [Microtetraspora malaysiensis]</t>
  </si>
  <si>
    <t>Microtetraspora malaysiensis</t>
  </si>
  <si>
    <t>phosphoketolase family protein [Glycomyces harbinensis]</t>
  </si>
  <si>
    <t>Glycomyces harbinensis</t>
  </si>
  <si>
    <t>phosphoketolase family protein [Micromonospora sp. WMMC415]</t>
  </si>
  <si>
    <t>Micromonospora sp. WMMC415</t>
  </si>
  <si>
    <t>phosphoketolase family protein [Plantactinospora sp. KBS50]</t>
  </si>
  <si>
    <t>Plantactinospora sp. KBS50</t>
  </si>
  <si>
    <t>phosphoketolase family protein [Arthrobacter sp. H20]</t>
  </si>
  <si>
    <t>Arthrobacter sp. H20</t>
  </si>
  <si>
    <t>phosphoketolase family protein [Micromonospora coriariae]</t>
  </si>
  <si>
    <t>Micromonospora coriariae</t>
  </si>
  <si>
    <t>xylulose-5-phosphate/fructose-6-phosphate phosphoketolase [Micromonospora coriariae]</t>
  </si>
  <si>
    <t>phosphoketolase family protein [Mycolicibacterium smegmatis]</t>
  </si>
  <si>
    <t>Mycolicibacterium smegmatis</t>
  </si>
  <si>
    <t>phosphoketolase family protein [Actinophytocola oryzae]</t>
  </si>
  <si>
    <t>Actinophytocola oryzae</t>
  </si>
  <si>
    <t>MULTISPECIES: phosphoketolase family protein [Actinosynnema]</t>
  </si>
  <si>
    <t>Actinosynnema</t>
  </si>
  <si>
    <t>phosphoketolase family protein [Micromonospora sp. S4605]</t>
  </si>
  <si>
    <t>Micromonospora sp. S4605</t>
  </si>
  <si>
    <t>phosphoketolase family protein [Micromonospora inositola]</t>
  </si>
  <si>
    <t>Micromonospora inositola</t>
  </si>
  <si>
    <t>phosphoketolase family protein [Mycolicibacterium cosmeticum]</t>
  </si>
  <si>
    <t>Mycolicibacterium cosmeticum</t>
  </si>
  <si>
    <t>phosphoketolase family protein [Nocardiopsis flavescens]</t>
  </si>
  <si>
    <t>Nocardiopsis flavescens</t>
  </si>
  <si>
    <t>phosphoketolase family protein [Mycolicibacterium neoaurum]</t>
  </si>
  <si>
    <t>Mycolicibacterium neoaurum</t>
  </si>
  <si>
    <t>phosphoketolase [Mycolicibacterium neoaurum]</t>
  </si>
  <si>
    <t>xylulose-5-phosphate/fructose-6-phosphate phosphoketolase [Mycolicibacterium neoaurum]</t>
  </si>
  <si>
    <t>phosphoketolase [Micrococcales bacterium 32-70-13]</t>
  </si>
  <si>
    <t>Micrococcales bacterium 32-70-13</t>
  </si>
  <si>
    <t>xylulose-5-phosphate/fructose-6-phosphate phosphoketolase [Actinophytocola oryzae]</t>
  </si>
  <si>
    <t>phosphoketolase family protein [Microtetraspora niveoalba]</t>
  </si>
  <si>
    <t>Microtetraspora niveoalba</t>
  </si>
  <si>
    <t>phosphoketolase family protein [Verrucosispora sp. SN26_14.1]</t>
  </si>
  <si>
    <t>Verrucosispora sp. SN26_14.1</t>
  </si>
  <si>
    <t>phosphoketolase family protein [Actinomadura sp. KC06]</t>
  </si>
  <si>
    <t>Actinomadura sp. KC06</t>
  </si>
  <si>
    <t>phosphoketolase family protein [Sporichthya polymorpha]</t>
  </si>
  <si>
    <t>Sporichthya polymorpha</t>
  </si>
  <si>
    <t>phosphoketolase family protein [Amycolatopsis sp. ATCC 39116]</t>
  </si>
  <si>
    <t>Amycolatopsis sp. ATCC 39116</t>
  </si>
  <si>
    <t>phosphoketolase family protein [Amycolatopsis thermoflava]</t>
  </si>
  <si>
    <t>Amycolatopsis thermoflava</t>
  </si>
  <si>
    <t>phosphoketolase family protein [Kribbella sp. VKM Ac-2569]</t>
  </si>
  <si>
    <t>Kribbella sp. VKM Ac-2569</t>
  </si>
  <si>
    <t>xylulose-5-phosphate/fructose-6-phosphate phosphoketolase [Kribbella sp. VKM Ac-2569]</t>
  </si>
  <si>
    <t>xylulose-5-phosphate/fructose-6-phosphate phosphoketolase [Glycomyces harbinensis]</t>
  </si>
  <si>
    <t>phosphoketolase family protein [Micromonospora sp. ALFpr18c]</t>
  </si>
  <si>
    <t>Micromonospora sp. ALFpr18c</t>
  </si>
  <si>
    <t>phosphoketolase family protein [Micromonospora sp. CNZ322]</t>
  </si>
  <si>
    <t>Micromonospora sp. CNZ322</t>
  </si>
  <si>
    <t>phosphoketolase family protein [Micromonospora violae]</t>
  </si>
  <si>
    <t>Micromonospora violae</t>
  </si>
  <si>
    <t>phosphoketolase family protein [Micromonospora deserti]</t>
  </si>
  <si>
    <t>Micromonospora deserti</t>
  </si>
  <si>
    <t>phosphoketolase family protein [Mycolicibacterium canariasense]</t>
  </si>
  <si>
    <t>Mycolicibacterium canariasense</t>
  </si>
  <si>
    <t>phosphoketolase family protein [Stackebrandtia nassauensis]</t>
  </si>
  <si>
    <t>Stackebrandtia nassauensis</t>
  </si>
  <si>
    <t>phosphoketolase family protein [Allokutzneria sp. NRRL B-24872]</t>
  </si>
  <si>
    <t>Allokutzneria sp. NRRL B-24872</t>
  </si>
  <si>
    <t>phosphoketolase family protein [Baekduia soli]</t>
  </si>
  <si>
    <t>Baekduia soli</t>
  </si>
  <si>
    <t>phosphoketolase [Nocardiopsis terrae]</t>
  </si>
  <si>
    <t>Nocardiopsis terrae</t>
  </si>
  <si>
    <t>phosphoketolase family protein [Micromonospora sp. 15K316]</t>
  </si>
  <si>
    <t>Micromonospora sp. 15K316</t>
  </si>
  <si>
    <t>phosphoketolase family protein [Catenulispora sp.]</t>
  </si>
  <si>
    <t>Catenulispora sp.</t>
  </si>
  <si>
    <t>phosphoketolase family protein [Micromonospora taraxaci]</t>
  </si>
  <si>
    <t>Micromonospora taraxaci</t>
  </si>
  <si>
    <t>xylulose-5-phosphate/fructose-6-phosphate phosphoketolase [Micromonospora cremea]</t>
  </si>
  <si>
    <t>Micromonospora cremea</t>
  </si>
  <si>
    <t>phosphoketolase family protein [Micromonospora cremea]</t>
  </si>
  <si>
    <t>phosphoketolase family protein [Frankia elaeagni]</t>
  </si>
  <si>
    <t>Frankia elaeagni</t>
  </si>
  <si>
    <t>phosphoketolase [Saccharopolyspora sp. HNM0986]</t>
  </si>
  <si>
    <t>Saccharopolyspora sp. HNM0986</t>
  </si>
  <si>
    <t>phosphoketolase family protein [Micromonospora lupini]</t>
  </si>
  <si>
    <t>Micromonospora lupini</t>
  </si>
  <si>
    <t>phosphoketolase family protein [Micromonospora sp. KC721]</t>
  </si>
  <si>
    <t>Micromonospora sp. KC721</t>
  </si>
  <si>
    <t>phosphoketolase family protein [Micromonospora sp. KC723]</t>
  </si>
  <si>
    <t>Micromonospora sp. KC723</t>
  </si>
  <si>
    <t>phosphoketolase family protein [Micromonospora saelicesensis]</t>
  </si>
  <si>
    <t>Micromonospora saelicesensis</t>
  </si>
  <si>
    <t>phosphoketolase family protein [Kribbella sp. VKMAc-2574]</t>
  </si>
  <si>
    <t>Kribbella sp. VKMAc-2574</t>
  </si>
  <si>
    <t>xylulose-5-phosphate/fructose-6-phosphate phosphoketolase [Kribbella sp. VKMAc-2574]</t>
  </si>
  <si>
    <t>phosphoketolase family protein [Arthrobacter sp. H5]</t>
  </si>
  <si>
    <t>Arthrobacter sp. H5</t>
  </si>
  <si>
    <t>phosphoketolase family protein [Micromonosporaceae bacterium DSM 106523]</t>
  </si>
  <si>
    <t>Micromonosporaceae bacterium DSM 106523</t>
  </si>
  <si>
    <t>phosphoketolase family protein [Mycobacterium rhizamassiliense]</t>
  </si>
  <si>
    <t>Mycobacterium rhizamassiliense</t>
  </si>
  <si>
    <t>xylulose-5-phosphate/fructose-6-phosphate phosphoketolase [Kribbella amoyensis]</t>
  </si>
  <si>
    <t>Kribbella amoyensis</t>
  </si>
  <si>
    <t>phosphoketolase family protein [Kribbella amoyensis]</t>
  </si>
  <si>
    <t>phosphoketolase family protein [Micromonospora orduensis]</t>
  </si>
  <si>
    <t>Micromonospora orduensis</t>
  </si>
  <si>
    <t>phosphoketolase family protein [Phycicoccus sp. SLBN-51]</t>
  </si>
  <si>
    <t>Phycicoccus sp. SLBN-51</t>
  </si>
  <si>
    <t>phosphoketolase family protein [Micromonospora sp. KC606]</t>
  </si>
  <si>
    <t>Micromonospora sp. KC606</t>
  </si>
  <si>
    <t>phosphoketolase family protein [Krasilnikovia cinnamomea]</t>
  </si>
  <si>
    <t>Krasilnikovia cinnamomea</t>
  </si>
  <si>
    <t>phosphoketolase family protein [Kribbella sp. VKM Ac-2566]</t>
  </si>
  <si>
    <t>Kribbella sp. VKM Ac-2566</t>
  </si>
  <si>
    <t>phosphoketolase family protein [Pseudonocardia acaciae]</t>
  </si>
  <si>
    <t>Pseudonocardia acaciae</t>
  </si>
  <si>
    <t>phosphoketolase family protein [Glycomyces dulcitolivorans]</t>
  </si>
  <si>
    <t>Glycomyces dulcitolivorans</t>
  </si>
  <si>
    <t>xylulose-5-phosphate/fructose-6-phosphate phosphoketolase [Kribbella sp. VKM Ac-2571]</t>
  </si>
  <si>
    <t>phosphoketolase family protein [Micromonospora chokoriensis]</t>
  </si>
  <si>
    <t>Micromonospora chokoriensis</t>
  </si>
  <si>
    <t>phosphoketolase family protein [Nocardiopsis ganjiahuensis]</t>
  </si>
  <si>
    <t>Nocardiopsis ganjiahuensis</t>
  </si>
  <si>
    <t>phosphoketolase family protein [Intrasporangium chromatireducens]</t>
  </si>
  <si>
    <t>Intrasporangium chromatireducens</t>
  </si>
  <si>
    <t>phosphoketolase family protein [Kribbella sindirgiensis]</t>
  </si>
  <si>
    <t>Kribbella sindirgiensis</t>
  </si>
  <si>
    <t>phosphoketolase [Micromonospora sp. STR1_7]</t>
  </si>
  <si>
    <t>Micromonospora sp. STR1_7</t>
  </si>
  <si>
    <t>phosphoketolase family protein [Frankia sp. Cc1.17]</t>
  </si>
  <si>
    <t>Frankia sp. Cc1.17</t>
  </si>
  <si>
    <t>phosphoketolase [Kribbella italica]</t>
  </si>
  <si>
    <t>Kribbella italica</t>
  </si>
  <si>
    <t>phosphoketolase [Catenulispora pinisilvae]</t>
  </si>
  <si>
    <t>Catenulispora pinisilvae</t>
  </si>
  <si>
    <t>Actinobacteria, Gram postive.</t>
  </si>
  <si>
    <t>xylulose-5-phosphate/fructose-6-phosphate phosphoketolase [Glycomyces sp. MMG10089]</t>
  </si>
  <si>
    <t>Glycomyces sp. MMG10089</t>
  </si>
  <si>
    <t>phosphoketolase family protein [Catenulispora acidiphila]</t>
  </si>
  <si>
    <t>Catenulispora acidiphila</t>
  </si>
  <si>
    <t>phosphoketolase family protein [Allokutzneria albata]</t>
  </si>
  <si>
    <t>Allokutzneria albata</t>
  </si>
  <si>
    <t>xylulose-5-phosphate/fructose-6-phosphate phosphoketolase [Allokutzneria albata]</t>
  </si>
  <si>
    <t>phosphoketolase family protein [Pseudanabaena sp. SR411]</t>
  </si>
  <si>
    <t>Gammaproteobacteria</t>
  </si>
  <si>
    <t>Bacteria</t>
  </si>
  <si>
    <t>Chloroflexi</t>
  </si>
  <si>
    <t>Actionbacteria</t>
  </si>
  <si>
    <t>Bacteroidetes</t>
  </si>
  <si>
    <t>TPA: phosphoketolase family protein [bacterium]</t>
  </si>
  <si>
    <t>bacterium</t>
  </si>
  <si>
    <t>phosphoketolase family protein [bacterium]</t>
  </si>
  <si>
    <t>Xylulose-5-phosphate phosphoketolase [Syntrophorhabdaceae bacterium PtaU1.Bin034]</t>
  </si>
  <si>
    <t>Syntrophorhabdaceae bacterium PtaU1.Bin034</t>
  </si>
  <si>
    <t>Deltaproteobacteria</t>
  </si>
  <si>
    <t>Xylulose-5-phosphate phosphoketolase [Paraburkholderia caribensis MBA4]</t>
  </si>
  <si>
    <t>Paraburkholderia caribensis MBA4</t>
  </si>
  <si>
    <t>phosphoketolase family protein [Paraburkholderia caribensis]</t>
  </si>
  <si>
    <t>Paraburkholderia caribensis</t>
  </si>
  <si>
    <t>phosphoketolase [Rhodocyclus purpureus]</t>
  </si>
  <si>
    <t>Rhodocyclus purpureus</t>
  </si>
  <si>
    <t>Phototrohpic bacteria. Its cells are half-ring-shaped and ring-shaped before cell division</t>
  </si>
  <si>
    <t>Gamamproteobacteria</t>
  </si>
  <si>
    <t>TPA: phosphoketolase family protein [Acidobacteria bacterium]</t>
  </si>
  <si>
    <t>phosphoketolase family protein [Candidatus Binataceae bacterium]</t>
  </si>
  <si>
    <t>Candidatus Binataceae bacterium</t>
  </si>
  <si>
    <t>phosphoketolase [Haliea sp.]</t>
  </si>
  <si>
    <t>Haliea sp.</t>
  </si>
  <si>
    <t>phosphoketolase family protein [Paraburkholderia mimosarum]</t>
  </si>
  <si>
    <t>Paraburkholderia mimosarum</t>
  </si>
  <si>
    <t>phosphoketolase [Paraburkholderia sp. PGU19]</t>
  </si>
  <si>
    <t>Paraburkholderia sp. PGU19</t>
  </si>
  <si>
    <t>phosphoketolase family protein [Paraburkholderia diazotrophica]</t>
  </si>
  <si>
    <t>Paraburkholderia diazotrophica</t>
  </si>
  <si>
    <t>phosphoketolase signature 1 [Lucifera butyrica]</t>
  </si>
  <si>
    <t>Lucifera butyrica</t>
  </si>
  <si>
    <t>Fermentative bacterium</t>
  </si>
  <si>
    <t>phosphoketolase family protein [Lucifera butyrica]</t>
  </si>
  <si>
    <t>phosphoketolase family protein [Paraburkholderia franconis]</t>
  </si>
  <si>
    <t>Paraburkholderia franconis</t>
  </si>
  <si>
    <t>phosphoketolase [Burkholderia sp. Ac-20365]</t>
  </si>
  <si>
    <t>Burkholderia sp. Ac-20365</t>
  </si>
  <si>
    <t>phosphoketolase family protein [Gammaproteobacteria bacterium]</t>
  </si>
  <si>
    <t>Gammaproteobacteria bacterium</t>
  </si>
  <si>
    <t>phosphoketolase [Paraburkholderia steynii]</t>
  </si>
  <si>
    <t>Paraburkholderia steynii</t>
  </si>
  <si>
    <t>phosphoketolase family protein [Paraburkholderia steynii]</t>
  </si>
  <si>
    <t>phosphoketolase [Hydrogenophilales bacterium 17-64-11]</t>
  </si>
  <si>
    <t>Hydrogenophilales bacterium 17-64-11</t>
  </si>
  <si>
    <t>phosphoketolase [Candidatus Rokubacteria bacterium]</t>
  </si>
  <si>
    <t>Candidatus Rokubacteria bacterium</t>
  </si>
  <si>
    <t>Rokubacteria encode multiple carbon transport proteins, including those specializing in lipids, peptides and sugars.</t>
  </si>
  <si>
    <t>Xylulose-5-phosphate phosphoketolase [Caballeronia turbans]</t>
  </si>
  <si>
    <t>Caballeronia turbans</t>
  </si>
  <si>
    <t>An aerobe, mesophilic bacterium</t>
  </si>
  <si>
    <t>phosphoketolase family protein [Pandoraea thiooxydans]</t>
  </si>
  <si>
    <t>Pandoraea thiooxydans</t>
  </si>
  <si>
    <t>Gram-negative, oxidase-positive, catalase-negative, aerobic, thiosulfate-oxidizing, rod-shaped, motile bacterium</t>
  </si>
  <si>
    <t>phosphoketolase family protein [Rhodocyclaceae bacterium]</t>
  </si>
  <si>
    <t>Rhodocyclaceae bacterium</t>
  </si>
  <si>
    <t>phosphoketolase [Hydrogenophilales bacterium 28-61-11]</t>
  </si>
  <si>
    <t>Hydrogenophilales bacterium 28-61-11</t>
  </si>
  <si>
    <t>phosphoketolase [Burkholderia sp. THE68]</t>
  </si>
  <si>
    <t>Burkholderia sp. THE68</t>
  </si>
  <si>
    <t>phosphoketolase [Proteobacteria bacterium]</t>
  </si>
  <si>
    <t>phosphoketolase family protein [Paraburkholderia panacisoli]</t>
  </si>
  <si>
    <t>Paraburkholderia panacisoli</t>
  </si>
  <si>
    <t>phosphoketolase [Caballeronia glathei]</t>
  </si>
  <si>
    <t>Caballeronia glathei</t>
  </si>
  <si>
    <t>phosphoketolase family protein [Paraburkholderia sp. BL8N3]</t>
  </si>
  <si>
    <t>Paraburkholderia sp. BL8N3</t>
  </si>
  <si>
    <t>phosphoketolase family protein [Paraburkholderia dinghuensis]</t>
  </si>
  <si>
    <t>Paraburkholderia dinghuensis</t>
  </si>
  <si>
    <t>phosphoketolase family protein [Burkholderia sp. SRS-W-2-2016]</t>
  </si>
  <si>
    <t>Burkholderia sp. SRS-W-2-2016</t>
  </si>
  <si>
    <t>phosphoketolase family protein [Pandoraea sp.]</t>
  </si>
  <si>
    <t>Pandoraea sp.</t>
  </si>
  <si>
    <t>phosphoketolase [Kineobactrum salinum]</t>
  </si>
  <si>
    <t>Kineobactrum salinum</t>
  </si>
  <si>
    <t>phosphoketolase family protein [Bacteroidetes bacterium]</t>
  </si>
  <si>
    <t>Bacteroidetes bacterium</t>
  </si>
  <si>
    <t>Bacteroidetes is composed of three large classes of Gram-negative, nonsporeforming, anaerobic or aerobic, and rod-shaped bacteria</t>
  </si>
  <si>
    <t>phosphoketolase family protein [Variovorax sp.]</t>
  </si>
  <si>
    <t>Variovorax sp.</t>
  </si>
  <si>
    <t>phosphoketolase [Allochromatium humboldtianum]</t>
  </si>
  <si>
    <t>Allochromatium humboldtianum</t>
  </si>
  <si>
    <t>Gram-negative and motile bacterium </t>
  </si>
  <si>
    <t>phosphoketolase [Deltaproteobacteria bacterium]</t>
  </si>
  <si>
    <t>Deltaproteobacteria bacterium</t>
  </si>
  <si>
    <t>phosphoketolase [Hydrogenophilales bacterium 12-64-13]</t>
  </si>
  <si>
    <t>Hydrogenophilales bacterium 12-64-13</t>
  </si>
  <si>
    <t>phosphoketolase [Candidatus Rokubacteria bacterium 13_1_40CM_4_67_11]</t>
  </si>
  <si>
    <t>Candidatus Rokubacteria bacterium 13_1_40CM_4_67_11</t>
  </si>
  <si>
    <t>TPA: phosphoketolase family protein [Deltaproteobacteria bacterium]</t>
  </si>
  <si>
    <t>phosphoketolase family protein [Steroidobacteraceae bacterium]</t>
  </si>
  <si>
    <t>Steroidobacteraceae bacterium</t>
  </si>
  <si>
    <t>phosphoketolase [Gammaproteobacteria bacterium HGW-Gammaproteobacteria-3]</t>
  </si>
  <si>
    <t>Gammaproteobacteria bacterium HGW-Gammaproteobacteria-3</t>
  </si>
  <si>
    <t>phosphoketolase [Paraburkholderia ultramafica]</t>
  </si>
  <si>
    <t>Paraburkholderia ultramafica</t>
  </si>
  <si>
    <t>phosphoketolase family protein [Caballeronia pedi]</t>
  </si>
  <si>
    <t>Caballeronia pedi</t>
  </si>
  <si>
    <t>phosphoketolase family protein [Ferriphaselus sp. R-1]</t>
  </si>
  <si>
    <t>Ferriphaselus sp. R-1</t>
  </si>
  <si>
    <t>phosphoketolase family protein [Paraburkholderia sp. BL10I2N1]</t>
  </si>
  <si>
    <t>Paraburkholderia sp. BL10I2N1</t>
  </si>
  <si>
    <t>phosphoketolase family protein [Burkholderia sp. KK1]</t>
  </si>
  <si>
    <t>Burkholderia sp. KK1</t>
  </si>
  <si>
    <t>phosphoketolase family protein</t>
  </si>
  <si>
    <t>Unknown</t>
  </si>
  <si>
    <t>phosphoketolase [Anaeromyxobacter sp. PSR-1]</t>
  </si>
  <si>
    <t>Anaeromyxobacter sp. PSR-1</t>
  </si>
  <si>
    <t>phosphoketolase family protein [Thermochromatium tepidum]</t>
  </si>
  <si>
    <t>Thermochromatium tepidum</t>
  </si>
  <si>
    <t>phosphoketolase [Caballeronia sp. EK]</t>
  </si>
  <si>
    <t>Caballeronia sp. EK</t>
  </si>
  <si>
    <t>phosphoketolase family protein [Betaproteobacteria bacterium]</t>
  </si>
  <si>
    <t>Betaproteobacteria bacterium</t>
  </si>
  <si>
    <t>phosphoketolase family protein [Allochromatium warmingii]</t>
  </si>
  <si>
    <t>Allochromatium warmingii</t>
  </si>
  <si>
    <t>An anaerobe, psychrophilic gammaproteobacteria bacterium</t>
  </si>
  <si>
    <t>TPA: phosphoketolase family protein [Gammaproteobacteria bacterium]</t>
  </si>
  <si>
    <t>phosphoketolase [Caballeronia megalochromosomata]</t>
  </si>
  <si>
    <t>Caballeronia megalochromosomata</t>
  </si>
  <si>
    <t>phosphoketolase family protein [Betaproteobacteria bacterium SCN1]</t>
  </si>
  <si>
    <t>Betaproteobacteria bacterium SCN1</t>
  </si>
  <si>
    <t>phosphoketolase [Crenothrix sp. D3]</t>
  </si>
  <si>
    <t>Crenothrix sp. D3</t>
  </si>
  <si>
    <t>phosphoketolase family protein [Caballeronia cordobensis]</t>
  </si>
  <si>
    <t>Caballeronia cordobensis</t>
  </si>
  <si>
    <t>phosphoketolase family protein [Burkholderia sp. YI23]</t>
  </si>
  <si>
    <t>Burkholderia sp. YI23</t>
  </si>
  <si>
    <t>phosphoketolase family protein [Caballeronia zhejiangensis]</t>
  </si>
  <si>
    <t>Caballeronia zhejiangensis</t>
  </si>
  <si>
    <t>phosphoketolase family protein [Paraburkholderia sp. BL27I4N3]</t>
  </si>
  <si>
    <t>Paraburkholderia sp. BL27I4N3</t>
  </si>
  <si>
    <t>phosphoketolase [Paraburkholderia fynbosensis]</t>
  </si>
  <si>
    <t>Paraburkholderia fynbosensis</t>
  </si>
  <si>
    <t>phosphoketolase family protein [Paraburkholderia kirstenboschensis]</t>
  </si>
  <si>
    <t>Paraburkholderia kirstenboschensis</t>
  </si>
  <si>
    <t>phosphoketolase [Paraburkholderia caledonica]</t>
  </si>
  <si>
    <t>Paraburkholderia caledonica</t>
  </si>
  <si>
    <t>phosphoketolase family protein [Paraburkholderia caledonica]</t>
  </si>
  <si>
    <t>phosphoketolase [Hydrogenophilales bacterium 12-61-10]</t>
  </si>
  <si>
    <t>Hydrogenophilales bacterium 12-61-10</t>
  </si>
  <si>
    <t>phosphoketolase family protein [Crenothrix polyspora]</t>
  </si>
  <si>
    <t>Crenothrix polyspora</t>
  </si>
  <si>
    <t>phosphoketolase family protein [Caballeronia ptereochthonis]</t>
  </si>
  <si>
    <t>Caballeronia ptereochthonis</t>
  </si>
  <si>
    <t>Aerobe, mesophilic betaproteobacteria </t>
  </si>
  <si>
    <t>phosphoketolase family protein [Caballeronia arvi]</t>
  </si>
  <si>
    <t>Caballeronia arvi</t>
  </si>
  <si>
    <t>phosphoketolase family protein [Caballeronia catudaia]</t>
  </si>
  <si>
    <t>Caballeronia catudaia</t>
  </si>
  <si>
    <t>phosphoketolase [Caballeronia jiangsuensis]</t>
  </si>
  <si>
    <t>Caballeronia jiangsuensis</t>
  </si>
  <si>
    <t>phosphoketolase family protein [Paraburkholderia sp. BL6665CI2N2]</t>
  </si>
  <si>
    <t>Paraburkholderia sp. BL6665CI2N2</t>
  </si>
  <si>
    <t>phosphoketolase family protein [Paraburkholderia sp. BL17N1]</t>
  </si>
  <si>
    <t>Paraburkholderia sp. BL17N1</t>
  </si>
  <si>
    <t>phosphoketolase family protein [Burkholderia sp. Bk]</t>
  </si>
  <si>
    <t>Burkholderia sp. Bk</t>
  </si>
  <si>
    <t>phosphoketolase [Proteobacteria bacterium ST_bin11]</t>
  </si>
  <si>
    <t>Proteobacteria bacterium ST_bin11</t>
  </si>
  <si>
    <t>phosphoketolase [Hydrogenophilales bacterium 32-62-9]</t>
  </si>
  <si>
    <t>Hydrogenophilales bacterium 32-62-9</t>
  </si>
  <si>
    <t>phosphoketolase family protein [Paraburkholderia sp. RAU2J]</t>
  </si>
  <si>
    <t>Paraburkholderia sp. RAU2J</t>
  </si>
  <si>
    <t>phosphoketolase [Hydrogenophilales bacterium 28-61-23]</t>
  </si>
  <si>
    <t>Hydrogenophilales bacterium 28-61-23</t>
  </si>
  <si>
    <t>phosphoketolase family protein [Paraburkholderia sp. BL6669N2]</t>
  </si>
  <si>
    <t>Paraburkholderia sp. BL6669N2</t>
  </si>
  <si>
    <t>phosphoketolase family protein [Paraburkholderia graminis]</t>
  </si>
  <si>
    <t>Paraburkholderia graminis</t>
  </si>
  <si>
    <t>MULTISPECIES: phosphoketolase family protein [unclassified Paraburkholderia]</t>
  </si>
  <si>
    <t>unclassified Paraburkholderia</t>
  </si>
  <si>
    <t>phosphoketolase family protein [Paraburkholderia sp. SG903]</t>
  </si>
  <si>
    <t>Paraburkholderia sp. SG903</t>
  </si>
  <si>
    <t>phosphoketolase [Paraburkholderia strydomiana]</t>
  </si>
  <si>
    <t>Paraburkholderia strydomiana</t>
  </si>
  <si>
    <t>phosphoketolase family protein [Paraburkholderia sprentiae]</t>
  </si>
  <si>
    <t>Paraburkholderia sprentiae</t>
  </si>
  <si>
    <t>phosphoketolase [Kineobactrum sediminis]</t>
  </si>
  <si>
    <t>Kineobactrum sediminis</t>
  </si>
  <si>
    <t>acetate kinase [Anaeromyxobacter sp. Fw109-5]</t>
  </si>
  <si>
    <t>Anaeromyxobacter sp. Fw109-5</t>
  </si>
  <si>
    <t>phosphoketolase [Anaeromyxobacter dehalogenans]</t>
  </si>
  <si>
    <t>Anaeromyxobacter dehalogenans</t>
  </si>
  <si>
    <t>phosphoketolase [Anaeromyxobacter sp. K]</t>
  </si>
  <si>
    <t>Anaeromyxobacter sp. K</t>
  </si>
  <si>
    <t>phosphoketolase [Anaeromyxobacter sp. Fw109-5]</t>
  </si>
  <si>
    <t>phosphoketolase family protein [Allochromatium palmeri]</t>
  </si>
  <si>
    <t>Allochromatium palmeri</t>
  </si>
  <si>
    <t>phosphoketolase [gamma proteobacterium symbiont of Ctena orbiculata]</t>
  </si>
  <si>
    <t>gamma proteobacterium symbiont of Ctena orbiculata</t>
  </si>
  <si>
    <t>phosphoketolase family protein [Paraburkholderia guartelaensis]</t>
  </si>
  <si>
    <t>Paraburkholderia guartelaensis</t>
  </si>
  <si>
    <t>phosphoketolase family protein [Candidimonas bauzanensis]</t>
  </si>
  <si>
    <t>Candidimonas bauzanensis</t>
  </si>
  <si>
    <t>A Gram-negative, facultatively anaerobic, psychrophilic and motile betaproteobacteria </t>
  </si>
  <si>
    <t>phosphoketolase family protein [Caballeronia hypogeia]</t>
  </si>
  <si>
    <t>Caballeronia hypogeia</t>
  </si>
  <si>
    <t>phosphoketolase family protein [Caballeronia temeraria]</t>
  </si>
  <si>
    <t>Caballeronia temeraria</t>
  </si>
  <si>
    <t>phosphoketolase [Burkholderia sp. OAS925]</t>
  </si>
  <si>
    <t>Burkholderia sp. OAS925</t>
  </si>
  <si>
    <t>phosphoketolase family protein [Eoetvoesia caeni]</t>
  </si>
  <si>
    <t>Eoetvoesia caeni</t>
  </si>
  <si>
    <t>phosphoketolase [Gammaproteobacteria bacterium SG8_11]</t>
  </si>
  <si>
    <t>Gammaproteobacteria bacterium SG8_11</t>
  </si>
  <si>
    <t>phosphoketolase family protein [Zetaproteobacteria bacterium]</t>
  </si>
  <si>
    <t>Zetaproteobacteria bacterium</t>
  </si>
  <si>
    <t>Zetaproteobacteria</t>
  </si>
  <si>
    <t>phosphoketolase family protein [Paraburkholderia ribeironis]</t>
  </si>
  <si>
    <t>Paraburkholderia ribeironis</t>
  </si>
  <si>
    <t>It is an aryl-halorespiring facultative anaerobic myxobacterium, deltaproteobacteria</t>
  </si>
  <si>
    <t>TPA: phosphoketolase [Gallionellaceae bacterium]</t>
  </si>
  <si>
    <t>Gallionellaceae bacterium</t>
  </si>
  <si>
    <t>phosphoketolase family protein [Paraburkholderia sp. OV446]</t>
  </si>
  <si>
    <t>Paraburkholderia sp. OV446</t>
  </si>
  <si>
    <t>phosphoketolase family protein [Methylophilaceae bacterium]</t>
  </si>
  <si>
    <t>Methylophilaceae bacterium</t>
  </si>
  <si>
    <t>phosphoketolase family protein [Methylomicrobium lacus]</t>
  </si>
  <si>
    <t>Methylomicrobium lacus</t>
  </si>
  <si>
    <t>phosphoketolase family protein [Haliea sp. SAOS-164]</t>
  </si>
  <si>
    <t>Haliea sp. SAOS-164</t>
  </si>
  <si>
    <t>phosphoketolase family protein [Sterolibacteriaceae bacterium]</t>
  </si>
  <si>
    <t>Sterolibacteriaceae bacterium</t>
  </si>
  <si>
    <t>hypothetical protein FD173_518 [Gallionellaceae bacterium]</t>
  </si>
  <si>
    <t>phosphoketolase [Paraburkholderia sp. CI2]</t>
  </si>
  <si>
    <t>Paraburkholderia sp. CI2</t>
  </si>
  <si>
    <t>phosphoketolase family protein [Paraburkholderia monticola]</t>
  </si>
  <si>
    <t>Paraburkholderia monticola</t>
  </si>
  <si>
    <t>phosphoketolase family protein [Gallionella capsiferriformans]</t>
  </si>
  <si>
    <t>Gallionella capsiferriformans</t>
  </si>
  <si>
    <t>MULTISPECIES: phosphoketolase [unclassified Paraburkholderia]</t>
  </si>
  <si>
    <t>phosphoketolase [Paraburkholderia sp. UCT31]</t>
  </si>
  <si>
    <t>Paraburkholderia sp. UCT31</t>
  </si>
  <si>
    <t>phosphoketolase family protein [Paraburkholderia tuberum]</t>
  </si>
  <si>
    <t>Paraburkholderia tuberum</t>
  </si>
  <si>
    <t>phosphoketolase [Nevskia soli]</t>
  </si>
  <si>
    <t>Nevskia soli</t>
  </si>
  <si>
    <t>phosphoketolase [Gallionellales bacterium GWA2_60_18]</t>
  </si>
  <si>
    <t>Gallionellales bacterium GWA2_60_18</t>
  </si>
  <si>
    <t>xylulose-5-phosphate/fructose-6-phosphate phosphoketolase [Rhodocyclaceae bacterium]</t>
  </si>
  <si>
    <t>phosphoketolase [Gallionellales bacterium GWA2_54_124]</t>
  </si>
  <si>
    <t>Gallionellales bacterium GWA2_54_124</t>
  </si>
  <si>
    <t>phosphoketolase [Paraburkholderia sp. UCT2]</t>
  </si>
  <si>
    <t>Paraburkholderia sp. UCT2</t>
  </si>
  <si>
    <t>phosphoketolase [Paraburkholderia sp. Cpub6]</t>
  </si>
  <si>
    <t>Paraburkholderia sp. Cpub6</t>
  </si>
  <si>
    <t>phosphoketolase family protein [Paraburkholderia sp. UYCP14C]</t>
  </si>
  <si>
    <t>Paraburkholderia sp. UYCP14C</t>
  </si>
  <si>
    <t>phosphoketolase [Deltaproteobacteria bacterium RIFOXYA12_FULL_58_15]</t>
  </si>
  <si>
    <t>Deltaproteobacteria bacterium RIFOXYA12_FULL_58_15</t>
  </si>
  <si>
    <t>phosphoketolase family protein [Marichromatium purpuratum]</t>
  </si>
  <si>
    <t>Marichromatium purpuratum</t>
  </si>
  <si>
    <t>phosphoketolase family protein [Bradyrhizobiaceae bacterium]</t>
  </si>
  <si>
    <t>Bradyrhizobiaceae bacterium</t>
  </si>
  <si>
    <t>phosphoketolase family protein [Alphaproteobacteria bacterium]</t>
  </si>
  <si>
    <t>Alphaproteobacteria bacterium</t>
  </si>
  <si>
    <t>phosphoketolase family protein [Thiohalophilus thiocyanatoxydans]</t>
  </si>
  <si>
    <t>Thiohalophilus thiocyanatoxydans</t>
  </si>
  <si>
    <t>phosphoketolase family protein [Burkholderiales bacterium]</t>
  </si>
  <si>
    <t>Burkholderiales bacterium</t>
  </si>
  <si>
    <t>phosphoketolase [Paraburkholderia sp. 31.1]</t>
  </si>
  <si>
    <t>Paraburkholderia sp. 31.1</t>
  </si>
  <si>
    <t>phosphoketolase [Candidatus Rokubacteria bacterium 13_2_20CM_2_70_11]</t>
  </si>
  <si>
    <t>Candidatus Rokubacteria bacterium 13_2_20CM_2_70_11</t>
  </si>
  <si>
    <t>phosphoketolase [Hydrogenophilales bacterium 16-64-40]</t>
  </si>
  <si>
    <t>Hydrogenophilales bacterium 16-64-40</t>
  </si>
  <si>
    <t>phosphoketolase [Gammaproteobacteria bacterium BRH_c0]</t>
  </si>
  <si>
    <t>Gammaproteobacteria bacterium BRH_c0</t>
  </si>
  <si>
    <t>MULTISPECIES: phosphoketolase family protein [Marichromatium]</t>
  </si>
  <si>
    <t>Marichromatium</t>
  </si>
  <si>
    <t>phosphoketolase family protein [Thiothrix caldifontis]</t>
  </si>
  <si>
    <t>Thiothrix caldifontis</t>
  </si>
  <si>
    <t>phosphoketolase [Paraburkholderia sp. MM5384-R2]</t>
  </si>
  <si>
    <t>Paraburkholderia sp. MM5384-R2</t>
  </si>
  <si>
    <t>phosphoketolase family protein [Methylotenera sp. G11]</t>
  </si>
  <si>
    <t>Methylotenera sp. G11</t>
  </si>
  <si>
    <t>Phosphoketolase [Burkholderia sp. H160]</t>
  </si>
  <si>
    <t>Burkholderia sp. H160</t>
  </si>
  <si>
    <t>phosphoketolase [Acidobacteriales bacterium 59-55]</t>
  </si>
  <si>
    <t>Acidobacteriales bacterium 59-55</t>
  </si>
  <si>
    <t>phosphoketolase [Thiocystis minor]</t>
  </si>
  <si>
    <t>Thiocystis minor</t>
  </si>
  <si>
    <t>Phototrophic/Gammaproteobacteria</t>
  </si>
  <si>
    <t>phosphoketolase family protein [Piscirickettsiaceae bacterium]</t>
  </si>
  <si>
    <t>Piscirickettsiaceae bacterium</t>
  </si>
  <si>
    <t>phosphoketolase family protein [Lamprocystis purpurea]</t>
  </si>
  <si>
    <t>Lamprocystis purpurea</t>
  </si>
  <si>
    <t>phosphoketolase [Marichromatium bheemlicum]</t>
  </si>
  <si>
    <t>Marichromatium bheemlicum</t>
  </si>
  <si>
    <t>phosphoketolase family protein [Marichromatium gracile]</t>
  </si>
  <si>
    <t>Marichromatium gracile</t>
  </si>
  <si>
    <t>putative phosphoketolase [Ferrigenium kumadai]</t>
  </si>
  <si>
    <t>Ferrigenium kumadai</t>
  </si>
  <si>
    <t>phosphoketolase [Gammaproteobacteria bacterium]</t>
  </si>
  <si>
    <t>phosphoketolase family protein [Dyella thiooxydans]</t>
  </si>
  <si>
    <t>Dyella thiooxydans</t>
  </si>
  <si>
    <t>phosphoketolase [Halochromatium sp.]</t>
  </si>
  <si>
    <t>Halochromatium sp.</t>
  </si>
  <si>
    <t>phosphoketolase [Lamprobacter modestohalophilus]</t>
  </si>
  <si>
    <t>Lamprobacter modestohalophilus</t>
  </si>
  <si>
    <t>phosphoketolase family protein [Sideroxydans sp.]</t>
  </si>
  <si>
    <t>Sideroxydans sp.</t>
  </si>
  <si>
    <t>phosphoketolase family protein [Ectothiorhodospiraceae bacterium BW-2]</t>
  </si>
  <si>
    <t>Ectothiorhodospiraceae bacterium BW-2</t>
  </si>
  <si>
    <t>phosphoketolase [Gallionellales bacterium 35-53-114]</t>
  </si>
  <si>
    <t>Gallionellales bacterium 35-53-114</t>
  </si>
  <si>
    <t>phosphoketolase [Thiocystis violacea]</t>
  </si>
  <si>
    <t>Thiocystis violacea</t>
  </si>
  <si>
    <t>phosphoketolase family protein [Methylophaga sp.]</t>
  </si>
  <si>
    <t>phosphoketolase [Halochromatium glycolicum]</t>
  </si>
  <si>
    <t>Halochromatium glycolicum</t>
  </si>
  <si>
    <t>phosphoketolase family protein [Thiocapsa rosea]</t>
  </si>
  <si>
    <t>Thiocapsa rosea</t>
  </si>
  <si>
    <t>phosphoketolase family protein [Deltaproteobacteria bacterium]</t>
  </si>
  <si>
    <t>phosphoketolase family protein [Imhoffiella purpurea]</t>
  </si>
  <si>
    <t>Imhoffiella purpurea</t>
  </si>
  <si>
    <t>phosphoketolase family protein [Chromatocurvus halotolerans]</t>
  </si>
  <si>
    <t>Chromatocurvus halotolerans</t>
  </si>
  <si>
    <t>phosphoketolase family protein [Dyella ginsengisoli]</t>
  </si>
  <si>
    <t>Dyella ginsengisoli</t>
  </si>
  <si>
    <t>phosphoketolase family protein [Rhodobacteraceae bacterium]</t>
  </si>
  <si>
    <t>Rhodobacteraceae bacterium</t>
  </si>
  <si>
    <t>phosphoketolase family protein [Pseudohongiella nitratireducens]</t>
  </si>
  <si>
    <t>Pseudohongiella nitratireducens</t>
  </si>
  <si>
    <t>phosphoketolase [Thiorhodococcus mannitoliphagus]</t>
  </si>
  <si>
    <t>Thiorhodococcus mannitoliphagus</t>
  </si>
  <si>
    <t>phosphoketolase family protein [Thiocapsa marina]</t>
  </si>
  <si>
    <t>Thiocapsa marina</t>
  </si>
  <si>
    <t>phosphoketolase family protein [Thiocystis violascens]</t>
  </si>
  <si>
    <t>Thiocystis violascens</t>
  </si>
  <si>
    <t>phosphoketolase [Sideroxydans sp.]</t>
  </si>
  <si>
    <t>xylulose-5-phosphate/fructose-6-phosphate phosphoketolase [Myxococcaceae bacterium]</t>
  </si>
  <si>
    <t>Myxococcaceae bacterium</t>
  </si>
  <si>
    <t>MULTISPECIES: phosphoketolase family protein [unclassified Pseudomonas]</t>
  </si>
  <si>
    <t>unclassified Pseudomonas</t>
  </si>
  <si>
    <t>phosphoketolase family protein [Candidatus Methylospira mobilis]</t>
  </si>
  <si>
    <t>Candidatus Methylospira mobilis</t>
  </si>
  <si>
    <t>phosphoketolase family protein [Bryobacteraceae bacterium]</t>
  </si>
  <si>
    <t>Bryobacteraceae bacterium</t>
  </si>
  <si>
    <t>phosphoketolase family protein [Mariprofundus erugo]</t>
  </si>
  <si>
    <t>Mariprofundus erugo</t>
  </si>
  <si>
    <t>phosphoketolase family protein [Thiorhodococcus minor]</t>
  </si>
  <si>
    <t>Thiorhodococcus minor</t>
  </si>
  <si>
    <t>phosphoketolase family protein [Thiocapsa roseopersicina]</t>
  </si>
  <si>
    <t>Thiocapsa roseopersicina</t>
  </si>
  <si>
    <t>An anaerobe, mesophilic gammaproteobacteria</t>
  </si>
  <si>
    <t>phosphoketolase family protein [Burkholderia sp. CF099]</t>
  </si>
  <si>
    <t>Burkholderia sp. CF099</t>
  </si>
  <si>
    <t>phosphoketolase family protein [Lysobacter sp. Alg18-2.2]</t>
  </si>
  <si>
    <t>Lysobacter sp. Alg18-2.2</t>
  </si>
  <si>
    <t>phosphoketolase [Xanthomonadales bacterium 15-68-25]</t>
  </si>
  <si>
    <t>Xanthomonadales bacterium 15-68-25</t>
  </si>
  <si>
    <t>phosphoketolase family protein [Acidobacteria bacterium]</t>
  </si>
  <si>
    <t>phosphoketolase family protein [Thiorhodococcus drewsii]</t>
  </si>
  <si>
    <t>Thiorhodococcus drewsii</t>
  </si>
  <si>
    <t>Gamaproteobacteria</t>
  </si>
  <si>
    <t>phosphoketolase family protein [Dasania marina]</t>
  </si>
  <si>
    <t>Dasania marina</t>
  </si>
  <si>
    <t>phosphoketolase family protein [Candidatus Obscuribacter sp.]</t>
  </si>
  <si>
    <t>Candidatus Obscuribacter sp.</t>
  </si>
  <si>
    <t>phosphoketolase family protein [Thiocapsa sp. KS1]</t>
  </si>
  <si>
    <t>Thiocapsa sp. KS1</t>
  </si>
  <si>
    <t>phosphoketolase family protein [Pusillimonas sp. T2]</t>
  </si>
  <si>
    <t>Pusillimonas sp. T2</t>
  </si>
  <si>
    <t>phosphoketolase family protein [Candidatus Melainabacteria bacterium]</t>
  </si>
  <si>
    <t>phosphoketolase family protein [Labilithrix luteola]</t>
  </si>
  <si>
    <t>Labilithrix luteola</t>
  </si>
  <si>
    <t>phosphoketolase [Acidithiobacillus ferrooxidans]</t>
  </si>
  <si>
    <t>Acidithiobacillus ferrooxidans</t>
  </si>
  <si>
    <t>phosphoketolase family protein [Gallionellaceae bacterium]</t>
  </si>
  <si>
    <t>phosphoketolase [Pseudomonadales bacterium]</t>
  </si>
  <si>
    <t>Pseudomonadales bacterium</t>
  </si>
  <si>
    <t>MULTISPECIES: phosphoketolase family protein [Acidithiobacillus]</t>
  </si>
  <si>
    <t>Acidithiobacillus</t>
  </si>
  <si>
    <t>phosphoketolase family protein [Chromatiaceae bacterium]</t>
  </si>
  <si>
    <t>Chromatiaceae bacterium</t>
  </si>
  <si>
    <t>phosphoketolase [Pusillimonas sp.]</t>
  </si>
  <si>
    <t>Pusillimonas sp.</t>
  </si>
  <si>
    <t>phosphoketolase [Candidatus Methyloumidiphilus alinensis]</t>
  </si>
  <si>
    <t>Candidatus Methyloumidiphilus alinensis</t>
  </si>
  <si>
    <t>phosphoketolase family protein [Alcaligenaceae bacterium]</t>
  </si>
  <si>
    <t>Alcaligenaceae bacterium</t>
  </si>
  <si>
    <t>phosphoketolase family protein [Candidatus Thiodictyon syntrophicum]</t>
  </si>
  <si>
    <t>Candidatus Thiodictyon syntrophicum</t>
  </si>
  <si>
    <t>phosphoketolase family protein [Azospira oryzae]</t>
  </si>
  <si>
    <t>Azospira oryzae</t>
  </si>
  <si>
    <t>phosphoketolase [Pusillimonas sp. DMV24BSW_D]</t>
  </si>
  <si>
    <t>Pusillimonas sp. DMV24BSW_D</t>
  </si>
  <si>
    <t>phosphoketolase family protein [Candidatus Rokubacteria bacterium]</t>
  </si>
  <si>
    <t>phosphoketolase family protein [Paraglaciecola sp. MB-3u-78]</t>
  </si>
  <si>
    <t>Paraglaciecola sp. MB-3u-78</t>
  </si>
  <si>
    <t>phosphoketolase [bacterium]</t>
  </si>
  <si>
    <t>phosphoketolase family protein [candidate division NC10 bacterium]</t>
  </si>
  <si>
    <t>candidate division NC10 bacterium</t>
  </si>
  <si>
    <t>phosphoketolase family protein [Candidatus Thiothrix singaporensis]</t>
  </si>
  <si>
    <t>Candidatus Thiothrix singaporensis</t>
  </si>
  <si>
    <t>phosphoketolase [Candidatus Muproteobacteria bacterium RBG_16_60_9]</t>
  </si>
  <si>
    <t>Candidatus Muproteobacteria bacterium RBG_16_60_9</t>
  </si>
  <si>
    <t>phosphoketolase [Azospira oryzae PS]</t>
  </si>
  <si>
    <t>Azospira oryzae PS</t>
  </si>
  <si>
    <t>phosphoketolase family protein [Azovibrio restrictus]</t>
  </si>
  <si>
    <t>Azovibrio restrictus</t>
  </si>
  <si>
    <t>phosphoketolase [Azospira oryzae]</t>
  </si>
  <si>
    <t>phosphoketolase [Acidithiobacillus ferrivorans]</t>
  </si>
  <si>
    <t>Acidithiobacillus ferrivorans</t>
  </si>
  <si>
    <t>phosphoketolase family protein [Acidithiobacillus ferrivorans]</t>
  </si>
  <si>
    <t>phosphoketolase family protein [Myxococcales bacterium]</t>
  </si>
  <si>
    <t>Myxococcales bacterium</t>
  </si>
  <si>
    <t>TPA: phosphoketolase family protein [Desulfobacca acetoxidans]</t>
  </si>
  <si>
    <t>Desulfobacca acetoxidans</t>
  </si>
  <si>
    <t>phosphoketolase [Chromatium okenii]</t>
  </si>
  <si>
    <t>Chromatium okenii</t>
  </si>
  <si>
    <t>phosphoketolase [candidate division NC10 bacterium RIFCSPLOWO2_02_FULL_66_22]</t>
  </si>
  <si>
    <t>candidate division NC10 bacterium RIFCSPLOWO2_02_FULL_66_22</t>
  </si>
  <si>
    <t>putative phosphoketolase [Azospira sp. I13]</t>
  </si>
  <si>
    <t>Azospira sp. I13</t>
  </si>
  <si>
    <t>phosphoketolase family protein [Azospira sp. I13]</t>
  </si>
  <si>
    <t>phosphoketolase [Psychrosphaera sp. MTZ26]</t>
  </si>
  <si>
    <t>Psychrosphaera sp. MTZ26</t>
  </si>
  <si>
    <t>phosphoketolase [Betaproteobacteria bacterium HGW-Betaproteobacteria-14]</t>
  </si>
  <si>
    <t>Betaproteobacteria bacterium HGW-Betaproteobacteria-14</t>
  </si>
  <si>
    <t>Halophilic purple sulfur gammaproteobacteria</t>
  </si>
  <si>
    <t>phosphoketolase [Acidobacteriia bacterium]</t>
  </si>
  <si>
    <t>Acidobacteriia bacterium</t>
  </si>
  <si>
    <t>MULTISPECIES: phosphoketolase family protein [Deinococcus]</t>
  </si>
  <si>
    <t>Deinococcus</t>
  </si>
  <si>
    <t>An extremophilic bacterium and one of the most radiation-resistant organisms known.</t>
  </si>
  <si>
    <t>phosphoketolase [Acidithiobacillus sp. MC6.1]</t>
  </si>
  <si>
    <t>Acidithiobacillus sp. MC6.1</t>
  </si>
  <si>
    <t>phosphoketolase family protein [Marinobacter sp.]</t>
  </si>
  <si>
    <t>Marinobacter sp.</t>
  </si>
  <si>
    <t>TPA: phosphoketolase [Marinobacter sp.]</t>
  </si>
  <si>
    <t>phosphoketolase [bacterium SCN 62-11]</t>
  </si>
  <si>
    <t>bacterium SCN 62-11</t>
  </si>
  <si>
    <t>phosphoketolase family protein [Halothiobacillus sp. LS2]</t>
  </si>
  <si>
    <t>Halothiobacillus sp. LS2</t>
  </si>
  <si>
    <t>phosphoketolase [Sneathiella sp. P13V-1]</t>
  </si>
  <si>
    <t>Sneathiella sp. P13V-1</t>
  </si>
  <si>
    <t>phosphoketolase [Deinococcus ruber]</t>
  </si>
  <si>
    <t>Deinococcus ruber</t>
  </si>
  <si>
    <t>A radiation-resistant bacterium</t>
  </si>
  <si>
    <t>phosphoketolase family protein [Hydrogenophilales bacterium]</t>
  </si>
  <si>
    <t>Hydrogenophilales bacterium</t>
  </si>
  <si>
    <t>TPA: phosphoketolase family protein [Candidatus Rokubacteria bacterium]</t>
  </si>
  <si>
    <t>xylulose-5-phosphate phosphoketolase [bacterium BMS3Bbin14]</t>
  </si>
  <si>
    <t>bacterium BMS3Bbin14</t>
  </si>
  <si>
    <t>TPA: phosphoketolase family protein [Desulfobacteraceae bacterium]</t>
  </si>
  <si>
    <t>Desulfobacteraceae bacterium</t>
  </si>
  <si>
    <t>phosphoketolase [Lautropia sp. SCN 69-89]</t>
  </si>
  <si>
    <t>Lautropia sp. SCN 69-89</t>
  </si>
  <si>
    <t>phosphoketolase [Acidithiobacillus ferrianus]</t>
  </si>
  <si>
    <t>Acidithiobacillus ferrianus</t>
  </si>
  <si>
    <t>phosphoketolase family protein [Chitinimonas sp. BJB300]</t>
  </si>
  <si>
    <t>Chitinimonas sp. BJB300</t>
  </si>
  <si>
    <t>phosphoketolase family protein [Roseiarcus fermentans]</t>
  </si>
  <si>
    <t>Roseiarcus fermentans</t>
  </si>
  <si>
    <t>TPA: phosphoketolase [Marinobacter salarius]</t>
  </si>
  <si>
    <t>Marinobacter salarius</t>
  </si>
  <si>
    <t>xylulose-5-phosphate phosphoketolase [bacterium BMS3Abin13]</t>
  </si>
  <si>
    <t>bacterium BMS3Abin13</t>
  </si>
  <si>
    <t>phosphoketolase family protein [Thermithiobacillus tepidarius]</t>
  </si>
  <si>
    <t>Thermithiobacillus tepidarius</t>
  </si>
  <si>
    <t>phosphoketolase [candidate division NC10 bacterium]</t>
  </si>
  <si>
    <t>TPA: phosphoketolase family protein [Armatimonadetes bacterium]</t>
  </si>
  <si>
    <t>Armatimonadetes bacterium</t>
  </si>
  <si>
    <t>Gram-negative bacteria</t>
  </si>
  <si>
    <t>phosphoketolase [Deltaproteobacteria bacterium RIFCSPLOWO2_12_FULL_60_19]</t>
  </si>
  <si>
    <t>Deltaproteobacteria bacterium RIFCSPLOWO2_12_FULL_60_19</t>
  </si>
  <si>
    <t>phosphoketolase [candidate division Zixibacteria bacterium]</t>
  </si>
  <si>
    <t>candidate division Zixibacteria bacterium</t>
  </si>
  <si>
    <t>Zixibacteria is a bacterial phylum with candidate status, meaning it had no cultured representatives. </t>
  </si>
  <si>
    <t>phosphoketolase family protein [Tatlockia sp.]</t>
  </si>
  <si>
    <t>Tatlockia sp.</t>
  </si>
  <si>
    <t>phosphoketolase family protein [Edaphobacter aggregans]</t>
  </si>
  <si>
    <t>Edaphobacter aggregans</t>
  </si>
  <si>
    <t>phosphoketolase [Chitinimonas sp. BJB300]</t>
  </si>
  <si>
    <t>phosphoketolase family protein [Azospirillum brasilense]</t>
  </si>
  <si>
    <t>Azospirillum brasilense</t>
  </si>
  <si>
    <t>phosphoketolase [Azospirillum brasilense]</t>
  </si>
  <si>
    <t>phosphoketolase family protein [Candidatus Obscuribacter phosphatis]</t>
  </si>
  <si>
    <t>Candidatus Obscuribacter phosphatis</t>
  </si>
  <si>
    <t>phosphoketolase [Candidatus Tenderia electrophaga]</t>
  </si>
  <si>
    <t>Candidatus Tenderia electrophaga</t>
  </si>
  <si>
    <t>phosphoketolase [Betaproteobacteria bacterium RIFCSPLOWO2_12_FULL_62_13]</t>
  </si>
  <si>
    <t>Betaproteobacteria bacterium RIFCSPLOWO2_12_FULL_62_13</t>
  </si>
  <si>
    <t>MULTISPECIES: phosphoketolase family protein [unclassified Halothiobacillus]</t>
  </si>
  <si>
    <t>unclassified Halothiobacillus</t>
  </si>
  <si>
    <t>phosphoketolase family protein [Kiritimatiellae bacterium]</t>
  </si>
  <si>
    <t>Kiritimatiellae bacterium</t>
  </si>
  <si>
    <t>phosphoketolase [Halomonas sp.]</t>
  </si>
  <si>
    <t>Halomonas sp.</t>
  </si>
  <si>
    <t>TPA: phosphoketolase family protein [Thiotrichales bacterium]</t>
  </si>
  <si>
    <t>Thiotrichales bacterium</t>
  </si>
  <si>
    <t>phosphoketolase family protein [Inquilinus limosus]</t>
  </si>
  <si>
    <t>Inquilinus limosus</t>
  </si>
  <si>
    <t>phosphoketolase family protein [Acidithiobacillus ferrooxidans]</t>
  </si>
  <si>
    <t>phosphoketolase [Betaproteobacteria bacterium RIFCSPLOWO2_12_FULL_62_58]</t>
  </si>
  <si>
    <t>Betaproteobacteria bacterium RIFCSPLOWO2_12_FULL_62_58</t>
  </si>
  <si>
    <t>phosphoketolase family protein [Thiorhodovibrio sp. 970]</t>
  </si>
  <si>
    <t>Thiorhodovibrio sp. 970</t>
  </si>
  <si>
    <t>phosphoketolase family protein [Microvirga massiliensis]</t>
  </si>
  <si>
    <t>Microvirga massiliensis</t>
  </si>
  <si>
    <t>Phosphoketolase [Marinobacter subterrani]</t>
  </si>
  <si>
    <t>Marinobacter subterrani</t>
  </si>
  <si>
    <t>phosphoketolase [Marinobacter subterrani]</t>
  </si>
  <si>
    <t>phosphoketolase family protein [Marinobacter sp. Arc7-DN-1]</t>
  </si>
  <si>
    <t>Marinobacter sp. Arc7-DN-1</t>
  </si>
  <si>
    <t>phosphoketolase [Marinobacter sp. Arc7-DN-1]</t>
  </si>
  <si>
    <t>phosphoketolase [Betaproteobacteria bacterium RIFCSPLOWO2_12_FULL_63_13]</t>
  </si>
  <si>
    <t>Betaproteobacteria bacterium RIFCSPLOWO2_12_FULL_63_13</t>
  </si>
  <si>
    <t>phosphoketolase family protein [Guyparkeria sp. SCN-R1]</t>
  </si>
  <si>
    <t>Guyparkeria sp. SCN-R1</t>
  </si>
  <si>
    <t>phosphoketolase [Guyparkeria sp. SCN-R1]</t>
  </si>
  <si>
    <t>phosphoketolase family protein [Pelomicrobium methylotrophicum]</t>
  </si>
  <si>
    <t>Pelomicrobium methylotrophicum</t>
  </si>
  <si>
    <t>phosphoketolase family protein [Armatimonadetes bacterium]</t>
  </si>
  <si>
    <t>phosphoketolase family protein [Rhodovastum atsumiense]</t>
  </si>
  <si>
    <t>Rhodovastum atsumiense</t>
  </si>
  <si>
    <t>phosphoketolase family protein [Porphyrobacter sp.]</t>
  </si>
  <si>
    <t>Porphyrobacter sp.</t>
  </si>
  <si>
    <t>MULTISPECIES: phosphoketolase [unclassified Marinobacter]</t>
  </si>
  <si>
    <t>unclassified Marinobacter</t>
  </si>
  <si>
    <t>phosphoketolase family protein [Xanthomonadales bacterium]</t>
  </si>
  <si>
    <t>Xanthomonadales bacterium</t>
  </si>
  <si>
    <t>phosphoketolase [Caulobacter sp. 17J65-9]</t>
  </si>
  <si>
    <t>Caulobacter sp. 17J65-9</t>
  </si>
  <si>
    <t>phosphoketolase family protein [Marinobacter lutaoensis]</t>
  </si>
  <si>
    <t>Marinobacter lutaoensis</t>
  </si>
  <si>
    <t>phosphoketolase family protein [Pseudomonadales bacterium]</t>
  </si>
  <si>
    <t>phosphoketolase family protein [Nevskia sp.]</t>
  </si>
  <si>
    <t>Nevskia sp.</t>
  </si>
  <si>
    <t>phosphoketolase</t>
  </si>
  <si>
    <t>phosphoketolase [Acidobacteria bacterium 13_2_20CM_57_17]</t>
  </si>
  <si>
    <t>Acidobacteria bacterium 13_2_20CM_57_17</t>
  </si>
  <si>
    <t>TPA: phosphoketolase [Deltaproteobacteria bacterium]</t>
  </si>
  <si>
    <t>phosphoketolase family protein [Candidatus Nitrotoga sp. AM1P]</t>
  </si>
  <si>
    <t>Candidatus Nitrotoga sp. AM1P</t>
  </si>
  <si>
    <t>phosphoketolase family protein [candidate division Zixibacteria bacterium]</t>
  </si>
  <si>
    <t>Zixibacteria is a bacterial phylum with candidate status, meaning it had no cultured representatives</t>
  </si>
  <si>
    <t>phosphoketolase [Marinobacter lutaoensis]</t>
  </si>
  <si>
    <t>phosphoketolase [Betaproteobacteria bacterium CG2_30_68_42]</t>
  </si>
  <si>
    <t>Betaproteobacteria bacterium CG2_30_68_42</t>
  </si>
  <si>
    <t>phosphoketolase family protein [Fibrella sp.]</t>
  </si>
  <si>
    <t>Fibrella sp.</t>
  </si>
  <si>
    <t>phosphoketolase [Verrucomicrobia bacterium]</t>
  </si>
  <si>
    <t>Verrucomicrobia bacterium</t>
  </si>
  <si>
    <t>phosphoketolase family protein [Immundisolibacter cernigliae]</t>
  </si>
  <si>
    <t>Immundisolibacter cernigliae</t>
  </si>
  <si>
    <t>phosphoketolase family protein [Marinobacter pelagius]</t>
  </si>
  <si>
    <t>Marinobacter pelagius</t>
  </si>
  <si>
    <t>phosphoketolase [Acidobacteria bacterium 13_1_20CM_58_21]</t>
  </si>
  <si>
    <t>Acidobacteria bacterium 13_1_20CM_58_21</t>
  </si>
  <si>
    <t>MULTISPECIES: phosphoketolase family protein [Azospirillum]</t>
  </si>
  <si>
    <t>Azospirillum</t>
  </si>
  <si>
    <t>phosphoketolase [Nordella sp. HKS 07]</t>
  </si>
  <si>
    <t>Nordella sp. HKS 07</t>
  </si>
  <si>
    <t>phosphoketolase family protein [Bradyrhizobium elkanii]</t>
  </si>
  <si>
    <t>Bradyrhizobium elkanii</t>
  </si>
  <si>
    <t>phosphoketolase family protein [Nordella sp. HKS 07]</t>
  </si>
  <si>
    <t>phosphoketolase [Bradyrhizobium neotropicale]</t>
  </si>
  <si>
    <t>Bradyrhizobium neotropicale</t>
  </si>
  <si>
    <t>phosphoketolase [Candidatus Muproteobacteria bacterium RIFCSPHIGHO2_12_FULL_60_33]</t>
  </si>
  <si>
    <t>Candidatus Muproteobacteria bacterium RIFCSPHIGHO2_12_FULL_60_33</t>
  </si>
  <si>
    <t>phosphoketolase family protein [Verrucomicrobia bacterium]</t>
  </si>
  <si>
    <t>phosphoketolase family protein [Syntrophaceae bacterium]</t>
  </si>
  <si>
    <t>Syntrophaceae bacterium</t>
  </si>
  <si>
    <t>xylulose-5-phosphate/fructose-6-phosphate phosphoketolase [Burkholderiales bacterium]</t>
  </si>
  <si>
    <t>phosphoketolase family protein [Deinococcus sp. S14-83]</t>
  </si>
  <si>
    <t>Deinococcus sp. S14-83</t>
  </si>
  <si>
    <t>Gram-negative, non-motile, short rod-shaped bacterial strain</t>
  </si>
  <si>
    <t>phosphoketolase family protein [Candidatus Lambdaproteobacteria bacterium]</t>
  </si>
  <si>
    <t>Candidatus Lambdaproteobacteria bacterium</t>
  </si>
  <si>
    <t>Lambdaproteobacteria</t>
  </si>
  <si>
    <t>phosphoketolase family protein [Desulfomicrobium baculatum]</t>
  </si>
  <si>
    <t>Desulfomicrobium baculatum</t>
  </si>
  <si>
    <t>phosphoketolase family protein [Marinobacter sp. C18]</t>
  </si>
  <si>
    <t>Marinobacter sp. C18</t>
  </si>
  <si>
    <t>MULTISPECIES: phosphoketolase family protein [unclassified Marinobacter]</t>
  </si>
  <si>
    <t>phosphoketolase family protein [Bradyrhizobium sp. Leo121]</t>
  </si>
  <si>
    <t>Bradyrhizobium sp. Leo121</t>
  </si>
  <si>
    <t>phosphoketolase family protein [Azospirillum baldaniorum]</t>
  </si>
  <si>
    <t>Azospirillum baldaniorum</t>
  </si>
  <si>
    <t>phosphoketolase [Azospirillum baldaniorum]</t>
  </si>
  <si>
    <t>phosphoketolase family protein [Reyranella sp.]</t>
  </si>
  <si>
    <t>Reyranella sp.</t>
  </si>
  <si>
    <t>phosphoketolase [Candidatus Muproteobacteria bacterium RIFCSPLOWO2_01_FULL_60_18]</t>
  </si>
  <si>
    <t>Candidatus Muproteobacteria bacterium RIFCSPLOWO2_01_FULL_60_18</t>
  </si>
  <si>
    <t>phosphoketolase family protein [Sorangium cellulosum]</t>
  </si>
  <si>
    <t>Sorangium cellulosum</t>
  </si>
  <si>
    <t>phosphoketolase [Alphaproteobacteria bacterium 13_2_20CM_2_64_7]</t>
  </si>
  <si>
    <t>Alphaproteobacteria bacterium 13_2_20CM_2_64_7</t>
  </si>
  <si>
    <t>Bacterium</t>
  </si>
  <si>
    <t>Xylulose-5-phosphate phosphoketolase [Candidatus Nitrotoga fabula]</t>
  </si>
  <si>
    <t>Candidatus Nitrotoga fabula</t>
  </si>
  <si>
    <t>phosphoketolase [Luteimonas sp. SJ-92]</t>
  </si>
  <si>
    <t>Luteimonas sp. SJ-92</t>
  </si>
  <si>
    <t>phosphoketolase family protein [Hydrogenophaga sp.]</t>
  </si>
  <si>
    <t>Hydrogenophaga sp.</t>
  </si>
  <si>
    <t>xylulose-5-phosphate phosphoketolase [bacterium BMS3Abin10]</t>
  </si>
  <si>
    <t>bacterium BMS3Abin10</t>
  </si>
  <si>
    <t>putative phosphoketolase 2 [Verrucomicrobia bacterium]</t>
  </si>
  <si>
    <t>phosphoketolase family protein [Deinococcus planocerae]</t>
  </si>
  <si>
    <t>Deinococcus planocerae</t>
  </si>
  <si>
    <t>A Gram-positive, non-motile and coccoid strain</t>
  </si>
  <si>
    <t>phosphoketolase [Deinococcus aquiradiocola]</t>
  </si>
  <si>
    <t>Xylulose-5-phosphate phosphoketolase [Chromatiales bacterium USCg_Taylor]</t>
  </si>
  <si>
    <t>Chromatiales bacterium USCg_Taylor</t>
  </si>
  <si>
    <t>phosphoketolase family protein [Rhodospirillales bacterium]</t>
  </si>
  <si>
    <t>Rhodospirillales bacterium</t>
  </si>
  <si>
    <t>phosphoketolase family protein [Rhodanobacteraceae bacterium]</t>
  </si>
  <si>
    <t>Rhodanobacteraceae bacterium</t>
  </si>
  <si>
    <t>phosphoketolase [Hydrogenophilales bacterium CG_4_10_14_3_um_filter_63_21]</t>
  </si>
  <si>
    <t>Hydrogenophilales bacterium CG_4_10_14_3_um_filter_63_21</t>
  </si>
  <si>
    <t>phosphoketolase [Zetaproteobacteria bacterium CG1_02_49_23]</t>
  </si>
  <si>
    <t>Zetaproteobacteria bacterium CG1_02_49_23</t>
  </si>
  <si>
    <t>phosphoketolase [Zetaproteobacteria bacterium CG23_combo_of_CG06-09_8_20_14_all_59_86]</t>
  </si>
  <si>
    <t>Zetaproteobacteria bacterium CG23_combo_of_CG06-09_8_20_14_all_59_86</t>
  </si>
  <si>
    <t>phosphoketolase family protein [Janthinobacterium sp. ROICE36]</t>
  </si>
  <si>
    <t>Janthinobacterium sp. ROICE36</t>
  </si>
  <si>
    <t>phosphoketolase family protein [Dehalococcoidia bacterium]</t>
  </si>
  <si>
    <t>Dehalococcoidia bacterium</t>
  </si>
  <si>
    <t>Dehalococcoidia that obtain energy via the oxidation of hydrogen and subsequent reductive dehalogenation of halogenated organic compounds in a mode of anaerobic respiration called organohalide respiration</t>
  </si>
  <si>
    <t>phosphoketolase family protein [candidate division WS1 bacterium]</t>
  </si>
  <si>
    <t>candidate division WS1 bacterium</t>
  </si>
  <si>
    <t>putative phosphoketolase [Bradyrhizobium diazoefficiens]</t>
  </si>
  <si>
    <t>Bradyrhizobium diazoefficiens</t>
  </si>
  <si>
    <t>phosphoketolase family protein [Mizugakiibacter sediminis]</t>
  </si>
  <si>
    <t>phosphoketolase [Deltaproteobacteria bacterium RIFCSPLOWO2_02_FULL_53_8]</t>
  </si>
  <si>
    <t>Deltaproteobacteria bacterium RIFCSPLOWO2_02_FULL_53_8</t>
  </si>
  <si>
    <t>phosphoketolase [Deltaproteobacteria bacterium GWC2_65_14]</t>
  </si>
  <si>
    <t>Deltaproteobacteria bacterium GWC2_65_14</t>
  </si>
  <si>
    <t>A phylum of Gram-negative bacteria that contains only a few described species.</t>
  </si>
  <si>
    <t>phosphoketolase [Polyangiaceae bacterium UTPRO1]</t>
  </si>
  <si>
    <t>Polyangiaceae bacterium UTPRO1</t>
  </si>
  <si>
    <t>phosphoketolase [Starkeya sp. HF14-78462]</t>
  </si>
  <si>
    <t>Starkeya sp. HF14-78462</t>
  </si>
  <si>
    <t>phosphoketolase family protein [Starkeya sp. 3C]</t>
  </si>
  <si>
    <t>Starkeya sp. 3C</t>
  </si>
  <si>
    <t>phosphoketolase family protein [Chthonomonas calidirosea]</t>
  </si>
  <si>
    <t>Chthonomonas calidirosea</t>
  </si>
  <si>
    <t>Gram-negative bacterium and also the first representative of the new class Chthonomonadetes within the phylum Armatimonadetes.</t>
  </si>
  <si>
    <t>TPA: phosphoketolase family protein [Verrucomicrobia bacterium]</t>
  </si>
  <si>
    <t> A phylum of Gram-negative bacteria that contains only a few described species.</t>
  </si>
  <si>
    <t>phosphoketolase family protein [Desulfovibrio sp. X2]</t>
  </si>
  <si>
    <t>Desulfovibrio sp. X2</t>
  </si>
  <si>
    <t>unnamed protein product</t>
  </si>
  <si>
    <t>phosphoketolase family protein [Sedimenticola selenatireducens]</t>
  </si>
  <si>
    <t>Sedimenticola selenatireducens</t>
  </si>
  <si>
    <t>Anaerobic selenate-respiring gamaproteobacteria</t>
  </si>
  <si>
    <t>phosphoketolase family protein [Ignavibacteriae bacterium]</t>
  </si>
  <si>
    <t>Ignavibacteriae bacterium</t>
  </si>
  <si>
    <t>phosphoketolase [Bradyrhizobium elkanii]</t>
  </si>
  <si>
    <t>phosphoketolase family protein [Calditrichaeota bacterium]</t>
  </si>
  <si>
    <t>Calditrichaeota bacterium</t>
  </si>
  <si>
    <t>A novel bacterial phylum Calditrichaeota is diverse, widespread and abundant in marine sediments </t>
  </si>
  <si>
    <t>phosphoketolase family protein [Exilibacterium tricleocarpae]</t>
  </si>
  <si>
    <t>Exilibacterium tricleocarpae</t>
  </si>
  <si>
    <t>A Gram-stain-negative, non-spore-forming, aerobic, curved rod-shaped bacterium</t>
  </si>
  <si>
    <t>phosphoketolase [Betaproteobacteria bacterium RIFCSPLOWO2_12_FULL_66_14]</t>
  </si>
  <si>
    <t>Betaproteobacteria bacterium RIFCSPLOWO2_12_FULL_66_14</t>
  </si>
  <si>
    <t>phosphoketolase [Betaproteobacteria bacterium RIFCSPLOWO2_02_FULL_65_24]</t>
  </si>
  <si>
    <t>Betaproteobacteria bacterium RIFCSPLOWO2_02_FULL_65_24</t>
  </si>
  <si>
    <t>phosphoketolase family protein [Thauera phenylacetica]</t>
  </si>
  <si>
    <t>Thauera phenylacetica</t>
  </si>
  <si>
    <t>Aerobe, mesophilic bacterium</t>
  </si>
  <si>
    <t>phosphoketolase family protein [Bradyrhizobium guangzhouense]</t>
  </si>
  <si>
    <t>Bradyrhizobium guangzhouense</t>
  </si>
  <si>
    <t>phosphoketolase [Pseudomonas stutzeri]</t>
  </si>
  <si>
    <t>Pseudomonas stutzeri</t>
  </si>
  <si>
    <t>A Gram-negative soil bacterium that is motile, has a single polar flagellum</t>
  </si>
  <si>
    <t>Gram-negative bacteria </t>
  </si>
  <si>
    <t>phosphoketolase [Acidobacteria bacterium 13_2_20CM_58_27]</t>
  </si>
  <si>
    <t>Acidobacteria bacterium 13_2_20CM_58_27</t>
  </si>
  <si>
    <t>putative phosphoketolase [Silvimonas amylolytica]</t>
  </si>
  <si>
    <t>Silvimonas amylolytica</t>
  </si>
  <si>
    <t>phosphoketolase [Silvimonas amylolytica]</t>
  </si>
  <si>
    <t>phosphoketolase family protein [Bradyrhizobium valentinum]</t>
  </si>
  <si>
    <t>Bradyrhizobium valentinum</t>
  </si>
  <si>
    <t>phosphoketolase [Ectothiorhodospiraceae bacterium]</t>
  </si>
  <si>
    <t>Ectothiorhodospiraceae bacterium</t>
  </si>
  <si>
    <t>Purple sulfur gammaproteobacteria, distinguished by producing sulfur globules outside of their cells. </t>
  </si>
  <si>
    <t>phosphoketolase family protein [Guyparkeria halophila]</t>
  </si>
  <si>
    <t>Guyparkeria halophila</t>
  </si>
  <si>
    <t>phosphoketolase family protein [Pseudarthrobacter siccitolerans]</t>
  </si>
  <si>
    <t>Pseudarthrobacter siccitolerans</t>
  </si>
  <si>
    <t>phosphoketolase family protein [Pyrinomonadaceae bacterium]</t>
  </si>
  <si>
    <t>Pyrinomonadaceae bacterium</t>
  </si>
  <si>
    <t>phosphoketolase [Gammaproteobacteria bacterium 13_2_20CM_66_19]</t>
  </si>
  <si>
    <t>Gammaproteobacteria bacterium 13_2_20CM_66_19</t>
  </si>
  <si>
    <t>Xylulose-5-phosphate phosphoketolase [bacterium HR30]</t>
  </si>
  <si>
    <t>bacterium HR30</t>
  </si>
  <si>
    <t>TPA: phosphoketolase [Porticoccaceae bacterium]</t>
  </si>
  <si>
    <t>Porticoccaceae bacterium</t>
  </si>
  <si>
    <t>phosphoketolase [Lentisphaerae bacterium RIFOXYA12_64_32]</t>
  </si>
  <si>
    <t>Lentisphaerae bacterium RIFOXYA12_64_32</t>
  </si>
  <si>
    <t>A phylum of bacteria closely related to Chlamydiae and Verrucomicrobia</t>
  </si>
  <si>
    <t>phosphoketolase family protein [Capsulimonas corticalis]</t>
  </si>
  <si>
    <t>Capsulimonas corticalis</t>
  </si>
  <si>
    <t>An aerobic capsulated bacterium, of a novel bacterial order,</t>
  </si>
  <si>
    <t>phosphoketolase [Deltaproteobacteria bacterium RBG_19FT_COMBO_60_16]</t>
  </si>
  <si>
    <t>Deltaproteobacteria bacterium RBG_19FT_COMBO_60_16</t>
  </si>
  <si>
    <t>phosphoketolase family protein [Mangrovitalea sediminis]</t>
  </si>
  <si>
    <t>Mangrovitalea sediminis</t>
  </si>
  <si>
    <t>phosphoketolase [Verrucomicrobiaceae bacterium]</t>
  </si>
  <si>
    <t>Verrucomicrobiaceae bacterium</t>
  </si>
  <si>
    <t>Verrucomicrobia is a phylum of Gram-negative bacteria that contains only a few described species.</t>
  </si>
  <si>
    <t>phosphoketolase family protein [Deinococcus marmoris]</t>
  </si>
  <si>
    <t>Deinococcus marmoris</t>
  </si>
  <si>
    <t>Gram-positive bacterium isolated from Antarctica. </t>
  </si>
  <si>
    <t>phosphoketolase family protein [Ancylobacter sp. TS-1]</t>
  </si>
  <si>
    <t>Ancylobacter sp. TS-1</t>
  </si>
  <si>
    <t>phosphoketolase [Paludibacterium paludis]</t>
  </si>
  <si>
    <t>Paludibacterium paludis</t>
  </si>
  <si>
    <t>phosphoketolase [Pseudomonas mohnii]</t>
  </si>
  <si>
    <t>Pseudomonas mohnii</t>
  </si>
  <si>
    <t>phosphoketolase family protein [Anaerolineaceae bacterium]</t>
  </si>
  <si>
    <t>Anaerolineaceae bacterium</t>
  </si>
  <si>
    <t>Anaerolineaceae as the major bacteria would have played an important role in the process of fermentation and oxidation of alkane</t>
  </si>
  <si>
    <t>Deltaprobacteria</t>
  </si>
  <si>
    <t>phosphoketolase family protein [Marinobacter santoriniensis]</t>
  </si>
  <si>
    <t>Marinobacter santoriniensis</t>
  </si>
  <si>
    <t>A Gram-negative, facultatively anaerobic, non-spore-forming and motile bacterium </t>
  </si>
  <si>
    <t>phosphoketolase [Angulomicrobium tetraedrale]</t>
  </si>
  <si>
    <t>Angulomicrobium tetraedrale</t>
  </si>
  <si>
    <t>phosphoketolase family protein [Candidatus Marinimicrobia bacterium]</t>
  </si>
  <si>
    <t>Candidatus Marinimicrobia bacterium</t>
  </si>
  <si>
    <t>phosphoketolase [Thauera sp.]</t>
  </si>
  <si>
    <t>Thauera sp.</t>
  </si>
  <si>
    <t>phosphoketolase [Pseudaminobacter sp. HC 19]</t>
  </si>
  <si>
    <t>Pseudaminobacter sp. HC 19</t>
  </si>
  <si>
    <t>phosphoketolase family protein [Phyllobacterium sp.]</t>
  </si>
  <si>
    <t>Phyllobacterium sp.</t>
  </si>
  <si>
    <t>phosphoketolase family protein [Thiotrichales bacterium]</t>
  </si>
  <si>
    <t>phosphoketolase [Bacteroidetes bacterium GWE2_42_39]</t>
  </si>
  <si>
    <t>Bacteroidetes bacterium GWE2_42_39</t>
  </si>
  <si>
    <t>phosphoketolase family protein [Kiritimatiella glycovorans]</t>
  </si>
  <si>
    <t>Kiritimatiella glycovorans</t>
  </si>
  <si>
    <t>A mesophilic bacterium that was isolated from suboxic zone of a cyanobacterial mat</t>
  </si>
  <si>
    <t>phosphoketolase [Sphingomonas sanxanigenens DSM 19645 = NX02]</t>
  </si>
  <si>
    <t>Sphingomonas sanxanigenens DSM 19645 = NX02</t>
  </si>
  <si>
    <t>phosphoketolase family protein [Rhodocyclales bacterium GT-UBC]</t>
  </si>
  <si>
    <t>Rhodocyclales bacterium GT-UBC</t>
  </si>
  <si>
    <t>phosphoketolase [Zetaproteobacteria bacterium CG12_big_fil_rev_8_21_14_0_65_54_13]</t>
  </si>
  <si>
    <t>Zetaproteobacteria bacterium CG12_big_fil_rev_8_21_14_0_65_54_13</t>
  </si>
  <si>
    <t>xylulose-5-phosphate phosphoketolase [bacterium BMS3Bbin09]</t>
  </si>
  <si>
    <t>bacterium BMS3Bbin09</t>
  </si>
  <si>
    <t>phosphoketolase family protein [Phyllobacterium sophorae]</t>
  </si>
  <si>
    <t>Phyllobacterium sophorae</t>
  </si>
  <si>
    <t>Gram-negative, oxidase- and catalase-positive, aerobic bacteria</t>
  </si>
  <si>
    <t>phosphoketolase family protein [Wenzhouxiangella sp. XN24]</t>
  </si>
  <si>
    <t>Wenzhouxiangella sp. XN24</t>
  </si>
  <si>
    <t>phosphoketolase [Wenzhouxiangella sp. XN24]</t>
  </si>
  <si>
    <t>TPA: phosphoketolase family protein [Verrucomicrobia subdivision 3 bacterium]</t>
  </si>
  <si>
    <t>Verrucomicrobia subdivision 3 bacterium</t>
  </si>
  <si>
    <t>phosphoketolase family protein [Bradyrhizobium yuanmingense]</t>
  </si>
  <si>
    <t>Bradyrhizobium yuanmingense</t>
  </si>
  <si>
    <t>phosphoketolase [Deltaproteobacteria bacterium CG2_30_66_27]</t>
  </si>
  <si>
    <t>Deltaproteobacteria bacterium CG2_30_66_27</t>
  </si>
  <si>
    <t>Soil bacteria</t>
  </si>
  <si>
    <t>TPA: phosphoketolase [Elusimicrobia bacterium]</t>
  </si>
  <si>
    <t>Elusimicrobia bacterium</t>
  </si>
  <si>
    <t>Elusimicrobia is an enigmatic bacterial phylum. The first representatives were termite gut-associated</t>
  </si>
  <si>
    <t>phosphoketolase [Hoeflea sp.]</t>
  </si>
  <si>
    <t>Hoeflea sp.</t>
  </si>
  <si>
    <t>phosphoketolase family protein [Ensifer alkalisoli]</t>
  </si>
  <si>
    <t>Ensifer alkalisoli</t>
  </si>
  <si>
    <t>phosphoketolase [Acidobacteria bacterium 13_1_20CM_4_56_7]</t>
  </si>
  <si>
    <t>Acidobacteria bacterium 13_1_20CM_4_56_7</t>
  </si>
  <si>
    <t>phosphoketolase [Gallionellales bacterium RIFCSPLOWO2_02_FULL_57_47]</t>
  </si>
  <si>
    <t>Gallionellales bacterium RIFCSPLOWO2_02_FULL_57_47</t>
  </si>
  <si>
    <t>Xylulose-5-phosphate phosphoketolase [Amantichitinum ursilacus]</t>
  </si>
  <si>
    <t>Amantichitinum ursilacus</t>
  </si>
  <si>
    <t>A chitin-degrading bacterium</t>
  </si>
  <si>
    <t>phosphoketolase family protein [Amantichitinum ursilacus]</t>
  </si>
  <si>
    <t>TPA: phosphoketolase [Verrucomicrobia subdivision 3 bacterium]</t>
  </si>
  <si>
    <t>phosphoketolase family protein [Candidatus Latescibacteria bacterium]</t>
  </si>
  <si>
    <t>Candidatus Latescibacteria bacterium</t>
  </si>
  <si>
    <t>phosphoketolase [Deltaproteobacteria bacterium RIFOXYD12_FULL_57_12]</t>
  </si>
  <si>
    <t>Deltaproteobacteria bacterium RIFOXYD12_FULL_57_12</t>
  </si>
  <si>
    <t>MULTISPECIES: phosphoketolase family protein [unclassified Nitrosovibrio]</t>
  </si>
  <si>
    <t>unclassified Nitrosovibrio</t>
  </si>
  <si>
    <t>phosphoketolase [Ensifer sp. LCM 4579]</t>
  </si>
  <si>
    <t>Ensifer sp. LCM 4579</t>
  </si>
  <si>
    <t>phosphoketolase family protein [Ensifer sp. LCM 4579]</t>
  </si>
  <si>
    <t>phosphoketolase [Pseudomonas sp. HMWF031]</t>
  </si>
  <si>
    <t>Pseudomonas sp. HMWF031</t>
  </si>
  <si>
    <t>phosphoketolase family protein [Ensifer adhaerens]</t>
  </si>
  <si>
    <t>Ensifer adhaerens</t>
  </si>
  <si>
    <t>phosphoketolase [Ensifer adhaerens]</t>
  </si>
  <si>
    <t>phosphoketolase family protein [Bosea sp.]</t>
  </si>
  <si>
    <t>Bosea sp.</t>
  </si>
  <si>
    <t>phosphoketolase family protein [Ensifer glycinis]</t>
  </si>
  <si>
    <t>Ensifer glycinis</t>
  </si>
  <si>
    <t>phosphoketolase [Ensifer glycinis]</t>
  </si>
  <si>
    <t>phosphoketolase family protein [Dechloromonas sp.]</t>
  </si>
  <si>
    <t>Dechloromonas sp.</t>
  </si>
  <si>
    <t>phosphoketolase family protein [Ancylobacter aquaticus]</t>
  </si>
  <si>
    <t>Ancylobacter aquaticus</t>
  </si>
  <si>
    <t>phosphoketolase [Porticoccaceae bacterium]</t>
  </si>
  <si>
    <t>phosphoketolase [Spirosoma terrae]</t>
  </si>
  <si>
    <t>Spirosoma terrae</t>
  </si>
  <si>
    <t>putative phosphoketolase [Paludibacterium paludis]</t>
  </si>
  <si>
    <t>phosphoketolase family protein [Sphingobacteriales bacterium]</t>
  </si>
  <si>
    <t>Sphingobacteriales bacterium</t>
  </si>
  <si>
    <t>phosphoketolase [Blastocatellia bacterium]</t>
  </si>
  <si>
    <t>phosphoketolase [Bradyrhizobium sp. 38S5]</t>
  </si>
  <si>
    <t>Bradyrhizobium sp. 38S5</t>
  </si>
  <si>
    <t>phosphoketolase [Deinococcus humi]</t>
  </si>
  <si>
    <t>Deinococcus humi</t>
  </si>
  <si>
    <t>A Gram-staining-positive, strictly aerobic, spherical, non-motile, red-pigmented bacterium</t>
  </si>
  <si>
    <t>phosphoketolase [Tardiphaga sp. YR296]</t>
  </si>
  <si>
    <t>Tardiphaga sp. YR296</t>
  </si>
  <si>
    <t>phosphoketolase family protein [Ensifer sp. WSM1721]</t>
  </si>
  <si>
    <t>Ensifer sp. WSM1721</t>
  </si>
  <si>
    <t>phosphoketolase family protein [Bradyrhizobium sp. Leo170]</t>
  </si>
  <si>
    <t>Bradyrhizobium sp. Leo170</t>
  </si>
  <si>
    <t>phosphoketolase family protein [Candidatus Eisenbacteria bacterium]</t>
  </si>
  <si>
    <t>Candidatus Eisenbacteria bacterium</t>
  </si>
  <si>
    <t>xylulose-5-phosphate/fructose-6-phosphate phosphoketolase [Candidatus Nitrotoga sp. CP45]</t>
  </si>
  <si>
    <t>Candidatus Nitrotoga sp. CP45</t>
  </si>
  <si>
    <t>Phycisphaerae is a class of aquatic bacteria containing a single order Phycisphaerales. They reproduce by budding and are found in samples of algae in marine water.</t>
  </si>
  <si>
    <t>Acidobacteri</t>
  </si>
  <si>
    <t>Deinococcus marmoris is a Gram-positive bacterium isolated from Antarctica. As a species of the genus Deinococcus, the bacterium is UV-tolerant and able to withstand low temperatures.</t>
  </si>
  <si>
    <t>phosphoketolase family protein [Sedimentisphaerales bacterium]</t>
  </si>
  <si>
    <t>Sedimentisphaerales bacterium</t>
  </si>
  <si>
    <t>Gram-stain-negative bacteria </t>
  </si>
  <si>
    <t>phosphoketolase family protein [Candidatus Solibacter usitatus]</t>
  </si>
  <si>
    <t>Candidatus Solibacter usitatus</t>
  </si>
  <si>
    <t>Fructose-6-phosphate phosphoketolase [Candidatus Solibacter usitatus Ellin6076]</t>
  </si>
  <si>
    <t>Candidatus Solibacter usitatus Ellin6076</t>
  </si>
  <si>
    <t>phosphoketolase family protein [Ensifer sp. BR816]</t>
  </si>
  <si>
    <t>Ensifer sp. BR816</t>
  </si>
  <si>
    <t>phosphoketolase [Candidatus Laterigemmans baculatus]</t>
  </si>
  <si>
    <t>Candidatus Laterigemmans baculatus</t>
  </si>
  <si>
    <t>putative phosphoketolase [Verrucomicrobia bacterium]</t>
  </si>
  <si>
    <t>Gram-negative bacteria that contains only a few described species.</t>
  </si>
  <si>
    <t>phosphoketolase [Verrucosispora sp. NA02020]</t>
  </si>
  <si>
    <t>Verrucosispora sp. NA02020</t>
  </si>
  <si>
    <t>phosphoketolase family protein [Ensifer aridi]</t>
  </si>
  <si>
    <t>Ensifer aridi</t>
  </si>
  <si>
    <t>phosphoketolase family protein [Ancylobacter sp. FA202]</t>
  </si>
  <si>
    <t>Ancylobacter sp. FA202</t>
  </si>
  <si>
    <t>phosphoketolase family protein [Pusillimonas ginsengisoli]</t>
  </si>
  <si>
    <t>Pusillimonas ginsengisoli</t>
  </si>
  <si>
    <t>Gram-negative, oxidase- and catalase-positive, aerobic, non-spore-forming, short rod-shaped, motile bacterium </t>
  </si>
  <si>
    <t>phosphoketolase family protein [Ferruginibacter sp.]</t>
  </si>
  <si>
    <t>Ferruginibacter sp.</t>
  </si>
  <si>
    <t>Cytophagales bacterium</t>
  </si>
  <si>
    <t>phosphoketolase family protein [Ancylobacter rudongensis]</t>
  </si>
  <si>
    <t>Ancylobacter rudongensis</t>
  </si>
  <si>
    <t>A bacterium from the family of Xanthobacteraceae which has been isolated from root of the plant </t>
  </si>
  <si>
    <t>phosphoketolase family protein [Bradyrhizobium sp. th.b2]</t>
  </si>
  <si>
    <t>Bradyrhizobium sp. th.b2</t>
  </si>
  <si>
    <t>phosphoketolase family protein [Starkeya novella]</t>
  </si>
  <si>
    <t>Starkeya novella</t>
  </si>
  <si>
    <t>phosphoketolase [Candidatus Lindowbacteria bacterium RIFCSPLOWO2_12_FULL_62_27]</t>
  </si>
  <si>
    <t>Candidatus Lindowbacteria bacterium RIFCSPLOWO2_12_FULL_62_27</t>
  </si>
  <si>
    <t>phosphoketolase family protein [Desulfovibrio putealis]</t>
  </si>
  <si>
    <t>Desulfovibrio putealis</t>
  </si>
  <si>
    <t>It is sulfate-reducing. Its cells are motile by means of a polar flagellum and contain desulfoviridin.</t>
  </si>
  <si>
    <t>TPA: phosphoketolase family protein [Chlorobaculum sp.]</t>
  </si>
  <si>
    <t>putative phosphoketolase [Dyadobacter endophyticus]</t>
  </si>
  <si>
    <t>Dyadobacter endophyticus</t>
  </si>
  <si>
    <t>An endophytic, aerobic and rod-shaped bacterium </t>
  </si>
  <si>
    <t>MULTISPECIES: phosphoketolase family protein [Rhizobium/Agrobacterium group]</t>
  </si>
  <si>
    <t>Rhizobium/Agrobacterium group</t>
  </si>
  <si>
    <t>Alphaproteobacteria, Agrobacterium group</t>
  </si>
  <si>
    <t>phosphoketolase family protein [Rhizobium sp. OV201]</t>
  </si>
  <si>
    <t>Rhizobium sp. OV201</t>
  </si>
  <si>
    <t>phosphoketolase [Thiohalobacter sp. COW1]</t>
  </si>
  <si>
    <t>Thiohalobacter sp. COW1</t>
  </si>
  <si>
    <t>Gammaproteobacteria, a thiocyanate-degrading bacterium</t>
  </si>
  <si>
    <t>Alphaproteobacteria/Agrobacterium group</t>
  </si>
  <si>
    <t>phosphoketolase family protein [Rhizobium sp. CIAT894]</t>
  </si>
  <si>
    <t>Rhizobium sp. CIAT894</t>
  </si>
  <si>
    <t>Like all "Proteobacteria", they are Gram-negative</t>
  </si>
  <si>
    <t>phosphoketolase family protein [Hansschlegelia zhihuaiae]</t>
  </si>
  <si>
    <t>Hansschlegelia zhihuaiae</t>
  </si>
  <si>
    <t>phosphoketolase family protein [Deinococcus sp. UR1]</t>
  </si>
  <si>
    <t>Deinococcus sp. UR1</t>
  </si>
  <si>
    <t>A resilient bacterium isolated from the surface of a stainless steel sig</t>
  </si>
  <si>
    <t>phosphoketolase [Betaproteobacteria bacterium HGW-Betaproteobacteria-7]</t>
  </si>
  <si>
    <t>Betaproteobacteria bacterium HGW-Betaproteobacteria-7</t>
  </si>
  <si>
    <t>xylulose-5-phosphate/fructose-6-phosphate phosphoketolase [Candidatus Nitrotoga sp. LAW]</t>
  </si>
  <si>
    <t>Candidatus Nitrotoga sp. LAW</t>
  </si>
  <si>
    <t>phosphoketolase family protein [Verrucomicrobium sp. GAS474]</t>
  </si>
  <si>
    <t>Verrucomicrobium sp. GAS474</t>
  </si>
  <si>
    <t>An obscure bacterium found in eutrophic ponds and lakes.</t>
  </si>
  <si>
    <t>fructose-6-phosphate phosphoketolase [Gammaproteobacteria bacterium]</t>
  </si>
  <si>
    <t>phosphoketolase [Paludibaculum fermentans]</t>
  </si>
  <si>
    <t>Paludibaculum fermentans</t>
  </si>
  <si>
    <t>phosphoketolase family protein [Herminiimonas sp. CN]</t>
  </si>
  <si>
    <t>Herminiimonas sp. CN</t>
  </si>
  <si>
    <t>phosphoketolase family protein [Sinorhizobium medicae]</t>
  </si>
  <si>
    <t>Sinorhizobium medicae</t>
  </si>
  <si>
    <t>Alphaproteobacteria, a species of gram-negative, nitrogen-fixing, rod-shaped bacteria.</t>
  </si>
  <si>
    <t>phosphoketolase family protein [Sinorhizobium sp. CCBAU 05631]</t>
  </si>
  <si>
    <t>Sinorhizobium sp. CCBAU 05631</t>
  </si>
  <si>
    <t>xylulose-5-phosphate/fructose-6-phosphate phosphoketolase [Phyllobacterium trifolii]</t>
  </si>
  <si>
    <t>Phyllobacterium trifolii</t>
  </si>
  <si>
    <t>Alphaproteobacteria;</t>
  </si>
  <si>
    <t>phosphoketolase family protein [Acidothermus cellulolyticus]</t>
  </si>
  <si>
    <t>Acidothermus cellulolyticus</t>
  </si>
  <si>
    <t>phosphoketolase family protein [Deinococcus sp. LM3]</t>
  </si>
  <si>
    <t>Deinococcus sp. LM3</t>
  </si>
  <si>
    <t>phosphoketolase family protein [Mesorhizobium sp.]</t>
  </si>
  <si>
    <t>Mesorhizobium sp.</t>
  </si>
  <si>
    <t>MULTISPECIES: phosphoketolase family protein [Mesorhizobium]</t>
  </si>
  <si>
    <t>Mesorhizobium</t>
  </si>
  <si>
    <t>phosphoketolase family protein [Mesorhizobium helmanticense]</t>
  </si>
  <si>
    <t>Mesorhizobium helmanticense</t>
  </si>
  <si>
    <t>phosphoketolase family protein [Mesorhizobium sp. M2A.F.Ca.ET.042.01.1.1]</t>
  </si>
  <si>
    <t>Mesorhizobium sp. M2A.F.Ca.ET.042.01.1.1</t>
  </si>
  <si>
    <t>phosphoketolase family protein [Mesorhizobium sp. WSM3879]</t>
  </si>
  <si>
    <t>Mesorhizobium sp. WSM3879</t>
  </si>
  <si>
    <t>phosphoketolase family protein [Mesorhizobium sp. M1A.F.Ca.IN.022.07.1.1]</t>
  </si>
  <si>
    <t>Mesorhizobium sp. M1A.F.Ca.IN.022.07.1.1</t>
  </si>
  <si>
    <t>phosphoketolase family protein [Mesorhizobium sp. AA23]</t>
  </si>
  <si>
    <t>Mesorhizobium sp. AA23</t>
  </si>
  <si>
    <t>phosphoketolase family protein [Mesorhizobium sp. USDA-HM6]</t>
  </si>
  <si>
    <t>Mesorhizobium sp. USDA-HM6</t>
  </si>
  <si>
    <t>phosphoketolase family protein [Mesorhizobium sp. WSM3860]</t>
  </si>
  <si>
    <t>Mesorhizobium sp. WSM3860</t>
  </si>
  <si>
    <t>phosphoketolase family protein [Mesorhizobium erdmanii]</t>
  </si>
  <si>
    <t>Mesorhizobium erdmanii</t>
  </si>
  <si>
    <t>Mesorhizobium is a genus of Gram-negative soil alphaproteobacteria.</t>
  </si>
  <si>
    <t>phosphoketolase family protein [Mesorhizobium sp. M2E.F.Ca.ET.219.01.1.1]</t>
  </si>
  <si>
    <t>Mesorhizobium sp. M2E.F.Ca.ET.219.01.1.1</t>
  </si>
  <si>
    <t>phosphoketolase family protein [Mesorhizobium atlanticum]</t>
  </si>
  <si>
    <t>Mesorhizobium atlanticum</t>
  </si>
  <si>
    <t>phosphoketolase [Mesorhizobium sp. J8]</t>
  </si>
  <si>
    <t>Mesorhizobium sp. J8</t>
  </si>
  <si>
    <t>phosphoketolase [Mesorhizobium sp. 113-3-9]</t>
  </si>
  <si>
    <t>Mesorhizobium sp. 113-3-9</t>
  </si>
  <si>
    <t>phosphoketolase family protein [Mesorhizobium sp. B2-1-3A]</t>
  </si>
  <si>
    <t>Mesorhizobium sp. B2-1-3A</t>
  </si>
  <si>
    <t>phosphoketolase family protein [Mesorhizobium sp. M2E.F.Ca.ET.209.01.1.1]</t>
  </si>
  <si>
    <t>Mesorhizobium sp. M2E.F.Ca.ET.209.01.1.1</t>
  </si>
  <si>
    <t>phosphoketolase [Starkeya sp. ORNL1]</t>
  </si>
  <si>
    <t>Starkeya sp. ORNL1</t>
  </si>
  <si>
    <t>phosphoketolase family protein [Lentisphaerae bacterium]</t>
  </si>
  <si>
    <t>Lentisphaerae bacterium</t>
  </si>
  <si>
    <t>Lentisphaerae is a phylum of bacteria closely related to Chlamydiae and Verrucomicrobia. It includes two monotypic orders Lentisphaerales and Victivallales. Phylum members can be aerobic or anaerobic and fall under two distinct phenotypes. One consists of terrestrial gut microbiota from mammals and birds</t>
  </si>
  <si>
    <t>phosphoketolase family protein [Rhodanobacter sp. OK091]</t>
  </si>
  <si>
    <t>Rhodanobacter sp. OK091</t>
  </si>
  <si>
    <t>TPA: phosphoketolase family protein [Propionibacterium sp.]</t>
  </si>
  <si>
    <t>Propionibacterium sp.</t>
  </si>
  <si>
    <t>phosphoketolase [Dechloromonas sp. SG708]</t>
  </si>
  <si>
    <t>Dechloromonas sp. SG708</t>
  </si>
  <si>
    <t>MULTISPECIES: phosphoketolase [Sinorhizobium]</t>
  </si>
  <si>
    <t>phosphoketolase [Sinorhizobium sp. NG07B]</t>
  </si>
  <si>
    <t>Sinorhizobium sp. NG07B</t>
  </si>
  <si>
    <t>phosphoketolase [Sinorhizobium sp. FG01]</t>
  </si>
  <si>
    <t>Sinorhizobium sp. FG01</t>
  </si>
  <si>
    <t>Verrucomicrobia is a phylum of Gram-negative bacteria that contains only a few described species. The species identified have been isolated from fresh water, marine and soil environments and human faeces.</t>
  </si>
  <si>
    <t>phosphoketolase [Mesorhizobium sp. SCN 65-20]</t>
  </si>
  <si>
    <t>Mesorhizobium sp. SCN 65-20</t>
  </si>
  <si>
    <t>phosphoketolase [Starkeya novella]</t>
  </si>
  <si>
    <t>phosphoketolase family protein [Rhizobacter sp.]</t>
  </si>
  <si>
    <t>Rhizobacter sp.</t>
  </si>
  <si>
    <t>phosphoketolase family protein [Mesorhizobium sanjuanii]</t>
  </si>
  <si>
    <t>Mesorhizobium sanjuanii</t>
  </si>
  <si>
    <t>phosphoketolase [Mesorhizobium sp. 113-3-3]</t>
  </si>
  <si>
    <t>Mesorhizobium sp. 113-3-3</t>
  </si>
  <si>
    <t>phosphoketolase family protein [Mesorhizobium sp. B2-7-2]</t>
  </si>
  <si>
    <t>Mesorhizobium sp. B2-7-2</t>
  </si>
  <si>
    <t>phosphoketolase family protein [Deinococcus detaillensis]</t>
  </si>
  <si>
    <t>Deinococcus detaillensis</t>
  </si>
  <si>
    <t>A Gram-staining-positive, non-motile, coccus or short-rod-shaped bacterium</t>
  </si>
  <si>
    <t>phosphoketolase [Burkholderiales bacterium GJ-E10]</t>
  </si>
  <si>
    <t>Burkholderiales bacterium GJ-E10</t>
  </si>
  <si>
    <t>phosphoketolase family protein [Mesorhizobium sp. M2C.T.Ca.TU.002.02.1.1]</t>
  </si>
  <si>
    <t>Mesorhizobium sp. M2C.T.Ca.TU.002.02.1.1</t>
  </si>
  <si>
    <t>phosphoketolase family protein [Mesorhizobium sp. M2A.F.Ca.ET.043.05.1.1]</t>
  </si>
  <si>
    <t>Mesorhizobium sp. M2A.F.Ca.ET.043.05.1.1</t>
  </si>
  <si>
    <t>phosphoketolase family protein [Chitinolyticbacter meiyuanensis]</t>
  </si>
  <si>
    <t>Chitinolyticbacter meiyuanensis</t>
  </si>
  <si>
    <t>phosphoketolase family protein [Mesorhizobium sp. B1-1-5]</t>
  </si>
  <si>
    <t>Mesorhizobium sp. B1-1-5</t>
  </si>
  <si>
    <t>phosphoketolase family protein [Mesorhizobium sp. B2-9-1]</t>
  </si>
  <si>
    <t>Mesorhizobium sp. B2-9-1</t>
  </si>
  <si>
    <t>putative phosphoketolase [Mesorhizobium sp. 113-1-2]</t>
  </si>
  <si>
    <t>Mesorhizobium sp. 113-1-2</t>
  </si>
  <si>
    <t>phosphoketolase family protein [Mesorhizobium sp. M1A.F.Ca.ET.072.01.1.1]</t>
  </si>
  <si>
    <t>Mesorhizobium sp. M1A.F.Ca.ET.072.01.1.1</t>
  </si>
  <si>
    <t>phosphoketolase [Mesorhizobium loti]</t>
  </si>
  <si>
    <t>phosphoketolase family protein [Mesorhizobium sp. WSM3866]</t>
  </si>
  <si>
    <t>Mesorhizobium sp. WSM3866</t>
  </si>
  <si>
    <t>phosphoketolase family protein [Mesorhizobium sp. WSM3864]</t>
  </si>
  <si>
    <t>Mesorhizobium sp. WSM3864</t>
  </si>
  <si>
    <t>phosphoketolase family protein [Mesorhizobium sp. WSM3862]</t>
  </si>
  <si>
    <t>Mesorhizobium sp. WSM3862</t>
  </si>
  <si>
    <t>MULTISPECIES: phosphoketolase family protein [unclassified Ensifer]</t>
  </si>
  <si>
    <t>unclassified Ensifer</t>
  </si>
  <si>
    <t>MULTISPECIES: phosphoketolase family protein [Ensifer]</t>
  </si>
  <si>
    <t>Ensifer</t>
  </si>
  <si>
    <t>phosphoketolase [Ensifer sp. Root31]</t>
  </si>
  <si>
    <t>Ensifer sp. Root31</t>
  </si>
  <si>
    <t>phosphoketolase [Ensifer sp. Root142]</t>
  </si>
  <si>
    <t>Ensifer sp. Root142</t>
  </si>
  <si>
    <t>phosphoketolase family protein [Pontiellaceae bacterium]</t>
  </si>
  <si>
    <t>Pontiellaceae bacterium</t>
  </si>
  <si>
    <t>Producing Sulfated Glycosaminoglycan-like Exopolymers</t>
  </si>
  <si>
    <t>phosphoketolase family protein [Bradyrhizobium sp.]</t>
  </si>
  <si>
    <t>Bradyrhizobium sp.</t>
  </si>
  <si>
    <t>phosphoketolase [Starkeya sp. OAE902]</t>
  </si>
  <si>
    <t>Starkeya sp. OAE902</t>
  </si>
  <si>
    <t>TPA: phosphoketolase [Verrucomicrobia bacterium]</t>
  </si>
  <si>
    <t>phosphoketolase family protein [Candidatus Sumerlaeota bacterium]</t>
  </si>
  <si>
    <t>Candidatus Sumerlaeota bacterium</t>
  </si>
  <si>
    <t>phosphoketolase family protein [Mesorhizobium sp. B2-4-6]</t>
  </si>
  <si>
    <t>Mesorhizobium sp. B2-4-6</t>
  </si>
  <si>
    <t>phosphoketolase family protein [Immundisolibacter sp.]</t>
  </si>
  <si>
    <t>Immundisolibacter sp.</t>
  </si>
  <si>
    <t>A high-molecular-weight polycyclic aromatic hydrocarbon-degrading bacterium</t>
  </si>
  <si>
    <t>phosphoketolase [Mesorhizobium sp. 113-1-2]</t>
  </si>
  <si>
    <t>phosphoketolase [Mesorhizobium sp. 131-3-5]</t>
  </si>
  <si>
    <t>Mesorhizobium sp. 131-3-5</t>
  </si>
  <si>
    <t>phosphoketolase family protein [Mesorhizobium sp. SEMIA 3007]</t>
  </si>
  <si>
    <t>Mesorhizobium sp. SEMIA 3007</t>
  </si>
  <si>
    <t>phosphoketolase family protein [Mesorhizobium huakuii]</t>
  </si>
  <si>
    <t>Mesorhizobium huakuii</t>
  </si>
  <si>
    <t>phosphoketolase family protein [Deinococcus sp. Arct2-2]</t>
  </si>
  <si>
    <t>Deinococcus sp. Arct2-2</t>
  </si>
  <si>
    <t>Bacteria that are highly resistant to environmental hazards, also known as extremophiles. These bacteria have thick cell walls that give them gram-positive stains, but they include a second membrane and so are closer in structure to those of gram-negative bacteria</t>
  </si>
  <si>
    <t>phosphoketolase family protein [Mesorhizobium soli]</t>
  </si>
  <si>
    <t>Mesorhizobium soli</t>
  </si>
  <si>
    <t>putative phosphoketolase [Mesorhizobium plurifarium]</t>
  </si>
  <si>
    <t>Mesorhizobium plurifarium</t>
  </si>
  <si>
    <t>phosphoketolase family protein [Mesorhizobium sp. M2A.F.Ca.ET.046.03.2.1]</t>
  </si>
  <si>
    <t>Mesorhizobium sp. M2A.F.Ca.ET.046.03.2.1</t>
  </si>
  <si>
    <t>putative phosphoketolase [Mesorhizobium sp. ORS 3359]</t>
  </si>
  <si>
    <t>Mesorhizobium sp. ORS 3359</t>
  </si>
  <si>
    <t>putative phosphoketolase [Mesorhizobium sp. ORS 3324]</t>
  </si>
  <si>
    <t>Mesorhizobium sp. ORS 3324</t>
  </si>
  <si>
    <t>phosphoketolase family protein [Mesorhizobium sp. WSM3882]</t>
  </si>
  <si>
    <t>Mesorhizobium sp. WSM3882</t>
  </si>
  <si>
    <t>phosphoketolase family protein [Rhodanobacter sp.]</t>
  </si>
  <si>
    <t>Rhodanobacter sp.</t>
  </si>
  <si>
    <t>xylulose-5-phosphate/fructose-6-phosphate phosphoketolase [Candidatus Nitrotoga sp. MKT]</t>
  </si>
  <si>
    <t>Candidatus Nitrotoga sp. MKT</t>
  </si>
  <si>
    <t>TPA: phosphoketolase [Prolixibacteraceae bacterium]</t>
  </si>
  <si>
    <t>Prolixibacteraceae bacterium</t>
  </si>
  <si>
    <t xml:space="preserve">Bacteria </t>
  </si>
  <si>
    <t>xylulose-5-phosphate/fructose-6-phosphate phosphoketolase [Marinobacter antarcticus]</t>
  </si>
  <si>
    <t>Marinobacter antarcticus</t>
  </si>
  <si>
    <t>A Gram-negative, aerobic, halotolerant, rod-shaped and motile bacterium</t>
  </si>
  <si>
    <t>phosphoketolase family protein [Elusimicrobia bacterium]</t>
  </si>
  <si>
    <t>Elusimicrobia is an enigmatic bacterial phylum. The first representatives were termite gut-associated </t>
  </si>
  <si>
    <t>phosphoketolase family protein [Uliginosibacterium gangwonense]</t>
  </si>
  <si>
    <t>Uliginosibacterium gangwonense</t>
  </si>
  <si>
    <t>A yellow-pigmented, Gram-negative, aerobic bacterial strain</t>
  </si>
  <si>
    <t>phosphoketolase family protein [Dechloromonas aromatica]</t>
  </si>
  <si>
    <t>Dechloromonas aromatica</t>
  </si>
  <si>
    <t>A gram negative, facultative anaerobe bacterium </t>
  </si>
  <si>
    <t>A gram-negative bacteria</t>
  </si>
  <si>
    <t>phosphoketolase family protein [Azonexus hydrophilus]</t>
  </si>
  <si>
    <t>Azonexus hydrophilus</t>
  </si>
  <si>
    <t>A gram negative, facultatively aerobic, rod-shaped bacterium</t>
  </si>
  <si>
    <t>phosphoketolase family protein [Mesorhizobium sp. B2-6-2]</t>
  </si>
  <si>
    <t>Mesorhizobium sp. B2-6-2</t>
  </si>
  <si>
    <t>phosphoketolase family protein [Mesorhizobium sp. M1D.F.Ca.ET.043.01.1.1]</t>
  </si>
  <si>
    <t>Mesorhizobium sp. M1D.F.Ca.ET.043.01.1.1</t>
  </si>
  <si>
    <t>phosphoketolase [Mesorhizobium sp. 131-2-1]</t>
  </si>
  <si>
    <t>Mesorhizobium sp. 131-2-1</t>
  </si>
  <si>
    <t>phosphoketolase family protein [Mesorhizobium hawassense]</t>
  </si>
  <si>
    <t>Mesorhizobium hawassense</t>
  </si>
  <si>
    <t>phosphoketolase family protein [Sulfurospirillum halorespirans]</t>
  </si>
  <si>
    <t>Sulfurospirillum halorespirans</t>
  </si>
  <si>
    <t>An anaerobic, tetrachloroethene-respiring bacterium</t>
  </si>
  <si>
    <t>putative phosphoketolase [Proteobacteria bacterium]</t>
  </si>
  <si>
    <t>phosphoketolase [Betaproteobacteria bacterium HGW-Betaproteobacteria-4]</t>
  </si>
  <si>
    <t>Betaproteobacteria bacterium HGW-Betaproteobacteria-4</t>
  </si>
  <si>
    <t>phosphoketolase family protein [Flavihumibacter petaseus]</t>
  </si>
  <si>
    <t>Flavihumibacter petaseus</t>
  </si>
  <si>
    <t>A Gram-negative and short rod-shaped bacterium</t>
  </si>
  <si>
    <t>putative phosphoketolase [Flavihumibacter petaseus NBRC 106054]</t>
  </si>
  <si>
    <t>Flavihumibacter petaseus NBRC 106054</t>
  </si>
  <si>
    <t>phosphoketolase family protein [Rhizobium fabae]</t>
  </si>
  <si>
    <t>Rhizobium fabae</t>
  </si>
  <si>
    <t>phosphoketolase family protein [Chthoniobacterales bacterium]</t>
  </si>
  <si>
    <t>Chthoniobacterales bacterium</t>
  </si>
  <si>
    <t>Gram-negative bacteria</t>
  </si>
  <si>
    <t>phosphoketolase family protein [Oxalobacter formigenes]</t>
  </si>
  <si>
    <t>Oxalobacter formigenes</t>
  </si>
  <si>
    <t>hypothetical protein OFAG_01673 [Oxalobacter formigenes HOxBLS]</t>
  </si>
  <si>
    <t>Oxalobacter formigenes HOxBLS</t>
  </si>
  <si>
    <t>phosphoketolase family protein [Simplicispira psychrophila]</t>
  </si>
  <si>
    <t>Simplicispira psychrophila</t>
  </si>
  <si>
    <t>phosphoketolase [Andreprevotia sp. IGB-42]</t>
  </si>
  <si>
    <t>Andreprevotia sp. IGB-42</t>
  </si>
  <si>
    <t>phosphoketolase family protein [Rhizobium sp. CF258]</t>
  </si>
  <si>
    <t>Rhizobium sp. CF258</t>
  </si>
  <si>
    <t>Belongs to Agrobacterium,a genus of Gram-negative alphaproteobacteria.</t>
  </si>
  <si>
    <t>phosphoketolase [Gammaproteobacteria bacterium 50_400_T64]</t>
  </si>
  <si>
    <t>Gammaproteobacteria bacterium 50_400_T64</t>
  </si>
  <si>
    <t>phosphoketolase family protein [Mesorhizobium sp. LCM 4577]</t>
  </si>
  <si>
    <t>Mesorhizobium sp. LCM 4577</t>
  </si>
  <si>
    <t>phosphoketolase family protein [Pseudolysobacter antarcticus]</t>
  </si>
  <si>
    <t>Pseudolysobacter antarcticus</t>
  </si>
  <si>
    <t>phosphoketolase family protein [Mesorhizobium tamadayense]</t>
  </si>
  <si>
    <t>Mesorhizobium tamadayense</t>
  </si>
  <si>
    <t>phosphoketolase family protein [Mesorhizobium sp. M1E.F.Ca.ET.063.01.1.1]</t>
  </si>
  <si>
    <t>Mesorhizobium sp. M1E.F.Ca.ET.063.01.1.1</t>
  </si>
  <si>
    <t>phosphoketolase family protein [Mesorhizobium sp. M1B.F.Ca.ET.045.04.1.1]</t>
  </si>
  <si>
    <t>Mesorhizobium sp. M1B.F.Ca.ET.045.04.1.1</t>
  </si>
  <si>
    <t>phosphoketolase [Rhizobium sp. BK399]</t>
  </si>
  <si>
    <t>Rhizobium sp. BK399</t>
  </si>
  <si>
    <t>Belongs to Agrobacterium,a genus of Gram-negative bacteria.</t>
  </si>
  <si>
    <t>phosphoketolase family protein [Acidihalobacter yilgarnenesis]</t>
  </si>
  <si>
    <t>Acidihalobacter yilgarnenesis</t>
  </si>
  <si>
    <t>phosphoketolase family protein [Sulfurospirillum multivorans]</t>
  </si>
  <si>
    <t>Sulfurospirillum multivorans</t>
  </si>
  <si>
    <t>An anaerobe, mesophilic bacterium that was isolated from activated sludge. </t>
  </si>
  <si>
    <t>phosphoketolase family protein [Mesorhizobium prunaredense]</t>
  </si>
  <si>
    <t>Mesorhizobium prunaredense</t>
  </si>
  <si>
    <t>phosphoketolase family protein [Rhizobium alamii]</t>
  </si>
  <si>
    <t>Rhizobium alamii</t>
  </si>
  <si>
    <t>phosphoketolase family protein [Granulosicoccus antarcticus]</t>
  </si>
  <si>
    <t>Granulosicoccus antarcticus</t>
  </si>
  <si>
    <t>phosphoketolase family protein [Andreprevotia lacus]</t>
  </si>
  <si>
    <t>Andreprevotia lacus</t>
  </si>
  <si>
    <t>phosphoketolase family protein [Oligoflexales bacterium]</t>
  </si>
  <si>
    <t>Oligoflexales bacterium</t>
  </si>
  <si>
    <t>A Gram-negative, aerobic, filamentous bacterium of a novel proteobacterial lineage</t>
  </si>
  <si>
    <t>phosphoketolase [Aminobacter sp. DSM 24754]</t>
  </si>
  <si>
    <t>Aminobacter sp. DSM 24754</t>
  </si>
  <si>
    <t>phosphoketolase family protein [Ensifer sp. ZNC0028]</t>
  </si>
  <si>
    <t>Ensifer sp. ZNC0028</t>
  </si>
  <si>
    <t>phosphoketolase [Ensifer sp. LC11]</t>
  </si>
  <si>
    <t>Ensifer sp. LC11</t>
  </si>
  <si>
    <t>phosphoketolase family protein [Mesorhizobium sp. WSM4313]</t>
  </si>
  <si>
    <t>Mesorhizobium sp. WSM4313</t>
  </si>
  <si>
    <t>phosphoketolase family protein [Mesorhizobium sp. LCM 4576]</t>
  </si>
  <si>
    <t>Mesorhizobium sp. LCM 4576</t>
  </si>
  <si>
    <t>phosphoketolase family protein [Mesorhizobium sp. M5C.F.Cr.IN.023.01.1.1]</t>
  </si>
  <si>
    <t>Mesorhizobium sp. M5C.F.Cr.IN.023.01.1.1</t>
  </si>
  <si>
    <t>phosphoketolase family protein [Rhizobium pisi]</t>
  </si>
  <si>
    <t>Rhizobium pisi</t>
  </si>
  <si>
    <t>phosphoketolase family protein [Gallionella sp.]</t>
  </si>
  <si>
    <t>Gallionella sp.</t>
  </si>
  <si>
    <t>Betaproteobacteria. Oxalobacter formigenes is an oxalate-degrading anaerobic bacterium that colonizes the large intestines of numerous vertebrates, including humans.</t>
  </si>
  <si>
    <t>phosphoketolase [Rhizobium sp. BK275]</t>
  </si>
  <si>
    <t>Rhizobium sp. BK275</t>
  </si>
  <si>
    <t>xylulose-5-phosphate/fructose-6-phosphate phosphoketolase [Rhizobium sp. BK275]</t>
  </si>
  <si>
    <t>phosphoketolase family protein [Candidatus Schekmanbacteria bacterium]</t>
  </si>
  <si>
    <t>Candidatus Schekmanbacteria bacterium</t>
  </si>
  <si>
    <t>phosphoketolase [Mesorhizobium sp. INR15]</t>
  </si>
  <si>
    <t>Mesorhizobium sp. INR15</t>
  </si>
  <si>
    <t>TPA: phosphoketolase family protein [Betaproteobacteria bacterium]</t>
  </si>
  <si>
    <t>Betaprotepbacteria</t>
  </si>
  <si>
    <t>phosphoketolase [Ensifer sp. ENS09]</t>
  </si>
  <si>
    <t>Ensifer sp. ENS09</t>
  </si>
  <si>
    <t>phosphoketolase [Ensifer sp. PDNC004]</t>
  </si>
  <si>
    <t>Ensifer sp. PDNC004</t>
  </si>
  <si>
    <t>phosphoketolase family protein [Desulfobacterium sp.]</t>
  </si>
  <si>
    <t>Desulfobacterium sp.</t>
  </si>
  <si>
    <t>Desulfobacterium autotrophicum is a mesophilic sulfate-reducing bacterium. Deltaprobacteria.</t>
  </si>
  <si>
    <t>phosphoketolase family protein [Mesorhizobium sp. M5C.F.Ca.ET.164.01.1.1]</t>
  </si>
  <si>
    <t>Mesorhizobium sp. M5C.F.Ca.ET.164.01.1.1</t>
  </si>
  <si>
    <t>phosphoketolase family protein [Mesorhizobium sp. B1-1-8]</t>
  </si>
  <si>
    <t>Mesorhizobium sp. B1-1-8</t>
  </si>
  <si>
    <t>phosphoketolase [Betaproteobacteria bacterium]</t>
  </si>
  <si>
    <t>xylulose-5-phosphate/fructose-6-phosphate phosphoketolase [bacterium BMS3Abin01]</t>
  </si>
  <si>
    <t>bacterium BMS3Abin01</t>
  </si>
  <si>
    <t>xylulose-5-phosphate/fructose-6-phosphate phosphoketolase [Rhizobium sp. BK316]</t>
  </si>
  <si>
    <t>Rhizobium sp. BK316</t>
  </si>
  <si>
    <t>phosphoketolase [Rhizobium sp. BK316]</t>
  </si>
  <si>
    <t>phosphoketolase family protein [Andreprevotia chitinilytica]</t>
  </si>
  <si>
    <t>Andreprevotia chitinilytica</t>
  </si>
  <si>
    <t>A motile, Gram-negative, rod-shaped bacterium</t>
  </si>
  <si>
    <t>phosphoketolase family protein [Phyllobacterium trifolii]</t>
  </si>
  <si>
    <t>A root-nodulating bacteria that was first isolated from nodules in Trifolium and Lupinus species.</t>
  </si>
  <si>
    <t>phosphoketolase [Rhizobium grahamii CCGE 502]</t>
  </si>
  <si>
    <t>Rhizobium grahamii CCGE 502</t>
  </si>
  <si>
    <t>phosphoketolase [Firmicutes bacterium]</t>
  </si>
  <si>
    <t>Firmicutes bacterium</t>
  </si>
  <si>
    <t>The Firmicutes are a phylum of bacteria, most of which have gram-positive cell wall structure.</t>
  </si>
  <si>
    <t>phosphoketolase family protein [Bacteroidales bacterium]</t>
  </si>
  <si>
    <t>Bacteroidales bacterium</t>
  </si>
  <si>
    <t>phosphoketolase family protein [Arachidicoccus sp. BS20]</t>
  </si>
  <si>
    <t>Arachidicoccus sp. BS20</t>
  </si>
  <si>
    <t>phosphoketolase [Rhizobium lentis]</t>
  </si>
  <si>
    <t>Rhizobium lentis</t>
  </si>
  <si>
    <t>Rhizobium lentis is a gram-negative bacterium which was isolated from root nodules of lentils</t>
  </si>
  <si>
    <t>phosphoketolase family protein [Niabella ginsenosidivorans]</t>
  </si>
  <si>
    <t>Niabella ginsenosidivorans</t>
  </si>
  <si>
    <t>Gram-negative, strictly aerobic, rod-shaped and non-motile bacterium from the genus of Niabella which has been isolated from compost</t>
  </si>
  <si>
    <t>phosphoketolase [Sulfurospirillum sp. SCADC]</t>
  </si>
  <si>
    <t>Sulfurospirillum sp. SCADC</t>
  </si>
  <si>
    <t>phosphoketolase family protein [Sulfurospirillum sp. JPD-1]</t>
  </si>
  <si>
    <t>Sulfurospirillum sp. JPD-1</t>
  </si>
  <si>
    <t>phosphoketolase family protein [Sulfurospirillum sp. UCH001]</t>
  </si>
  <si>
    <t>Sulfurospirillum sp. UCH001</t>
  </si>
  <si>
    <t>phosphoketolase family protein [Mesorhizobium sp. M7A.F.Ca.US.001.04.2.1]</t>
  </si>
  <si>
    <t>Mesorhizobium sp. M7A.F.Ca.US.001.04.2.1</t>
  </si>
  <si>
    <t>phosphoketolase [Citrobacter freundii]</t>
  </si>
  <si>
    <t>Citrobacter freundii</t>
  </si>
  <si>
    <t>MULTISPECIES: phosphoketolase family protein [unclassified Sulfurospirillum]</t>
  </si>
  <si>
    <t>unclassified Sulfurospirillum</t>
  </si>
  <si>
    <t>Probacteria. It is notable for metabolising arsenic, hence its name.</t>
  </si>
  <si>
    <t>phosphoketolase family protein [Chitinophaga parva]</t>
  </si>
  <si>
    <t>Chitinophaga parva</t>
  </si>
  <si>
    <t>phosphoketolase [Candidatus Yonathbacteria bacterium RIFCSPHIGHO2_01_FULL_44_41]</t>
  </si>
  <si>
    <t>Candidatus Yonathbacteria bacterium RIFCSPHIGHO2_01_FULL_44_41</t>
  </si>
  <si>
    <t>phosphoketolase family protein [Candidatus Eremiobacteraeota bacterium]</t>
  </si>
  <si>
    <t>Candidatus Eremiobacteraeota bacterium</t>
  </si>
  <si>
    <t>TPA: phosphoketolase family protein [Candidatus Melainabacteria bacterium]</t>
  </si>
  <si>
    <t>phosphoketolase [Candidatus Yonathbacteria bacterium RIFCSPLOWO2_01_FULL_47_33b]</t>
  </si>
  <si>
    <t>Candidatus Yonathbacteria bacterium RIFCSPLOWO2_01_FULL_47_33b</t>
  </si>
  <si>
    <t>phosphoketolase family protein [Niabella yanshanensis]</t>
  </si>
  <si>
    <t>Niabella yanshanensis</t>
  </si>
  <si>
    <t>Bacteria; Proteobacteria; Alphaproteobacteria</t>
  </si>
  <si>
    <t>phosphoketolase [Candidatus Peribacteria bacterium RIFCSPHIGHO2_01_FULL_54_22]</t>
  </si>
  <si>
    <t>Candidatus Peribacteria bacterium RIFCSPHIGHO2_01_FULL_54_22</t>
  </si>
  <si>
    <t>Candidatus Peribacteria</t>
  </si>
  <si>
    <t>phosphoketolase family protein [Consotaella salsifontis]</t>
  </si>
  <si>
    <t>Consotaella salsifontis</t>
  </si>
  <si>
    <t>phosphoketolase family protein [Candidatus Thiothrix moscowensis]</t>
  </si>
  <si>
    <t>Candidatus Thiothrix moscowensis</t>
  </si>
  <si>
    <t>Proteobacteria; Gammaproteobacteria;</t>
  </si>
  <si>
    <t>phosphoketolase family protein [Mesorhizobium sp. M4B.F.Ca.ET.049.02.1.2]</t>
  </si>
  <si>
    <t>Mesorhizobium sp. M4B.F.Ca.ET.049.02.1.2</t>
  </si>
  <si>
    <t>Proteobacteria; Alphaproteobacteria</t>
  </si>
  <si>
    <t>phosphoketolase family protein [Rugosibacter aromaticivorans]</t>
  </si>
  <si>
    <t>Rugosibacter aromaticivorans</t>
  </si>
  <si>
    <t>Proteobacteria; Betaproteobacteria</t>
  </si>
  <si>
    <t>xfp [Firmicutes bacterium]</t>
  </si>
  <si>
    <t>phosphoketolase family protein [Oxalobacter sp.]</t>
  </si>
  <si>
    <t>Oxalobacter sp.</t>
  </si>
  <si>
    <t>phosphoketolase family protein [Rhodopirellula islandica]</t>
  </si>
  <si>
    <t>Rhodopirellula islandica</t>
  </si>
  <si>
    <t>Mesophilic bacterium</t>
  </si>
  <si>
    <t>Xylulose 5-phosphate/Fructose 6-phosphate phosphoketolase [Rhodopirellula islandica]</t>
  </si>
  <si>
    <t>Elusimicrobia is an enigmatic bacterial phylum.</t>
  </si>
  <si>
    <t>Probable phosphoketolase [uncultured Desulfobacterium sp.]</t>
  </si>
  <si>
    <t>uncultured Desulfobacterium sp.</t>
  </si>
  <si>
    <t>Proteobacteria; Deltaproteobacteria;</t>
  </si>
  <si>
    <t>phosphoketolase family protein [Chitiniphilus shinanonensis]</t>
  </si>
  <si>
    <t>Chitiniphilus shinanonensis</t>
  </si>
  <si>
    <t>A bacterial strain capable of degrading chitin,</t>
  </si>
  <si>
    <t>phosphoketolase family protein [Rhodopirellula baltica]</t>
  </si>
  <si>
    <t>Rhodopirellula baltica</t>
  </si>
  <si>
    <t>Bacteria; Planctomycetes</t>
  </si>
  <si>
    <t>phosphoketolase [Pedobacter sp. ASV28]</t>
  </si>
  <si>
    <t>Pedobacter sp. ASV28</t>
  </si>
  <si>
    <t>phosphoketolase [Bacteroides ihuae]</t>
  </si>
  <si>
    <t>Bacteroides ihuae</t>
  </si>
  <si>
    <t>phosphoketolase [Sinorhizobium medicae]</t>
  </si>
  <si>
    <t>phosphoketolase family protein [Chitiniphilus eburneus]</t>
  </si>
  <si>
    <t>Chitiniphilus eburneus</t>
  </si>
  <si>
    <t xml:space="preserve">Cyanobacteria bacterium </t>
  </si>
  <si>
    <t>Bacteroidetes, A Gram-negative, aerobic and non-motile bacterium from the genus of Niabella</t>
  </si>
  <si>
    <r>
      <t>In contrast to most known Methanotrophs </t>
    </r>
    <r>
      <rPr>
        <b/>
        <sz val="14"/>
        <color rgb="FFFF0000"/>
        <rFont val="Arial"/>
      </rPr>
      <t>Methyloferula stellata</t>
    </r>
    <r>
      <rPr>
        <sz val="14"/>
        <color rgb="FFFF0000"/>
        <rFont val="Arial"/>
      </rPr>
      <t> is an aerobic acidophilic methanotroph</t>
    </r>
  </si>
  <si>
    <t>WP_090687661.1</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</si>
</sst>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2"/>
      <color theme="1"/>
      <name val="Calibri"/>
      <family val="2"/>
      <scheme val="minor"/>
    </font>
    <font>
      <sz val="12"/>
      <color rgb="FFFF0000"/>
      <name val="Calibri"/>
      <family val="2"/>
      <scheme val="minor"/>
    </font>
    <font>
      <sz val="12"/>
      <color rgb="FFFF0000"/>
      <name val="Arial"/>
    </font>
    <font>
      <sz val="12"/>
      <color theme="1"/>
      <name val="Arial"/>
    </font>
    <font>
      <u/>
      <sz val="12"/>
      <color theme="10"/>
      <name val="Calibri"/>
      <family val="2"/>
      <scheme val="minor"/>
    </font>
    <font>
      <u/>
      <sz val="12"/>
      <color theme="10"/>
      <name val="Arial"/>
    </font>
    <font>
      <b/>
      <sz val="12"/>
      <color rgb="FFFF0000"/>
      <name val="Calibri"/>
      <scheme val="minor"/>
    </font>
    <font>
      <sz val="14"/>
      <color theme="1"/>
      <name val="Arial"/>
    </font>
    <font>
      <sz val="14"/>
      <color rgb="FFFF0000"/>
      <name val="Arial"/>
    </font>
    <font>
      <sz val="14"/>
      <color rgb="FF4D5156"/>
      <name val="Arial"/>
    </font>
    <font>
      <b/>
      <sz val="14"/>
      <color rgb="FF5F6368"/>
      <name val="Arial"/>
    </font>
    <font>
      <sz val="14"/>
      <color rgb="FF2E2E2E"/>
      <name val="Arial"/>
    </font>
    <font>
      <i/>
      <sz val="14"/>
      <color rgb="FF222222"/>
      <name val="Arial"/>
    </font>
    <font>
      <sz val="14"/>
      <color rgb="FF222222"/>
      <name val="Arial"/>
    </font>
    <font>
      <i/>
      <sz val="14"/>
      <color rgb="FF000000"/>
      <name val="Arial"/>
    </font>
    <font>
      <sz val="14"/>
      <color rgb="FF000000"/>
      <name val="Arial"/>
    </font>
    <font>
      <vertAlign val="subscript"/>
      <sz val="14"/>
      <color rgb="FF000000"/>
      <name val="Arial"/>
    </font>
    <font>
      <sz val="14"/>
      <color rgb="FF333333"/>
      <name val="Arial"/>
    </font>
    <font>
      <vertAlign val="superscript"/>
      <sz val="12"/>
      <color rgb="FFFF0000"/>
      <name val="Arial"/>
    </font>
    <font>
      <sz val="13"/>
      <color rgb="FFFF0000"/>
      <name val="Arial"/>
    </font>
    <font>
      <sz val="13"/>
      <color rgb="FFFF0000"/>
      <name val="Courier New"/>
    </font>
    <font>
      <u/>
      <sz val="16"/>
      <color rgb="FFFF0000"/>
      <name val="Calibri"/>
      <family val="2"/>
      <scheme val="minor"/>
    </font>
    <font>
      <u/>
      <sz val="12"/>
      <color rgb="FFFF0000"/>
      <name val="Calibri"/>
      <family val="2"/>
      <scheme val="minor"/>
    </font>
    <font>
      <u/>
      <sz val="12"/>
      <color rgb="FFFF0000"/>
      <name val="Arial"/>
    </font>
    <font>
      <sz val="12"/>
      <color rgb="FF333333"/>
      <name val="Arial"/>
    </font>
    <font>
      <b/>
      <sz val="14"/>
      <color rgb="FFFF0000"/>
      <name val="Arial"/>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2" fillId="0" borderId="0" xfId="0" applyFont="1" applyFill="1"/>
    <xf numFmtId="9" fontId="2" fillId="0" borderId="0" xfId="0" applyNumberFormat="1" applyFont="1" applyFill="1"/>
    <xf numFmtId="0" fontId="3" fillId="0" borderId="0" xfId="0" applyFont="1" applyFill="1"/>
    <xf numFmtId="0" fontId="1" fillId="0" borderId="0" xfId="0" applyFont="1" applyFill="1"/>
    <xf numFmtId="0" fontId="2" fillId="0" borderId="0" xfId="0" applyFont="1"/>
    <xf numFmtId="9" fontId="2" fillId="0" borderId="0" xfId="0" applyNumberFormat="1" applyFont="1"/>
    <xf numFmtId="0" fontId="1" fillId="0" borderId="0" xfId="0" applyFont="1"/>
    <xf numFmtId="0" fontId="0" fillId="0" borderId="0" xfId="0" applyFont="1"/>
    <xf numFmtId="0" fontId="5" fillId="0" borderId="0" xfId="1" applyFont="1"/>
    <xf numFmtId="0" fontId="6" fillId="0" borderId="0" xfId="0" applyFont="1"/>
    <xf numFmtId="0" fontId="3" fillId="0" borderId="0" xfId="0" applyFont="1"/>
    <xf numFmtId="0" fontId="7" fillId="0" borderId="0" xfId="0" applyFont="1" applyFill="1"/>
    <xf numFmtId="0" fontId="8" fillId="0" borderId="0" xfId="0" applyFont="1" applyFill="1"/>
    <xf numFmtId="9" fontId="8" fillId="0" borderId="0" xfId="0" applyNumberFormat="1" applyFont="1" applyFill="1"/>
    <xf numFmtId="0" fontId="8" fillId="0" borderId="0" xfId="0" applyFont="1"/>
    <xf numFmtId="0" fontId="9" fillId="0" borderId="0" xfId="0" applyFont="1"/>
    <xf numFmtId="0" fontId="8" fillId="2" borderId="0" xfId="0" applyFont="1" applyFill="1"/>
    <xf numFmtId="9" fontId="8" fillId="2" borderId="0" xfId="0" applyNumberFormat="1" applyFont="1" applyFill="1"/>
    <xf numFmtId="0" fontId="10" fillId="2" borderId="0" xfId="0" applyFont="1" applyFill="1"/>
    <xf numFmtId="0" fontId="11" fillId="0" borderId="0" xfId="0" applyFont="1"/>
    <xf numFmtId="9" fontId="8" fillId="0" borderId="0" xfId="0" applyNumberFormat="1" applyFont="1"/>
    <xf numFmtId="0" fontId="12" fillId="0" borderId="0" xfId="0" applyFont="1"/>
    <xf numFmtId="0" fontId="14" fillId="0" borderId="0" xfId="0" applyFont="1"/>
    <xf numFmtId="0" fontId="17" fillId="0" borderId="0" xfId="0" applyFont="1"/>
    <xf numFmtId="0" fontId="7" fillId="0" borderId="0" xfId="0" applyFont="1"/>
    <xf numFmtId="0" fontId="4" fillId="0" borderId="0" xfId="1"/>
    <xf numFmtId="0" fontId="19" fillId="0" borderId="0" xfId="0" applyFont="1"/>
    <xf numFmtId="0" fontId="4" fillId="0" borderId="0" xfId="1" applyFill="1"/>
    <xf numFmtId="0" fontId="2" fillId="3" borderId="0" xfId="0" applyFont="1" applyFill="1"/>
    <xf numFmtId="9" fontId="2" fillId="3" borderId="0" xfId="0" applyNumberFormat="1" applyFont="1" applyFill="1"/>
    <xf numFmtId="0" fontId="1" fillId="3" borderId="0" xfId="0" applyFont="1" applyFill="1"/>
    <xf numFmtId="0" fontId="20" fillId="0" borderId="0" xfId="0" applyFont="1"/>
    <xf numFmtId="0" fontId="0" fillId="0" borderId="0" xfId="0" applyFill="1"/>
    <xf numFmtId="0" fontId="21" fillId="0" borderId="0" xfId="1" applyFont="1" applyFill="1"/>
    <xf numFmtId="0" fontId="22" fillId="0" borderId="0" xfId="1" applyFont="1"/>
    <xf numFmtId="0" fontId="22" fillId="0" borderId="0" xfId="1" applyFont="1" applyFill="1"/>
    <xf numFmtId="0" fontId="23" fillId="0" borderId="0" xfId="1" applyFont="1"/>
    <xf numFmtId="0" fontId="24" fillId="0" borderId="0" xfId="0" applyFont="1"/>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 Id="rId1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1"/>
  <sheetViews>
    <sheetView topLeftCell="A794" workbookViewId="0">
      <selection activeCell="F798" sqref="A798:XFD798"/>
    </sheetView>
  </sheetViews>
  <sheetFormatPr baseColWidth="10" defaultRowHeight="16" x14ac:dyDescent="0.2"/>
  <cols>
    <col min="1" max="1" width="55.6640625" customWidth="1"/>
    <col min="2" max="2" width="50" customWidth="1"/>
    <col min="8" max="8" width="24.5" customWidth="1"/>
    <col min="9" max="9" width="29" customWidth="1"/>
  </cols>
  <sheetData>
    <row r="1" spans="1:10" s="3" customFormat="1" x14ac:dyDescent="0.2">
      <c r="A1" s="3" t="s">
        <v>5</v>
      </c>
      <c r="B1" s="3" t="s">
        <v>6</v>
      </c>
      <c r="C1" s="3" t="s">
        <v>7</v>
      </c>
      <c r="D1" s="3" t="s">
        <v>8</v>
      </c>
      <c r="E1" s="3" t="s">
        <v>9</v>
      </c>
      <c r="F1" s="3" t="s">
        <v>10</v>
      </c>
      <c r="G1" s="3" t="s">
        <v>11</v>
      </c>
      <c r="H1" s="3" t="s">
        <v>12</v>
      </c>
      <c r="I1" s="3" t="s">
        <v>13</v>
      </c>
      <c r="J1" s="1"/>
    </row>
    <row r="2" spans="1:10" s="1" customFormat="1" x14ac:dyDescent="0.2">
      <c r="A2" s="1" t="s">
        <v>0</v>
      </c>
      <c r="B2" s="1" t="s">
        <v>1</v>
      </c>
      <c r="C2" s="1">
        <v>1642</v>
      </c>
      <c r="D2" s="1">
        <v>1642</v>
      </c>
      <c r="E2" s="2">
        <v>1</v>
      </c>
      <c r="F2" s="1">
        <v>0</v>
      </c>
      <c r="G2" s="1">
        <v>100</v>
      </c>
      <c r="H2" s="1">
        <v>796</v>
      </c>
      <c r="I2" s="1" t="str">
        <f>HYPERLINK("https://www.ncbi.nlm.nih.gov/protein/WP_011244323.1?report=genbank&amp;log$=prottop&amp;blast_rank=1&amp;RID=7U875CNM013","WP_011244323.1")</f>
        <v>WP_011244323.1</v>
      </c>
      <c r="J2" s="1" t="s">
        <v>2</v>
      </c>
    </row>
    <row r="3" spans="1:10" s="1" customFormat="1" x14ac:dyDescent="0.2">
      <c r="A3" s="1" t="s">
        <v>3</v>
      </c>
      <c r="B3" s="1" t="s">
        <v>4</v>
      </c>
      <c r="C3" s="1">
        <v>1636</v>
      </c>
      <c r="D3" s="1">
        <v>1636</v>
      </c>
      <c r="E3" s="2">
        <v>1</v>
      </c>
      <c r="F3" s="1">
        <v>0</v>
      </c>
      <c r="G3" s="1">
        <v>99.62</v>
      </c>
      <c r="H3" s="1">
        <v>796</v>
      </c>
      <c r="I3" s="1" t="str">
        <f>HYPERLINK("https://www.ncbi.nlm.nih.gov/protein/WP_126147624.1?report=genbank&amp;log$=prottop&amp;blast_rank=2&amp;RID=7U875CNM013","WP_126147624.1")</f>
        <v>WP_126147624.1</v>
      </c>
      <c r="J3" s="1" t="s">
        <v>2</v>
      </c>
    </row>
    <row r="4" spans="1:10" s="1" customFormat="1" x14ac:dyDescent="0.2">
      <c r="A4" s="1" t="s">
        <v>3</v>
      </c>
      <c r="B4" s="1" t="s">
        <v>4</v>
      </c>
      <c r="C4" s="1">
        <v>1611</v>
      </c>
      <c r="D4" s="1">
        <v>1611</v>
      </c>
      <c r="E4" s="2">
        <v>1</v>
      </c>
      <c r="F4" s="1">
        <v>0</v>
      </c>
      <c r="G4" s="1">
        <v>97.49</v>
      </c>
      <c r="H4" s="1">
        <v>796</v>
      </c>
      <c r="I4" s="1" t="str">
        <f>HYPERLINK("https://www.ncbi.nlm.nih.gov/protein/WP_208678874.1?report=genbank&amp;log$=prottop&amp;blast_rank=3&amp;RID=7U875CNM013","WP_208678874.1")</f>
        <v>WP_208678874.1</v>
      </c>
      <c r="J4" s="1" t="s">
        <v>2</v>
      </c>
    </row>
    <row r="5" spans="1:10" s="1" customFormat="1" x14ac:dyDescent="0.2">
      <c r="A5" s="1" t="s">
        <v>3</v>
      </c>
      <c r="B5" s="1" t="s">
        <v>4</v>
      </c>
      <c r="C5" s="1">
        <v>1609</v>
      </c>
      <c r="D5" s="1">
        <v>1609</v>
      </c>
      <c r="E5" s="2">
        <v>1</v>
      </c>
      <c r="F5" s="1">
        <v>0</v>
      </c>
      <c r="G5" s="1">
        <v>97.49</v>
      </c>
      <c r="H5" s="1">
        <v>796</v>
      </c>
      <c r="I5" s="1" t="str">
        <f>HYPERLINK("https://www.ncbi.nlm.nih.gov/protein/WP_208676326.1?report=genbank&amp;log$=prottop&amp;blast_rank=4&amp;RID=7U875CNM013","WP_208676326.1")</f>
        <v>WP_208676326.1</v>
      </c>
      <c r="J5" s="1" t="s">
        <v>2</v>
      </c>
    </row>
    <row r="6" spans="1:10" s="1" customFormat="1" x14ac:dyDescent="0.2">
      <c r="A6" s="1" t="s">
        <v>14</v>
      </c>
      <c r="B6" s="1" t="s">
        <v>15</v>
      </c>
      <c r="C6" s="1">
        <v>1230</v>
      </c>
      <c r="D6" s="1">
        <v>1230</v>
      </c>
      <c r="E6" s="2">
        <v>0.98</v>
      </c>
      <c r="F6" s="1">
        <v>0</v>
      </c>
      <c r="G6" s="1">
        <v>73.72</v>
      </c>
      <c r="H6" s="1">
        <v>799</v>
      </c>
      <c r="I6" s="1" t="str">
        <f>HYPERLINK("https://www.ncbi.nlm.nih.gov/protein/MBF2099311.1?report=genbank&amp;log$=prottop&amp;blast_rank=6&amp;RID=7U875CNM013","MBF2099311.1")</f>
        <v>MBF2099311.1</v>
      </c>
      <c r="J6" s="1" t="s">
        <v>2</v>
      </c>
    </row>
    <row r="7" spans="1:10" s="1" customFormat="1" x14ac:dyDescent="0.2">
      <c r="A7" s="1" t="s">
        <v>16</v>
      </c>
      <c r="B7" s="1" t="s">
        <v>17</v>
      </c>
      <c r="C7" s="1">
        <v>1210</v>
      </c>
      <c r="D7" s="1">
        <v>1210</v>
      </c>
      <c r="E7" s="2">
        <v>0.99</v>
      </c>
      <c r="F7" s="1">
        <v>0</v>
      </c>
      <c r="G7" s="1">
        <v>73.39</v>
      </c>
      <c r="H7" s="1">
        <v>801</v>
      </c>
      <c r="I7" s="1" t="str">
        <f>HYPERLINK("https://www.ncbi.nlm.nih.gov/protein/WP_200383344.1?report=genbank&amp;log$=prottop&amp;blast_rank=7&amp;RID=7U875CNM013","WP_200383344.1")</f>
        <v>WP_200383344.1</v>
      </c>
      <c r="J7" s="1" t="s">
        <v>2</v>
      </c>
    </row>
    <row r="8" spans="1:10" s="1" customFormat="1" x14ac:dyDescent="0.2">
      <c r="A8" s="1" t="s">
        <v>18</v>
      </c>
      <c r="B8" s="1" t="s">
        <v>19</v>
      </c>
      <c r="C8" s="1">
        <v>1227</v>
      </c>
      <c r="D8" s="1">
        <v>1227</v>
      </c>
      <c r="E8" s="2">
        <v>0.98</v>
      </c>
      <c r="F8" s="1">
        <v>0</v>
      </c>
      <c r="G8" s="1">
        <v>73</v>
      </c>
      <c r="H8" s="1">
        <v>802</v>
      </c>
      <c r="I8" s="1" t="str">
        <f>HYPERLINK("https://www.ncbi.nlm.nih.gov/protein/WP_079678383.1?report=genbank&amp;log$=prottop&amp;blast_rank=8&amp;RID=7U875CNM013","WP_079678383.1")</f>
        <v>WP_079678383.1</v>
      </c>
      <c r="J8" s="1" t="s">
        <v>2</v>
      </c>
    </row>
    <row r="9" spans="1:10" s="1" customFormat="1" x14ac:dyDescent="0.2">
      <c r="A9" s="1" t="s">
        <v>20</v>
      </c>
      <c r="B9" s="1" t="s">
        <v>21</v>
      </c>
      <c r="C9" s="1">
        <v>1236</v>
      </c>
      <c r="D9" s="1">
        <v>1236</v>
      </c>
      <c r="E9" s="2">
        <v>0.98</v>
      </c>
      <c r="F9" s="1">
        <v>0</v>
      </c>
      <c r="G9" s="1">
        <v>72.72</v>
      </c>
      <c r="H9" s="1">
        <v>799</v>
      </c>
      <c r="I9" s="1" t="str">
        <f>HYPERLINK("https://www.ncbi.nlm.nih.gov/protein/WP_016876026.1?report=genbank&amp;log$=prottop&amp;blast_rank=13&amp;RID=7U875CNM013","WP_016876026.1")</f>
        <v>WP_016876026.1</v>
      </c>
      <c r="J9" s="1" t="s">
        <v>2</v>
      </c>
    </row>
    <row r="10" spans="1:10" s="1" customFormat="1" x14ac:dyDescent="0.2">
      <c r="A10" s="1" t="s">
        <v>22</v>
      </c>
      <c r="B10" s="1" t="s">
        <v>23</v>
      </c>
      <c r="C10" s="1">
        <v>1236</v>
      </c>
      <c r="D10" s="1">
        <v>1236</v>
      </c>
      <c r="E10" s="2">
        <v>0.98</v>
      </c>
      <c r="F10" s="1">
        <v>0</v>
      </c>
      <c r="G10" s="1">
        <v>72.59</v>
      </c>
      <c r="H10" s="1">
        <v>802</v>
      </c>
      <c r="I10" s="1" t="str">
        <f>HYPERLINK("https://www.ncbi.nlm.nih.gov/protein/WP_190520861.1?report=genbank&amp;log$=prottop&amp;blast_rank=17&amp;RID=7U875CNM013","WP_190520861.1")</f>
        <v>WP_190520861.1</v>
      </c>
      <c r="J10" s="1" t="s">
        <v>2</v>
      </c>
    </row>
    <row r="11" spans="1:10" s="1" customFormat="1" x14ac:dyDescent="0.2">
      <c r="A11" s="1" t="s">
        <v>26</v>
      </c>
      <c r="B11" s="1" t="s">
        <v>27</v>
      </c>
      <c r="C11" s="1">
        <v>1234</v>
      </c>
      <c r="D11" s="1">
        <v>1234</v>
      </c>
      <c r="E11" s="2">
        <v>0.98</v>
      </c>
      <c r="F11" s="1">
        <v>0</v>
      </c>
      <c r="G11" s="1">
        <v>72.34</v>
      </c>
      <c r="H11" s="1">
        <v>802</v>
      </c>
      <c r="I11" s="1" t="str">
        <f>HYPERLINK("https://www.ncbi.nlm.nih.gov/protein/BBD53249.1?report=genbank&amp;log$=prottop&amp;blast_rank=20&amp;RID=7U875CNM013","BBD53249.1")</f>
        <v>BBD53249.1</v>
      </c>
      <c r="J11" s="1" t="s">
        <v>2</v>
      </c>
    </row>
    <row r="12" spans="1:10" s="1" customFormat="1" x14ac:dyDescent="0.2">
      <c r="A12" s="1" t="s">
        <v>28</v>
      </c>
      <c r="B12" s="1" t="s">
        <v>29</v>
      </c>
      <c r="C12" s="1">
        <v>1233</v>
      </c>
      <c r="D12" s="1">
        <v>1233</v>
      </c>
      <c r="E12" s="2">
        <v>0.98</v>
      </c>
      <c r="F12" s="1">
        <v>0</v>
      </c>
      <c r="G12" s="1">
        <v>72.34</v>
      </c>
      <c r="H12" s="1">
        <v>802</v>
      </c>
      <c r="I12" s="1" t="str">
        <f>HYPERLINK("https://www.ncbi.nlm.nih.gov/protein/HAN76186.1?report=genbank&amp;log$=prottop&amp;blast_rank=21&amp;RID=7U875CNM013","HAN76186.1")</f>
        <v>HAN76186.1</v>
      </c>
      <c r="J12" s="1" t="s">
        <v>2</v>
      </c>
    </row>
    <row r="13" spans="1:10" s="1" customFormat="1" x14ac:dyDescent="0.2">
      <c r="A13" s="1" t="s">
        <v>30</v>
      </c>
      <c r="B13" s="1" t="s">
        <v>31</v>
      </c>
      <c r="C13" s="1">
        <v>1216</v>
      </c>
      <c r="D13" s="1">
        <v>1216</v>
      </c>
      <c r="E13" s="2">
        <v>0.98</v>
      </c>
      <c r="F13" s="1">
        <v>0</v>
      </c>
      <c r="G13" s="1">
        <v>72.34</v>
      </c>
      <c r="H13" s="1">
        <v>802</v>
      </c>
      <c r="I13" s="1" t="str">
        <f>HYPERLINK("https://www.ncbi.nlm.nih.gov/protein/WP_141293675.1?report=genbank&amp;log$=prottop&amp;blast_rank=22&amp;RID=7U875CNM013","WP_141293675.1")</f>
        <v>WP_141293675.1</v>
      </c>
      <c r="J13" s="1" t="s">
        <v>2</v>
      </c>
    </row>
    <row r="14" spans="1:10" s="1" customFormat="1" x14ac:dyDescent="0.2">
      <c r="A14" s="1" t="s">
        <v>32</v>
      </c>
      <c r="B14" s="1" t="s">
        <v>33</v>
      </c>
      <c r="C14" s="1">
        <v>1226</v>
      </c>
      <c r="D14" s="1">
        <v>1226</v>
      </c>
      <c r="E14" s="2">
        <v>0.99</v>
      </c>
      <c r="F14" s="1">
        <v>0</v>
      </c>
      <c r="G14" s="1">
        <v>72.31</v>
      </c>
      <c r="H14" s="1">
        <v>801</v>
      </c>
      <c r="I14" s="1" t="str">
        <f>HYPERLINK("https://www.ncbi.nlm.nih.gov/protein/KPQ40343.1?report=genbank&amp;log$=prottop&amp;blast_rank=26&amp;RID=7U875CNM013","KPQ40343.1")</f>
        <v>KPQ40343.1</v>
      </c>
      <c r="J14" s="1" t="s">
        <v>2</v>
      </c>
    </row>
    <row r="15" spans="1:10" s="1" customFormat="1" x14ac:dyDescent="0.2">
      <c r="A15" s="1" t="s">
        <v>34</v>
      </c>
      <c r="B15" s="1" t="s">
        <v>35</v>
      </c>
      <c r="C15" s="1">
        <v>1223</v>
      </c>
      <c r="D15" s="1">
        <v>1223</v>
      </c>
      <c r="E15" s="2">
        <v>0.99</v>
      </c>
      <c r="F15" s="1">
        <v>0</v>
      </c>
      <c r="G15" s="1">
        <v>72.25</v>
      </c>
      <c r="H15" s="1">
        <v>801</v>
      </c>
      <c r="I15" s="1" t="str">
        <f>HYPERLINK("https://www.ncbi.nlm.nih.gov/protein/WP_170188483.1?report=genbank&amp;log$=prottop&amp;blast_rank=27&amp;RID=7U875CNM013","WP_170188483.1")</f>
        <v>WP_170188483.1</v>
      </c>
      <c r="J15" s="1" t="s">
        <v>2</v>
      </c>
    </row>
    <row r="16" spans="1:10" s="1" customFormat="1" x14ac:dyDescent="0.2">
      <c r="A16" s="1" t="s">
        <v>36</v>
      </c>
      <c r="B16" s="1" t="s">
        <v>37</v>
      </c>
      <c r="C16" s="1">
        <v>1234</v>
      </c>
      <c r="D16" s="1">
        <v>1234</v>
      </c>
      <c r="E16" s="2">
        <v>0.98</v>
      </c>
      <c r="F16" s="1">
        <v>0</v>
      </c>
      <c r="G16" s="1">
        <v>72.209999999999994</v>
      </c>
      <c r="H16" s="1">
        <v>802</v>
      </c>
      <c r="I16" s="1" t="str">
        <f>HYPERLINK("https://www.ncbi.nlm.nih.gov/protein/WP_083620286.1?report=genbank&amp;log$=prottop&amp;blast_rank=28&amp;RID=7U875CNM013","WP_083620286.1")</f>
        <v>WP_083620286.1</v>
      </c>
      <c r="J16" s="1" t="s">
        <v>2</v>
      </c>
    </row>
    <row r="17" spans="1:10" s="1" customFormat="1" x14ac:dyDescent="0.2">
      <c r="A17" s="1" t="s">
        <v>38</v>
      </c>
      <c r="B17" s="1" t="s">
        <v>39</v>
      </c>
      <c r="C17" s="1">
        <v>1232</v>
      </c>
      <c r="D17" s="1">
        <v>1232</v>
      </c>
      <c r="E17" s="2">
        <v>0.98</v>
      </c>
      <c r="F17" s="1">
        <v>0</v>
      </c>
      <c r="G17" s="1">
        <v>72.209999999999994</v>
      </c>
      <c r="H17" s="1">
        <v>802</v>
      </c>
      <c r="I17" s="1" t="str">
        <f>HYPERLINK("https://www.ncbi.nlm.nih.gov/protein/WP_072719947.1?report=genbank&amp;log$=prottop&amp;blast_rank=29&amp;RID=7U875CNM013","WP_072719947.1")</f>
        <v>WP_072719947.1</v>
      </c>
      <c r="J17" s="1" t="s">
        <v>2</v>
      </c>
    </row>
    <row r="18" spans="1:10" s="1" customFormat="1" x14ac:dyDescent="0.2">
      <c r="A18" s="1" t="s">
        <v>40</v>
      </c>
      <c r="B18" s="1" t="s">
        <v>41</v>
      </c>
      <c r="C18" s="1">
        <v>1231</v>
      </c>
      <c r="D18" s="1">
        <v>1231</v>
      </c>
      <c r="E18" s="2">
        <v>0.98</v>
      </c>
      <c r="F18" s="1">
        <v>0</v>
      </c>
      <c r="G18" s="1">
        <v>72.209999999999994</v>
      </c>
      <c r="H18" s="1">
        <v>802</v>
      </c>
      <c r="I18" s="1" t="str">
        <f>HYPERLINK("https://www.ncbi.nlm.nih.gov/protein/WP_193870590.1?report=genbank&amp;log$=prottop&amp;blast_rank=30&amp;RID=7U875CNM013","WP_193870590.1")</f>
        <v>WP_193870590.1</v>
      </c>
      <c r="J18" s="1" t="s">
        <v>2</v>
      </c>
    </row>
    <row r="19" spans="1:10" s="1" customFormat="1" x14ac:dyDescent="0.2">
      <c r="A19" s="1" t="s">
        <v>42</v>
      </c>
      <c r="B19" s="1" t="s">
        <v>43</v>
      </c>
      <c r="C19" s="1">
        <v>1229</v>
      </c>
      <c r="D19" s="1">
        <v>1229</v>
      </c>
      <c r="E19" s="2">
        <v>0.98</v>
      </c>
      <c r="F19" s="1">
        <v>0</v>
      </c>
      <c r="G19" s="1">
        <v>72.209999999999994</v>
      </c>
      <c r="H19" s="1">
        <v>802</v>
      </c>
      <c r="I19" s="1" t="str">
        <f>HYPERLINK("https://www.ncbi.nlm.nih.gov/protein/WP_026796259.1?report=genbank&amp;log$=prottop&amp;blast_rank=31&amp;RID=7U875CNM013","WP_026796259.1")</f>
        <v>WP_026796259.1</v>
      </c>
      <c r="J19" s="1" t="s">
        <v>2</v>
      </c>
    </row>
    <row r="20" spans="1:10" s="1" customFormat="1" x14ac:dyDescent="0.2">
      <c r="A20" s="1" t="s">
        <v>44</v>
      </c>
      <c r="B20" s="1" t="s">
        <v>45</v>
      </c>
      <c r="C20" s="1">
        <v>1234</v>
      </c>
      <c r="D20" s="1">
        <v>1234</v>
      </c>
      <c r="E20" s="2">
        <v>0.99</v>
      </c>
      <c r="F20" s="1">
        <v>0</v>
      </c>
      <c r="G20" s="1">
        <v>72.09</v>
      </c>
      <c r="H20" s="1">
        <v>808</v>
      </c>
      <c r="I20" s="1" t="str">
        <f>HYPERLINK("https://www.ncbi.nlm.nih.gov/protein/WP_190486597.1?report=genbank&amp;log$=prottop&amp;blast_rank=37&amp;RID=7U875CNM013","WP_190486597.1")</f>
        <v>WP_190486597.1</v>
      </c>
      <c r="J20" s="1" t="s">
        <v>2</v>
      </c>
    </row>
    <row r="21" spans="1:10" s="1" customFormat="1" x14ac:dyDescent="0.2">
      <c r="A21" s="1" t="s">
        <v>46</v>
      </c>
      <c r="B21" s="1" t="s">
        <v>47</v>
      </c>
      <c r="C21" s="1">
        <v>1229</v>
      </c>
      <c r="D21" s="1">
        <v>1229</v>
      </c>
      <c r="E21" s="2">
        <v>0.98</v>
      </c>
      <c r="F21" s="1">
        <v>0</v>
      </c>
      <c r="G21" s="1">
        <v>72.08</v>
      </c>
      <c r="H21" s="1">
        <v>802</v>
      </c>
      <c r="I21" s="1" t="str">
        <f>HYPERLINK("https://www.ncbi.nlm.nih.gov/protein/OIP69069.1?report=genbank&amp;log$=prottop&amp;blast_rank=38&amp;RID=7U875CNM013","OIP69069.1")</f>
        <v>OIP69069.1</v>
      </c>
      <c r="J21" s="1" t="s">
        <v>2</v>
      </c>
    </row>
    <row r="22" spans="1:10" s="1" customFormat="1" x14ac:dyDescent="0.2">
      <c r="A22" s="1" t="s">
        <v>48</v>
      </c>
      <c r="B22" s="1" t="s">
        <v>49</v>
      </c>
      <c r="C22" s="1">
        <v>1212</v>
      </c>
      <c r="D22" s="1">
        <v>1212</v>
      </c>
      <c r="E22" s="2">
        <v>0.97</v>
      </c>
      <c r="F22" s="1">
        <v>0</v>
      </c>
      <c r="G22" s="1">
        <v>71.989999999999995</v>
      </c>
      <c r="H22" s="1">
        <v>825</v>
      </c>
      <c r="I22" s="1" t="str">
        <f>HYPERLINK("https://www.ncbi.nlm.nih.gov/protein/AFZ47976.1?report=genbank&amp;log$=prottop&amp;blast_rank=42&amp;RID=7U875CNM013","AFZ47976.1")</f>
        <v>AFZ47976.1</v>
      </c>
      <c r="J22" s="1" t="s">
        <v>2</v>
      </c>
    </row>
    <row r="23" spans="1:10" s="1" customFormat="1" x14ac:dyDescent="0.2">
      <c r="A23" s="1" t="s">
        <v>50</v>
      </c>
      <c r="B23" s="1" t="s">
        <v>51</v>
      </c>
      <c r="C23" s="1">
        <v>1230</v>
      </c>
      <c r="D23" s="1">
        <v>1230</v>
      </c>
      <c r="E23" s="2">
        <v>0.99</v>
      </c>
      <c r="F23" s="1">
        <v>0</v>
      </c>
      <c r="G23" s="1">
        <v>71.930000000000007</v>
      </c>
      <c r="H23" s="1">
        <v>803</v>
      </c>
      <c r="I23" s="1" t="str">
        <f>HYPERLINK("https://www.ncbi.nlm.nih.gov/protein/MBE9167481.1?report=genbank&amp;log$=prottop&amp;blast_rank=43&amp;RID=7U875CNM013","MBE9167481.1")</f>
        <v>MBE9167481.1</v>
      </c>
      <c r="J23" s="1" t="s">
        <v>2</v>
      </c>
    </row>
    <row r="24" spans="1:10" s="1" customFormat="1" x14ac:dyDescent="0.2">
      <c r="A24" s="1" t="s">
        <v>52</v>
      </c>
      <c r="B24" s="1" t="s">
        <v>53</v>
      </c>
      <c r="C24" s="1">
        <v>1216</v>
      </c>
      <c r="D24" s="1">
        <v>1216</v>
      </c>
      <c r="E24" s="2">
        <v>0.99</v>
      </c>
      <c r="F24" s="1">
        <v>0</v>
      </c>
      <c r="G24" s="1">
        <v>71.930000000000007</v>
      </c>
      <c r="H24" s="1">
        <v>801</v>
      </c>
      <c r="I24" s="1" t="str">
        <f>HYPERLINK("https://www.ncbi.nlm.nih.gov/protein/WP_159784125.1?report=genbank&amp;log$=prottop&amp;blast_rank=44&amp;RID=7U875CNM013","WP_159784125.1")</f>
        <v>WP_159784125.1</v>
      </c>
      <c r="J24" s="1" t="s">
        <v>2</v>
      </c>
    </row>
    <row r="25" spans="1:10" s="1" customFormat="1" x14ac:dyDescent="0.2">
      <c r="A25" s="1" t="s">
        <v>30</v>
      </c>
      <c r="B25" s="1" t="s">
        <v>31</v>
      </c>
      <c r="C25" s="1">
        <v>1204</v>
      </c>
      <c r="D25" s="1">
        <v>1204</v>
      </c>
      <c r="E25" s="2">
        <v>0.98</v>
      </c>
      <c r="F25" s="1">
        <v>0</v>
      </c>
      <c r="G25" s="1">
        <v>71.83</v>
      </c>
      <c r="H25" s="1">
        <v>802</v>
      </c>
      <c r="I25" s="1" t="str">
        <f>HYPERLINK("https://www.ncbi.nlm.nih.gov/protein/WP_027255285.1?report=genbank&amp;log$=prottop&amp;blast_rank=48&amp;RID=7U875CNM013","WP_027255285.1")</f>
        <v>WP_027255285.1</v>
      </c>
      <c r="J25" s="1" t="s">
        <v>2</v>
      </c>
    </row>
    <row r="26" spans="1:10" s="1" customFormat="1" x14ac:dyDescent="0.2">
      <c r="A26" s="1" t="s">
        <v>54</v>
      </c>
      <c r="B26" s="1" t="s">
        <v>55</v>
      </c>
      <c r="C26" s="1">
        <v>1223</v>
      </c>
      <c r="D26" s="1">
        <v>1223</v>
      </c>
      <c r="E26" s="2">
        <v>0.99</v>
      </c>
      <c r="F26" s="1">
        <v>0</v>
      </c>
      <c r="G26" s="1">
        <v>71.8</v>
      </c>
      <c r="H26" s="1">
        <v>801</v>
      </c>
      <c r="I26" s="1" t="str">
        <f>HYPERLINK("https://www.ncbi.nlm.nih.gov/protein/TAO04666.1?report=genbank&amp;log$=prottop&amp;blast_rank=49&amp;RID=7U875CNM013","TAO04666.1")</f>
        <v>TAO04666.1</v>
      </c>
      <c r="J26" s="1" t="s">
        <v>2</v>
      </c>
    </row>
    <row r="27" spans="1:10" s="1" customFormat="1" x14ac:dyDescent="0.2">
      <c r="A27" s="1" t="s">
        <v>56</v>
      </c>
      <c r="B27" s="1" t="s">
        <v>57</v>
      </c>
      <c r="C27" s="1">
        <v>1219</v>
      </c>
      <c r="D27" s="1">
        <v>1219</v>
      </c>
      <c r="E27" s="2">
        <v>0.99</v>
      </c>
      <c r="F27" s="1">
        <v>0</v>
      </c>
      <c r="G27" s="1">
        <v>71.8</v>
      </c>
      <c r="H27" s="1">
        <v>801</v>
      </c>
      <c r="I27" s="1" t="str">
        <f>HYPERLINK("https://www.ncbi.nlm.nih.gov/protein/WP_068788991.1?report=genbank&amp;log$=prottop&amp;blast_rank=50&amp;RID=7U875CNM013","WP_068788991.1")</f>
        <v>WP_068788991.1</v>
      </c>
      <c r="J27" s="1" t="s">
        <v>2</v>
      </c>
    </row>
    <row r="28" spans="1:10" s="1" customFormat="1" x14ac:dyDescent="0.2">
      <c r="A28" s="1" t="s">
        <v>58</v>
      </c>
      <c r="B28" s="1" t="s">
        <v>59</v>
      </c>
      <c r="C28" s="1">
        <v>1217</v>
      </c>
      <c r="D28" s="1">
        <v>1217</v>
      </c>
      <c r="E28" s="2">
        <v>0.99</v>
      </c>
      <c r="F28" s="1">
        <v>0</v>
      </c>
      <c r="G28" s="1">
        <v>71.75</v>
      </c>
      <c r="H28" s="1">
        <v>801</v>
      </c>
      <c r="I28" s="1" t="str">
        <f>HYPERLINK("https://www.ncbi.nlm.nih.gov/protein/TVR12901.1?report=genbank&amp;log$=prottop&amp;blast_rank=54&amp;RID=7U875CNM013","TVR12901.1")</f>
        <v>TVR12901.1</v>
      </c>
      <c r="J28" s="1" t="s">
        <v>2</v>
      </c>
    </row>
    <row r="29" spans="1:10" s="1" customFormat="1" x14ac:dyDescent="0.2">
      <c r="A29" s="1" t="s">
        <v>60</v>
      </c>
      <c r="B29" s="1" t="s">
        <v>61</v>
      </c>
      <c r="C29" s="1">
        <v>1231</v>
      </c>
      <c r="D29" s="1">
        <v>1231</v>
      </c>
      <c r="E29" s="2">
        <v>0.99</v>
      </c>
      <c r="F29" s="1">
        <v>0</v>
      </c>
      <c r="G29" s="1">
        <v>71.73</v>
      </c>
      <c r="H29" s="1">
        <v>799</v>
      </c>
      <c r="I29" s="1" t="str">
        <f>HYPERLINK("https://www.ncbi.nlm.nih.gov/protein/WP_155748790.1?report=genbank&amp;log$=prottop&amp;blast_rank=55&amp;RID=7U875CNM013","WP_155748790.1")</f>
        <v>WP_155748790.1</v>
      </c>
      <c r="J29" s="1" t="s">
        <v>2</v>
      </c>
    </row>
    <row r="30" spans="1:10" s="1" customFormat="1" x14ac:dyDescent="0.2">
      <c r="A30" s="1" t="s">
        <v>62</v>
      </c>
      <c r="B30" s="1" t="s">
        <v>63</v>
      </c>
      <c r="C30" s="1">
        <v>1226</v>
      </c>
      <c r="D30" s="1">
        <v>1226</v>
      </c>
      <c r="E30" s="2">
        <v>0.98</v>
      </c>
      <c r="F30" s="1">
        <v>0</v>
      </c>
      <c r="G30" s="1">
        <v>71.7</v>
      </c>
      <c r="H30" s="1">
        <v>802</v>
      </c>
      <c r="I30" s="1" t="str">
        <f>HYPERLINK("https://www.ncbi.nlm.nih.gov/protein/WP_083625487.1?report=genbank&amp;log$=prottop&amp;blast_rank=57&amp;RID=7U875CNM013","WP_083625487.1")</f>
        <v>WP_083625487.1</v>
      </c>
      <c r="J30" s="1" t="s">
        <v>2</v>
      </c>
    </row>
    <row r="31" spans="1:10" s="1" customFormat="1" x14ac:dyDescent="0.2">
      <c r="A31" s="1" t="s">
        <v>42</v>
      </c>
      <c r="B31" s="1" t="s">
        <v>43</v>
      </c>
      <c r="C31" s="1">
        <v>1205</v>
      </c>
      <c r="D31" s="1">
        <v>1205</v>
      </c>
      <c r="E31" s="2">
        <v>0.98</v>
      </c>
      <c r="F31" s="1">
        <v>0</v>
      </c>
      <c r="G31" s="1">
        <v>71.569999999999993</v>
      </c>
      <c r="H31" s="1">
        <v>802</v>
      </c>
      <c r="I31" s="1" t="str">
        <f>HYPERLINK("https://www.ncbi.nlm.nih.gov/protein/WP_026796084.1?report=genbank&amp;log$=prottop&amp;blast_rank=62&amp;RID=7U875CNM013","WP_026796084.1")</f>
        <v>WP_026796084.1</v>
      </c>
      <c r="J31" s="1" t="s">
        <v>2</v>
      </c>
    </row>
    <row r="32" spans="1:10" s="1" customFormat="1" x14ac:dyDescent="0.2">
      <c r="A32" s="1" t="s">
        <v>64</v>
      </c>
      <c r="B32" s="1" t="s">
        <v>65</v>
      </c>
      <c r="C32" s="1">
        <v>1204</v>
      </c>
      <c r="D32" s="1">
        <v>1204</v>
      </c>
      <c r="E32" s="2">
        <v>0.98</v>
      </c>
      <c r="F32" s="1">
        <v>0</v>
      </c>
      <c r="G32" s="1">
        <v>71.569999999999993</v>
      </c>
      <c r="H32" s="1">
        <v>802</v>
      </c>
      <c r="I32" s="1" t="str">
        <f>HYPERLINK("https://www.ncbi.nlm.nih.gov/protein/WP_026785626.1?report=genbank&amp;log$=prottop&amp;blast_rank=63&amp;RID=7U875CNM013","WP_026785626.1")</f>
        <v>WP_026785626.1</v>
      </c>
      <c r="J32" s="1" t="s">
        <v>2</v>
      </c>
    </row>
    <row r="33" spans="1:10" s="1" customFormat="1" x14ac:dyDescent="0.2">
      <c r="A33" s="1" t="s">
        <v>66</v>
      </c>
      <c r="B33" s="1" t="s">
        <v>67</v>
      </c>
      <c r="C33" s="1">
        <v>1201</v>
      </c>
      <c r="D33" s="1">
        <v>1201</v>
      </c>
      <c r="E33" s="2">
        <v>1</v>
      </c>
      <c r="F33" s="1">
        <v>0</v>
      </c>
      <c r="G33" s="1">
        <v>71.319999999999993</v>
      </c>
      <c r="H33" s="1">
        <v>802</v>
      </c>
      <c r="I33" s="1" t="str">
        <f>HYPERLINK("https://www.ncbi.nlm.nih.gov/protein/MBP0002435.1?report=genbank&amp;log$=prottop&amp;blast_rank=77&amp;RID=7U875CNM013","MBP0002435.1")</f>
        <v>MBP0002435.1</v>
      </c>
      <c r="J33" s="1" t="s">
        <v>2</v>
      </c>
    </row>
    <row r="34" spans="1:10" s="1" customFormat="1" x14ac:dyDescent="0.2">
      <c r="A34" s="1" t="s">
        <v>68</v>
      </c>
      <c r="B34" s="1" t="s">
        <v>69</v>
      </c>
      <c r="C34" s="1">
        <v>1199</v>
      </c>
      <c r="D34" s="1">
        <v>1199</v>
      </c>
      <c r="E34" s="2">
        <v>1</v>
      </c>
      <c r="F34" s="1">
        <v>0</v>
      </c>
      <c r="G34" s="1">
        <v>71.2</v>
      </c>
      <c r="H34" s="1">
        <v>802</v>
      </c>
      <c r="I34" s="1" t="str">
        <f>HYPERLINK("https://www.ncbi.nlm.nih.gov/protein/MBO9997771.1?report=genbank&amp;log$=prottop&amp;blast_rank=88&amp;RID=7U875CNM013","MBO9997771.1")</f>
        <v>MBO9997771.1</v>
      </c>
      <c r="J34" s="1" t="s">
        <v>2</v>
      </c>
    </row>
    <row r="35" spans="1:10" s="1" customFormat="1" x14ac:dyDescent="0.2">
      <c r="A35" s="1" t="s">
        <v>70</v>
      </c>
      <c r="B35" s="1" t="s">
        <v>71</v>
      </c>
      <c r="C35" s="1">
        <v>1204</v>
      </c>
      <c r="D35" s="1">
        <v>1204</v>
      </c>
      <c r="E35" s="2">
        <v>0.98</v>
      </c>
      <c r="F35" s="1">
        <v>0</v>
      </c>
      <c r="G35" s="1">
        <v>71.19</v>
      </c>
      <c r="H35" s="1">
        <v>803</v>
      </c>
      <c r="I35" s="1" t="str">
        <f>HYPERLINK("https://www.ncbi.nlm.nih.gov/protein/NET37664.1?report=genbank&amp;log$=prottop&amp;blast_rank=89&amp;RID=7U875CNM013","NET37664.1")</f>
        <v>NET37664.1</v>
      </c>
      <c r="J35" s="1" t="s">
        <v>2</v>
      </c>
    </row>
    <row r="36" spans="1:10" s="1" customFormat="1" x14ac:dyDescent="0.2">
      <c r="A36" s="1" t="s">
        <v>72</v>
      </c>
      <c r="B36" s="1" t="s">
        <v>73</v>
      </c>
      <c r="C36" s="1">
        <v>1208</v>
      </c>
      <c r="D36" s="1">
        <v>1208</v>
      </c>
      <c r="E36" s="2">
        <v>0.98</v>
      </c>
      <c r="F36" s="1">
        <v>0</v>
      </c>
      <c r="G36" s="1">
        <v>71.16</v>
      </c>
      <c r="H36" s="1">
        <v>800</v>
      </c>
      <c r="I36" s="1" t="str">
        <f>HYPERLINK("https://www.ncbi.nlm.nih.gov/protein/WP_066346375.1?report=genbank&amp;log$=prottop&amp;blast_rank=91&amp;RID=7U875CNM013","WP_066346375.1")</f>
        <v>WP_066346375.1</v>
      </c>
      <c r="J36" s="1" t="s">
        <v>2</v>
      </c>
    </row>
    <row r="37" spans="1:10" s="4" customFormat="1" x14ac:dyDescent="0.2">
      <c r="A37" s="1" t="s">
        <v>74</v>
      </c>
      <c r="B37" s="1" t="s">
        <v>75</v>
      </c>
      <c r="C37" s="1">
        <v>1217</v>
      </c>
      <c r="D37" s="1">
        <v>1217</v>
      </c>
      <c r="E37" s="2">
        <v>0.99</v>
      </c>
      <c r="F37" s="1">
        <v>0</v>
      </c>
      <c r="G37" s="1">
        <v>70.91</v>
      </c>
      <c r="H37" s="1">
        <v>803</v>
      </c>
      <c r="I37" s="1" t="str">
        <f>HYPERLINK("https://www.ncbi.nlm.nih.gov/protein/PLS69624.1?report=genbank&amp;log$=prottop&amp;blast_rank=13&amp;RID=7U875CNM013","PLS69624.1")</f>
        <v>PLS69624.1</v>
      </c>
      <c r="J37" s="1" t="s">
        <v>2</v>
      </c>
    </row>
    <row r="38" spans="1:10" s="4" customFormat="1" x14ac:dyDescent="0.2">
      <c r="A38" s="1" t="s">
        <v>76</v>
      </c>
      <c r="B38" s="1" t="s">
        <v>77</v>
      </c>
      <c r="C38" s="1">
        <v>1217</v>
      </c>
      <c r="D38" s="1">
        <v>1217</v>
      </c>
      <c r="E38" s="2">
        <v>0.98</v>
      </c>
      <c r="F38" s="1">
        <v>0</v>
      </c>
      <c r="G38" s="1">
        <v>70.900000000000006</v>
      </c>
      <c r="H38" s="1">
        <v>803</v>
      </c>
      <c r="I38" s="1" t="str">
        <f>HYPERLINK("https://www.ncbi.nlm.nih.gov/protein/NET06912.1?report=genbank&amp;log$=prottop&amp;blast_rank=14&amp;RID=7U875CNM013","NET06912.1")</f>
        <v>NET06912.1</v>
      </c>
      <c r="J38" s="1" t="s">
        <v>2</v>
      </c>
    </row>
    <row r="39" spans="1:10" s="4" customFormat="1" x14ac:dyDescent="0.2">
      <c r="A39" s="1" t="s">
        <v>78</v>
      </c>
      <c r="B39" s="1" t="s">
        <v>79</v>
      </c>
      <c r="C39" s="1">
        <v>1215</v>
      </c>
      <c r="D39" s="1">
        <v>1215</v>
      </c>
      <c r="E39" s="2">
        <v>0.98</v>
      </c>
      <c r="F39" s="1">
        <v>0</v>
      </c>
      <c r="G39" s="1">
        <v>70.78</v>
      </c>
      <c r="H39" s="1">
        <v>803</v>
      </c>
      <c r="I39" s="1" t="str">
        <f>HYPERLINK("https://www.ncbi.nlm.nih.gov/protein/NEO32307.1?report=genbank&amp;log$=prottop&amp;blast_rank=34&amp;RID=7U875CNM013","NEO32307.1")</f>
        <v>NEO32307.1</v>
      </c>
      <c r="J39" s="1" t="s">
        <v>2</v>
      </c>
    </row>
    <row r="40" spans="1:10" s="4" customFormat="1" x14ac:dyDescent="0.2">
      <c r="A40" s="1" t="s">
        <v>80</v>
      </c>
      <c r="B40" s="1" t="s">
        <v>81</v>
      </c>
      <c r="C40" s="1">
        <v>1212</v>
      </c>
      <c r="D40" s="1">
        <v>1212</v>
      </c>
      <c r="E40" s="2">
        <v>0.98</v>
      </c>
      <c r="F40" s="1">
        <v>0</v>
      </c>
      <c r="G40" s="1">
        <v>70.78</v>
      </c>
      <c r="H40" s="1">
        <v>803</v>
      </c>
      <c r="I40" s="1" t="str">
        <f>HYPERLINK("https://www.ncbi.nlm.nih.gov/protein/NEP01178.1?report=genbank&amp;log$=prottop&amp;blast_rank=35&amp;RID=7U875CNM013","NEP01178.1")</f>
        <v>NEP01178.1</v>
      </c>
      <c r="J40" s="1" t="s">
        <v>2</v>
      </c>
    </row>
    <row r="41" spans="1:10" s="4" customFormat="1" x14ac:dyDescent="0.2">
      <c r="A41" s="1" t="s">
        <v>82</v>
      </c>
      <c r="B41" s="1" t="s">
        <v>83</v>
      </c>
      <c r="C41" s="1">
        <v>1201</v>
      </c>
      <c r="D41" s="1">
        <v>1201</v>
      </c>
      <c r="E41" s="2">
        <v>0.98</v>
      </c>
      <c r="F41" s="1">
        <v>0</v>
      </c>
      <c r="G41" s="1">
        <v>70.72</v>
      </c>
      <c r="H41" s="1">
        <v>804</v>
      </c>
      <c r="I41" s="1" t="str">
        <f>HYPERLINK("https://www.ncbi.nlm.nih.gov/protein/MBF2020116.1?report=genbank&amp;log$=prottop&amp;blast_rank=43&amp;RID=7U875CNM013","MBF2020116.1")</f>
        <v>MBF2020116.1</v>
      </c>
      <c r="J41" s="1" t="s">
        <v>2</v>
      </c>
    </row>
    <row r="42" spans="1:10" s="4" customFormat="1" x14ac:dyDescent="0.2">
      <c r="A42" s="1" t="s">
        <v>84</v>
      </c>
      <c r="B42" s="1" t="s">
        <v>85</v>
      </c>
      <c r="C42" s="1">
        <v>1201</v>
      </c>
      <c r="D42" s="1">
        <v>1201</v>
      </c>
      <c r="E42" s="2">
        <v>0.98</v>
      </c>
      <c r="F42" s="1">
        <v>0</v>
      </c>
      <c r="G42" s="1">
        <v>70.72</v>
      </c>
      <c r="H42" s="1">
        <v>804</v>
      </c>
      <c r="I42" s="1" t="str">
        <f>HYPERLINK("https://www.ncbi.nlm.nih.gov/protein/WP_015145685.1?report=genbank&amp;log$=prottop&amp;blast_rank=44&amp;RID=7U875CNM013","WP_015145685.1")</f>
        <v>WP_015145685.1</v>
      </c>
      <c r="J42" s="1" t="s">
        <v>2</v>
      </c>
    </row>
    <row r="43" spans="1:10" s="4" customFormat="1" x14ac:dyDescent="0.2">
      <c r="A43" s="1" t="s">
        <v>86</v>
      </c>
      <c r="B43" s="1" t="s">
        <v>87</v>
      </c>
      <c r="C43" s="1">
        <v>1216</v>
      </c>
      <c r="D43" s="1">
        <v>1216</v>
      </c>
      <c r="E43" s="2">
        <v>0.99</v>
      </c>
      <c r="F43" s="1">
        <v>0</v>
      </c>
      <c r="G43" s="1">
        <v>70.709999999999994</v>
      </c>
      <c r="H43" s="1">
        <v>808</v>
      </c>
      <c r="I43" s="1" t="str">
        <f>HYPERLINK("https://www.ncbi.nlm.nih.gov/protein/WP_035151677.1?report=genbank&amp;log$=prottop&amp;blast_rank=47&amp;RID=7U875CNM013","WP_035151677.1")</f>
        <v>WP_035151677.1</v>
      </c>
      <c r="J43" s="1" t="s">
        <v>2</v>
      </c>
    </row>
    <row r="44" spans="1:10" s="4" customFormat="1" x14ac:dyDescent="0.2">
      <c r="A44" s="1" t="s">
        <v>88</v>
      </c>
      <c r="B44" s="1" t="s">
        <v>89</v>
      </c>
      <c r="C44" s="1">
        <v>1202</v>
      </c>
      <c r="D44" s="1">
        <v>1202</v>
      </c>
      <c r="E44" s="2">
        <v>0.98</v>
      </c>
      <c r="F44" s="1">
        <v>0</v>
      </c>
      <c r="G44" s="1">
        <v>70.599999999999994</v>
      </c>
      <c r="H44" s="1">
        <v>804</v>
      </c>
      <c r="I44" s="1" t="str">
        <f>HYPERLINK("https://www.ncbi.nlm.nih.gov/protein/WP_073599773.1?report=genbank&amp;log$=prottop&amp;blast_rank=62&amp;RID=7U875CNM013","WP_073599773.1")</f>
        <v>WP_073599773.1</v>
      </c>
      <c r="J44" s="1" t="s">
        <v>2</v>
      </c>
    </row>
    <row r="45" spans="1:10" s="4" customFormat="1" x14ac:dyDescent="0.2">
      <c r="A45" s="1" t="s">
        <v>90</v>
      </c>
      <c r="B45" s="1" t="s">
        <v>91</v>
      </c>
      <c r="C45" s="1">
        <v>1211</v>
      </c>
      <c r="D45" s="1">
        <v>1211</v>
      </c>
      <c r="E45" s="2">
        <v>0.98</v>
      </c>
      <c r="F45" s="1">
        <v>0</v>
      </c>
      <c r="G45" s="1">
        <v>70.5</v>
      </c>
      <c r="H45" s="1">
        <v>815</v>
      </c>
      <c r="I45" s="1" t="str">
        <f>HYPERLINK("https://www.ncbi.nlm.nih.gov/protein/WP_142654631.1?report=genbank&amp;log$=prottop&amp;blast_rank=78&amp;RID=7U875CNM013","WP_142654631.1")</f>
        <v>WP_142654631.1</v>
      </c>
      <c r="J45" s="1" t="s">
        <v>2</v>
      </c>
    </row>
    <row r="46" spans="1:10" s="4" customFormat="1" x14ac:dyDescent="0.2">
      <c r="A46" s="1" t="s">
        <v>92</v>
      </c>
      <c r="B46" s="1" t="s">
        <v>93</v>
      </c>
      <c r="C46" s="1">
        <v>1207</v>
      </c>
      <c r="D46" s="1">
        <v>1207</v>
      </c>
      <c r="E46" s="2">
        <v>0.98</v>
      </c>
      <c r="F46" s="1">
        <v>0</v>
      </c>
      <c r="G46" s="1">
        <v>70.5</v>
      </c>
      <c r="H46" s="1">
        <v>815</v>
      </c>
      <c r="I46" s="1" t="str">
        <f>HYPERLINK("https://www.ncbi.nlm.nih.gov/protein/WP_103670904.1?report=genbank&amp;log$=prottop&amp;blast_rank=79&amp;RID=7U875CNM013","WP_103670904.1")</f>
        <v>WP_103670904.1</v>
      </c>
      <c r="J46" s="1" t="s">
        <v>2</v>
      </c>
    </row>
    <row r="47" spans="1:10" s="4" customFormat="1" x14ac:dyDescent="0.2">
      <c r="A47" s="1" t="s">
        <v>94</v>
      </c>
      <c r="B47" s="1" t="s">
        <v>95</v>
      </c>
      <c r="C47" s="1">
        <v>1214</v>
      </c>
      <c r="D47" s="1">
        <v>1214</v>
      </c>
      <c r="E47" s="2">
        <v>0.99</v>
      </c>
      <c r="F47" s="1">
        <v>0</v>
      </c>
      <c r="G47" s="1">
        <v>70.459999999999994</v>
      </c>
      <c r="H47" s="1">
        <v>808</v>
      </c>
      <c r="I47" s="1" t="str">
        <f>HYPERLINK("https://www.ncbi.nlm.nih.gov/protein/WP_010995653.1?report=genbank&amp;log$=prottop&amp;blast_rank=87&amp;RID=7U875CNM013","WP_010995653.1")</f>
        <v>WP_010995653.1</v>
      </c>
      <c r="J47" s="1" t="s">
        <v>2</v>
      </c>
    </row>
    <row r="48" spans="1:10" s="4" customFormat="1" x14ac:dyDescent="0.2">
      <c r="A48" s="1" t="s">
        <v>96</v>
      </c>
      <c r="B48" s="1" t="s">
        <v>97</v>
      </c>
      <c r="C48" s="1">
        <v>1186</v>
      </c>
      <c r="D48" s="1">
        <v>1186</v>
      </c>
      <c r="E48" s="2">
        <v>0.99</v>
      </c>
      <c r="F48" s="1">
        <v>0</v>
      </c>
      <c r="G48" s="1">
        <v>70.44</v>
      </c>
      <c r="H48" s="1">
        <v>800</v>
      </c>
      <c r="I48" s="1" t="str">
        <f>HYPERLINK("https://www.ncbi.nlm.nih.gov/protein/NEP16254.1?report=genbank&amp;log$=prottop&amp;blast_rank=92&amp;RID=7U875CNM013","NEP16254.1")</f>
        <v>NEP16254.1</v>
      </c>
      <c r="J48" s="1" t="s">
        <v>2</v>
      </c>
    </row>
    <row r="49" spans="1:10" s="4" customFormat="1" x14ac:dyDescent="0.2">
      <c r="A49" s="1" t="s">
        <v>98</v>
      </c>
      <c r="B49" s="1" t="s">
        <v>99</v>
      </c>
      <c r="C49" s="1">
        <v>1176</v>
      </c>
      <c r="D49" s="1">
        <v>1176</v>
      </c>
      <c r="E49" s="2">
        <v>0.98</v>
      </c>
      <c r="F49" s="1">
        <v>0</v>
      </c>
      <c r="G49" s="1">
        <v>70.430000000000007</v>
      </c>
      <c r="H49" s="1">
        <v>802</v>
      </c>
      <c r="I49" s="1" t="str">
        <f>HYPERLINK("https://www.ncbi.nlm.nih.gov/protein/MBP0012710.1?report=genbank&amp;log$=prottop&amp;blast_rank=96&amp;RID=7U875CNM013","MBP0012710.1")</f>
        <v>MBP0012710.1</v>
      </c>
      <c r="J49" s="1" t="s">
        <v>2</v>
      </c>
    </row>
    <row r="50" spans="1:10" s="4" customFormat="1" x14ac:dyDescent="0.2">
      <c r="A50" s="1" t="s">
        <v>100</v>
      </c>
      <c r="B50" s="1" t="s">
        <v>101</v>
      </c>
      <c r="C50" s="1">
        <v>1211</v>
      </c>
      <c r="D50" s="1">
        <v>1211</v>
      </c>
      <c r="E50" s="2">
        <v>0.99</v>
      </c>
      <c r="F50" s="1">
        <v>0</v>
      </c>
      <c r="G50" s="1">
        <v>70.400000000000006</v>
      </c>
      <c r="H50" s="1">
        <v>814</v>
      </c>
      <c r="I50" s="1" t="str">
        <f>HYPERLINK("https://www.ncbi.nlm.nih.gov/protein/HAZ49090.1?report=genbank&amp;log$=prottop&amp;blast_rank=101&amp;RID=7U875CNM013","HAZ49090.1")</f>
        <v>HAZ49090.1</v>
      </c>
      <c r="J50" s="1" t="s">
        <v>2</v>
      </c>
    </row>
    <row r="51" spans="1:10" s="4" customFormat="1" x14ac:dyDescent="0.2">
      <c r="A51" s="1" t="s">
        <v>102</v>
      </c>
      <c r="B51" s="1" t="s">
        <v>103</v>
      </c>
      <c r="C51" s="1">
        <v>1211</v>
      </c>
      <c r="D51" s="1">
        <v>1211</v>
      </c>
      <c r="E51" s="2">
        <v>0.98</v>
      </c>
      <c r="F51" s="1">
        <v>0</v>
      </c>
      <c r="G51" s="1">
        <v>70.37</v>
      </c>
      <c r="H51" s="1">
        <v>815</v>
      </c>
      <c r="I51" s="1" t="str">
        <f>HYPERLINK("https://www.ncbi.nlm.nih.gov/protein/PZU98469.1?report=genbank&amp;log$=prottop&amp;blast_rank=108&amp;RID=7U875CNM013","PZU98469.1")</f>
        <v>PZU98469.1</v>
      </c>
      <c r="J51" s="1" t="s">
        <v>2</v>
      </c>
    </row>
    <row r="52" spans="1:10" s="4" customFormat="1" x14ac:dyDescent="0.2">
      <c r="A52" s="1" t="s">
        <v>104</v>
      </c>
      <c r="B52" s="1" t="s">
        <v>105</v>
      </c>
      <c r="C52" s="1">
        <v>1205</v>
      </c>
      <c r="D52" s="1">
        <v>1205</v>
      </c>
      <c r="E52" s="2">
        <v>0.98</v>
      </c>
      <c r="F52" s="1">
        <v>0</v>
      </c>
      <c r="G52" s="1">
        <v>70.37</v>
      </c>
      <c r="H52" s="1">
        <v>815</v>
      </c>
      <c r="I52" s="1" t="str">
        <f>HYPERLINK("https://www.ncbi.nlm.nih.gov/protein/OIP69107.1?report=genbank&amp;log$=prottop&amp;blast_rank=109&amp;RID=7U875CNM013","OIP69107.1")</f>
        <v>OIP69107.1</v>
      </c>
      <c r="J52" s="1" t="s">
        <v>2</v>
      </c>
    </row>
    <row r="53" spans="1:10" s="4" customFormat="1" x14ac:dyDescent="0.2">
      <c r="A53" s="1" t="s">
        <v>106</v>
      </c>
      <c r="B53" s="1" t="s">
        <v>107</v>
      </c>
      <c r="C53" s="1">
        <v>1161</v>
      </c>
      <c r="D53" s="1">
        <v>1161</v>
      </c>
      <c r="E53" s="2">
        <v>0.97</v>
      </c>
      <c r="F53" s="1">
        <v>0</v>
      </c>
      <c r="G53" s="1">
        <v>70.349999999999994</v>
      </c>
      <c r="H53" s="1">
        <v>779</v>
      </c>
      <c r="I53" s="1" t="str">
        <f>HYPERLINK("https://www.ncbi.nlm.nih.gov/protein/HBR00950.1?report=genbank&amp;log$=prottop&amp;blast_rank=114&amp;RID=7U875CNM013","HBR00950.1")</f>
        <v>HBR00950.1</v>
      </c>
      <c r="J53" s="1" t="s">
        <v>2</v>
      </c>
    </row>
    <row r="54" spans="1:10" s="4" customFormat="1" x14ac:dyDescent="0.2">
      <c r="A54" s="1" t="s">
        <v>108</v>
      </c>
      <c r="B54" s="1" t="s">
        <v>109</v>
      </c>
      <c r="C54" s="1">
        <v>1188</v>
      </c>
      <c r="D54" s="1">
        <v>1188</v>
      </c>
      <c r="E54" s="2">
        <v>0.98</v>
      </c>
      <c r="F54" s="1">
        <v>0</v>
      </c>
      <c r="G54" s="1">
        <v>70.34</v>
      </c>
      <c r="H54" s="1">
        <v>802</v>
      </c>
      <c r="I54" s="1" t="str">
        <f>HYPERLINK("https://www.ncbi.nlm.nih.gov/protein/WP_017294014.1?report=genbank&amp;log$=prottop&amp;blast_rank=115&amp;RID=7U875CNM013","WP_017294014.1")</f>
        <v>WP_017294014.1</v>
      </c>
      <c r="J54" s="1" t="s">
        <v>2</v>
      </c>
    </row>
    <row r="55" spans="1:10" s="4" customFormat="1" x14ac:dyDescent="0.2">
      <c r="A55" s="1" t="s">
        <v>110</v>
      </c>
      <c r="B55" s="1" t="s">
        <v>111</v>
      </c>
      <c r="C55" s="1">
        <v>1179</v>
      </c>
      <c r="D55" s="1">
        <v>1179</v>
      </c>
      <c r="E55" s="2">
        <v>0.98</v>
      </c>
      <c r="F55" s="1">
        <v>0</v>
      </c>
      <c r="G55" s="1">
        <v>70.34</v>
      </c>
      <c r="H55" s="1">
        <v>802</v>
      </c>
      <c r="I55" s="1" t="str">
        <f>HYPERLINK("https://www.ncbi.nlm.nih.gov/protein/MBP0027997.1?report=genbank&amp;log$=prottop&amp;blast_rank=116&amp;RID=7U875CNM013","MBP0027997.1")</f>
        <v>MBP0027997.1</v>
      </c>
      <c r="J55" s="1" t="s">
        <v>2</v>
      </c>
    </row>
    <row r="56" spans="1:10" s="4" customFormat="1" x14ac:dyDescent="0.2">
      <c r="A56" s="1" t="s">
        <v>112</v>
      </c>
      <c r="B56" s="1" t="s">
        <v>113</v>
      </c>
      <c r="C56" s="1">
        <v>1177</v>
      </c>
      <c r="D56" s="1">
        <v>1177</v>
      </c>
      <c r="E56" s="2">
        <v>0.98</v>
      </c>
      <c r="F56" s="1">
        <v>0</v>
      </c>
      <c r="G56" s="1">
        <v>70.34</v>
      </c>
      <c r="H56" s="1">
        <v>802</v>
      </c>
      <c r="I56" s="1" t="str">
        <f>HYPERLINK("https://www.ncbi.nlm.nih.gov/protein/OJJ26304.1?report=genbank&amp;log$=prottop&amp;blast_rank=117&amp;RID=7U875CNM013","OJJ26304.1")</f>
        <v>OJJ26304.1</v>
      </c>
      <c r="J56" s="1" t="s">
        <v>2</v>
      </c>
    </row>
    <row r="57" spans="1:10" s="4" customFormat="1" x14ac:dyDescent="0.2">
      <c r="A57" s="1" t="s">
        <v>114</v>
      </c>
      <c r="B57" s="1" t="s">
        <v>115</v>
      </c>
      <c r="C57" s="1">
        <v>1222</v>
      </c>
      <c r="D57" s="1">
        <v>1222</v>
      </c>
      <c r="E57" s="2">
        <v>0.99</v>
      </c>
      <c r="F57" s="1">
        <v>0</v>
      </c>
      <c r="G57" s="1">
        <v>70.34</v>
      </c>
      <c r="H57" s="1">
        <v>808</v>
      </c>
      <c r="I57" s="1" t="str">
        <f>HYPERLINK("https://www.ncbi.nlm.nih.gov/protein/WP_094346262.1?report=genbank&amp;log$=prottop&amp;blast_rank=118&amp;RID=7U875CNM013","WP_094346262.1")</f>
        <v>WP_094346262.1</v>
      </c>
      <c r="J57" s="1" t="s">
        <v>2</v>
      </c>
    </row>
    <row r="58" spans="1:10" s="4" customFormat="1" x14ac:dyDescent="0.2">
      <c r="A58" s="1" t="s">
        <v>116</v>
      </c>
      <c r="B58" s="1" t="s">
        <v>117</v>
      </c>
      <c r="C58" s="1">
        <v>1181</v>
      </c>
      <c r="D58" s="1">
        <v>1181</v>
      </c>
      <c r="E58" s="2">
        <v>0.98</v>
      </c>
      <c r="F58" s="1">
        <v>0</v>
      </c>
      <c r="G58" s="1">
        <v>70.3</v>
      </c>
      <c r="H58" s="1">
        <v>799</v>
      </c>
      <c r="I58" s="1" t="str">
        <f>HYPERLINK("https://www.ncbi.nlm.nih.gov/protein/NJK99069.1?report=genbank&amp;log$=prottop&amp;blast_rank=121&amp;RID=7U875CNM013","NJK99069.1")</f>
        <v>NJK99069.1</v>
      </c>
      <c r="J58" s="1" t="s">
        <v>2</v>
      </c>
    </row>
    <row r="59" spans="1:10" s="4" customFormat="1" x14ac:dyDescent="0.2">
      <c r="A59" s="1" t="s">
        <v>118</v>
      </c>
      <c r="B59" s="1" t="s">
        <v>119</v>
      </c>
      <c r="C59" s="1">
        <v>1173</v>
      </c>
      <c r="D59" s="1">
        <v>1173</v>
      </c>
      <c r="E59" s="2">
        <v>0.98</v>
      </c>
      <c r="F59" s="1">
        <v>0</v>
      </c>
      <c r="G59" s="1">
        <v>70.3</v>
      </c>
      <c r="H59" s="1">
        <v>802</v>
      </c>
      <c r="I59" s="1" t="str">
        <f>HYPERLINK("https://www.ncbi.nlm.nih.gov/protein/MBP0032245.1?report=genbank&amp;log$=prottop&amp;blast_rank=122&amp;RID=7U875CNM013","MBP0032245.1")</f>
        <v>MBP0032245.1</v>
      </c>
      <c r="J59" s="1" t="s">
        <v>2</v>
      </c>
    </row>
    <row r="60" spans="1:10" s="4" customFormat="1" x14ac:dyDescent="0.2">
      <c r="A60" s="1" t="s">
        <v>120</v>
      </c>
      <c r="B60" s="1" t="s">
        <v>121</v>
      </c>
      <c r="C60" s="1">
        <v>1208</v>
      </c>
      <c r="D60" s="1">
        <v>1208</v>
      </c>
      <c r="E60" s="2">
        <v>0.99</v>
      </c>
      <c r="F60" s="1">
        <v>0</v>
      </c>
      <c r="G60" s="1">
        <v>70.28</v>
      </c>
      <c r="H60" s="1">
        <v>814</v>
      </c>
      <c r="I60" s="1" t="str">
        <f>HYPERLINK("https://www.ncbi.nlm.nih.gov/protein/HAX78403.1?report=genbank&amp;log$=prottop&amp;blast_rank=129&amp;RID=7U875CNM013","HAX78403.1")</f>
        <v>HAX78403.1</v>
      </c>
      <c r="J60" s="1" t="s">
        <v>2</v>
      </c>
    </row>
    <row r="61" spans="1:10" s="4" customFormat="1" x14ac:dyDescent="0.2">
      <c r="A61" s="1" t="s">
        <v>122</v>
      </c>
      <c r="B61" s="1" t="s">
        <v>123</v>
      </c>
      <c r="C61" s="1">
        <v>1204</v>
      </c>
      <c r="D61" s="1">
        <v>1204</v>
      </c>
      <c r="E61" s="2">
        <v>0.98</v>
      </c>
      <c r="F61" s="1">
        <v>0</v>
      </c>
      <c r="G61" s="1">
        <v>70.239999999999995</v>
      </c>
      <c r="H61" s="1">
        <v>817</v>
      </c>
      <c r="I61" s="1" t="str">
        <f>HYPERLINK("https://www.ncbi.nlm.nih.gov/protein/WP_201322120.1?report=genbank&amp;log$=prottop&amp;blast_rank=133&amp;RID=7U875CNM013","WP_201322120.1")</f>
        <v>WP_201322120.1</v>
      </c>
      <c r="J61" s="1" t="s">
        <v>2</v>
      </c>
    </row>
    <row r="62" spans="1:10" s="4" customFormat="1" x14ac:dyDescent="0.2">
      <c r="A62" s="1" t="s">
        <v>124</v>
      </c>
      <c r="B62" s="1" t="s">
        <v>123</v>
      </c>
      <c r="C62" s="1">
        <v>1203</v>
      </c>
      <c r="D62" s="1">
        <v>1203</v>
      </c>
      <c r="E62" s="2">
        <v>0.98</v>
      </c>
      <c r="F62" s="1">
        <v>0</v>
      </c>
      <c r="G62" s="1">
        <v>70.239999999999995</v>
      </c>
      <c r="H62" s="1">
        <v>810</v>
      </c>
      <c r="I62" s="1" t="str">
        <f>HYPERLINK("https://www.ncbi.nlm.nih.gov/protein/GBO53625.1?report=genbank&amp;log$=prottop&amp;blast_rank=134&amp;RID=7U875CNM013","GBO53625.1")</f>
        <v>GBO53625.1</v>
      </c>
      <c r="J62" s="1" t="s">
        <v>2</v>
      </c>
    </row>
    <row r="63" spans="1:10" s="4" customFormat="1" x14ac:dyDescent="0.2">
      <c r="A63" s="1" t="s">
        <v>125</v>
      </c>
      <c r="B63" s="1" t="s">
        <v>126</v>
      </c>
      <c r="C63" s="1">
        <v>1201</v>
      </c>
      <c r="D63" s="1">
        <v>1201</v>
      </c>
      <c r="E63" s="2">
        <v>0.98</v>
      </c>
      <c r="F63" s="1">
        <v>0</v>
      </c>
      <c r="G63" s="1">
        <v>70.239999999999995</v>
      </c>
      <c r="H63" s="1">
        <v>819</v>
      </c>
      <c r="I63" s="1" t="str">
        <f>HYPERLINK("https://www.ncbi.nlm.nih.gov/protein/WP_169363645.1?report=genbank&amp;log$=prottop&amp;blast_rank=135&amp;RID=7U875CNM013","WP_169363645.1")</f>
        <v>WP_169363645.1</v>
      </c>
      <c r="J63" s="1" t="s">
        <v>2</v>
      </c>
    </row>
    <row r="64" spans="1:10" s="4" customFormat="1" x14ac:dyDescent="0.2">
      <c r="A64" s="1" t="s">
        <v>127</v>
      </c>
      <c r="B64" s="1" t="s">
        <v>128</v>
      </c>
      <c r="C64" s="1">
        <v>1221</v>
      </c>
      <c r="D64" s="1">
        <v>1221</v>
      </c>
      <c r="E64" s="2">
        <v>0.99</v>
      </c>
      <c r="F64" s="1">
        <v>0</v>
      </c>
      <c r="G64" s="1">
        <v>70.209999999999994</v>
      </c>
      <c r="H64" s="1">
        <v>808</v>
      </c>
      <c r="I64" s="1" t="str">
        <f>HYPERLINK("https://www.ncbi.nlm.nih.gov/protein/WP_179069703.1?report=genbank&amp;log$=prottop&amp;blast_rank=146&amp;RID=7U875CNM013","WP_179069703.1")</f>
        <v>WP_179069703.1</v>
      </c>
      <c r="J64" s="1" t="s">
        <v>2</v>
      </c>
    </row>
    <row r="65" spans="1:10" s="4" customFormat="1" x14ac:dyDescent="0.2">
      <c r="A65" s="1" t="s">
        <v>129</v>
      </c>
      <c r="B65" s="1" t="s">
        <v>130</v>
      </c>
      <c r="C65" s="1">
        <v>1199</v>
      </c>
      <c r="D65" s="1">
        <v>1199</v>
      </c>
      <c r="E65" s="2">
        <v>0.98</v>
      </c>
      <c r="F65" s="1">
        <v>0</v>
      </c>
      <c r="G65" s="1">
        <v>70.2</v>
      </c>
      <c r="H65" s="1">
        <v>802</v>
      </c>
      <c r="I65" s="1" t="str">
        <f>HYPERLINK("https://www.ncbi.nlm.nih.gov/protein/WP_017662317.1?report=genbank&amp;log$=prottop&amp;blast_rank=147&amp;RID=7U875CNM013","WP_017662317.1")</f>
        <v>WP_017662317.1</v>
      </c>
      <c r="J65" s="1" t="s">
        <v>2</v>
      </c>
    </row>
    <row r="66" spans="1:10" s="4" customFormat="1" x14ac:dyDescent="0.2">
      <c r="A66" s="1" t="s">
        <v>131</v>
      </c>
      <c r="B66" s="1" t="s">
        <v>132</v>
      </c>
      <c r="C66" s="1">
        <v>1190</v>
      </c>
      <c r="D66" s="1">
        <v>1190</v>
      </c>
      <c r="E66" s="2">
        <v>0.98</v>
      </c>
      <c r="F66" s="1">
        <v>0</v>
      </c>
      <c r="G66" s="1">
        <v>70.180000000000007</v>
      </c>
      <c r="H66" s="1">
        <v>802</v>
      </c>
      <c r="I66" s="1" t="str">
        <f>HYPERLINK("https://www.ncbi.nlm.nih.gov/protein/WP_124973357.1?report=genbank&amp;log$=prottop&amp;blast_rank=150&amp;RID=7U875CNM013","WP_124973357.1")</f>
        <v>WP_124973357.1</v>
      </c>
      <c r="J66" s="1" t="s">
        <v>2</v>
      </c>
    </row>
    <row r="67" spans="1:10" s="4" customFormat="1" x14ac:dyDescent="0.2">
      <c r="A67" s="1" t="s">
        <v>133</v>
      </c>
      <c r="B67" s="1" t="s">
        <v>134</v>
      </c>
      <c r="C67" s="1">
        <v>1170</v>
      </c>
      <c r="D67" s="1">
        <v>1170</v>
      </c>
      <c r="E67" s="2">
        <v>0.98</v>
      </c>
      <c r="F67" s="1">
        <v>0</v>
      </c>
      <c r="G67" s="1">
        <v>70.180000000000007</v>
      </c>
      <c r="H67" s="1">
        <v>802</v>
      </c>
      <c r="I67" s="1" t="str">
        <f>HYPERLINK("https://www.ncbi.nlm.nih.gov/protein/MBP0010049.1?report=genbank&amp;log$=prottop&amp;blast_rank=151&amp;RID=7U875CNM013","MBP0010049.1")</f>
        <v>MBP0010049.1</v>
      </c>
      <c r="J67" s="1" t="s">
        <v>2</v>
      </c>
    </row>
    <row r="68" spans="1:10" s="4" customFormat="1" x14ac:dyDescent="0.2">
      <c r="A68" s="1" t="s">
        <v>135</v>
      </c>
      <c r="B68" s="1" t="s">
        <v>136</v>
      </c>
      <c r="C68" s="1">
        <v>1196</v>
      </c>
      <c r="D68" s="1">
        <v>1196</v>
      </c>
      <c r="E68" s="2">
        <v>0.99</v>
      </c>
      <c r="F68" s="1">
        <v>0</v>
      </c>
      <c r="G68" s="1">
        <v>70.16</v>
      </c>
      <c r="H68" s="1">
        <v>804</v>
      </c>
      <c r="I68" s="1" t="str">
        <f>HYPERLINK("https://www.ncbi.nlm.nih.gov/protein/WP_193801719.1?report=genbank&amp;log$=prottop&amp;blast_rank=154&amp;RID=7U875CNM013","WP_193801719.1")</f>
        <v>WP_193801719.1</v>
      </c>
      <c r="J68" s="1" t="s">
        <v>2</v>
      </c>
    </row>
    <row r="69" spans="1:10" s="4" customFormat="1" x14ac:dyDescent="0.2">
      <c r="A69" s="1" t="s">
        <v>137</v>
      </c>
      <c r="B69" s="1" t="s">
        <v>138</v>
      </c>
      <c r="C69" s="1">
        <v>1209</v>
      </c>
      <c r="D69" s="1">
        <v>1209</v>
      </c>
      <c r="E69" s="2">
        <v>0.98</v>
      </c>
      <c r="F69" s="1">
        <v>0</v>
      </c>
      <c r="G69" s="1">
        <v>70.11</v>
      </c>
      <c r="H69" s="1">
        <v>840</v>
      </c>
      <c r="I69" s="1" t="str">
        <f>HYPERLINK("https://www.ncbi.nlm.nih.gov/protein/ELS31117.1?report=genbank&amp;log$=prottop&amp;blast_rank=162&amp;RID=7U875CNM013","ELS31117.1")</f>
        <v>ELS31117.1</v>
      </c>
      <c r="J69" s="1" t="s">
        <v>2</v>
      </c>
    </row>
    <row r="70" spans="1:10" s="4" customFormat="1" x14ac:dyDescent="0.2">
      <c r="A70" s="1" t="s">
        <v>139</v>
      </c>
      <c r="B70" s="1" t="s">
        <v>140</v>
      </c>
      <c r="C70" s="1">
        <v>1208</v>
      </c>
      <c r="D70" s="1">
        <v>1208</v>
      </c>
      <c r="E70" s="2">
        <v>0.98</v>
      </c>
      <c r="F70" s="1">
        <v>0</v>
      </c>
      <c r="G70" s="1">
        <v>70.11</v>
      </c>
      <c r="H70" s="1">
        <v>818</v>
      </c>
      <c r="I70" s="1" t="str">
        <f>HYPERLINK("https://www.ncbi.nlm.nih.gov/protein/WP_040689445.1?report=genbank&amp;log$=prottop&amp;blast_rank=163&amp;RID=7U875CNM013","WP_040689445.1")</f>
        <v>WP_040689445.1</v>
      </c>
      <c r="J70" s="1" t="s">
        <v>2</v>
      </c>
    </row>
    <row r="71" spans="1:10" s="4" customFormat="1" x14ac:dyDescent="0.2">
      <c r="A71" s="1" t="s">
        <v>102</v>
      </c>
      <c r="B71" s="1" t="s">
        <v>103</v>
      </c>
      <c r="C71" s="1">
        <v>1201</v>
      </c>
      <c r="D71" s="1">
        <v>1201</v>
      </c>
      <c r="E71" s="2">
        <v>0.98</v>
      </c>
      <c r="F71" s="1">
        <v>0</v>
      </c>
      <c r="G71" s="1">
        <v>70.11</v>
      </c>
      <c r="H71" s="1">
        <v>815</v>
      </c>
      <c r="I71" s="1" t="str">
        <f>HYPERLINK("https://www.ncbi.nlm.nih.gov/protein/PZV19611.1?report=genbank&amp;log$=prottop&amp;blast_rank=164&amp;RID=7U875CNM013","PZV19611.1")</f>
        <v>PZV19611.1</v>
      </c>
      <c r="J71" s="1" t="s">
        <v>2</v>
      </c>
    </row>
    <row r="72" spans="1:10" s="4" customFormat="1" x14ac:dyDescent="0.2">
      <c r="A72" s="1" t="s">
        <v>141</v>
      </c>
      <c r="B72" s="1" t="s">
        <v>142</v>
      </c>
      <c r="C72" s="1">
        <v>1201</v>
      </c>
      <c r="D72" s="1">
        <v>1201</v>
      </c>
      <c r="E72" s="2">
        <v>0.98</v>
      </c>
      <c r="F72" s="1">
        <v>0</v>
      </c>
      <c r="G72" s="1">
        <v>70.11</v>
      </c>
      <c r="H72" s="1">
        <v>815</v>
      </c>
      <c r="I72" s="1" t="str">
        <f>HYPERLINK("https://www.ncbi.nlm.nih.gov/protein/WP_190581664.1?report=genbank&amp;log$=prottop&amp;blast_rank=165&amp;RID=7U875CNM013","WP_190581664.1")</f>
        <v>WP_190581664.1</v>
      </c>
      <c r="J72" s="1" t="s">
        <v>2</v>
      </c>
    </row>
    <row r="73" spans="1:10" s="4" customFormat="1" x14ac:dyDescent="0.2">
      <c r="A73" s="1" t="s">
        <v>143</v>
      </c>
      <c r="B73" s="1" t="s">
        <v>103</v>
      </c>
      <c r="C73" s="1">
        <v>1200</v>
      </c>
      <c r="D73" s="1">
        <v>1200</v>
      </c>
      <c r="E73" s="2">
        <v>0.98</v>
      </c>
      <c r="F73" s="1">
        <v>0</v>
      </c>
      <c r="G73" s="1">
        <v>70.11</v>
      </c>
      <c r="H73" s="1">
        <v>819</v>
      </c>
      <c r="I73" s="1" t="str">
        <f>HYPERLINK("https://www.ncbi.nlm.nih.gov/protein/HBC42996.1?report=genbank&amp;log$=prottop&amp;blast_rank=166&amp;RID=7U875CNM013","HBC42996.1")</f>
        <v>HBC42996.1</v>
      </c>
      <c r="J73" s="1" t="s">
        <v>2</v>
      </c>
    </row>
    <row r="74" spans="1:10" s="4" customFormat="1" x14ac:dyDescent="0.2">
      <c r="A74" s="1" t="s">
        <v>144</v>
      </c>
      <c r="B74" s="1" t="s">
        <v>145</v>
      </c>
      <c r="C74" s="1">
        <v>1210</v>
      </c>
      <c r="D74" s="1">
        <v>1210</v>
      </c>
      <c r="E74" s="2">
        <v>0.99</v>
      </c>
      <c r="F74" s="1">
        <v>0</v>
      </c>
      <c r="G74" s="1">
        <v>70.11</v>
      </c>
      <c r="H74" s="1">
        <v>815</v>
      </c>
      <c r="I74" s="1" t="str">
        <f>HYPERLINK("https://www.ncbi.nlm.nih.gov/protein/WP_190404193.1?report=genbank&amp;log$=prottop&amp;blast_rank=168&amp;RID=7U875CNM013","WP_190404193.1")</f>
        <v>WP_190404193.1</v>
      </c>
      <c r="J74" s="1" t="s">
        <v>2</v>
      </c>
    </row>
    <row r="75" spans="1:10" s="4" customFormat="1" x14ac:dyDescent="0.2">
      <c r="A75" s="1" t="s">
        <v>146</v>
      </c>
      <c r="B75" s="1" t="s">
        <v>147</v>
      </c>
      <c r="C75" s="1">
        <v>1144</v>
      </c>
      <c r="D75" s="1">
        <v>1144</v>
      </c>
      <c r="E75" s="2">
        <v>0.94</v>
      </c>
      <c r="F75" s="1">
        <v>0</v>
      </c>
      <c r="G75" s="1">
        <v>70.11</v>
      </c>
      <c r="H75" s="1">
        <v>756</v>
      </c>
      <c r="I75" s="1" t="str">
        <f>HYPERLINK("https://www.ncbi.nlm.nih.gov/protein/RMD69551.1?report=genbank&amp;log$=prottop&amp;blast_rank=169&amp;RID=7U875CNM013","RMD69551.1")</f>
        <v>RMD69551.1</v>
      </c>
      <c r="J75" s="1" t="s">
        <v>2</v>
      </c>
    </row>
    <row r="76" spans="1:10" s="4" customFormat="1" x14ac:dyDescent="0.2">
      <c r="A76" s="1" t="s">
        <v>148</v>
      </c>
      <c r="B76" s="1" t="s">
        <v>149</v>
      </c>
      <c r="C76" s="1">
        <v>1192</v>
      </c>
      <c r="D76" s="1">
        <v>1192</v>
      </c>
      <c r="E76" s="2">
        <v>0.98</v>
      </c>
      <c r="F76" s="1">
        <v>0</v>
      </c>
      <c r="G76" s="1">
        <v>70.040000000000006</v>
      </c>
      <c r="H76" s="1">
        <v>805</v>
      </c>
      <c r="I76" s="1" t="str">
        <f>HYPERLINK("https://www.ncbi.nlm.nih.gov/protein/TVU52545.1?report=genbank&amp;log$=prottop&amp;blast_rank=181&amp;RID=7U875CNM013","TVU52545.1")</f>
        <v>TVU52545.1</v>
      </c>
      <c r="J76" s="1" t="s">
        <v>2</v>
      </c>
    </row>
    <row r="77" spans="1:10" s="4" customFormat="1" x14ac:dyDescent="0.2">
      <c r="A77" s="1" t="s">
        <v>150</v>
      </c>
      <c r="B77" s="1" t="s">
        <v>151</v>
      </c>
      <c r="C77" s="1">
        <v>1194</v>
      </c>
      <c r="D77" s="1">
        <v>1194</v>
      </c>
      <c r="E77" s="2">
        <v>0.99</v>
      </c>
      <c r="F77" s="1">
        <v>0</v>
      </c>
      <c r="G77" s="1">
        <v>70.040000000000006</v>
      </c>
      <c r="H77" s="1">
        <v>804</v>
      </c>
      <c r="I77" s="1" t="str">
        <f>HYPERLINK("https://www.ncbi.nlm.nih.gov/protein/WP_069791027.1?report=genbank&amp;log$=prottop&amp;blast_rank=184&amp;RID=7U875CNM013","WP_069791027.1")</f>
        <v>WP_069791027.1</v>
      </c>
      <c r="J77" s="1" t="s">
        <v>2</v>
      </c>
    </row>
    <row r="78" spans="1:10" s="7" customFormat="1" x14ac:dyDescent="0.2">
      <c r="A78" s="5" t="s">
        <v>152</v>
      </c>
      <c r="B78" s="5" t="s">
        <v>153</v>
      </c>
      <c r="C78" s="5">
        <v>1195</v>
      </c>
      <c r="D78" s="5">
        <v>1195</v>
      </c>
      <c r="E78" s="6">
        <v>0.98</v>
      </c>
      <c r="F78" s="5">
        <v>0</v>
      </c>
      <c r="G78" s="5">
        <v>69.989999999999995</v>
      </c>
      <c r="H78" s="5">
        <v>801</v>
      </c>
      <c r="I78" s="5" t="str">
        <f>HYPERLINK("https://www.ncbi.nlm.nih.gov/protein/WP_015218705.1?report=genbank&amp;log$=prottop&amp;blast_rank=1&amp;RID=7U875CNM013","WP_015218705.1")</f>
        <v>WP_015218705.1</v>
      </c>
      <c r="J78" s="5" t="s">
        <v>2</v>
      </c>
    </row>
    <row r="79" spans="1:10" s="7" customFormat="1" x14ac:dyDescent="0.2">
      <c r="A79" s="5" t="s">
        <v>154</v>
      </c>
      <c r="B79" s="5" t="s">
        <v>155</v>
      </c>
      <c r="C79" s="5">
        <v>1194</v>
      </c>
      <c r="D79" s="5">
        <v>1194</v>
      </c>
      <c r="E79" s="6">
        <v>0.98</v>
      </c>
      <c r="F79" s="5">
        <v>0</v>
      </c>
      <c r="G79" s="5">
        <v>69.989999999999995</v>
      </c>
      <c r="H79" s="5">
        <v>805</v>
      </c>
      <c r="I79" s="5" t="str">
        <f>HYPERLINK("https://www.ncbi.nlm.nih.gov/protein/NJP18161.1?report=genbank&amp;log$=prottop&amp;blast_rank=2&amp;RID=7U875CNM013","NJP18161.1")</f>
        <v>NJP18161.1</v>
      </c>
      <c r="J79" s="5" t="s">
        <v>2</v>
      </c>
    </row>
    <row r="80" spans="1:10" s="7" customFormat="1" x14ac:dyDescent="0.2">
      <c r="A80" s="5" t="s">
        <v>156</v>
      </c>
      <c r="B80" s="5" t="s">
        <v>157</v>
      </c>
      <c r="C80" s="5">
        <v>1212</v>
      </c>
      <c r="D80" s="5">
        <v>1212</v>
      </c>
      <c r="E80" s="6">
        <v>0.98</v>
      </c>
      <c r="F80" s="5">
        <v>0</v>
      </c>
      <c r="G80" s="5">
        <v>69.989999999999995</v>
      </c>
      <c r="H80" s="5">
        <v>815</v>
      </c>
      <c r="I80" s="5" t="str">
        <f>HYPERLINK("https://www.ncbi.nlm.nih.gov/protein/PZO35335.1?report=genbank&amp;log$=prottop&amp;blast_rank=3&amp;RID=7U875CNM013","PZO35335.1")</f>
        <v>PZO35335.1</v>
      </c>
      <c r="J80" s="5" t="s">
        <v>2</v>
      </c>
    </row>
    <row r="81" spans="1:10" s="7" customFormat="1" x14ac:dyDescent="0.2">
      <c r="A81" s="5" t="s">
        <v>158</v>
      </c>
      <c r="B81" s="5" t="s">
        <v>159</v>
      </c>
      <c r="C81" s="5">
        <v>1201</v>
      </c>
      <c r="D81" s="5">
        <v>1201</v>
      </c>
      <c r="E81" s="6">
        <v>0.98</v>
      </c>
      <c r="F81" s="5">
        <v>0</v>
      </c>
      <c r="G81" s="5">
        <v>69.989999999999995</v>
      </c>
      <c r="H81" s="5">
        <v>819</v>
      </c>
      <c r="I81" s="5" t="str">
        <f>HYPERLINK("https://www.ncbi.nlm.nih.gov/protein/WP_126384659.1?report=genbank&amp;log$=prottop&amp;blast_rank=4&amp;RID=7U875CNM013","WP_126384659.1")</f>
        <v>WP_126384659.1</v>
      </c>
      <c r="J81" s="5" t="s">
        <v>2</v>
      </c>
    </row>
    <row r="82" spans="1:10" s="7" customFormat="1" x14ac:dyDescent="0.2">
      <c r="A82" s="5" t="s">
        <v>160</v>
      </c>
      <c r="B82" s="5" t="s">
        <v>161</v>
      </c>
      <c r="C82" s="5">
        <v>1196</v>
      </c>
      <c r="D82" s="5">
        <v>1196</v>
      </c>
      <c r="E82" s="6">
        <v>0.98</v>
      </c>
      <c r="F82" s="5">
        <v>0</v>
      </c>
      <c r="G82" s="5">
        <v>69.95</v>
      </c>
      <c r="H82" s="5">
        <v>802</v>
      </c>
      <c r="I82" s="5" t="str">
        <f>HYPERLINK("https://www.ncbi.nlm.nih.gov/protein/PPT06643.1?report=genbank&amp;log$=prottop&amp;blast_rank=17&amp;RID=7U875CNM013","PPT06643.1")</f>
        <v>PPT06643.1</v>
      </c>
      <c r="J82" s="5" t="s">
        <v>2</v>
      </c>
    </row>
    <row r="83" spans="1:10" s="7" customFormat="1" x14ac:dyDescent="0.2">
      <c r="A83" s="5" t="s">
        <v>162</v>
      </c>
      <c r="B83" s="5" t="s">
        <v>163</v>
      </c>
      <c r="C83" s="5">
        <v>1194</v>
      </c>
      <c r="D83" s="5">
        <v>1194</v>
      </c>
      <c r="E83" s="6">
        <v>0.98</v>
      </c>
      <c r="F83" s="5">
        <v>0</v>
      </c>
      <c r="G83" s="5">
        <v>69.95</v>
      </c>
      <c r="H83" s="5">
        <v>802</v>
      </c>
      <c r="I83" s="5" t="str">
        <f>HYPERLINK("https://www.ncbi.nlm.nih.gov/protein/WP_063718942.1?report=genbank&amp;log$=prottop&amp;blast_rank=18&amp;RID=7U875CNM013","WP_063718942.1")</f>
        <v>WP_063718942.1</v>
      </c>
      <c r="J83" s="5" t="s">
        <v>2</v>
      </c>
    </row>
    <row r="84" spans="1:10" s="7" customFormat="1" x14ac:dyDescent="0.2">
      <c r="A84" s="5" t="s">
        <v>164</v>
      </c>
      <c r="B84" s="5" t="s">
        <v>165</v>
      </c>
      <c r="C84" s="5">
        <v>1204</v>
      </c>
      <c r="D84" s="5">
        <v>1204</v>
      </c>
      <c r="E84" s="6">
        <v>0.98</v>
      </c>
      <c r="F84" s="5">
        <v>0</v>
      </c>
      <c r="G84" s="5">
        <v>69.92</v>
      </c>
      <c r="H84" s="5">
        <v>792</v>
      </c>
      <c r="I84" s="5" t="str">
        <f>HYPERLINK("https://www.ncbi.nlm.nih.gov/protein/RMF23320.1?report=genbank&amp;log$=prottop&amp;blast_rank=21&amp;RID=7U875CNM013","RMF23320.1")</f>
        <v>RMF23320.1</v>
      </c>
      <c r="J84" s="5" t="s">
        <v>2</v>
      </c>
    </row>
    <row r="85" spans="1:10" s="7" customFormat="1" x14ac:dyDescent="0.2">
      <c r="A85" s="5" t="s">
        <v>166</v>
      </c>
      <c r="B85" s="5" t="s">
        <v>167</v>
      </c>
      <c r="C85" s="5">
        <v>1184</v>
      </c>
      <c r="D85" s="5">
        <v>1184</v>
      </c>
      <c r="E85" s="6">
        <v>0.98</v>
      </c>
      <c r="F85" s="5">
        <v>0</v>
      </c>
      <c r="G85" s="5">
        <v>69.92</v>
      </c>
      <c r="H85" s="5">
        <v>802</v>
      </c>
      <c r="I85" s="5" t="str">
        <f>HYPERLINK("https://www.ncbi.nlm.nih.gov/protein/WP_015955755.1?report=genbank&amp;log$=prottop&amp;blast_rank=22&amp;RID=7U875CNM013","WP_015955755.1")</f>
        <v>WP_015955755.1</v>
      </c>
      <c r="J85" s="5" t="s">
        <v>2</v>
      </c>
    </row>
    <row r="86" spans="1:10" s="7" customFormat="1" x14ac:dyDescent="0.2">
      <c r="A86" s="5" t="s">
        <v>152</v>
      </c>
      <c r="B86" s="5" t="s">
        <v>153</v>
      </c>
      <c r="C86" s="5">
        <v>1193</v>
      </c>
      <c r="D86" s="5">
        <v>1193</v>
      </c>
      <c r="E86" s="6">
        <v>0.98</v>
      </c>
      <c r="F86" s="5">
        <v>0</v>
      </c>
      <c r="G86" s="5">
        <v>69.86</v>
      </c>
      <c r="H86" s="5">
        <v>801</v>
      </c>
      <c r="I86" s="5" t="str">
        <f>HYPERLINK("https://www.ncbi.nlm.nih.gov/protein/WP_099436092.1?report=genbank&amp;log$=prottop&amp;blast_rank=31&amp;RID=7U875CNM013","WP_099436092.1")</f>
        <v>WP_099436092.1</v>
      </c>
      <c r="J86" s="5" t="s">
        <v>2</v>
      </c>
    </row>
    <row r="87" spans="1:10" s="7" customFormat="1" x14ac:dyDescent="0.2">
      <c r="A87" s="5" t="s">
        <v>168</v>
      </c>
      <c r="B87" s="5" t="s">
        <v>153</v>
      </c>
      <c r="C87" s="5">
        <v>1193</v>
      </c>
      <c r="D87" s="5">
        <v>1193</v>
      </c>
      <c r="E87" s="6">
        <v>0.98</v>
      </c>
      <c r="F87" s="5">
        <v>0</v>
      </c>
      <c r="G87" s="5">
        <v>69.86</v>
      </c>
      <c r="H87" s="5">
        <v>801</v>
      </c>
      <c r="I87" s="5" t="str">
        <f>HYPERLINK("https://www.ncbi.nlm.nih.gov/protein/WP_190360619.1?report=genbank&amp;log$=prottop&amp;blast_rank=32&amp;RID=7U875CNM013","WP_190360619.1")</f>
        <v>WP_190360619.1</v>
      </c>
      <c r="J87" s="5" t="s">
        <v>2</v>
      </c>
    </row>
    <row r="88" spans="1:10" s="7" customFormat="1" x14ac:dyDescent="0.2">
      <c r="A88" s="5" t="s">
        <v>3275</v>
      </c>
      <c r="B88" s="5" t="s">
        <v>169</v>
      </c>
      <c r="C88" s="5">
        <v>1202</v>
      </c>
      <c r="D88" s="5">
        <v>1202</v>
      </c>
      <c r="E88" s="6">
        <v>0.98</v>
      </c>
      <c r="F88" s="5">
        <v>0</v>
      </c>
      <c r="G88" s="5">
        <v>69.86</v>
      </c>
      <c r="H88" s="5">
        <v>815</v>
      </c>
      <c r="I88" s="5" t="str">
        <f>HYPERLINK("https://www.ncbi.nlm.nih.gov/protein/WP_094534046.1?report=genbank&amp;log$=prottop&amp;blast_rank=34&amp;RID=7U875CNM013","WP_094534046.1")</f>
        <v>WP_094534046.1</v>
      </c>
      <c r="J88" s="5" t="s">
        <v>2</v>
      </c>
    </row>
    <row r="89" spans="1:10" s="7" customFormat="1" x14ac:dyDescent="0.2">
      <c r="A89" s="5" t="s">
        <v>170</v>
      </c>
      <c r="B89" s="5" t="s">
        <v>171</v>
      </c>
      <c r="C89" s="5">
        <v>1201</v>
      </c>
      <c r="D89" s="5">
        <v>1201</v>
      </c>
      <c r="E89" s="6">
        <v>0.99</v>
      </c>
      <c r="F89" s="5">
        <v>0</v>
      </c>
      <c r="G89" s="5">
        <v>69.819999999999993</v>
      </c>
      <c r="H89" s="5">
        <v>808</v>
      </c>
      <c r="I89" s="5" t="str">
        <f>HYPERLINK("https://www.ncbi.nlm.nih.gov/protein/WP_017288996.1?report=genbank&amp;log$=prottop&amp;blast_rank=50&amp;RID=7U875CNM013","WP_017288996.1")</f>
        <v>WP_017288996.1</v>
      </c>
      <c r="J89" s="5" t="s">
        <v>2</v>
      </c>
    </row>
    <row r="90" spans="1:10" s="7" customFormat="1" x14ac:dyDescent="0.2">
      <c r="A90" s="5" t="s">
        <v>172</v>
      </c>
      <c r="B90" s="5" t="s">
        <v>173</v>
      </c>
      <c r="C90" s="5">
        <v>1193</v>
      </c>
      <c r="D90" s="5">
        <v>1193</v>
      </c>
      <c r="E90" s="6">
        <v>0.98</v>
      </c>
      <c r="F90" s="5">
        <v>0</v>
      </c>
      <c r="G90" s="5">
        <v>69.8</v>
      </c>
      <c r="H90" s="5">
        <v>799</v>
      </c>
      <c r="I90" s="5" t="str">
        <f>HYPERLINK("https://www.ncbi.nlm.nih.gov/protein/PSB14572.1?report=genbank&amp;log$=prottop&amp;blast_rank=55&amp;RID=7U875CNM013","PSB14572.1")</f>
        <v>PSB14572.1</v>
      </c>
      <c r="J90" s="5" t="s">
        <v>2</v>
      </c>
    </row>
    <row r="91" spans="1:10" s="7" customFormat="1" x14ac:dyDescent="0.2">
      <c r="A91" s="5" t="s">
        <v>174</v>
      </c>
      <c r="B91" s="5" t="s">
        <v>175</v>
      </c>
      <c r="C91" s="5">
        <v>1187</v>
      </c>
      <c r="D91" s="5">
        <v>1187</v>
      </c>
      <c r="E91" s="6">
        <v>0.98</v>
      </c>
      <c r="F91" s="5">
        <v>0</v>
      </c>
      <c r="G91" s="5">
        <v>69.8</v>
      </c>
      <c r="H91" s="5">
        <v>802</v>
      </c>
      <c r="I91" s="5" t="str">
        <f>HYPERLINK("https://www.ncbi.nlm.nih.gov/protein/WP_013324399.1?report=genbank&amp;log$=prottop&amp;blast_rank=56&amp;RID=7U875CNM013","WP_013324399.1")</f>
        <v>WP_013324399.1</v>
      </c>
      <c r="J91" s="5" t="s">
        <v>2</v>
      </c>
    </row>
    <row r="92" spans="1:10" s="7" customFormat="1" x14ac:dyDescent="0.2">
      <c r="A92" s="5" t="s">
        <v>176</v>
      </c>
      <c r="B92" s="5" t="s">
        <v>177</v>
      </c>
      <c r="C92" s="5">
        <v>1191</v>
      </c>
      <c r="D92" s="5">
        <v>1191</v>
      </c>
      <c r="E92" s="6">
        <v>0.99</v>
      </c>
      <c r="F92" s="5">
        <v>0</v>
      </c>
      <c r="G92" s="5">
        <v>69.790000000000006</v>
      </c>
      <c r="H92" s="5">
        <v>804</v>
      </c>
      <c r="I92" s="5" t="str">
        <f>HYPERLINK("https://www.ncbi.nlm.nih.gov/protein/AUC60153.1?report=genbank&amp;log$=prottop&amp;blast_rank=57&amp;RID=7U875CNM013","AUC60153.1")</f>
        <v>AUC60153.1</v>
      </c>
      <c r="J92" s="5" t="s">
        <v>2</v>
      </c>
    </row>
    <row r="93" spans="1:10" s="7" customFormat="1" x14ac:dyDescent="0.2">
      <c r="A93" s="5" t="s">
        <v>178</v>
      </c>
      <c r="B93" s="5" t="s">
        <v>179</v>
      </c>
      <c r="C93" s="5">
        <v>1191</v>
      </c>
      <c r="D93" s="5">
        <v>1191</v>
      </c>
      <c r="E93" s="6">
        <v>0.98</v>
      </c>
      <c r="F93" s="5">
        <v>0</v>
      </c>
      <c r="G93" s="5">
        <v>69.760000000000005</v>
      </c>
      <c r="H93" s="5">
        <v>802</v>
      </c>
      <c r="I93" s="5" t="str">
        <f>HYPERLINK("https://www.ncbi.nlm.nih.gov/protein/WP_015783776.1?report=genbank&amp;log$=prottop&amp;blast_rank=62&amp;RID=7U875CNM013","WP_015783776.1")</f>
        <v>WP_015783776.1</v>
      </c>
      <c r="J93" s="5" t="s">
        <v>2</v>
      </c>
    </row>
    <row r="94" spans="1:10" s="7" customFormat="1" x14ac:dyDescent="0.2">
      <c r="A94" s="5" t="s">
        <v>152</v>
      </c>
      <c r="B94" s="5" t="s">
        <v>153</v>
      </c>
      <c r="C94" s="5">
        <v>1192</v>
      </c>
      <c r="D94" s="5">
        <v>1192</v>
      </c>
      <c r="E94" s="6">
        <v>0.98</v>
      </c>
      <c r="F94" s="5">
        <v>0</v>
      </c>
      <c r="G94" s="5">
        <v>69.739999999999995</v>
      </c>
      <c r="H94" s="5">
        <v>801</v>
      </c>
      <c r="I94" s="5" t="str">
        <f>HYPERLINK("https://www.ncbi.nlm.nih.gov/protein/WP_155082580.1?report=genbank&amp;log$=prottop&amp;blast_rank=67&amp;RID=7U875CNM013","WP_155082580.1")</f>
        <v>WP_155082580.1</v>
      </c>
      <c r="J94" s="5" t="s">
        <v>2</v>
      </c>
    </row>
    <row r="95" spans="1:10" s="7" customFormat="1" x14ac:dyDescent="0.2">
      <c r="A95" s="5" t="s">
        <v>180</v>
      </c>
      <c r="B95" s="5" t="s">
        <v>181</v>
      </c>
      <c r="C95" s="5">
        <v>1204</v>
      </c>
      <c r="D95" s="5">
        <v>1204</v>
      </c>
      <c r="E95" s="6">
        <v>0.98</v>
      </c>
      <c r="F95" s="5">
        <v>0</v>
      </c>
      <c r="G95" s="5">
        <v>69.73</v>
      </c>
      <c r="H95" s="5">
        <v>818</v>
      </c>
      <c r="I95" s="5" t="str">
        <f>I94</f>
        <v>WP_155082580.1</v>
      </c>
      <c r="J95" s="5" t="s">
        <v>2</v>
      </c>
    </row>
    <row r="96" spans="1:10" s="7" customFormat="1" x14ac:dyDescent="0.2">
      <c r="A96" s="5" t="s">
        <v>182</v>
      </c>
      <c r="B96" s="5" t="s">
        <v>183</v>
      </c>
      <c r="C96" s="5">
        <v>1200</v>
      </c>
      <c r="D96" s="5">
        <v>1200</v>
      </c>
      <c r="E96" s="6">
        <v>0.98</v>
      </c>
      <c r="F96" s="5">
        <v>0</v>
      </c>
      <c r="G96" s="5">
        <v>69.73</v>
      </c>
      <c r="H96" s="5">
        <v>818</v>
      </c>
      <c r="I96" s="5" t="str">
        <f>HYPERLINK("https://www.ncbi.nlm.nih.gov/protein/WP_055073876.1?report=genbank&amp;log$=prottop&amp;blast_rank=69&amp;RID=7U875CNM013","WP_055073876.1")</f>
        <v>WP_055073876.1</v>
      </c>
      <c r="J96" s="5" t="s">
        <v>2</v>
      </c>
    </row>
    <row r="97" spans="1:10" s="7" customFormat="1" x14ac:dyDescent="0.2">
      <c r="A97" s="5" t="s">
        <v>184</v>
      </c>
      <c r="B97" s="5" t="s">
        <v>185</v>
      </c>
      <c r="C97" s="5">
        <v>1199</v>
      </c>
      <c r="D97" s="5">
        <v>1199</v>
      </c>
      <c r="E97" s="6">
        <v>0.98</v>
      </c>
      <c r="F97" s="5">
        <v>0</v>
      </c>
      <c r="G97" s="5">
        <v>69.73</v>
      </c>
      <c r="H97" s="5">
        <v>815</v>
      </c>
      <c r="I97" s="5" t="str">
        <f>HYPERLINK("https://www.ncbi.nlm.nih.gov/protein/WP_190398829.1?report=genbank&amp;log$=prottop&amp;blast_rank=70&amp;RID=7U875CNM013","WP_190398829.1")</f>
        <v>WP_190398829.1</v>
      </c>
      <c r="J97" s="5" t="s">
        <v>2</v>
      </c>
    </row>
    <row r="98" spans="1:10" s="7" customFormat="1" x14ac:dyDescent="0.2">
      <c r="A98" s="5" t="s">
        <v>186</v>
      </c>
      <c r="B98" s="5" t="s">
        <v>187</v>
      </c>
      <c r="C98" s="5">
        <v>1194</v>
      </c>
      <c r="D98" s="5">
        <v>1194</v>
      </c>
      <c r="E98" s="6">
        <v>0.98</v>
      </c>
      <c r="F98" s="5">
        <v>0</v>
      </c>
      <c r="G98" s="5">
        <v>69.73</v>
      </c>
      <c r="H98" s="5">
        <v>819</v>
      </c>
      <c r="I98" s="5" t="str">
        <f>HYPERLINK("https://www.ncbi.nlm.nih.gov/protein/WP_190351298.1?report=genbank&amp;log$=prottop&amp;blast_rank=71&amp;RID=7U875CNM013","WP_190351298.1")</f>
        <v>WP_190351298.1</v>
      </c>
      <c r="J98" s="5" t="s">
        <v>2</v>
      </c>
    </row>
    <row r="99" spans="1:10" s="7" customFormat="1" x14ac:dyDescent="0.2">
      <c r="A99" s="5" t="s">
        <v>188</v>
      </c>
      <c r="B99" s="5" t="s">
        <v>189</v>
      </c>
      <c r="C99" s="5">
        <v>1187</v>
      </c>
      <c r="D99" s="5">
        <v>1187</v>
      </c>
      <c r="E99" s="6">
        <v>0.98</v>
      </c>
      <c r="F99" s="5">
        <v>0</v>
      </c>
      <c r="G99" s="5">
        <v>69.66</v>
      </c>
      <c r="H99" s="5">
        <v>805</v>
      </c>
      <c r="I99" s="5" t="str">
        <f>HYPERLINK("https://www.ncbi.nlm.nih.gov/protein/WP_006618556.1?report=genbank&amp;log$=prottop&amp;blast_rank=93&amp;RID=7U875CNM013","WP_006618556.1")</f>
        <v>WP_006618556.1</v>
      </c>
      <c r="J99" s="5" t="s">
        <v>2</v>
      </c>
    </row>
    <row r="100" spans="1:10" s="7" customFormat="1" x14ac:dyDescent="0.2">
      <c r="A100" s="5" t="s">
        <v>178</v>
      </c>
      <c r="B100" s="5" t="s">
        <v>179</v>
      </c>
      <c r="C100" s="5">
        <v>1190</v>
      </c>
      <c r="D100" s="5">
        <v>1190</v>
      </c>
      <c r="E100" s="6">
        <v>0.98</v>
      </c>
      <c r="F100" s="5">
        <v>0</v>
      </c>
      <c r="G100" s="5">
        <v>69.63</v>
      </c>
      <c r="H100" s="5">
        <v>802</v>
      </c>
      <c r="I100" s="5" t="str">
        <f>HYPERLINK("https://www.ncbi.nlm.nih.gov/protein/WP_012595000.1?report=genbank&amp;log$=prottop&amp;blast_rank=103&amp;RID=7U875CNM013","WP_012595000.1")</f>
        <v>WP_012595000.1</v>
      </c>
      <c r="J100" s="5" t="s">
        <v>2</v>
      </c>
    </row>
    <row r="101" spans="1:10" s="7" customFormat="1" x14ac:dyDescent="0.2">
      <c r="A101" s="5" t="s">
        <v>190</v>
      </c>
      <c r="B101" s="5" t="s">
        <v>191</v>
      </c>
      <c r="C101" s="5">
        <v>1192</v>
      </c>
      <c r="D101" s="5">
        <v>1192</v>
      </c>
      <c r="E101" s="6">
        <v>0.99</v>
      </c>
      <c r="F101" s="5">
        <v>0</v>
      </c>
      <c r="G101" s="5">
        <v>69.62</v>
      </c>
      <c r="H101" s="5">
        <v>802</v>
      </c>
      <c r="I101" s="5" t="str">
        <f>HYPERLINK("https://www.ncbi.nlm.nih.gov/protein/WP_066118383.1?report=genbank&amp;log$=prottop&amp;blast_rank=104&amp;RID=7U875CNM013","WP_066118383.1")</f>
        <v>WP_066118383.1</v>
      </c>
      <c r="J101" s="5" t="s">
        <v>2</v>
      </c>
    </row>
    <row r="102" spans="1:10" s="7" customFormat="1" x14ac:dyDescent="0.2">
      <c r="A102" s="5" t="s">
        <v>192</v>
      </c>
      <c r="B102" s="5" t="s">
        <v>193</v>
      </c>
      <c r="C102" s="5">
        <v>1192</v>
      </c>
      <c r="D102" s="5">
        <v>1192</v>
      </c>
      <c r="E102" s="6">
        <v>0.99</v>
      </c>
      <c r="F102" s="5">
        <v>0</v>
      </c>
      <c r="G102" s="5">
        <v>69.56</v>
      </c>
      <c r="H102" s="5">
        <v>809</v>
      </c>
      <c r="I102" s="5" t="str">
        <f>HYPERLINK("https://www.ncbi.nlm.nih.gov/protein/NEO24901.1?report=genbank&amp;log$=prottop&amp;blast_rank=123&amp;RID=7U875CNM013","NEO24901.1")</f>
        <v>NEO24901.1</v>
      </c>
      <c r="J102" s="5" t="s">
        <v>2</v>
      </c>
    </row>
    <row r="103" spans="1:10" s="7" customFormat="1" x14ac:dyDescent="0.2">
      <c r="A103" s="5" t="s">
        <v>194</v>
      </c>
      <c r="B103" s="5" t="s">
        <v>195</v>
      </c>
      <c r="C103" s="5">
        <v>1182</v>
      </c>
      <c r="D103" s="5">
        <v>1182</v>
      </c>
      <c r="E103" s="6">
        <v>0.98</v>
      </c>
      <c r="F103" s="5">
        <v>0</v>
      </c>
      <c r="G103" s="5">
        <v>69.5</v>
      </c>
      <c r="H103" s="5">
        <v>821</v>
      </c>
      <c r="I103" s="5" t="str">
        <f>HYPERLINK("https://www.ncbi.nlm.nih.gov/protein/WP_012627458.1?report=genbank&amp;log$=prottop&amp;blast_rank=134&amp;RID=7U875CNM013","WP_012627458.1")</f>
        <v>WP_012627458.1</v>
      </c>
      <c r="J103" s="5" t="s">
        <v>2</v>
      </c>
    </row>
    <row r="104" spans="1:10" s="7" customFormat="1" x14ac:dyDescent="0.2">
      <c r="A104" s="5" t="s">
        <v>196</v>
      </c>
      <c r="B104" s="5" t="s">
        <v>197</v>
      </c>
      <c r="C104" s="5">
        <v>1186</v>
      </c>
      <c r="D104" s="5">
        <v>1186</v>
      </c>
      <c r="E104" s="6">
        <v>0.99</v>
      </c>
      <c r="F104" s="5">
        <v>0</v>
      </c>
      <c r="G104" s="5">
        <v>69.459999999999994</v>
      </c>
      <c r="H104" s="5">
        <v>803</v>
      </c>
      <c r="I104" s="5" t="str">
        <f>HYPERLINK("https://www.ncbi.nlm.nih.gov/protein/WP_166277188.1?report=genbank&amp;log$=prottop&amp;blast_rank=145&amp;RID=7U875CNM013","WP_166277188.1")</f>
        <v>WP_166277188.1</v>
      </c>
      <c r="J104" s="5" t="s">
        <v>2</v>
      </c>
    </row>
    <row r="105" spans="1:10" s="7" customFormat="1" x14ac:dyDescent="0.2">
      <c r="A105" s="5" t="s">
        <v>198</v>
      </c>
      <c r="B105" s="5" t="s">
        <v>199</v>
      </c>
      <c r="C105" s="5">
        <v>1154</v>
      </c>
      <c r="D105" s="5">
        <v>1154</v>
      </c>
      <c r="E105" s="6">
        <v>0.98</v>
      </c>
      <c r="F105" s="5">
        <v>0</v>
      </c>
      <c r="G105" s="5">
        <v>69.44</v>
      </c>
      <c r="H105" s="5">
        <v>804</v>
      </c>
      <c r="I105" s="5" t="str">
        <f>HYPERLINK("https://www.ncbi.nlm.nih.gov/protein/WP_006528187.1?report=genbank&amp;log$=prottop&amp;blast_rank=147&amp;RID=7U875CNM013","WP_006528187.1")</f>
        <v>WP_006528187.1</v>
      </c>
      <c r="J105" s="5" t="s">
        <v>2</v>
      </c>
    </row>
    <row r="106" spans="1:10" s="7" customFormat="1" x14ac:dyDescent="0.2">
      <c r="A106" s="5" t="s">
        <v>200</v>
      </c>
      <c r="B106" s="5" t="s">
        <v>201</v>
      </c>
      <c r="C106" s="5">
        <v>1188</v>
      </c>
      <c r="D106" s="5">
        <v>1188</v>
      </c>
      <c r="E106" s="6">
        <v>0.99</v>
      </c>
      <c r="F106" s="5">
        <v>0</v>
      </c>
      <c r="G106" s="5">
        <v>69.41</v>
      </c>
      <c r="H106" s="5">
        <v>804</v>
      </c>
      <c r="I106" s="5" t="str">
        <f>HYPERLINK("https://www.ncbi.nlm.nih.gov/protein/MBF2057407.1?report=genbank&amp;log$=prottop&amp;blast_rank=150&amp;RID=7U875CNM013","MBF2057407.1")</f>
        <v>MBF2057407.1</v>
      </c>
      <c r="J106" s="5" t="s">
        <v>2</v>
      </c>
    </row>
    <row r="107" spans="1:10" s="7" customFormat="1" x14ac:dyDescent="0.2">
      <c r="A107" s="5" t="s">
        <v>202</v>
      </c>
      <c r="B107" s="5" t="s">
        <v>203</v>
      </c>
      <c r="C107" s="5">
        <v>1167</v>
      </c>
      <c r="D107" s="5">
        <v>1167</v>
      </c>
      <c r="E107" s="6">
        <v>0.98</v>
      </c>
      <c r="F107" s="5">
        <v>0</v>
      </c>
      <c r="G107" s="5">
        <v>69.39</v>
      </c>
      <c r="H107" s="5">
        <v>798</v>
      </c>
      <c r="I107" s="5" t="str">
        <f>HYPERLINK("https://www.ncbi.nlm.nih.gov/protein/RMH64080.1?report=genbank&amp;log$=prottop&amp;blast_rank=153&amp;RID=7U875CNM013","RMH64080.1")</f>
        <v>RMH64080.1</v>
      </c>
      <c r="J107" s="5" t="s">
        <v>2</v>
      </c>
    </row>
    <row r="108" spans="1:10" s="7" customFormat="1" x14ac:dyDescent="0.2">
      <c r="A108" s="5" t="s">
        <v>204</v>
      </c>
      <c r="B108" s="5" t="s">
        <v>205</v>
      </c>
      <c r="C108" s="5">
        <v>1167</v>
      </c>
      <c r="D108" s="5">
        <v>1167</v>
      </c>
      <c r="E108" s="6">
        <v>0.98</v>
      </c>
      <c r="F108" s="5">
        <v>0</v>
      </c>
      <c r="G108" s="5">
        <v>69.39</v>
      </c>
      <c r="H108" s="5">
        <v>812</v>
      </c>
      <c r="I108" s="5" t="str">
        <f>HYPERLINK("https://www.ncbi.nlm.nih.gov/protein/HIK23649.1?report=genbank&amp;log$=prottop&amp;blast_rank=154&amp;RID=7U875CNM013","HIK23649.1")</f>
        <v>HIK23649.1</v>
      </c>
      <c r="J108" s="5" t="s">
        <v>2</v>
      </c>
    </row>
    <row r="109" spans="1:10" s="7" customFormat="1" x14ac:dyDescent="0.2">
      <c r="A109" s="5" t="s">
        <v>206</v>
      </c>
      <c r="B109" s="5" t="s">
        <v>140</v>
      </c>
      <c r="C109" s="5">
        <v>1188</v>
      </c>
      <c r="D109" s="5">
        <v>1188</v>
      </c>
      <c r="E109" s="6">
        <v>0.98</v>
      </c>
      <c r="F109" s="5">
        <v>0</v>
      </c>
      <c r="G109" s="5">
        <v>69.349999999999994</v>
      </c>
      <c r="H109" s="5">
        <v>815</v>
      </c>
      <c r="I109" s="5" t="str">
        <f>HYPERLINK("https://www.ncbi.nlm.nih.gov/protein/WP_175358301.1?report=genbank&amp;log$=prottop&amp;blast_rank=170&amp;RID=7U875CNM013","WP_175358301.1")</f>
        <v>WP_175358301.1</v>
      </c>
      <c r="J109" s="5" t="s">
        <v>2</v>
      </c>
    </row>
    <row r="110" spans="1:10" s="7" customFormat="1" x14ac:dyDescent="0.2">
      <c r="A110" s="5" t="s">
        <v>207</v>
      </c>
      <c r="B110" s="5" t="s">
        <v>208</v>
      </c>
      <c r="C110" s="5">
        <v>1139</v>
      </c>
      <c r="D110" s="5">
        <v>1139</v>
      </c>
      <c r="E110" s="6">
        <v>0.98</v>
      </c>
      <c r="F110" s="5">
        <v>0</v>
      </c>
      <c r="G110" s="5">
        <v>69.33</v>
      </c>
      <c r="H110" s="5">
        <v>799</v>
      </c>
      <c r="I110" s="5" t="str">
        <f>HYPERLINK("https://www.ncbi.nlm.nih.gov/protein/PSR19824.1?report=genbank&amp;log$=prottop&amp;blast_rank=178&amp;RID=7U875CNM013","PSR19824.1")</f>
        <v>PSR19824.1</v>
      </c>
      <c r="J110" s="5" t="s">
        <v>2</v>
      </c>
    </row>
    <row r="111" spans="1:10" s="7" customFormat="1" x14ac:dyDescent="0.2">
      <c r="A111" s="5" t="s">
        <v>209</v>
      </c>
      <c r="B111" s="5" t="s">
        <v>210</v>
      </c>
      <c r="C111" s="5">
        <v>1183</v>
      </c>
      <c r="D111" s="5">
        <v>1183</v>
      </c>
      <c r="E111" s="6">
        <v>0.98</v>
      </c>
      <c r="F111" s="5">
        <v>0</v>
      </c>
      <c r="G111" s="5">
        <v>69.31</v>
      </c>
      <c r="H111" s="5">
        <v>811</v>
      </c>
      <c r="I111" s="5" t="str">
        <f>HYPERLINK("https://www.ncbi.nlm.nih.gov/protein/MBD1844830.1?report=genbank&amp;log$=prottop&amp;blast_rank=184&amp;RID=7U875CNM013","MBD1844830.1")</f>
        <v>MBD1844830.1</v>
      </c>
      <c r="J111" s="5" t="s">
        <v>2</v>
      </c>
    </row>
    <row r="112" spans="1:10" s="7" customFormat="1" x14ac:dyDescent="0.2">
      <c r="A112" s="5" t="s">
        <v>211</v>
      </c>
      <c r="B112" s="5" t="s">
        <v>212</v>
      </c>
      <c r="C112" s="5">
        <v>1171</v>
      </c>
      <c r="D112" s="5">
        <v>1171</v>
      </c>
      <c r="E112" s="6">
        <v>0.98</v>
      </c>
      <c r="F112" s="5">
        <v>0</v>
      </c>
      <c r="G112" s="5">
        <v>69.28</v>
      </c>
      <c r="H112" s="5">
        <v>799</v>
      </c>
      <c r="I112" s="5" t="str">
        <f>HYPERLINK("https://www.ncbi.nlm.nih.gov/protein/WP_088430576.1?report=genbank&amp;log$=prottop&amp;blast_rank=191&amp;RID=7U875CNM013","WP_088430576.1")</f>
        <v>WP_088430576.1</v>
      </c>
      <c r="J112" s="5" t="s">
        <v>2</v>
      </c>
    </row>
    <row r="113" spans="1:10" s="7" customFormat="1" x14ac:dyDescent="0.2">
      <c r="A113" s="5" t="s">
        <v>213</v>
      </c>
      <c r="B113" s="5" t="s">
        <v>214</v>
      </c>
      <c r="C113" s="5">
        <v>1072</v>
      </c>
      <c r="D113" s="5">
        <v>1072</v>
      </c>
      <c r="E113" s="6">
        <v>0.88</v>
      </c>
      <c r="F113" s="5">
        <v>0</v>
      </c>
      <c r="G113" s="5">
        <v>69.260000000000005</v>
      </c>
      <c r="H113" s="5">
        <v>707</v>
      </c>
      <c r="I113" s="5" t="str">
        <f>HYPERLINK("https://www.ncbi.nlm.nih.gov/protein/NJR66645.1?report=genbank&amp;log$=prottop&amp;blast_rank=196&amp;RID=7U875CNM013","NJR66645.1")</f>
        <v>NJR66645.1</v>
      </c>
      <c r="J113" s="5" t="s">
        <v>2</v>
      </c>
    </row>
    <row r="114" spans="1:10" s="7" customFormat="1" x14ac:dyDescent="0.2">
      <c r="A114" s="5" t="s">
        <v>215</v>
      </c>
      <c r="B114" s="5" t="s">
        <v>216</v>
      </c>
      <c r="C114" s="5">
        <v>1165</v>
      </c>
      <c r="D114" s="5">
        <v>1165</v>
      </c>
      <c r="E114" s="6">
        <v>0.98</v>
      </c>
      <c r="F114" s="5">
        <v>0</v>
      </c>
      <c r="G114" s="5">
        <v>69.260000000000005</v>
      </c>
      <c r="H114" s="5">
        <v>812</v>
      </c>
      <c r="I114" s="5" t="str">
        <f>HYPERLINK("https://www.ncbi.nlm.nih.gov/protein/WP_024124489.1?report=genbank&amp;log$=prottop&amp;blast_rank=197&amp;RID=7U875CNM013","WP_024124489.1")</f>
        <v>WP_024124489.1</v>
      </c>
      <c r="J114" s="5" t="s">
        <v>2</v>
      </c>
    </row>
    <row r="115" spans="1:10" s="7" customFormat="1" x14ac:dyDescent="0.2">
      <c r="A115" s="5" t="s">
        <v>217</v>
      </c>
      <c r="B115" s="5" t="s">
        <v>218</v>
      </c>
      <c r="C115" s="5">
        <v>1178</v>
      </c>
      <c r="D115" s="5">
        <v>1178</v>
      </c>
      <c r="E115" s="6">
        <v>0.99</v>
      </c>
      <c r="F115" s="5">
        <v>0</v>
      </c>
      <c r="G115" s="5">
        <v>69.239999999999995</v>
      </c>
      <c r="H115" s="5">
        <v>806</v>
      </c>
      <c r="I115" s="5" t="str">
        <f>HYPERLINK("https://www.ncbi.nlm.nih.gov/protein/NJL51641.1?report=genbank&amp;log$=prottop&amp;blast_rank=205&amp;RID=7U875CNM013","NJL51641.1")</f>
        <v>NJL51641.1</v>
      </c>
      <c r="J115" s="5" t="s">
        <v>2</v>
      </c>
    </row>
    <row r="116" spans="1:10" s="7" customFormat="1" x14ac:dyDescent="0.2">
      <c r="A116" s="5" t="s">
        <v>219</v>
      </c>
      <c r="B116" s="5" t="s">
        <v>220</v>
      </c>
      <c r="C116" s="5">
        <v>1154</v>
      </c>
      <c r="D116" s="5">
        <v>1154</v>
      </c>
      <c r="E116" s="6">
        <v>0.99</v>
      </c>
      <c r="F116" s="5">
        <v>0</v>
      </c>
      <c r="G116" s="5">
        <v>69.180000000000007</v>
      </c>
      <c r="H116" s="5">
        <v>804</v>
      </c>
      <c r="I116" s="5" t="str">
        <f>HYPERLINK("https://www.ncbi.nlm.nih.gov/protein/TVQ43514.1?report=genbank&amp;log$=prottop&amp;blast_rank=5&amp;RID=7U875CNM013","TVQ43514.1")</f>
        <v>TVQ43514.1</v>
      </c>
      <c r="J116" s="5" t="s">
        <v>2</v>
      </c>
    </row>
    <row r="117" spans="1:10" s="7" customFormat="1" x14ac:dyDescent="0.2">
      <c r="A117" s="5" t="s">
        <v>221</v>
      </c>
      <c r="B117" s="5" t="s">
        <v>222</v>
      </c>
      <c r="C117" s="5">
        <v>1170</v>
      </c>
      <c r="D117" s="5">
        <v>1170</v>
      </c>
      <c r="E117" s="6">
        <v>0.98</v>
      </c>
      <c r="F117" s="5">
        <v>0</v>
      </c>
      <c r="G117" s="5">
        <v>69.16</v>
      </c>
      <c r="H117" s="5">
        <v>803</v>
      </c>
      <c r="I117" s="5" t="str">
        <f>HYPERLINK("https://www.ncbi.nlm.nih.gov/protein/WP_019506869.1?report=genbank&amp;log$=prottop&amp;blast_rank=8&amp;RID=7U875CNM013","WP_019506869.1")</f>
        <v>WP_019506869.1</v>
      </c>
      <c r="J117" s="5" t="s">
        <v>2</v>
      </c>
    </row>
    <row r="118" spans="1:10" s="7" customFormat="1" x14ac:dyDescent="0.2">
      <c r="A118" s="5" t="s">
        <v>223</v>
      </c>
      <c r="B118" s="5" t="s">
        <v>224</v>
      </c>
      <c r="C118" s="5">
        <v>1148</v>
      </c>
      <c r="D118" s="5">
        <v>1148</v>
      </c>
      <c r="E118" s="6">
        <v>0.98</v>
      </c>
      <c r="F118" s="5">
        <v>0</v>
      </c>
      <c r="G118" s="5">
        <v>69.16</v>
      </c>
      <c r="H118" s="5">
        <v>799</v>
      </c>
      <c r="I118" s="5" t="str">
        <f>HYPERLINK("https://www.ncbi.nlm.nih.gov/protein/HIK44376.1?report=genbank&amp;log$=prottop&amp;blast_rank=9&amp;RID=7U875CNM013","HIK44376.1")</f>
        <v>HIK44376.1</v>
      </c>
      <c r="J118" s="5" t="s">
        <v>2</v>
      </c>
    </row>
    <row r="119" spans="1:10" s="7" customFormat="1" x14ac:dyDescent="0.2">
      <c r="A119" s="5" t="s">
        <v>225</v>
      </c>
      <c r="B119" s="5" t="s">
        <v>226</v>
      </c>
      <c r="C119" s="5">
        <v>1145</v>
      </c>
      <c r="D119" s="5">
        <v>1145</v>
      </c>
      <c r="E119" s="6">
        <v>0.98</v>
      </c>
      <c r="F119" s="5">
        <v>0</v>
      </c>
      <c r="G119" s="5">
        <v>69.16</v>
      </c>
      <c r="H119" s="5">
        <v>799</v>
      </c>
      <c r="I119" s="5" t="str">
        <f>HYPERLINK("https://www.ncbi.nlm.nih.gov/protein/WP_190523223.1?report=genbank&amp;log$=prottop&amp;blast_rank=10&amp;RID=7U875CNM013","WP_190523223.1")</f>
        <v>WP_190523223.1</v>
      </c>
      <c r="J119" s="5" t="s">
        <v>2</v>
      </c>
    </row>
    <row r="120" spans="1:10" s="7" customFormat="1" x14ac:dyDescent="0.2">
      <c r="A120" s="5" t="s">
        <v>227</v>
      </c>
      <c r="B120" s="5" t="s">
        <v>228</v>
      </c>
      <c r="C120" s="5">
        <v>1158</v>
      </c>
      <c r="D120" s="5">
        <v>1158</v>
      </c>
      <c r="E120" s="6">
        <v>0.98</v>
      </c>
      <c r="F120" s="5">
        <v>0</v>
      </c>
      <c r="G120" s="5">
        <v>69.150000000000006</v>
      </c>
      <c r="H120" s="5">
        <v>804</v>
      </c>
      <c r="I120" s="5" t="str">
        <f>HYPERLINK("https://www.ncbi.nlm.nih.gov/protein/MBE7385986.1?report=genbank&amp;log$=prottop&amp;blast_rank=12&amp;RID=7U875CNM013","MBE7385986.1")</f>
        <v>MBE7385986.1</v>
      </c>
      <c r="J120" s="5" t="s">
        <v>2</v>
      </c>
    </row>
    <row r="121" spans="1:10" s="7" customFormat="1" x14ac:dyDescent="0.2">
      <c r="A121" s="5" t="s">
        <v>229</v>
      </c>
      <c r="B121" s="5" t="s">
        <v>230</v>
      </c>
      <c r="C121" s="5">
        <v>1173</v>
      </c>
      <c r="D121" s="5">
        <v>1173</v>
      </c>
      <c r="E121" s="6">
        <v>1</v>
      </c>
      <c r="F121" s="5">
        <v>0</v>
      </c>
      <c r="G121" s="5">
        <v>69.12</v>
      </c>
      <c r="H121" s="5">
        <v>802</v>
      </c>
      <c r="I121" s="5" t="str">
        <f>HYPERLINK("https://www.ncbi.nlm.nih.gov/protein/WP_121968450.1?report=genbank&amp;log$=prottop&amp;blast_rank=17&amp;RID=7U875CNM013","WP_121968450.1")</f>
        <v>WP_121968450.1</v>
      </c>
      <c r="J121" s="5" t="s">
        <v>2</v>
      </c>
    </row>
    <row r="122" spans="1:10" s="7" customFormat="1" x14ac:dyDescent="0.2">
      <c r="A122" s="5" t="s">
        <v>231</v>
      </c>
      <c r="B122" s="5" t="s">
        <v>232</v>
      </c>
      <c r="C122" s="5">
        <v>1176</v>
      </c>
      <c r="D122" s="5">
        <v>1176</v>
      </c>
      <c r="E122" s="6">
        <v>0.98</v>
      </c>
      <c r="F122" s="5">
        <v>0</v>
      </c>
      <c r="G122" s="5">
        <v>69.11</v>
      </c>
      <c r="H122" s="5">
        <v>804</v>
      </c>
      <c r="I122" s="5" t="str">
        <f>HYPERLINK("https://www.ncbi.nlm.nih.gov/protein/WP_190717288.1?report=genbank&amp;log$=prottop&amp;blast_rank=18&amp;RID=7U875CNM013","WP_190717288.1")</f>
        <v>WP_190717288.1</v>
      </c>
      <c r="J122" s="5" t="s">
        <v>2</v>
      </c>
    </row>
    <row r="123" spans="1:10" s="7" customFormat="1" x14ac:dyDescent="0.2">
      <c r="A123" s="5" t="s">
        <v>233</v>
      </c>
      <c r="B123" s="5" t="s">
        <v>234</v>
      </c>
      <c r="C123" s="5">
        <v>1196</v>
      </c>
      <c r="D123" s="5">
        <v>1196</v>
      </c>
      <c r="E123" s="6">
        <v>0.99</v>
      </c>
      <c r="F123" s="5">
        <v>0</v>
      </c>
      <c r="G123" s="5">
        <v>69.09</v>
      </c>
      <c r="H123" s="5">
        <v>808</v>
      </c>
      <c r="I123" s="5" t="str">
        <f>HYPERLINK("https://www.ncbi.nlm.nih.gov/protein/WP_190981741.1?report=genbank&amp;log$=prottop&amp;blast_rank=30&amp;RID=7U875CNM013","WP_190981741.1")</f>
        <v>WP_190981741.1</v>
      </c>
      <c r="J123" s="5" t="s">
        <v>2</v>
      </c>
    </row>
    <row r="124" spans="1:10" s="7" customFormat="1" x14ac:dyDescent="0.2">
      <c r="A124" s="5" t="s">
        <v>235</v>
      </c>
      <c r="B124" s="5" t="s">
        <v>236</v>
      </c>
      <c r="C124" s="5">
        <v>1138</v>
      </c>
      <c r="D124" s="5">
        <v>1138</v>
      </c>
      <c r="E124" s="6">
        <v>0.98</v>
      </c>
      <c r="F124" s="5">
        <v>0</v>
      </c>
      <c r="G124" s="5">
        <v>69.040000000000006</v>
      </c>
      <c r="H124" s="5">
        <v>799</v>
      </c>
      <c r="I124" s="5" t="str">
        <f>HYPERLINK("https://www.ncbi.nlm.nih.gov/protein/PZV19824.1?report=genbank&amp;log$=prottop&amp;blast_rank=48&amp;RID=7U875CNM013","PZV19824.1")</f>
        <v>PZV19824.1</v>
      </c>
      <c r="J124" s="5" t="s">
        <v>2</v>
      </c>
    </row>
    <row r="125" spans="1:10" s="7" customFormat="1" x14ac:dyDescent="0.2">
      <c r="A125" s="5" t="s">
        <v>237</v>
      </c>
      <c r="B125" s="5" t="s">
        <v>238</v>
      </c>
      <c r="C125" s="5">
        <v>1136</v>
      </c>
      <c r="D125" s="5">
        <v>1136</v>
      </c>
      <c r="E125" s="6">
        <v>0.98</v>
      </c>
      <c r="F125" s="5">
        <v>0</v>
      </c>
      <c r="G125" s="5">
        <v>69.040000000000006</v>
      </c>
      <c r="H125" s="5">
        <v>799</v>
      </c>
      <c r="I125" s="5" t="str">
        <f>HYPERLINK("https://www.ncbi.nlm.nih.gov/protein/PZO45636.1?report=genbank&amp;log$=prottop&amp;blast_rank=49&amp;RID=7U875CNM013","PZO45636.1")</f>
        <v>PZO45636.1</v>
      </c>
      <c r="J125" s="5" t="s">
        <v>2</v>
      </c>
    </row>
    <row r="126" spans="1:10" s="7" customFormat="1" x14ac:dyDescent="0.2">
      <c r="A126" s="5" t="s">
        <v>239</v>
      </c>
      <c r="B126" s="5" t="s">
        <v>240</v>
      </c>
      <c r="C126" s="5">
        <v>1186</v>
      </c>
      <c r="D126" s="5">
        <v>1186</v>
      </c>
      <c r="E126" s="6">
        <v>0.98</v>
      </c>
      <c r="F126" s="5">
        <v>0</v>
      </c>
      <c r="G126" s="5">
        <v>69.010000000000005</v>
      </c>
      <c r="H126" s="5">
        <v>862</v>
      </c>
      <c r="I126" s="5" t="str">
        <f>HYPERLINK("https://www.ncbi.nlm.nih.gov/protein/WP_190766997.1?report=genbank&amp;log$=prottop&amp;blast_rank=53&amp;RID=7U875CNM013","WP_190766997.1")</f>
        <v>WP_190766997.1</v>
      </c>
      <c r="J126" s="5" t="s">
        <v>2</v>
      </c>
    </row>
    <row r="127" spans="1:10" s="7" customFormat="1" x14ac:dyDescent="0.2">
      <c r="A127" s="5" t="s">
        <v>241</v>
      </c>
      <c r="B127" s="5" t="s">
        <v>242</v>
      </c>
      <c r="C127" s="5">
        <v>1181</v>
      </c>
      <c r="D127" s="5">
        <v>1181</v>
      </c>
      <c r="E127" s="6">
        <v>0.99</v>
      </c>
      <c r="F127" s="5">
        <v>0</v>
      </c>
      <c r="G127" s="5">
        <v>69</v>
      </c>
      <c r="H127" s="5">
        <v>805</v>
      </c>
      <c r="I127" s="5" t="str">
        <f>HYPERLINK("https://www.ncbi.nlm.nih.gov/protein/WP_008053299.1?report=genbank&amp;log$=prottop&amp;blast_rank=54&amp;RID=7U875CNM013","WP_008053299.1")</f>
        <v>WP_008053299.1</v>
      </c>
      <c r="J127" s="5" t="s">
        <v>2</v>
      </c>
    </row>
    <row r="128" spans="1:10" s="7" customFormat="1" x14ac:dyDescent="0.2">
      <c r="A128" s="5" t="s">
        <v>243</v>
      </c>
      <c r="B128" s="5" t="s">
        <v>244</v>
      </c>
      <c r="C128" s="5">
        <v>1177</v>
      </c>
      <c r="D128" s="5">
        <v>1177</v>
      </c>
      <c r="E128" s="6">
        <v>0.99</v>
      </c>
      <c r="F128" s="5">
        <v>0</v>
      </c>
      <c r="G128" s="5">
        <v>68.97</v>
      </c>
      <c r="H128" s="5">
        <v>800</v>
      </c>
      <c r="I128" s="5" t="str">
        <f>HYPERLINK("https://www.ncbi.nlm.nih.gov/protein/MBE9045489.1?report=genbank&amp;log$=prottop&amp;blast_rank=61&amp;RID=7U875CNM013","MBE9045489.1")</f>
        <v>MBE9045489.1</v>
      </c>
      <c r="J128" s="5" t="s">
        <v>2</v>
      </c>
    </row>
    <row r="129" spans="1:10" s="7" customFormat="1" x14ac:dyDescent="0.2">
      <c r="A129" s="5" t="s">
        <v>245</v>
      </c>
      <c r="B129" s="5" t="s">
        <v>246</v>
      </c>
      <c r="C129" s="5">
        <v>1179</v>
      </c>
      <c r="D129" s="5">
        <v>1179</v>
      </c>
      <c r="E129" s="6">
        <v>0.98</v>
      </c>
      <c r="F129" s="5">
        <v>0</v>
      </c>
      <c r="G129" s="5">
        <v>68.959999999999994</v>
      </c>
      <c r="H129" s="5">
        <v>812</v>
      </c>
      <c r="I129" s="5" t="str">
        <f>HYPERLINK("https://www.ncbi.nlm.nih.gov/protein/WP_073593575.1?report=genbank&amp;log$=prottop&amp;blast_rank=68&amp;RID=7U875CNM013","WP_073593575.1")</f>
        <v>WP_073593575.1</v>
      </c>
      <c r="J129" s="5" t="s">
        <v>2</v>
      </c>
    </row>
    <row r="130" spans="1:10" s="7" customFormat="1" x14ac:dyDescent="0.2">
      <c r="A130" s="5" t="s">
        <v>247</v>
      </c>
      <c r="B130" s="5" t="s">
        <v>248</v>
      </c>
      <c r="C130" s="5">
        <v>1133</v>
      </c>
      <c r="D130" s="5">
        <v>1133</v>
      </c>
      <c r="E130" s="6">
        <v>0.98</v>
      </c>
      <c r="F130" s="5">
        <v>0</v>
      </c>
      <c r="G130" s="5">
        <v>68.95</v>
      </c>
      <c r="H130" s="5">
        <v>799</v>
      </c>
      <c r="I130" s="5" t="str">
        <f>HYPERLINK("https://www.ncbi.nlm.nih.gov/protein/WP_035985112.1?report=genbank&amp;log$=prottop&amp;blast_rank=71&amp;RID=7U875CNM013","WP_035985112.1")</f>
        <v>WP_035985112.1</v>
      </c>
      <c r="J130" s="5" t="s">
        <v>2</v>
      </c>
    </row>
    <row r="131" spans="1:10" s="7" customFormat="1" x14ac:dyDescent="0.2">
      <c r="A131" s="5" t="s">
        <v>249</v>
      </c>
      <c r="B131" s="5" t="s">
        <v>250</v>
      </c>
      <c r="C131" s="5">
        <v>1187</v>
      </c>
      <c r="D131" s="5">
        <v>1187</v>
      </c>
      <c r="E131" s="6">
        <v>0.98</v>
      </c>
      <c r="F131" s="5">
        <v>0</v>
      </c>
      <c r="G131" s="5">
        <v>68.91</v>
      </c>
      <c r="H131" s="5">
        <v>802</v>
      </c>
      <c r="I131" s="5" t="str">
        <f>HYPERLINK("https://www.ncbi.nlm.nih.gov/protein/WP_009547557.1?report=genbank&amp;log$=prottop&amp;blast_rank=95&amp;RID=7U875CNM013","WP_009547557.1")</f>
        <v>WP_009547557.1</v>
      </c>
      <c r="J131" s="5" t="s">
        <v>2</v>
      </c>
    </row>
    <row r="132" spans="1:10" s="7" customFormat="1" x14ac:dyDescent="0.2">
      <c r="A132" s="5" t="s">
        <v>251</v>
      </c>
      <c r="B132" s="5" t="s">
        <v>2</v>
      </c>
      <c r="C132" s="5">
        <v>1144</v>
      </c>
      <c r="D132" s="5">
        <v>1144</v>
      </c>
      <c r="E132" s="6">
        <v>0.98</v>
      </c>
      <c r="F132" s="5">
        <v>0</v>
      </c>
      <c r="G132" s="5">
        <v>68.91</v>
      </c>
      <c r="H132" s="5">
        <v>799</v>
      </c>
      <c r="I132" s="5" t="str">
        <f>HYPERLINK("https://www.ncbi.nlm.nih.gov/protein/WP_190630211.1?report=genbank&amp;log$=prottop&amp;blast_rank=97&amp;RID=7U875CNM013","WP_190630211.1")</f>
        <v>WP_190630211.1</v>
      </c>
      <c r="J132" s="5" t="s">
        <v>2</v>
      </c>
    </row>
    <row r="133" spans="1:10" s="7" customFormat="1" x14ac:dyDescent="0.2">
      <c r="A133" s="5" t="s">
        <v>252</v>
      </c>
      <c r="B133" s="5" t="s">
        <v>253</v>
      </c>
      <c r="C133" s="5">
        <v>1184</v>
      </c>
      <c r="D133" s="5">
        <v>1184</v>
      </c>
      <c r="E133" s="6">
        <v>0.99</v>
      </c>
      <c r="F133" s="5">
        <v>0</v>
      </c>
      <c r="G133" s="5">
        <v>68.88</v>
      </c>
      <c r="H133" s="5">
        <v>803</v>
      </c>
      <c r="I133" s="5" t="str">
        <f>HYPERLINK("https://www.ncbi.nlm.nih.gov/protein/WP_096721118.1?report=genbank&amp;log$=prottop&amp;blast_rank=99&amp;RID=7U875CNM013","WP_096721118.1")</f>
        <v>WP_096721118.1</v>
      </c>
      <c r="J133" s="5" t="s">
        <v>2</v>
      </c>
    </row>
    <row r="134" spans="1:10" s="7" customFormat="1" x14ac:dyDescent="0.2">
      <c r="A134" s="5" t="s">
        <v>254</v>
      </c>
      <c r="B134" s="5" t="s">
        <v>255</v>
      </c>
      <c r="C134" s="5">
        <v>1187</v>
      </c>
      <c r="D134" s="5">
        <v>1187</v>
      </c>
      <c r="E134" s="6">
        <v>0.98</v>
      </c>
      <c r="F134" s="5">
        <v>0</v>
      </c>
      <c r="G134" s="5">
        <v>68.88</v>
      </c>
      <c r="H134" s="5">
        <v>812</v>
      </c>
      <c r="I134" s="5" t="str">
        <f>HYPERLINK("https://www.ncbi.nlm.nih.gov/protein/MBL1174728.1?report=genbank&amp;log$=prottop&amp;blast_rank=100&amp;RID=7U875CNM013","MBL1174728.1")</f>
        <v>MBL1174728.1</v>
      </c>
      <c r="J134" s="5" t="s">
        <v>2</v>
      </c>
    </row>
    <row r="135" spans="1:10" s="7" customFormat="1" x14ac:dyDescent="0.2">
      <c r="A135" s="5" t="s">
        <v>256</v>
      </c>
      <c r="B135" s="5" t="s">
        <v>257</v>
      </c>
      <c r="C135" s="5">
        <v>1184</v>
      </c>
      <c r="D135" s="5">
        <v>1184</v>
      </c>
      <c r="E135" s="6">
        <v>0.98</v>
      </c>
      <c r="F135" s="5">
        <v>0</v>
      </c>
      <c r="G135" s="5">
        <v>68.88</v>
      </c>
      <c r="H135" s="5">
        <v>811</v>
      </c>
      <c r="I135" s="5" t="str">
        <f>HYPERLINK("https://www.ncbi.nlm.nih.gov/protein/NES97384.1?report=genbank&amp;log$=prottop&amp;blast_rank=101&amp;RID=7U875CNM013","NES97384.1")</f>
        <v>NES97384.1</v>
      </c>
      <c r="J135" s="5" t="s">
        <v>2</v>
      </c>
    </row>
    <row r="136" spans="1:10" s="7" customFormat="1" x14ac:dyDescent="0.2">
      <c r="A136" s="5" t="s">
        <v>258</v>
      </c>
      <c r="B136" s="5" t="s">
        <v>259</v>
      </c>
      <c r="C136" s="5">
        <v>1181</v>
      </c>
      <c r="D136" s="5">
        <v>1181</v>
      </c>
      <c r="E136" s="6">
        <v>0.98</v>
      </c>
      <c r="F136" s="5">
        <v>0</v>
      </c>
      <c r="G136" s="5">
        <v>68.88</v>
      </c>
      <c r="H136" s="5">
        <v>813</v>
      </c>
      <c r="I136" s="5" t="str">
        <f>HYPERLINK("https://www.ncbi.nlm.nih.gov/protein/WP_016868244.1?report=genbank&amp;log$=prottop&amp;blast_rank=102&amp;RID=7U875CNM013","WP_016868244.1")</f>
        <v>WP_016868244.1</v>
      </c>
      <c r="J136" s="5" t="s">
        <v>2</v>
      </c>
    </row>
    <row r="137" spans="1:10" s="7" customFormat="1" x14ac:dyDescent="0.2">
      <c r="A137" s="5" t="s">
        <v>260</v>
      </c>
      <c r="B137" s="5" t="s">
        <v>261</v>
      </c>
      <c r="C137" s="5">
        <v>1174</v>
      </c>
      <c r="D137" s="5">
        <v>1174</v>
      </c>
      <c r="E137" s="6">
        <v>0.98</v>
      </c>
      <c r="F137" s="5">
        <v>0</v>
      </c>
      <c r="G137" s="5">
        <v>68.88</v>
      </c>
      <c r="H137" s="5">
        <v>812</v>
      </c>
      <c r="I137" s="5" t="str">
        <f>HYPERLINK("https://www.ncbi.nlm.nih.gov/protein/WP_193985738.1?report=genbank&amp;log$=prottop&amp;blast_rank=104&amp;RID=7U875CNM013","WP_193985738.1")</f>
        <v>WP_193985738.1</v>
      </c>
      <c r="J137" s="5" t="s">
        <v>2</v>
      </c>
    </row>
    <row r="138" spans="1:10" s="7" customFormat="1" x14ac:dyDescent="0.2">
      <c r="A138" s="5" t="s">
        <v>262</v>
      </c>
      <c r="B138" s="5" t="s">
        <v>263</v>
      </c>
      <c r="C138" s="5">
        <v>1186</v>
      </c>
      <c r="D138" s="5">
        <v>1186</v>
      </c>
      <c r="E138" s="6">
        <v>0.98</v>
      </c>
      <c r="F138" s="5">
        <v>0</v>
      </c>
      <c r="G138" s="5">
        <v>68.83</v>
      </c>
      <c r="H138" s="5">
        <v>813</v>
      </c>
      <c r="I138" s="5" t="str">
        <f>HYPERLINK("https://www.ncbi.nlm.nih.gov/protein/WP_102148379.1?report=genbank&amp;log$=prottop&amp;blast_rank=114&amp;RID=7U875CNM013","WP_102148379.1")</f>
        <v>WP_102148379.1</v>
      </c>
      <c r="J138" s="5" t="s">
        <v>2</v>
      </c>
    </row>
    <row r="139" spans="1:10" s="7" customFormat="1" x14ac:dyDescent="0.2">
      <c r="A139" s="5" t="s">
        <v>264</v>
      </c>
      <c r="B139" s="5" t="s">
        <v>265</v>
      </c>
      <c r="C139" s="5">
        <v>1135</v>
      </c>
      <c r="D139" s="5">
        <v>1135</v>
      </c>
      <c r="E139" s="6">
        <v>0.98</v>
      </c>
      <c r="F139" s="5">
        <v>0</v>
      </c>
      <c r="G139" s="5">
        <v>68.819999999999993</v>
      </c>
      <c r="H139" s="5">
        <v>799</v>
      </c>
      <c r="I139" s="5" t="str">
        <f>HYPERLINK("https://www.ncbi.nlm.nih.gov/protein/PSN13434.1?report=genbank&amp;log$=prottop&amp;blast_rank=121&amp;RID=7U875CNM013","PSN13434.1")</f>
        <v>PSN13434.1</v>
      </c>
      <c r="J139" s="5" t="s">
        <v>2</v>
      </c>
    </row>
    <row r="140" spans="1:10" s="7" customFormat="1" x14ac:dyDescent="0.2">
      <c r="A140" s="5" t="s">
        <v>266</v>
      </c>
      <c r="B140" s="5" t="s">
        <v>267</v>
      </c>
      <c r="C140" s="5">
        <v>1133</v>
      </c>
      <c r="D140" s="5">
        <v>1133</v>
      </c>
      <c r="E140" s="6">
        <v>0.98</v>
      </c>
      <c r="F140" s="5">
        <v>0</v>
      </c>
      <c r="G140" s="5">
        <v>68.819999999999993</v>
      </c>
      <c r="H140" s="5">
        <v>799</v>
      </c>
      <c r="I140" s="5" t="str">
        <f>HYPERLINK("https://www.ncbi.nlm.nih.gov/protein/WP_194024042.1?report=genbank&amp;log$=prottop&amp;blast_rank=122&amp;RID=7U875CNM013","WP_194024042.1")</f>
        <v>WP_194024042.1</v>
      </c>
      <c r="J140" s="5" t="s">
        <v>2</v>
      </c>
    </row>
    <row r="141" spans="1:10" s="7" customFormat="1" x14ac:dyDescent="0.2">
      <c r="A141" s="5" t="s">
        <v>268</v>
      </c>
      <c r="B141" s="5" t="s">
        <v>269</v>
      </c>
      <c r="C141" s="5">
        <v>1146</v>
      </c>
      <c r="D141" s="5">
        <v>1146</v>
      </c>
      <c r="E141" s="6">
        <v>0.98</v>
      </c>
      <c r="F141" s="5">
        <v>0</v>
      </c>
      <c r="G141" s="5">
        <v>68.78</v>
      </c>
      <c r="H141" s="5">
        <v>799</v>
      </c>
      <c r="I141" s="5" t="str">
        <f>HYPERLINK("https://www.ncbi.nlm.nih.gov/protein/WP_190755123.1?report=genbank&amp;log$=prottop&amp;blast_rank=143&amp;RID=7U875CNM013","WP_190755123.1")</f>
        <v>WP_190755123.1</v>
      </c>
      <c r="J141" s="5" t="s">
        <v>2</v>
      </c>
    </row>
    <row r="142" spans="1:10" s="7" customFormat="1" x14ac:dyDescent="0.2">
      <c r="A142" s="5" t="s">
        <v>270</v>
      </c>
      <c r="B142" s="5" t="s">
        <v>271</v>
      </c>
      <c r="C142" s="5">
        <v>1135</v>
      </c>
      <c r="D142" s="5">
        <v>1135</v>
      </c>
      <c r="E142" s="6">
        <v>0.98</v>
      </c>
      <c r="F142" s="5">
        <v>0</v>
      </c>
      <c r="G142" s="5">
        <v>68.78</v>
      </c>
      <c r="H142" s="5">
        <v>799</v>
      </c>
      <c r="I142" s="5" t="str">
        <f>HYPERLINK("https://www.ncbi.nlm.nih.gov/protein/WP_073608487.1?report=genbank&amp;log$=prottop&amp;blast_rank=144&amp;RID=7U875CNM013","WP_073608487.1")</f>
        <v>WP_073608487.1</v>
      </c>
      <c r="J142" s="5" t="s">
        <v>2</v>
      </c>
    </row>
    <row r="143" spans="1:10" s="7" customFormat="1" x14ac:dyDescent="0.2">
      <c r="A143" s="5" t="s">
        <v>272</v>
      </c>
      <c r="B143" s="5" t="s">
        <v>273</v>
      </c>
      <c r="C143" s="5">
        <v>1159</v>
      </c>
      <c r="D143" s="5">
        <v>1159</v>
      </c>
      <c r="E143" s="6">
        <v>0.98</v>
      </c>
      <c r="F143" s="5">
        <v>0</v>
      </c>
      <c r="G143" s="5">
        <v>68.77</v>
      </c>
      <c r="H143" s="5">
        <v>804</v>
      </c>
      <c r="I143" s="5" t="str">
        <f>HYPERLINK("https://www.ncbi.nlm.nih.gov/protein/WP_023068117.1?report=genbank&amp;log$=prottop&amp;blast_rank=145&amp;RID=7U875CNM013","WP_023068117.1")</f>
        <v>WP_023068117.1</v>
      </c>
      <c r="J143" s="5" t="s">
        <v>2</v>
      </c>
    </row>
    <row r="144" spans="1:10" s="7" customFormat="1" x14ac:dyDescent="0.2">
      <c r="A144" s="5" t="s">
        <v>274</v>
      </c>
      <c r="B144" s="5" t="s">
        <v>275</v>
      </c>
      <c r="C144" s="5">
        <v>1183</v>
      </c>
      <c r="D144" s="5">
        <v>1183</v>
      </c>
      <c r="E144" s="6">
        <v>0.98</v>
      </c>
      <c r="F144" s="5">
        <v>0</v>
      </c>
      <c r="G144" s="5">
        <v>68.75</v>
      </c>
      <c r="H144" s="5">
        <v>813</v>
      </c>
      <c r="I144" s="5" t="str">
        <f>HYPERLINK("https://www.ncbi.nlm.nih.gov/protein/WP_073556107.1?report=genbank&amp;log$=prottop&amp;blast_rank=147&amp;RID=7U875CNM013","WP_073556107.1")</f>
        <v>WP_073556107.1</v>
      </c>
      <c r="J144" s="5" t="s">
        <v>2</v>
      </c>
    </row>
    <row r="145" spans="1:10" s="7" customFormat="1" x14ac:dyDescent="0.2">
      <c r="A145" s="5" t="s">
        <v>262</v>
      </c>
      <c r="B145" s="5" t="s">
        <v>263</v>
      </c>
      <c r="C145" s="5">
        <v>1182</v>
      </c>
      <c r="D145" s="5">
        <v>1182</v>
      </c>
      <c r="E145" s="6">
        <v>0.98</v>
      </c>
      <c r="F145" s="5">
        <v>0</v>
      </c>
      <c r="G145" s="5">
        <v>68.75</v>
      </c>
      <c r="H145" s="5">
        <v>813</v>
      </c>
      <c r="I145" s="5" t="str">
        <f>HYPERLINK("https://www.ncbi.nlm.nih.gov/protein/WP_102207081.1?report=genbank&amp;log$=prottop&amp;blast_rank=148&amp;RID=7U875CNM013","WP_102207081.1")</f>
        <v>WP_102207081.1</v>
      </c>
      <c r="J145" s="5" t="s">
        <v>2</v>
      </c>
    </row>
    <row r="146" spans="1:10" s="7" customFormat="1" x14ac:dyDescent="0.2">
      <c r="A146" s="5" t="s">
        <v>276</v>
      </c>
      <c r="B146" s="5" t="s">
        <v>277</v>
      </c>
      <c r="C146" s="5">
        <v>1180</v>
      </c>
      <c r="D146" s="5">
        <v>1180</v>
      </c>
      <c r="E146" s="6">
        <v>0.98</v>
      </c>
      <c r="F146" s="5">
        <v>0</v>
      </c>
      <c r="G146" s="5">
        <v>68.75</v>
      </c>
      <c r="H146" s="5">
        <v>811</v>
      </c>
      <c r="I146" s="5" t="str">
        <f>HYPERLINK("https://www.ncbi.nlm.nih.gov/protein/WP_015165416.1?report=genbank&amp;log$=prottop&amp;blast_rank=149&amp;RID=7U875CNM013","WP_015165416.1")</f>
        <v>WP_015165416.1</v>
      </c>
      <c r="J146" s="5" t="s">
        <v>2</v>
      </c>
    </row>
    <row r="147" spans="1:10" s="7" customFormat="1" x14ac:dyDescent="0.2">
      <c r="A147" s="5" t="s">
        <v>278</v>
      </c>
      <c r="B147" s="5" t="s">
        <v>279</v>
      </c>
      <c r="C147" s="5">
        <v>1175</v>
      </c>
      <c r="D147" s="5">
        <v>1175</v>
      </c>
      <c r="E147" s="6">
        <v>0.99</v>
      </c>
      <c r="F147" s="5">
        <v>0</v>
      </c>
      <c r="G147" s="5">
        <v>68.75</v>
      </c>
      <c r="H147" s="5">
        <v>805</v>
      </c>
      <c r="I147" s="5" t="str">
        <f>HYPERLINK("https://www.ncbi.nlm.nih.gov/protein/WP_111891489.1?report=genbank&amp;log$=prottop&amp;blast_rank=150&amp;RID=7U875CNM013","WP_111891489.1")</f>
        <v>WP_111891489.1</v>
      </c>
      <c r="J147" s="5" t="s">
        <v>2</v>
      </c>
    </row>
    <row r="148" spans="1:10" s="7" customFormat="1" x14ac:dyDescent="0.2">
      <c r="A148" s="5" t="s">
        <v>280</v>
      </c>
      <c r="B148" s="5" t="s">
        <v>281</v>
      </c>
      <c r="C148" s="5">
        <v>1158</v>
      </c>
      <c r="D148" s="5">
        <v>1158</v>
      </c>
      <c r="E148" s="6">
        <v>0.98</v>
      </c>
      <c r="F148" s="5">
        <v>0</v>
      </c>
      <c r="G148" s="5">
        <v>68.75</v>
      </c>
      <c r="H148" s="5">
        <v>812</v>
      </c>
      <c r="I148" s="5" t="str">
        <f>HYPERLINK("https://www.ncbi.nlm.nih.gov/protein/WP_011057028.1?report=genbank&amp;log$=prottop&amp;blast_rank=151&amp;RID=7U875CNM013","WP_011057028.1")</f>
        <v>WP_011057028.1</v>
      </c>
      <c r="J148" s="5" t="s">
        <v>2</v>
      </c>
    </row>
    <row r="149" spans="1:10" s="7" customFormat="1" x14ac:dyDescent="0.2">
      <c r="A149" s="5" t="s">
        <v>282</v>
      </c>
      <c r="B149" s="5" t="s">
        <v>283</v>
      </c>
      <c r="C149" s="5">
        <v>1167</v>
      </c>
      <c r="D149" s="5">
        <v>1167</v>
      </c>
      <c r="E149" s="6">
        <v>0.99</v>
      </c>
      <c r="F149" s="5">
        <v>0</v>
      </c>
      <c r="G149" s="5">
        <v>68.709999999999994</v>
      </c>
      <c r="H149" s="5">
        <v>808</v>
      </c>
      <c r="I149" s="5" t="str">
        <f>HYPERLINK("https://www.ncbi.nlm.nih.gov/protein/MBC7516736.1?report=genbank&amp;log$=prottop&amp;blast_rank=154&amp;RID=7U875CNM013","MBC7516736.1")</f>
        <v>MBC7516736.1</v>
      </c>
      <c r="J149" s="5" t="s">
        <v>2</v>
      </c>
    </row>
    <row r="150" spans="1:10" s="7" customFormat="1" x14ac:dyDescent="0.2">
      <c r="A150" s="5" t="s">
        <v>284</v>
      </c>
      <c r="B150" s="5" t="s">
        <v>285</v>
      </c>
      <c r="C150" s="5">
        <v>1179</v>
      </c>
      <c r="D150" s="5">
        <v>1179</v>
      </c>
      <c r="E150" s="6">
        <v>0.99</v>
      </c>
      <c r="F150" s="5">
        <v>0</v>
      </c>
      <c r="G150" s="5">
        <v>68.7</v>
      </c>
      <c r="H150" s="5">
        <v>805</v>
      </c>
      <c r="I150" s="5" t="str">
        <f>HYPERLINK("https://www.ncbi.nlm.nih.gov/protein/WP_187758340.1?report=genbank&amp;log$=prottop&amp;blast_rank=157&amp;RID=7U875CNM013","WP_187758340.1")</f>
        <v>WP_187758340.1</v>
      </c>
      <c r="J150" s="5" t="s">
        <v>2</v>
      </c>
    </row>
    <row r="151" spans="1:10" s="7" customFormat="1" x14ac:dyDescent="0.2">
      <c r="A151" s="5" t="s">
        <v>286</v>
      </c>
      <c r="B151" s="5" t="s">
        <v>287</v>
      </c>
      <c r="C151" s="5">
        <v>1179</v>
      </c>
      <c r="D151" s="5">
        <v>1179</v>
      </c>
      <c r="E151" s="6">
        <v>0.99</v>
      </c>
      <c r="F151" s="5">
        <v>0</v>
      </c>
      <c r="G151" s="5">
        <v>68.7</v>
      </c>
      <c r="H151" s="5">
        <v>805</v>
      </c>
      <c r="I151" s="5" t="str">
        <f>HYPERLINK("https://www.ncbi.nlm.nih.gov/protein/WP_006623996.1?report=genbank&amp;log$=prottop&amp;blast_rank=158&amp;RID=7U875CNM013","WP_006623996.1")</f>
        <v>WP_006623996.1</v>
      </c>
      <c r="J151" s="5" t="s">
        <v>2</v>
      </c>
    </row>
    <row r="152" spans="1:10" s="7" customFormat="1" x14ac:dyDescent="0.2">
      <c r="A152" s="5" t="s">
        <v>262</v>
      </c>
      <c r="B152" s="5" t="s">
        <v>263</v>
      </c>
      <c r="C152" s="5">
        <v>1184</v>
      </c>
      <c r="D152" s="5">
        <v>1184</v>
      </c>
      <c r="E152" s="6">
        <v>0.98</v>
      </c>
      <c r="F152" s="5">
        <v>0</v>
      </c>
      <c r="G152" s="5">
        <v>68.7</v>
      </c>
      <c r="H152" s="5">
        <v>813</v>
      </c>
      <c r="I152" s="5" t="str">
        <f>HYPERLINK("https://www.ncbi.nlm.nih.gov/protein/WP_009457136.1?report=genbank&amp;log$=prottop&amp;blast_rank=159&amp;RID=7U875CNM013","WP_009457136.1")</f>
        <v>WP_009457136.1</v>
      </c>
      <c r="J152" s="5" t="s">
        <v>2</v>
      </c>
    </row>
    <row r="153" spans="1:10" s="7" customFormat="1" x14ac:dyDescent="0.2">
      <c r="A153" s="5" t="s">
        <v>288</v>
      </c>
      <c r="B153" s="5" t="s">
        <v>289</v>
      </c>
      <c r="C153" s="5">
        <v>1181</v>
      </c>
      <c r="D153" s="5">
        <v>1181</v>
      </c>
      <c r="E153" s="6">
        <v>0.98</v>
      </c>
      <c r="F153" s="5">
        <v>0</v>
      </c>
      <c r="G153" s="5">
        <v>68.650000000000006</v>
      </c>
      <c r="H153" s="5">
        <v>802</v>
      </c>
      <c r="I153" s="5" t="str">
        <f>HYPERLINK("https://www.ncbi.nlm.nih.gov/protein/WP_044105528.1?report=genbank&amp;log$=prottop&amp;blast_rank=185&amp;RID=7U875CNM013","WP_044105528.1")</f>
        <v>WP_044105528.1</v>
      </c>
      <c r="J153" s="5" t="s">
        <v>2</v>
      </c>
    </row>
    <row r="154" spans="1:10" s="7" customFormat="1" x14ac:dyDescent="0.2">
      <c r="A154" s="5" t="s">
        <v>290</v>
      </c>
      <c r="B154" s="5" t="s">
        <v>291</v>
      </c>
      <c r="C154" s="5">
        <v>1154</v>
      </c>
      <c r="D154" s="5">
        <v>1154</v>
      </c>
      <c r="E154" s="6">
        <v>0.98</v>
      </c>
      <c r="F154" s="5">
        <v>0</v>
      </c>
      <c r="G154" s="5">
        <v>68.650000000000006</v>
      </c>
      <c r="H154" s="5">
        <v>803</v>
      </c>
      <c r="I154" s="5" t="str">
        <f>HYPERLINK("https://www.ncbi.nlm.nih.gov/protein/WP_006508968.1?report=genbank&amp;log$=prottop&amp;blast_rank=187&amp;RID=7U875CNM013","WP_006508968.1")</f>
        <v>WP_006508968.1</v>
      </c>
      <c r="J154" s="5" t="s">
        <v>2</v>
      </c>
    </row>
    <row r="155" spans="1:10" s="7" customFormat="1" x14ac:dyDescent="0.2">
      <c r="A155" s="5" t="s">
        <v>292</v>
      </c>
      <c r="B155" s="5" t="s">
        <v>293</v>
      </c>
      <c r="C155" s="5">
        <v>1183</v>
      </c>
      <c r="D155" s="5">
        <v>1183</v>
      </c>
      <c r="E155" s="6">
        <v>0.98</v>
      </c>
      <c r="F155" s="5">
        <v>0</v>
      </c>
      <c r="G155" s="5">
        <v>68.62</v>
      </c>
      <c r="H155" s="5">
        <v>811</v>
      </c>
      <c r="I155" s="5" t="str">
        <f>HYPERLINK("https://www.ncbi.nlm.nih.gov/protein/WP_069967594.1?report=genbank&amp;log$=prottop&amp;blast_rank=190&amp;RID=7U875CNM013","WP_069967594.1")</f>
        <v>WP_069967594.1</v>
      </c>
      <c r="J155" s="5" t="s">
        <v>2</v>
      </c>
    </row>
    <row r="156" spans="1:10" s="7" customFormat="1" x14ac:dyDescent="0.2">
      <c r="A156" s="5" t="s">
        <v>294</v>
      </c>
      <c r="B156" s="5" t="s">
        <v>295</v>
      </c>
      <c r="C156" s="5">
        <v>1162</v>
      </c>
      <c r="D156" s="5">
        <v>1162</v>
      </c>
      <c r="E156" s="6">
        <v>0.98</v>
      </c>
      <c r="F156" s="5">
        <v>0</v>
      </c>
      <c r="G156" s="5">
        <v>68.62</v>
      </c>
      <c r="H156" s="5">
        <v>815</v>
      </c>
      <c r="I156" s="5" t="str">
        <f>HYPERLINK("https://www.ncbi.nlm.nih.gov/protein/WP_096620521.1?report=genbank&amp;log$=prottop&amp;blast_rank=191&amp;RID=7U875CNM013","WP_096620521.1")</f>
        <v>WP_096620521.1</v>
      </c>
      <c r="J156" s="5" t="s">
        <v>2</v>
      </c>
    </row>
    <row r="157" spans="1:10" s="7" customFormat="1" x14ac:dyDescent="0.2">
      <c r="A157" s="5" t="s">
        <v>296</v>
      </c>
      <c r="B157" s="5" t="s">
        <v>297</v>
      </c>
      <c r="C157" s="5">
        <v>1159</v>
      </c>
      <c r="D157" s="5">
        <v>1159</v>
      </c>
      <c r="E157" s="6">
        <v>0.98</v>
      </c>
      <c r="F157" s="5">
        <v>0</v>
      </c>
      <c r="G157" s="5">
        <v>68.62</v>
      </c>
      <c r="H157" s="5">
        <v>811</v>
      </c>
      <c r="I157" s="5" t="str">
        <f>HYPERLINK("https://www.ncbi.nlm.nih.gov/protein/WP_022604557.1?report=genbank&amp;log$=prottop&amp;blast_rank=192&amp;RID=7U875CNM013","WP_022604557.1")</f>
        <v>WP_022604557.1</v>
      </c>
      <c r="J157" s="5" t="s">
        <v>2</v>
      </c>
    </row>
    <row r="158" spans="1:10" s="7" customFormat="1" x14ac:dyDescent="0.2">
      <c r="A158" s="5" t="s">
        <v>298</v>
      </c>
      <c r="B158" s="5" t="s">
        <v>299</v>
      </c>
      <c r="C158" s="5">
        <v>1173</v>
      </c>
      <c r="D158" s="5">
        <v>1173</v>
      </c>
      <c r="E158" s="6">
        <v>0.99</v>
      </c>
      <c r="F158" s="5">
        <v>0</v>
      </c>
      <c r="G158" s="5">
        <v>68.62</v>
      </c>
      <c r="H158" s="5">
        <v>809</v>
      </c>
      <c r="I158" s="5" t="str">
        <f>HYPERLINK("https://www.ncbi.nlm.nih.gov/protein/PZO15736.1?report=genbank&amp;log$=prottop&amp;blast_rank=194&amp;RID=7U875CNM013","PZO15736.1")</f>
        <v>PZO15736.1</v>
      </c>
      <c r="J158" s="5" t="s">
        <v>2</v>
      </c>
    </row>
    <row r="159" spans="1:10" s="7" customFormat="1" x14ac:dyDescent="0.2">
      <c r="A159" s="5" t="s">
        <v>300</v>
      </c>
      <c r="B159" s="5" t="s">
        <v>301</v>
      </c>
      <c r="C159" s="5">
        <v>1158</v>
      </c>
      <c r="D159" s="5">
        <v>1158</v>
      </c>
      <c r="E159" s="6">
        <v>0.98</v>
      </c>
      <c r="F159" s="5">
        <v>0</v>
      </c>
      <c r="G159" s="5">
        <v>68.61</v>
      </c>
      <c r="H159" s="5">
        <v>804</v>
      </c>
      <c r="I159" s="5" t="str">
        <f>HYPERLINK("https://www.ncbi.nlm.nih.gov/protein/PSN19061.1?report=genbank&amp;log$=prottop&amp;blast_rank=195&amp;RID=7U875CNM013","PSN19061.1")</f>
        <v>PSN19061.1</v>
      </c>
      <c r="J159" s="5" t="s">
        <v>2</v>
      </c>
    </row>
    <row r="160" spans="1:10" s="7" customFormat="1" x14ac:dyDescent="0.2">
      <c r="A160" s="5" t="s">
        <v>302</v>
      </c>
      <c r="B160" s="5" t="s">
        <v>303</v>
      </c>
      <c r="C160" s="5">
        <v>1068</v>
      </c>
      <c r="D160" s="5">
        <v>1068</v>
      </c>
      <c r="E160" s="6">
        <v>0.89</v>
      </c>
      <c r="F160" s="5">
        <v>0</v>
      </c>
      <c r="G160" s="5">
        <v>68.58</v>
      </c>
      <c r="H160" s="5">
        <v>713</v>
      </c>
      <c r="I160" s="5" t="str">
        <f>HYPERLINK("https://www.ncbi.nlm.nih.gov/protein/CCQ56501.1?report=genbank&amp;log$=prottop&amp;blast_rank=196&amp;RID=7U875CNM013","CCQ56501.1")</f>
        <v>CCQ56501.1</v>
      </c>
      <c r="J160" s="5" t="s">
        <v>2</v>
      </c>
    </row>
    <row r="161" spans="1:10" s="7" customFormat="1" x14ac:dyDescent="0.2">
      <c r="A161" s="5" t="s">
        <v>262</v>
      </c>
      <c r="B161" s="5" t="s">
        <v>263</v>
      </c>
      <c r="C161" s="5">
        <v>1181</v>
      </c>
      <c r="D161" s="5">
        <v>1181</v>
      </c>
      <c r="E161" s="6">
        <v>0.98</v>
      </c>
      <c r="F161" s="5">
        <v>0</v>
      </c>
      <c r="G161" s="5">
        <v>68.58</v>
      </c>
      <c r="H161" s="5">
        <v>813</v>
      </c>
      <c r="I161" s="26" t="str">
        <f>HYPERLINK("https://www.ncbi.nlm.nih.gov/protein/WP_102222334.1?report=genbank&amp;log$=prottop&amp;blast_rank=199&amp;RID=7U875CNM013","WP_102222334.1")</f>
        <v>WP_102222334.1</v>
      </c>
      <c r="J161" s="5" t="s">
        <v>2</v>
      </c>
    </row>
    <row r="162" spans="1:10" s="7" customFormat="1" x14ac:dyDescent="0.2">
      <c r="A162" s="5" t="s">
        <v>262</v>
      </c>
      <c r="B162" s="5" t="s">
        <v>263</v>
      </c>
      <c r="C162" s="5">
        <v>1181</v>
      </c>
      <c r="D162" s="5">
        <v>1181</v>
      </c>
      <c r="E162" s="6">
        <v>0.98</v>
      </c>
      <c r="F162" s="5">
        <v>0</v>
      </c>
      <c r="G162" s="5">
        <v>68.58</v>
      </c>
      <c r="H162" s="5">
        <v>813</v>
      </c>
      <c r="I162" s="5" t="str">
        <f>HYPERLINK("https://www.ncbi.nlm.nih.gov/protein/WP_102166180.1?report=genbank&amp;log$=prottop&amp;blast_rank=200&amp;RID=7U875CNM013","WP_102166180.1")</f>
        <v>WP_102166180.1</v>
      </c>
      <c r="J162" s="5" t="s">
        <v>2</v>
      </c>
    </row>
    <row r="163" spans="1:10" s="7" customFormat="1" x14ac:dyDescent="0.2">
      <c r="A163" s="5" t="s">
        <v>304</v>
      </c>
      <c r="B163" s="5" t="s">
        <v>305</v>
      </c>
      <c r="C163" s="5">
        <v>1181</v>
      </c>
      <c r="D163" s="5">
        <v>1181</v>
      </c>
      <c r="E163" s="6">
        <v>0.98</v>
      </c>
      <c r="F163" s="5">
        <v>0</v>
      </c>
      <c r="G163" s="5">
        <v>68.58</v>
      </c>
      <c r="H163" s="5">
        <v>813</v>
      </c>
      <c r="I163" s="5" t="str">
        <f>HYPERLINK("https://www.ncbi.nlm.nih.gov/protein/MBF2069463.1?report=genbank&amp;log$=prottop&amp;blast_rank=201&amp;RID=7U875CNM013","MBF2069463.1")</f>
        <v>MBF2069463.1</v>
      </c>
      <c r="J163" s="5" t="s">
        <v>2</v>
      </c>
    </row>
    <row r="164" spans="1:10" s="7" customFormat="1" x14ac:dyDescent="0.2">
      <c r="A164" s="5" t="s">
        <v>306</v>
      </c>
      <c r="B164" s="5" t="s">
        <v>307</v>
      </c>
      <c r="C164" s="5">
        <v>1181</v>
      </c>
      <c r="D164" s="5">
        <v>1181</v>
      </c>
      <c r="E164" s="6">
        <v>0.98</v>
      </c>
      <c r="F164" s="5">
        <v>0</v>
      </c>
      <c r="G164" s="5">
        <v>68.58</v>
      </c>
      <c r="H164" s="5">
        <v>813</v>
      </c>
      <c r="I164" s="5" t="str">
        <f>HYPERLINK("https://www.ncbi.nlm.nih.gov/protein/MBF1990508.1?report=genbank&amp;log$=prottop&amp;blast_rank=202&amp;RID=7U875CNM013","MBF1990508.1")</f>
        <v>MBF1990508.1</v>
      </c>
      <c r="J164" s="5" t="s">
        <v>2</v>
      </c>
    </row>
    <row r="165" spans="1:10" s="7" customFormat="1" x14ac:dyDescent="0.2">
      <c r="A165" s="5" t="s">
        <v>308</v>
      </c>
      <c r="B165" s="5" t="s">
        <v>309</v>
      </c>
      <c r="C165" s="5">
        <v>1181</v>
      </c>
      <c r="D165" s="5">
        <v>1181</v>
      </c>
      <c r="E165" s="6">
        <v>0.98</v>
      </c>
      <c r="F165" s="5">
        <v>0</v>
      </c>
      <c r="G165" s="5">
        <v>68.58</v>
      </c>
      <c r="H165" s="5">
        <v>813</v>
      </c>
      <c r="I165" s="5" t="str">
        <f>HYPERLINK("https://www.ncbi.nlm.nih.gov/protein/MBF2062705.1?report=genbank&amp;log$=prottop&amp;blast_rank=203&amp;RID=7U875CNM013","MBF2062705.1")</f>
        <v>MBF2062705.1</v>
      </c>
      <c r="J165" s="5" t="s">
        <v>2</v>
      </c>
    </row>
    <row r="166" spans="1:10" s="7" customFormat="1" x14ac:dyDescent="0.2">
      <c r="A166" s="5" t="s">
        <v>310</v>
      </c>
      <c r="B166" s="5" t="s">
        <v>311</v>
      </c>
      <c r="C166" s="5">
        <v>1178</v>
      </c>
      <c r="D166" s="5">
        <v>1178</v>
      </c>
      <c r="E166" s="6">
        <v>0.98</v>
      </c>
      <c r="F166" s="5">
        <v>0</v>
      </c>
      <c r="G166" s="5">
        <v>68.540000000000006</v>
      </c>
      <c r="H166" s="5">
        <v>812</v>
      </c>
      <c r="I166" s="5" t="str">
        <f>HYPERLINK("https://www.ncbi.nlm.nih.gov/protein/WP_190650777.1?report=genbank&amp;log$=prottop&amp;blast_rank=215&amp;RID=7U875CNM013","WP_190650777.1")</f>
        <v>WP_190650777.1</v>
      </c>
      <c r="J166" s="5" t="s">
        <v>2</v>
      </c>
    </row>
    <row r="167" spans="1:10" s="7" customFormat="1" x14ac:dyDescent="0.2">
      <c r="A167" s="5" t="s">
        <v>312</v>
      </c>
      <c r="B167" s="5" t="s">
        <v>313</v>
      </c>
      <c r="C167" s="5">
        <v>1176</v>
      </c>
      <c r="D167" s="5">
        <v>1176</v>
      </c>
      <c r="E167" s="6">
        <v>0.98</v>
      </c>
      <c r="F167" s="5">
        <v>0</v>
      </c>
      <c r="G167" s="5">
        <v>68.53</v>
      </c>
      <c r="H167" s="5">
        <v>802</v>
      </c>
      <c r="I167" s="5" t="str">
        <f>HYPERLINK("https://www.ncbi.nlm.nih.gov/protein/WP_119260129.1?report=genbank&amp;log$=prottop&amp;blast_rank=219&amp;RID=7U875CNM013","WP_119260129.1")</f>
        <v>WP_119260129.1</v>
      </c>
      <c r="J167" s="5" t="s">
        <v>2</v>
      </c>
    </row>
    <row r="168" spans="1:10" s="7" customFormat="1" x14ac:dyDescent="0.2">
      <c r="A168" s="5" t="s">
        <v>314</v>
      </c>
      <c r="B168" s="5" t="s">
        <v>315</v>
      </c>
      <c r="C168" s="5">
        <v>1134</v>
      </c>
      <c r="D168" s="5">
        <v>1134</v>
      </c>
      <c r="E168" s="6">
        <v>0.98</v>
      </c>
      <c r="F168" s="5">
        <v>0</v>
      </c>
      <c r="G168" s="5">
        <v>68.53</v>
      </c>
      <c r="H168" s="5">
        <v>799</v>
      </c>
      <c r="I168" s="5" t="str">
        <f>HYPERLINK("https://www.ncbi.nlm.nih.gov/protein/WP_193965503.1?report=genbank&amp;log$=prottop&amp;blast_rank=221&amp;RID=7U875CNM013","WP_193965503.1")</f>
        <v>WP_193965503.1</v>
      </c>
      <c r="J168" s="5" t="s">
        <v>2</v>
      </c>
    </row>
    <row r="169" spans="1:10" s="7" customFormat="1" x14ac:dyDescent="0.2">
      <c r="A169" s="5" t="s">
        <v>316</v>
      </c>
      <c r="B169" s="5" t="s">
        <v>317</v>
      </c>
      <c r="C169" s="5">
        <v>1154</v>
      </c>
      <c r="D169" s="5">
        <v>1154</v>
      </c>
      <c r="E169" s="6">
        <v>0.98</v>
      </c>
      <c r="F169" s="5">
        <v>0</v>
      </c>
      <c r="G169" s="5">
        <v>68.510000000000005</v>
      </c>
      <c r="H169" s="5">
        <v>798</v>
      </c>
      <c r="I169" s="5" t="str">
        <f>HYPERLINK("https://www.ncbi.nlm.nih.gov/protein/PZO54763.1?report=genbank&amp;log$=prottop&amp;blast_rank=222&amp;RID=7U875CNM013","PZO54763.1")</f>
        <v>PZO54763.1</v>
      </c>
      <c r="J169" s="5" t="s">
        <v>2</v>
      </c>
    </row>
    <row r="170" spans="1:10" s="7" customFormat="1" x14ac:dyDescent="0.2">
      <c r="A170" s="5" t="s">
        <v>262</v>
      </c>
      <c r="B170" s="5" t="s">
        <v>263</v>
      </c>
      <c r="C170" s="5">
        <v>1186</v>
      </c>
      <c r="D170" s="5">
        <v>1186</v>
      </c>
      <c r="E170" s="6">
        <v>0.99</v>
      </c>
      <c r="F170" s="5">
        <v>0</v>
      </c>
      <c r="G170" s="5">
        <v>68.48</v>
      </c>
      <c r="H170" s="5">
        <v>813</v>
      </c>
      <c r="I170" s="5" t="str">
        <f>HYPERLINK("https://www.ncbi.nlm.nih.gov/protein/WP_102175829.1?report=genbank&amp;log$=prottop&amp;blast_rank=4&amp;RID=7U875CNM013","WP_102175829.1")</f>
        <v>WP_102175829.1</v>
      </c>
      <c r="J170" s="5" t="s">
        <v>2</v>
      </c>
    </row>
    <row r="171" spans="1:10" s="7" customFormat="1" x14ac:dyDescent="0.2">
      <c r="A171" s="5" t="s">
        <v>318</v>
      </c>
      <c r="B171" s="5" t="s">
        <v>319</v>
      </c>
      <c r="C171" s="5">
        <v>1184</v>
      </c>
      <c r="D171" s="5">
        <v>1184</v>
      </c>
      <c r="E171" s="6">
        <v>0.99</v>
      </c>
      <c r="F171" s="5">
        <v>0</v>
      </c>
      <c r="G171" s="5">
        <v>68.48</v>
      </c>
      <c r="H171" s="5">
        <v>813</v>
      </c>
      <c r="I171" s="5" t="str">
        <f>HYPERLINK("https://www.ncbi.nlm.nih.gov/protein/PMB18695.1?report=genbank&amp;log$=prottop&amp;blast_rank=5&amp;RID=7U875CNM013","PMB18695.1")</f>
        <v>PMB18695.1</v>
      </c>
      <c r="J171" s="5" t="s">
        <v>2</v>
      </c>
    </row>
    <row r="172" spans="1:10" s="7" customFormat="1" x14ac:dyDescent="0.2">
      <c r="A172" s="5" t="s">
        <v>262</v>
      </c>
      <c r="B172" s="5" t="s">
        <v>263</v>
      </c>
      <c r="C172" s="5">
        <v>1178</v>
      </c>
      <c r="D172" s="5">
        <v>1178</v>
      </c>
      <c r="E172" s="6">
        <v>0.98</v>
      </c>
      <c r="F172" s="5">
        <v>0</v>
      </c>
      <c r="G172" s="5">
        <v>68.45</v>
      </c>
      <c r="H172" s="5">
        <v>813</v>
      </c>
      <c r="I172" s="5" t="str">
        <f>HYPERLINK("https://www.ncbi.nlm.nih.gov/protein/WP_102176741.1?report=genbank&amp;log$=prottop&amp;blast_rank=12&amp;RID=7U875CNM013","WP_102176741.1")</f>
        <v>WP_102176741.1</v>
      </c>
      <c r="J172" s="5" t="s">
        <v>2</v>
      </c>
    </row>
    <row r="173" spans="1:10" s="7" customFormat="1" x14ac:dyDescent="0.2">
      <c r="A173" s="5" t="s">
        <v>320</v>
      </c>
      <c r="B173" s="5" t="s">
        <v>321</v>
      </c>
      <c r="C173" s="5">
        <v>1169</v>
      </c>
      <c r="D173" s="5">
        <v>1169</v>
      </c>
      <c r="E173" s="6">
        <v>0.98</v>
      </c>
      <c r="F173" s="5">
        <v>0</v>
      </c>
      <c r="G173" s="5">
        <v>68.44</v>
      </c>
      <c r="H173" s="5">
        <v>802</v>
      </c>
      <c r="I173" s="5" t="str">
        <f>HYPERLINK("https://www.ncbi.nlm.nih.gov/protein/WP_096382072.1?report=genbank&amp;log$=prottop&amp;blast_rank=17&amp;RID=7U875CNM013","WP_096382072.1")</f>
        <v>WP_096382072.1</v>
      </c>
      <c r="J173" s="5" t="s">
        <v>2</v>
      </c>
    </row>
    <row r="174" spans="1:10" s="7" customFormat="1" x14ac:dyDescent="0.2">
      <c r="A174" s="5" t="s">
        <v>322</v>
      </c>
      <c r="B174" s="5" t="s">
        <v>323</v>
      </c>
      <c r="C174" s="5">
        <v>1160</v>
      </c>
      <c r="D174" s="5">
        <v>1160</v>
      </c>
      <c r="E174" s="6">
        <v>0.98</v>
      </c>
      <c r="F174" s="5">
        <v>0</v>
      </c>
      <c r="G174" s="5">
        <v>68.44</v>
      </c>
      <c r="H174" s="5">
        <v>802</v>
      </c>
      <c r="I174" s="5" t="str">
        <f>HYPERLINK("https://www.ncbi.nlm.nih.gov/protein/NER20478.1?report=genbank&amp;log$=prottop&amp;blast_rank=18&amp;RID=7U875CNM013","NER20478.1")</f>
        <v>NER20478.1</v>
      </c>
      <c r="J174" s="5" t="s">
        <v>2</v>
      </c>
    </row>
    <row r="175" spans="1:10" s="7" customFormat="1" x14ac:dyDescent="0.2">
      <c r="A175" s="5" t="s">
        <v>86</v>
      </c>
      <c r="B175" s="5" t="s">
        <v>87</v>
      </c>
      <c r="C175" s="5">
        <v>1160</v>
      </c>
      <c r="D175" s="5">
        <v>1160</v>
      </c>
      <c r="E175" s="6">
        <v>0.98</v>
      </c>
      <c r="F175" s="5">
        <v>0</v>
      </c>
      <c r="G175" s="5">
        <v>68.41</v>
      </c>
      <c r="H175" s="5">
        <v>811</v>
      </c>
      <c r="I175" s="5" t="str">
        <f>HYPERLINK("https://www.ncbi.nlm.nih.gov/protein/WP_035157267.1?report=genbank&amp;log$=prottop&amp;blast_rank=32&amp;RID=7U875CNM013","WP_035157267.1")</f>
        <v>WP_035157267.1</v>
      </c>
      <c r="J175" s="5" t="s">
        <v>2</v>
      </c>
    </row>
    <row r="176" spans="1:10" s="7" customFormat="1" x14ac:dyDescent="0.2">
      <c r="A176" s="5" t="s">
        <v>324</v>
      </c>
      <c r="B176" s="5" t="s">
        <v>325</v>
      </c>
      <c r="C176" s="5">
        <v>1142</v>
      </c>
      <c r="D176" s="5">
        <v>1142</v>
      </c>
      <c r="E176" s="6">
        <v>0.98</v>
      </c>
      <c r="F176" s="5">
        <v>0</v>
      </c>
      <c r="G176" s="5">
        <v>68.400000000000006</v>
      </c>
      <c r="H176" s="5">
        <v>799</v>
      </c>
      <c r="I176" s="5" t="str">
        <f>HYPERLINK("https://www.ncbi.nlm.nih.gov/protein/WP_190698668.1?report=genbank&amp;log$=prottop&amp;blast_rank=39&amp;RID=7U875CNM013","WP_190698668.1")</f>
        <v>WP_190698668.1</v>
      </c>
      <c r="J176" s="5" t="s">
        <v>2</v>
      </c>
    </row>
    <row r="177" spans="1:10" s="7" customFormat="1" x14ac:dyDescent="0.2">
      <c r="A177" s="5" t="s">
        <v>262</v>
      </c>
      <c r="B177" s="5" t="s">
        <v>263</v>
      </c>
      <c r="C177" s="5">
        <v>1186</v>
      </c>
      <c r="D177" s="5">
        <v>1186</v>
      </c>
      <c r="E177" s="6">
        <v>0.99</v>
      </c>
      <c r="F177" s="5">
        <v>0</v>
      </c>
      <c r="G177" s="5">
        <v>68.39</v>
      </c>
      <c r="H177" s="5">
        <v>813</v>
      </c>
      <c r="I177" s="5" t="str">
        <f>HYPERLINK("https://www.ncbi.nlm.nih.gov/protein/WP_102177672.1?report=genbank&amp;log$=prottop&amp;blast_rank=41&amp;RID=7U875CNM013","WP_102177672.1")</f>
        <v>WP_102177672.1</v>
      </c>
      <c r="J177" s="5" t="s">
        <v>2</v>
      </c>
    </row>
    <row r="178" spans="1:10" s="7" customFormat="1" x14ac:dyDescent="0.2">
      <c r="A178" s="5" t="s">
        <v>326</v>
      </c>
      <c r="B178" s="5" t="s">
        <v>327</v>
      </c>
      <c r="C178" s="5">
        <v>1154</v>
      </c>
      <c r="D178" s="5">
        <v>1154</v>
      </c>
      <c r="E178" s="6">
        <v>0.98</v>
      </c>
      <c r="F178" s="5">
        <v>0</v>
      </c>
      <c r="G178" s="5">
        <v>68.37</v>
      </c>
      <c r="H178" s="5">
        <v>812</v>
      </c>
      <c r="I178" s="5" t="str">
        <f>HYPERLINK("https://www.ncbi.nlm.nih.gov/protein/WP_206201095.1?report=genbank&amp;log$=prottop&amp;blast_rank=44&amp;RID=7U875CNM013","WP_206201095.1")</f>
        <v>WP_206201095.1</v>
      </c>
      <c r="J178" s="5" t="s">
        <v>2</v>
      </c>
    </row>
    <row r="179" spans="1:10" s="7" customFormat="1" x14ac:dyDescent="0.2">
      <c r="A179" s="5" t="s">
        <v>262</v>
      </c>
      <c r="B179" s="5" t="s">
        <v>263</v>
      </c>
      <c r="C179" s="5">
        <v>1182</v>
      </c>
      <c r="D179" s="5">
        <v>1182</v>
      </c>
      <c r="E179" s="6">
        <v>0.99</v>
      </c>
      <c r="F179" s="5">
        <v>0</v>
      </c>
      <c r="G179" s="5">
        <v>68.349999999999994</v>
      </c>
      <c r="H179" s="5">
        <v>813</v>
      </c>
      <c r="I179" s="5" t="str">
        <f>HYPERLINK("https://www.ncbi.nlm.nih.gov/protein/WP_102187469.1?report=genbank&amp;log$=prottop&amp;blast_rank=48&amp;RID=7U875CNM013","WP_102187469.1")</f>
        <v>WP_102187469.1</v>
      </c>
      <c r="J179" s="5" t="s">
        <v>2</v>
      </c>
    </row>
    <row r="180" spans="1:10" s="7" customFormat="1" x14ac:dyDescent="0.2">
      <c r="A180" s="5" t="s">
        <v>264</v>
      </c>
      <c r="B180" s="5" t="s">
        <v>265</v>
      </c>
      <c r="C180" s="5">
        <v>1137</v>
      </c>
      <c r="D180" s="5">
        <v>1137</v>
      </c>
      <c r="E180" s="6">
        <v>0.98</v>
      </c>
      <c r="F180" s="5">
        <v>0</v>
      </c>
      <c r="G180" s="5">
        <v>68.349999999999994</v>
      </c>
      <c r="H180" s="5">
        <v>802</v>
      </c>
      <c r="I180" s="5" t="str">
        <f>HYPERLINK("https://www.ncbi.nlm.nih.gov/protein/PSN09172.1?report=genbank&amp;log$=prottop&amp;blast_rank=49&amp;RID=7U875CNM013","PSN09172.1")</f>
        <v>PSN09172.1</v>
      </c>
      <c r="J180" s="5" t="s">
        <v>2</v>
      </c>
    </row>
    <row r="181" spans="1:10" s="7" customFormat="1" x14ac:dyDescent="0.2">
      <c r="A181" s="5" t="s">
        <v>314</v>
      </c>
      <c r="B181" s="5" t="s">
        <v>315</v>
      </c>
      <c r="C181" s="5">
        <v>1128</v>
      </c>
      <c r="D181" s="5">
        <v>1128</v>
      </c>
      <c r="E181" s="6">
        <v>0.98</v>
      </c>
      <c r="F181" s="5">
        <v>0</v>
      </c>
      <c r="G181" s="5">
        <v>68.349999999999994</v>
      </c>
      <c r="H181" s="5">
        <v>802</v>
      </c>
      <c r="I181" s="5" t="str">
        <f>HYPERLINK("https://www.ncbi.nlm.nih.gov/protein/WP_193967821.1?report=genbank&amp;log$=prottop&amp;blast_rank=50&amp;RID=7U875CNM013","WP_193967821.1")</f>
        <v>WP_193967821.1</v>
      </c>
      <c r="J181" s="5" t="s">
        <v>2</v>
      </c>
    </row>
    <row r="182" spans="1:10" s="7" customFormat="1" x14ac:dyDescent="0.2">
      <c r="A182" s="5" t="s">
        <v>243</v>
      </c>
      <c r="B182" s="5" t="s">
        <v>244</v>
      </c>
      <c r="C182" s="5">
        <v>1165</v>
      </c>
      <c r="D182" s="5">
        <v>1165</v>
      </c>
      <c r="E182" s="6">
        <v>0.99</v>
      </c>
      <c r="F182" s="5">
        <v>0</v>
      </c>
      <c r="G182" s="5">
        <v>68.34</v>
      </c>
      <c r="H182" s="5">
        <v>802</v>
      </c>
      <c r="I182" s="5" t="str">
        <f>HYPERLINK("https://www.ncbi.nlm.nih.gov/protein/MBE9044086.1?report=genbank&amp;log$=prottop&amp;blast_rank=51&amp;RID=7U875CNM013","MBE9044086.1")</f>
        <v>MBE9044086.1</v>
      </c>
      <c r="J182" s="5" t="s">
        <v>2</v>
      </c>
    </row>
    <row r="183" spans="1:10" s="7" customFormat="1" x14ac:dyDescent="0.2">
      <c r="A183" s="5" t="s">
        <v>328</v>
      </c>
      <c r="B183" s="5" t="s">
        <v>329</v>
      </c>
      <c r="C183" s="5">
        <v>1179</v>
      </c>
      <c r="D183" s="5">
        <v>1179</v>
      </c>
      <c r="E183" s="6">
        <v>0.98</v>
      </c>
      <c r="F183" s="5">
        <v>0</v>
      </c>
      <c r="G183" s="5">
        <v>68.319999999999993</v>
      </c>
      <c r="H183" s="5">
        <v>811</v>
      </c>
      <c r="I183" s="5" t="str">
        <f>HYPERLINK("https://www.ncbi.nlm.nih.gov/protein/HFM99960.1?report=genbank&amp;log$=prottop&amp;blast_rank=54&amp;RID=7U875CNM013","HFM99960.1")</f>
        <v>HFM99960.1</v>
      </c>
      <c r="J183" s="5" t="s">
        <v>2</v>
      </c>
    </row>
    <row r="184" spans="1:10" s="7" customFormat="1" x14ac:dyDescent="0.2">
      <c r="A184" s="5" t="s">
        <v>249</v>
      </c>
      <c r="B184" s="5" t="s">
        <v>250</v>
      </c>
      <c r="C184" s="5">
        <v>1177</v>
      </c>
      <c r="D184" s="5">
        <v>1177</v>
      </c>
      <c r="E184" s="6">
        <v>0.98</v>
      </c>
      <c r="F184" s="5">
        <v>0</v>
      </c>
      <c r="G184" s="5">
        <v>68.27</v>
      </c>
      <c r="H184" s="5">
        <v>802</v>
      </c>
      <c r="I184" s="5" t="str">
        <f>HYPERLINK("https://www.ncbi.nlm.nih.gov/protein/WP_009545231.1?report=genbank&amp;log$=prottop&amp;blast_rank=74&amp;RID=7U875CNM013","WP_009545231.1")</f>
        <v>WP_009545231.1</v>
      </c>
      <c r="J184" s="5" t="s">
        <v>2</v>
      </c>
    </row>
    <row r="185" spans="1:10" s="7" customFormat="1" x14ac:dyDescent="0.2">
      <c r="A185" s="5" t="s">
        <v>334</v>
      </c>
      <c r="B185" s="5" t="s">
        <v>335</v>
      </c>
      <c r="C185" s="5">
        <v>1175</v>
      </c>
      <c r="D185" s="5">
        <v>1175</v>
      </c>
      <c r="E185" s="6">
        <v>0.98</v>
      </c>
      <c r="F185" s="5">
        <v>0</v>
      </c>
      <c r="G185" s="5">
        <v>68.27</v>
      </c>
      <c r="H185" s="5">
        <v>802</v>
      </c>
      <c r="I185" s="26" t="str">
        <f>HYPERLINK("https://www.ncbi.nlm.nih.gov/protein/WP_107668111.1?report=genbank&amp;log$=prottop&amp;blast_rank=75&amp;RID=7U875CNM013","WP_107668111.1")</f>
        <v>WP_107668111.1</v>
      </c>
      <c r="J185" s="5" t="s">
        <v>2</v>
      </c>
    </row>
    <row r="186" spans="1:10" s="7" customFormat="1" x14ac:dyDescent="0.2">
      <c r="A186" s="5" t="s">
        <v>336</v>
      </c>
      <c r="B186" s="5" t="s">
        <v>337</v>
      </c>
      <c r="C186" s="5">
        <v>1152</v>
      </c>
      <c r="D186" s="5">
        <v>1152</v>
      </c>
      <c r="E186" s="6">
        <v>0.98</v>
      </c>
      <c r="F186" s="5">
        <v>0</v>
      </c>
      <c r="G186" s="5">
        <v>68.27</v>
      </c>
      <c r="H186" s="5">
        <v>805</v>
      </c>
      <c r="I186" s="5" t="str">
        <f>HYPERLINK("https://www.ncbi.nlm.nih.gov/protein/WP_206816367.1?report=genbank&amp;log$=prottop&amp;blast_rank=78&amp;RID=7U875CNM013","WP_206816367.1")</f>
        <v>WP_206816367.1</v>
      </c>
      <c r="J186" s="5" t="s">
        <v>2</v>
      </c>
    </row>
    <row r="187" spans="1:10" s="7" customFormat="1" x14ac:dyDescent="0.2">
      <c r="A187" s="5" t="s">
        <v>338</v>
      </c>
      <c r="B187" s="5" t="s">
        <v>339</v>
      </c>
      <c r="C187" s="5">
        <v>1151</v>
      </c>
      <c r="D187" s="5">
        <v>1151</v>
      </c>
      <c r="E187" s="6">
        <v>0.98</v>
      </c>
      <c r="F187" s="5">
        <v>0</v>
      </c>
      <c r="G187" s="5">
        <v>68.27</v>
      </c>
      <c r="H187" s="5">
        <v>804</v>
      </c>
      <c r="I187" s="5" t="str">
        <f>HYPERLINK("https://www.ncbi.nlm.nih.gov/protein/WP_009785202.1?report=genbank&amp;log$=prottop&amp;blast_rank=79&amp;RID=7U875CNM013","WP_009785202.1")</f>
        <v>WP_009785202.1</v>
      </c>
      <c r="J187" s="5" t="s">
        <v>2</v>
      </c>
    </row>
    <row r="188" spans="1:10" s="7" customFormat="1" x14ac:dyDescent="0.2">
      <c r="A188" s="5" t="s">
        <v>340</v>
      </c>
      <c r="B188" s="5" t="s">
        <v>341</v>
      </c>
      <c r="C188" s="5">
        <v>1147</v>
      </c>
      <c r="D188" s="5">
        <v>1147</v>
      </c>
      <c r="E188" s="6">
        <v>0.98</v>
      </c>
      <c r="F188" s="5">
        <v>0</v>
      </c>
      <c r="G188" s="5">
        <v>68.27</v>
      </c>
      <c r="H188" s="5">
        <v>805</v>
      </c>
      <c r="I188" s="5" t="str">
        <f>HYPERLINK("https://www.ncbi.nlm.nih.gov/protein/NJK37109.1?report=genbank&amp;log$=prottop&amp;blast_rank=80&amp;RID=7U875CNM013","NJK37109.1")</f>
        <v>NJK37109.1</v>
      </c>
      <c r="J188" s="5" t="s">
        <v>2</v>
      </c>
    </row>
    <row r="189" spans="1:10" s="7" customFormat="1" x14ac:dyDescent="0.2">
      <c r="A189" s="5" t="s">
        <v>342</v>
      </c>
      <c r="B189" s="5" t="s">
        <v>343</v>
      </c>
      <c r="C189" s="5">
        <v>1184</v>
      </c>
      <c r="D189" s="5">
        <v>1184</v>
      </c>
      <c r="E189" s="6">
        <v>0.99</v>
      </c>
      <c r="F189" s="5">
        <v>0</v>
      </c>
      <c r="G189" s="5">
        <v>68.260000000000005</v>
      </c>
      <c r="H189" s="5">
        <v>813</v>
      </c>
      <c r="I189" s="5" t="str">
        <f>HYPERLINK("https://www.ncbi.nlm.nih.gov/protein/WP_062247543.1?report=genbank&amp;log$=prottop&amp;blast_rank=81&amp;RID=7U875CNM013","WP_062247543.1")</f>
        <v>WP_062247543.1</v>
      </c>
      <c r="J189" s="5" t="s">
        <v>2</v>
      </c>
    </row>
    <row r="190" spans="1:10" s="7" customFormat="1" x14ac:dyDescent="0.2">
      <c r="A190" s="5" t="s">
        <v>262</v>
      </c>
      <c r="B190" s="5" t="s">
        <v>263</v>
      </c>
      <c r="C190" s="5">
        <v>1184</v>
      </c>
      <c r="D190" s="5">
        <v>1184</v>
      </c>
      <c r="E190" s="6">
        <v>0.99</v>
      </c>
      <c r="F190" s="5">
        <v>0</v>
      </c>
      <c r="G190" s="5">
        <v>68.260000000000005</v>
      </c>
      <c r="H190" s="5">
        <v>813</v>
      </c>
      <c r="I190" s="5" t="str">
        <f>HYPERLINK("https://www.ncbi.nlm.nih.gov/protein/WP_102152071.1?report=genbank&amp;log$=prottop&amp;blast_rank=82&amp;RID=7U875CNM013","WP_102152071.1")</f>
        <v>WP_102152071.1</v>
      </c>
      <c r="J190" s="5" t="s">
        <v>2</v>
      </c>
    </row>
    <row r="191" spans="1:10" s="7" customFormat="1" x14ac:dyDescent="0.2">
      <c r="A191" s="5" t="s">
        <v>262</v>
      </c>
      <c r="B191" s="5" t="s">
        <v>263</v>
      </c>
      <c r="C191" s="5">
        <v>1182</v>
      </c>
      <c r="D191" s="5">
        <v>1182</v>
      </c>
      <c r="E191" s="6">
        <v>0.99</v>
      </c>
      <c r="F191" s="5">
        <v>0</v>
      </c>
      <c r="G191" s="5">
        <v>68.260000000000005</v>
      </c>
      <c r="H191" s="5">
        <v>813</v>
      </c>
      <c r="I191" s="5" t="str">
        <f>HYPERLINK("https://www.ncbi.nlm.nih.gov/protein/WP_102174515.1?report=genbank&amp;log$=prottop&amp;blast_rank=83&amp;RID=7U875CNM013","WP_102174515.1")</f>
        <v>WP_102174515.1</v>
      </c>
      <c r="J191" s="5" t="s">
        <v>2</v>
      </c>
    </row>
    <row r="192" spans="1:10" s="7" customFormat="1" x14ac:dyDescent="0.2">
      <c r="A192" s="5" t="s">
        <v>262</v>
      </c>
      <c r="B192" s="5" t="s">
        <v>263</v>
      </c>
      <c r="C192" s="5">
        <v>1182</v>
      </c>
      <c r="D192" s="5">
        <v>1182</v>
      </c>
      <c r="E192" s="6">
        <v>0.99</v>
      </c>
      <c r="F192" s="5">
        <v>0</v>
      </c>
      <c r="G192" s="5">
        <v>68.260000000000005</v>
      </c>
      <c r="H192" s="5">
        <v>813</v>
      </c>
      <c r="I192" s="5" t="str">
        <f>HYPERLINK("https://www.ncbi.nlm.nih.gov/protein/WP_102183388.1?report=genbank&amp;log$=prottop&amp;blast_rank=84&amp;RID=7U875CNM013","WP_102183388.1")</f>
        <v>WP_102183388.1</v>
      </c>
      <c r="J192" s="5" t="s">
        <v>2</v>
      </c>
    </row>
    <row r="193" spans="1:10" s="7" customFormat="1" x14ac:dyDescent="0.2">
      <c r="A193" s="5" t="s">
        <v>344</v>
      </c>
      <c r="B193" s="5" t="s">
        <v>345</v>
      </c>
      <c r="C193" s="5">
        <v>1153</v>
      </c>
      <c r="D193" s="5">
        <v>1153</v>
      </c>
      <c r="E193" s="6">
        <v>0.98</v>
      </c>
      <c r="F193" s="5">
        <v>0</v>
      </c>
      <c r="G193" s="5">
        <v>68.239999999999995</v>
      </c>
      <c r="H193" s="5">
        <v>812</v>
      </c>
      <c r="I193" s="5" t="str">
        <f>HYPERLINK("https://www.ncbi.nlm.nih.gov/protein/WP_149820831.1?report=genbank&amp;log$=prottop&amp;blast_rank=85&amp;RID=7U875CNM013","WP_149820831.1")</f>
        <v>WP_149820831.1</v>
      </c>
      <c r="J193" s="5" t="s">
        <v>2</v>
      </c>
    </row>
    <row r="194" spans="1:10" s="7" customFormat="1" x14ac:dyDescent="0.2">
      <c r="A194" s="5" t="s">
        <v>346</v>
      </c>
      <c r="B194" s="5" t="s">
        <v>347</v>
      </c>
      <c r="C194" s="5">
        <v>1152</v>
      </c>
      <c r="D194" s="5">
        <v>1152</v>
      </c>
      <c r="E194" s="6">
        <v>0.98</v>
      </c>
      <c r="F194" s="5">
        <v>0</v>
      </c>
      <c r="G194" s="5">
        <v>68.239999999999995</v>
      </c>
      <c r="H194" s="5">
        <v>812</v>
      </c>
      <c r="I194" s="5" t="str">
        <f>HYPERLINK("https://www.ncbi.nlm.nih.gov/protein/HIK25493.1?report=genbank&amp;log$=prottop&amp;blast_rank=86&amp;RID=7U875CNM013","HIK25493.1")</f>
        <v>HIK25493.1</v>
      </c>
      <c r="J194" s="5" t="s">
        <v>2</v>
      </c>
    </row>
    <row r="195" spans="1:10" s="7" customFormat="1" x14ac:dyDescent="0.2">
      <c r="A195" s="5" t="s">
        <v>348</v>
      </c>
      <c r="B195" s="5" t="s">
        <v>349</v>
      </c>
      <c r="C195" s="5">
        <v>1182</v>
      </c>
      <c r="D195" s="5">
        <v>1182</v>
      </c>
      <c r="E195" s="6">
        <v>0.98</v>
      </c>
      <c r="F195" s="5">
        <v>0</v>
      </c>
      <c r="G195" s="5">
        <v>68.23</v>
      </c>
      <c r="H195" s="5">
        <v>804</v>
      </c>
      <c r="I195" s="5" t="str">
        <f>HYPERLINK("https://www.ncbi.nlm.nih.gov/protein/WP_026100870.1?report=genbank&amp;log$=prottop&amp;blast_rank=89&amp;RID=7U875CNM013","WP_026100870.1")</f>
        <v>WP_026100870.1</v>
      </c>
      <c r="J195" s="5" t="s">
        <v>2</v>
      </c>
    </row>
    <row r="196" spans="1:10" s="7" customFormat="1" x14ac:dyDescent="0.2">
      <c r="A196" s="5" t="s">
        <v>350</v>
      </c>
      <c r="B196" s="5" t="s">
        <v>351</v>
      </c>
      <c r="C196" s="5">
        <v>1160</v>
      </c>
      <c r="D196" s="5">
        <v>1160</v>
      </c>
      <c r="E196" s="6">
        <v>0.98</v>
      </c>
      <c r="F196" s="5">
        <v>0</v>
      </c>
      <c r="G196" s="5">
        <v>68.23</v>
      </c>
      <c r="H196" s="5">
        <v>804</v>
      </c>
      <c r="I196" s="5" t="str">
        <f>HYPERLINK("https://www.ncbi.nlm.nih.gov/protein/MBE9101751.1?report=genbank&amp;log$=prottop&amp;blast_rank=90&amp;RID=7U875CNM013","MBE9101751.1")</f>
        <v>MBE9101751.1</v>
      </c>
      <c r="J196" s="5" t="s">
        <v>2</v>
      </c>
    </row>
    <row r="197" spans="1:10" s="7" customFormat="1" x14ac:dyDescent="0.2">
      <c r="A197" s="5" t="s">
        <v>352</v>
      </c>
      <c r="B197" s="5" t="s">
        <v>353</v>
      </c>
      <c r="C197" s="5">
        <v>1183</v>
      </c>
      <c r="D197" s="5">
        <v>1183</v>
      </c>
      <c r="E197" s="6">
        <v>0.99</v>
      </c>
      <c r="F197" s="5">
        <v>0</v>
      </c>
      <c r="G197" s="5">
        <v>68.209999999999994</v>
      </c>
      <c r="H197" s="5">
        <v>802</v>
      </c>
      <c r="I197" s="5" t="str">
        <f>HYPERLINK("https://www.ncbi.nlm.nih.gov/protein/WP_144867395.1?report=genbank&amp;log$=prottop&amp;blast_rank=91&amp;RID=7U875CNM013","WP_144867395.1")</f>
        <v>WP_144867395.1</v>
      </c>
      <c r="J197" s="5" t="s">
        <v>2</v>
      </c>
    </row>
    <row r="198" spans="1:10" s="7" customFormat="1" x14ac:dyDescent="0.2">
      <c r="A198" s="5" t="s">
        <v>354</v>
      </c>
      <c r="B198" s="5" t="s">
        <v>355</v>
      </c>
      <c r="C198" s="5">
        <v>1169</v>
      </c>
      <c r="D198" s="5">
        <v>1169</v>
      </c>
      <c r="E198" s="6">
        <v>0.98</v>
      </c>
      <c r="F198" s="5">
        <v>0</v>
      </c>
      <c r="G198" s="5">
        <v>68.19</v>
      </c>
      <c r="H198" s="5">
        <v>813</v>
      </c>
      <c r="I198" s="5" t="str">
        <f>HYPERLINK("https://www.ncbi.nlm.nih.gov/protein/WP_026733347.1?report=genbank&amp;log$=prottop&amp;blast_rank=93&amp;RID=7U875CNM013","WP_026733347.1")</f>
        <v>WP_026733347.1</v>
      </c>
      <c r="J198" s="5" t="s">
        <v>2</v>
      </c>
    </row>
    <row r="199" spans="1:10" s="7" customFormat="1" x14ac:dyDescent="0.2">
      <c r="A199" s="5" t="s">
        <v>359</v>
      </c>
      <c r="B199" s="5" t="s">
        <v>358</v>
      </c>
      <c r="C199" s="5">
        <v>1128</v>
      </c>
      <c r="D199" s="5">
        <v>1128</v>
      </c>
      <c r="E199" s="6">
        <v>0.98</v>
      </c>
      <c r="F199" s="5">
        <v>0</v>
      </c>
      <c r="G199" s="5">
        <v>68.19</v>
      </c>
      <c r="H199" s="5">
        <v>799</v>
      </c>
      <c r="I199" s="5" t="str">
        <f>HYPERLINK("https://www.ncbi.nlm.nih.gov/protein/WP_017297268.1?report=genbank&amp;log$=prottop&amp;blast_rank=95&amp;RID=7U875CNM013","WP_017297268.1")</f>
        <v>WP_017297268.1</v>
      </c>
      <c r="J199" s="5" t="s">
        <v>2</v>
      </c>
    </row>
    <row r="200" spans="1:10" s="7" customFormat="1" x14ac:dyDescent="0.2">
      <c r="A200" s="5" t="s">
        <v>357</v>
      </c>
      <c r="B200" s="5" t="s">
        <v>356</v>
      </c>
      <c r="C200" s="5">
        <v>1159</v>
      </c>
      <c r="D200" s="5">
        <v>1159</v>
      </c>
      <c r="E200" s="6">
        <v>0.98</v>
      </c>
      <c r="F200" s="5">
        <v>0</v>
      </c>
      <c r="G200" s="5">
        <v>68.19</v>
      </c>
      <c r="H200" s="5">
        <v>802</v>
      </c>
      <c r="I200" s="5" t="str">
        <f>HYPERLINK("https://www.ncbi.nlm.nih.gov/protein/NER47098.1?report=genbank&amp;log$=prottop&amp;blast_rank=96&amp;RID=7U875CNM013","NER47098.1")</f>
        <v>NER47098.1</v>
      </c>
      <c r="J200" s="5" t="s">
        <v>2</v>
      </c>
    </row>
    <row r="201" spans="1:10" s="7" customFormat="1" x14ac:dyDescent="0.2">
      <c r="A201" s="5" t="s">
        <v>360</v>
      </c>
      <c r="B201" s="5" t="s">
        <v>361</v>
      </c>
      <c r="C201" s="5">
        <v>1144</v>
      </c>
      <c r="D201" s="5">
        <v>1144</v>
      </c>
      <c r="E201" s="6">
        <v>0.98</v>
      </c>
      <c r="F201" s="5">
        <v>0</v>
      </c>
      <c r="G201" s="5">
        <v>68.17</v>
      </c>
      <c r="H201" s="5">
        <v>799</v>
      </c>
      <c r="I201" s="5" t="str">
        <f>HYPERLINK("https://www.ncbi.nlm.nih.gov/protein/WP_190499935.1?report=genbank&amp;log$=prottop&amp;blast_rank=103&amp;RID=7U875CNM013","WP_190499935.1")</f>
        <v>WP_190499935.1</v>
      </c>
      <c r="J201" s="5" t="s">
        <v>2</v>
      </c>
    </row>
    <row r="202" spans="1:10" s="7" customFormat="1" x14ac:dyDescent="0.2">
      <c r="A202" s="5" t="s">
        <v>362</v>
      </c>
      <c r="B202" s="5" t="s">
        <v>363</v>
      </c>
      <c r="C202" s="5">
        <v>1177</v>
      </c>
      <c r="D202" s="5">
        <v>1177</v>
      </c>
      <c r="E202" s="6">
        <v>0.98</v>
      </c>
      <c r="F202" s="5">
        <v>0</v>
      </c>
      <c r="G202" s="5">
        <v>68.150000000000006</v>
      </c>
      <c r="H202" s="5">
        <v>802</v>
      </c>
      <c r="I202" s="5" t="str">
        <f>HYPERLINK("https://www.ncbi.nlm.nih.gov/protein/WP_048323214.1?report=genbank&amp;log$=prottop&amp;blast_rank=105&amp;RID=7U875CNM013","WP_048323214.1")</f>
        <v>WP_048323214.1</v>
      </c>
      <c r="J202" s="5" t="s">
        <v>2</v>
      </c>
    </row>
    <row r="203" spans="1:10" s="7" customFormat="1" x14ac:dyDescent="0.2">
      <c r="A203" s="5" t="s">
        <v>364</v>
      </c>
      <c r="B203" s="5" t="s">
        <v>365</v>
      </c>
      <c r="C203" s="5">
        <v>1125</v>
      </c>
      <c r="D203" s="5">
        <v>1125</v>
      </c>
      <c r="E203" s="6">
        <v>0.98</v>
      </c>
      <c r="F203" s="5">
        <v>0</v>
      </c>
      <c r="G203" s="5">
        <v>68.150000000000006</v>
      </c>
      <c r="H203" s="5">
        <v>799</v>
      </c>
      <c r="I203" s="5" t="str">
        <f>HYPERLINK("https://www.ncbi.nlm.nih.gov/protein/TVP68711.1?report=genbank&amp;log$=prottop&amp;blast_rank=107&amp;RID=7U875CNM013","TVP68711.1")</f>
        <v>TVP68711.1</v>
      </c>
      <c r="J203" s="5" t="s">
        <v>2</v>
      </c>
    </row>
    <row r="204" spans="1:10" s="7" customFormat="1" x14ac:dyDescent="0.2">
      <c r="A204" s="5" t="s">
        <v>366</v>
      </c>
      <c r="B204" s="5" t="s">
        <v>367</v>
      </c>
      <c r="C204" s="5">
        <v>1125</v>
      </c>
      <c r="D204" s="5">
        <v>1125</v>
      </c>
      <c r="E204" s="6">
        <v>0.98</v>
      </c>
      <c r="F204" s="5">
        <v>0</v>
      </c>
      <c r="G204" s="5">
        <v>68.14</v>
      </c>
      <c r="H204" s="5">
        <v>805</v>
      </c>
      <c r="I204" s="5" t="str">
        <f>HYPERLINK("https://www.ncbi.nlm.nih.gov/protein/WP_006513631.1?report=genbank&amp;log$=prottop&amp;blast_rank=108&amp;RID=7U875CNM013","WP_006513631.1")</f>
        <v>WP_006513631.1</v>
      </c>
      <c r="J204" s="5" t="s">
        <v>2</v>
      </c>
    </row>
    <row r="205" spans="1:10" s="7" customFormat="1" x14ac:dyDescent="0.2">
      <c r="A205" s="5" t="s">
        <v>368</v>
      </c>
      <c r="B205" s="5" t="s">
        <v>369</v>
      </c>
      <c r="C205" s="5">
        <v>1193</v>
      </c>
      <c r="D205" s="5">
        <v>1193</v>
      </c>
      <c r="E205" s="6">
        <v>0.99</v>
      </c>
      <c r="F205" s="5">
        <v>0</v>
      </c>
      <c r="G205" s="5">
        <v>68.14</v>
      </c>
      <c r="H205" s="5">
        <v>811</v>
      </c>
      <c r="I205" s="5" t="str">
        <f>HYPERLINK("https://www.ncbi.nlm.nih.gov/protein/WP_193881192.1?report=genbank&amp;log$=prottop&amp;blast_rank=109&amp;RID=7U875CNM013","WP_193881192.1")</f>
        <v>WP_193881192.1</v>
      </c>
      <c r="J205" s="5" t="s">
        <v>2</v>
      </c>
    </row>
    <row r="206" spans="1:10" s="7" customFormat="1" x14ac:dyDescent="0.2">
      <c r="A206" s="5" t="s">
        <v>370</v>
      </c>
      <c r="B206" s="5" t="s">
        <v>371</v>
      </c>
      <c r="C206" s="5">
        <v>1169</v>
      </c>
      <c r="D206" s="5">
        <v>1169</v>
      </c>
      <c r="E206" s="6">
        <v>0.98</v>
      </c>
      <c r="F206" s="5">
        <v>0</v>
      </c>
      <c r="G206" s="5">
        <v>68.11</v>
      </c>
      <c r="H206" s="5">
        <v>811</v>
      </c>
      <c r="I206" s="5" t="str">
        <f>HYPERLINK("https://www.ncbi.nlm.nih.gov/protein/MBI4781573.1?report=genbank&amp;log$=prottop&amp;blast_rank=114&amp;RID=7U875CNM013","MBI4781573.1")</f>
        <v>MBI4781573.1</v>
      </c>
      <c r="J206" s="5" t="s">
        <v>2</v>
      </c>
    </row>
    <row r="207" spans="1:10" s="7" customFormat="1" x14ac:dyDescent="0.2">
      <c r="A207" s="5" t="s">
        <v>372</v>
      </c>
      <c r="B207" s="5" t="s">
        <v>373</v>
      </c>
      <c r="C207" s="5">
        <v>1153</v>
      </c>
      <c r="D207" s="5">
        <v>1153</v>
      </c>
      <c r="E207" s="6">
        <v>0.98</v>
      </c>
      <c r="F207" s="5">
        <v>0</v>
      </c>
      <c r="G207" s="5">
        <v>68.11</v>
      </c>
      <c r="H207" s="5">
        <v>805</v>
      </c>
      <c r="I207" s="5" t="str">
        <f>HYPERLINK("https://www.ncbi.nlm.nih.gov/protein/WP_194019682.1?report=genbank&amp;log$=prottop&amp;blast_rank=115&amp;RID=7U875CNM013","WP_194019682.1")</f>
        <v>WP_194019682.1</v>
      </c>
      <c r="J207" s="5" t="s">
        <v>2</v>
      </c>
    </row>
    <row r="208" spans="1:10" s="7" customFormat="1" x14ac:dyDescent="0.2">
      <c r="A208" s="5" t="s">
        <v>374</v>
      </c>
      <c r="B208" s="5" t="s">
        <v>375</v>
      </c>
      <c r="C208" s="5">
        <v>1149</v>
      </c>
      <c r="D208" s="5">
        <v>1149</v>
      </c>
      <c r="E208" s="6">
        <v>0.98</v>
      </c>
      <c r="F208" s="5">
        <v>0</v>
      </c>
      <c r="G208" s="5">
        <v>68.11</v>
      </c>
      <c r="H208" s="5">
        <v>805</v>
      </c>
      <c r="I208" s="5" t="str">
        <f>HYPERLINK("https://www.ncbi.nlm.nih.gov/protein/WP_028947210.1?report=genbank&amp;log$=prottop&amp;blast_rank=116&amp;RID=7U875CNM013","WP_028947210.1")</f>
        <v>WP_028947210.1</v>
      </c>
      <c r="J208" s="5" t="s">
        <v>2</v>
      </c>
    </row>
    <row r="209" spans="1:10" s="7" customFormat="1" x14ac:dyDescent="0.2">
      <c r="A209" s="5" t="s">
        <v>376</v>
      </c>
      <c r="B209" s="5" t="s">
        <v>377</v>
      </c>
      <c r="C209" s="5">
        <v>1152</v>
      </c>
      <c r="D209" s="5">
        <v>1152</v>
      </c>
      <c r="E209" s="6">
        <v>0.98</v>
      </c>
      <c r="F209" s="5">
        <v>0</v>
      </c>
      <c r="G209" s="5">
        <v>68.06</v>
      </c>
      <c r="H209" s="5">
        <v>802</v>
      </c>
      <c r="I209" s="5" t="str">
        <f>HYPERLINK("https://www.ncbi.nlm.nih.gov/protein/NER98342.1?report=genbank&amp;log$=prottop&amp;blast_rank=128&amp;RID=7U875CNM013","NER98342.1")</f>
        <v>NER98342.1</v>
      </c>
      <c r="J209" s="5" t="s">
        <v>2</v>
      </c>
    </row>
    <row r="210" spans="1:10" s="7" customFormat="1" x14ac:dyDescent="0.2">
      <c r="A210" s="5" t="s">
        <v>378</v>
      </c>
      <c r="B210" s="5" t="s">
        <v>379</v>
      </c>
      <c r="C210" s="5">
        <v>1159</v>
      </c>
      <c r="D210" s="5">
        <v>1159</v>
      </c>
      <c r="E210" s="6">
        <v>0.98</v>
      </c>
      <c r="F210" s="5">
        <v>0</v>
      </c>
      <c r="G210" s="5">
        <v>68.03</v>
      </c>
      <c r="H210" s="5">
        <v>807</v>
      </c>
      <c r="I210" s="5" t="str">
        <f>HYPERLINK("https://www.ncbi.nlm.nih.gov/protein/WP_015168812.1?report=genbank&amp;log$=prottop&amp;blast_rank=135&amp;RID=7U875CNM013","WP_015168812.1")</f>
        <v>WP_015168812.1</v>
      </c>
      <c r="J210" s="5" t="s">
        <v>2</v>
      </c>
    </row>
    <row r="211" spans="1:10" s="7" customFormat="1" x14ac:dyDescent="0.2">
      <c r="A211" s="5" t="s">
        <v>380</v>
      </c>
      <c r="B211" s="5" t="s">
        <v>381</v>
      </c>
      <c r="C211" s="5">
        <v>1166</v>
      </c>
      <c r="D211" s="5">
        <v>1166</v>
      </c>
      <c r="E211" s="6">
        <v>0.98</v>
      </c>
      <c r="F211" s="5">
        <v>0</v>
      </c>
      <c r="G211" s="5">
        <v>68.03</v>
      </c>
      <c r="H211" s="5">
        <v>825</v>
      </c>
      <c r="I211" s="5" t="str">
        <f>HYPERLINK("https://www.ncbi.nlm.nih.gov/protein/WP_190453336.1?report=genbank&amp;log$=prottop&amp;blast_rank=137&amp;RID=7U875CNM013","WP_190453336.1")</f>
        <v>WP_190453336.1</v>
      </c>
      <c r="J211" s="5" t="s">
        <v>2</v>
      </c>
    </row>
    <row r="212" spans="1:10" s="7" customFormat="1" x14ac:dyDescent="0.2">
      <c r="A212" s="5" t="s">
        <v>382</v>
      </c>
      <c r="B212" s="5" t="s">
        <v>383</v>
      </c>
      <c r="C212" s="5">
        <v>1165</v>
      </c>
      <c r="D212" s="5">
        <v>1165</v>
      </c>
      <c r="E212" s="6">
        <v>0.98</v>
      </c>
      <c r="F212" s="5">
        <v>0</v>
      </c>
      <c r="G212" s="5">
        <v>68.03</v>
      </c>
      <c r="H212" s="5">
        <v>825</v>
      </c>
      <c r="I212" s="5" t="str">
        <f>HYPERLINK("https://www.ncbi.nlm.nih.gov/protein/WP_190512573.1?report=genbank&amp;log$=prottop&amp;blast_rank=138&amp;RID=7U875CNM013","WP_190512573.1")</f>
        <v>WP_190512573.1</v>
      </c>
      <c r="J212" s="5" t="s">
        <v>2</v>
      </c>
    </row>
    <row r="213" spans="1:10" s="7" customFormat="1" x14ac:dyDescent="0.2">
      <c r="A213" s="5" t="s">
        <v>385</v>
      </c>
      <c r="B213" s="5" t="s">
        <v>384</v>
      </c>
      <c r="C213" s="5">
        <v>1157</v>
      </c>
      <c r="D213" s="5">
        <v>1157</v>
      </c>
      <c r="E213" s="6">
        <v>0.98</v>
      </c>
      <c r="F213" s="5">
        <v>0</v>
      </c>
      <c r="G213" s="5">
        <v>68.02</v>
      </c>
      <c r="H213" s="5">
        <v>802</v>
      </c>
      <c r="I213" s="5" t="str">
        <f>HYPERLINK("https://www.ncbi.nlm.nih.gov/protein/NMN44410.1?report=genbank&amp;log$=prottop&amp;blast_rank=142&amp;RID=7U875CNM013","NMN44410.1")</f>
        <v>NMN44410.1</v>
      </c>
      <c r="J213" s="5" t="s">
        <v>2</v>
      </c>
    </row>
    <row r="214" spans="1:10" s="7" customFormat="1" x14ac:dyDescent="0.2">
      <c r="A214" s="5" t="s">
        <v>386</v>
      </c>
      <c r="B214" s="5" t="s">
        <v>387</v>
      </c>
      <c r="C214" s="5">
        <v>1153</v>
      </c>
      <c r="D214" s="5">
        <v>1153</v>
      </c>
      <c r="E214" s="6">
        <v>0.98</v>
      </c>
      <c r="F214" s="5">
        <v>0</v>
      </c>
      <c r="G214" s="5">
        <v>67.98</v>
      </c>
      <c r="H214" s="5">
        <v>812</v>
      </c>
      <c r="I214" s="5" t="str">
        <f>HYPERLINK("https://www.ncbi.nlm.nih.gov/protein/WP_181495637.1?report=genbank&amp;log$=prottop&amp;blast_rank=150&amp;RID=7U875CNM013","WP_181495637.1")</f>
        <v>WP_181495637.1</v>
      </c>
      <c r="J214" s="5" t="s">
        <v>2</v>
      </c>
    </row>
    <row r="215" spans="1:10" s="7" customFormat="1" x14ac:dyDescent="0.2">
      <c r="A215" s="5" t="s">
        <v>388</v>
      </c>
      <c r="B215" s="5" t="s">
        <v>389</v>
      </c>
      <c r="C215" s="5">
        <v>1150</v>
      </c>
      <c r="D215" s="5">
        <v>1150</v>
      </c>
      <c r="E215" s="6">
        <v>0.98</v>
      </c>
      <c r="F215" s="5">
        <v>0</v>
      </c>
      <c r="G215" s="5">
        <v>67.98</v>
      </c>
      <c r="H215" s="5">
        <v>813</v>
      </c>
      <c r="I215" s="5" t="str">
        <f>HYPERLINK("https://www.ncbi.nlm.nih.gov/protein/WP_015124360.1?report=genbank&amp;log$=prottop&amp;blast_rank=151&amp;RID=7U875CNM013","WP_015124360.1")</f>
        <v>WP_015124360.1</v>
      </c>
      <c r="J215" s="5" t="s">
        <v>2</v>
      </c>
    </row>
    <row r="216" spans="1:10" s="7" customFormat="1" x14ac:dyDescent="0.2">
      <c r="A216" s="5" t="s">
        <v>390</v>
      </c>
      <c r="B216" s="5" t="s">
        <v>391</v>
      </c>
      <c r="C216" s="5">
        <v>1160</v>
      </c>
      <c r="D216" s="5">
        <v>1160</v>
      </c>
      <c r="E216" s="6">
        <v>0.98</v>
      </c>
      <c r="F216" s="5">
        <v>0</v>
      </c>
      <c r="G216" s="5">
        <v>67.98</v>
      </c>
      <c r="H216" s="5">
        <v>808</v>
      </c>
      <c r="I216" s="5" t="str">
        <f>HYPERLINK("https://www.ncbi.nlm.nih.gov/protein/WP_190773209.1?report=genbank&amp;log$=prottop&amp;blast_rank=153&amp;RID=7U875CNM013","WP_190773209.1")</f>
        <v>WP_190773209.1</v>
      </c>
      <c r="J216" s="5" t="s">
        <v>2</v>
      </c>
    </row>
    <row r="217" spans="1:10" s="7" customFormat="1" x14ac:dyDescent="0.2">
      <c r="A217" s="5" t="s">
        <v>392</v>
      </c>
      <c r="B217" s="5" t="s">
        <v>393</v>
      </c>
      <c r="C217" s="5">
        <v>1126</v>
      </c>
      <c r="D217" s="5">
        <v>1126</v>
      </c>
      <c r="E217" s="6">
        <v>0.98</v>
      </c>
      <c r="F217" s="5">
        <v>0</v>
      </c>
      <c r="G217" s="5">
        <v>67.97</v>
      </c>
      <c r="H217" s="5">
        <v>807</v>
      </c>
      <c r="I217" s="5" t="str">
        <f>HYPERLINK("https://www.ncbi.nlm.nih.gov/protein/NEP59871.1?report=genbank&amp;log$=prottop&amp;blast_rank=154&amp;RID=7U875CNM013","NEP59871.1")</f>
        <v>NEP59871.1</v>
      </c>
      <c r="J217" s="5" t="s">
        <v>2</v>
      </c>
    </row>
    <row r="218" spans="1:10" s="7" customFormat="1" x14ac:dyDescent="0.2">
      <c r="A218" s="5" t="s">
        <v>394</v>
      </c>
      <c r="B218" s="5" t="s">
        <v>395</v>
      </c>
      <c r="C218" s="5">
        <v>1169</v>
      </c>
      <c r="D218" s="5">
        <v>1169</v>
      </c>
      <c r="E218" s="6">
        <v>0.98</v>
      </c>
      <c r="F218" s="5">
        <v>0</v>
      </c>
      <c r="G218" s="5">
        <v>67.94</v>
      </c>
      <c r="H218" s="5">
        <v>813</v>
      </c>
      <c r="I218" s="5" t="str">
        <f>HYPERLINK("https://www.ncbi.nlm.nih.gov/protein/WP_053458641.1?report=genbank&amp;log$=prottop&amp;blast_rank=157&amp;RID=7U875CNM013","WP_053458641.1")</f>
        <v>WP_053458641.1</v>
      </c>
      <c r="J218" s="5" t="s">
        <v>2</v>
      </c>
    </row>
    <row r="219" spans="1:10" s="7" customFormat="1" x14ac:dyDescent="0.2">
      <c r="A219" s="5" t="s">
        <v>396</v>
      </c>
      <c r="B219" s="5" t="s">
        <v>397</v>
      </c>
      <c r="C219" s="5">
        <v>1165</v>
      </c>
      <c r="D219" s="5">
        <v>1165</v>
      </c>
      <c r="E219" s="6">
        <v>0.98</v>
      </c>
      <c r="F219" s="5">
        <v>0</v>
      </c>
      <c r="G219" s="5">
        <v>67.94</v>
      </c>
      <c r="H219" s="5">
        <v>813</v>
      </c>
      <c r="I219" s="5" t="str">
        <f>HYPERLINK("https://www.ncbi.nlm.nih.gov/protein/NWF59600.1?report=genbank&amp;log$=prottop&amp;blast_rank=158&amp;RID=7U875CNM013","NWF59600.1")</f>
        <v>NWF59600.1</v>
      </c>
      <c r="J219" s="5" t="s">
        <v>2</v>
      </c>
    </row>
    <row r="220" spans="1:10" s="7" customFormat="1" x14ac:dyDescent="0.2">
      <c r="A220" s="5" t="s">
        <v>398</v>
      </c>
      <c r="B220" s="5" t="s">
        <v>399</v>
      </c>
      <c r="C220" s="5">
        <v>1137</v>
      </c>
      <c r="D220" s="5">
        <v>1137</v>
      </c>
      <c r="E220" s="6">
        <v>0.98</v>
      </c>
      <c r="F220" s="5">
        <v>0</v>
      </c>
      <c r="G220" s="5">
        <v>67.89</v>
      </c>
      <c r="H220" s="5">
        <v>802</v>
      </c>
      <c r="I220" s="5" t="str">
        <f>HYPERLINK("https://www.ncbi.nlm.nih.gov/protein/MBG0744352.1?report=genbank&amp;log$=prottop&amp;blast_rank=167&amp;RID=7U875CNM013","MBG0744352.1")</f>
        <v>MBG0744352.1</v>
      </c>
      <c r="J220" s="5" t="s">
        <v>2</v>
      </c>
    </row>
    <row r="221" spans="1:10" s="7" customFormat="1" x14ac:dyDescent="0.2">
      <c r="A221" s="5" t="s">
        <v>300</v>
      </c>
      <c r="B221" s="5" t="s">
        <v>301</v>
      </c>
      <c r="C221" s="5">
        <v>1132</v>
      </c>
      <c r="D221" s="5">
        <v>1132</v>
      </c>
      <c r="E221" s="6">
        <v>0.98</v>
      </c>
      <c r="F221" s="5">
        <v>0</v>
      </c>
      <c r="G221" s="5">
        <v>67.89</v>
      </c>
      <c r="H221" s="5">
        <v>794</v>
      </c>
      <c r="I221" s="5" t="str">
        <f>HYPERLINK("https://www.ncbi.nlm.nih.gov/protein/PSN19905.1?report=genbank&amp;log$=prottop&amp;blast_rank=168&amp;RID=7U875CNM013","PSN19905.1")</f>
        <v>PSN19905.1</v>
      </c>
      <c r="J221" s="5" t="s">
        <v>2</v>
      </c>
    </row>
    <row r="222" spans="1:10" s="7" customFormat="1" x14ac:dyDescent="0.2">
      <c r="A222" s="5" t="s">
        <v>400</v>
      </c>
      <c r="B222" s="5" t="s">
        <v>401</v>
      </c>
      <c r="C222" s="5">
        <v>1132</v>
      </c>
      <c r="D222" s="5">
        <v>1132</v>
      </c>
      <c r="E222" s="6">
        <v>0.97</v>
      </c>
      <c r="F222" s="5">
        <v>0</v>
      </c>
      <c r="G222" s="5">
        <v>67.89</v>
      </c>
      <c r="H222" s="5">
        <v>790</v>
      </c>
      <c r="I222" s="5" t="str">
        <f>HYPERLINK("https://www.ncbi.nlm.nih.gov/protein/TRT77061.1?report=genbank&amp;log$=prottop&amp;blast_rank=169&amp;RID=7U875CNM013","TRT77061.1")</f>
        <v>TRT77061.1</v>
      </c>
      <c r="J222" s="5" t="s">
        <v>2</v>
      </c>
    </row>
    <row r="223" spans="1:10" s="7" customFormat="1" x14ac:dyDescent="0.2">
      <c r="A223" s="5" t="s">
        <v>402</v>
      </c>
      <c r="B223" s="5" t="s">
        <v>403</v>
      </c>
      <c r="C223" s="5">
        <v>1125</v>
      </c>
      <c r="D223" s="5">
        <v>1125</v>
      </c>
      <c r="E223" s="6">
        <v>0.98</v>
      </c>
      <c r="F223" s="5">
        <v>0</v>
      </c>
      <c r="G223" s="5">
        <v>67.89</v>
      </c>
      <c r="H223" s="5">
        <v>805</v>
      </c>
      <c r="I223" s="5" t="str">
        <f>HYPERLINK("https://www.ncbi.nlm.nih.gov/protein/NEZ67847.1?report=genbank&amp;log$=prottop&amp;blast_rank=170&amp;RID=7U875CNM013","NEZ67847.1")</f>
        <v>NEZ67847.1</v>
      </c>
      <c r="J223" s="5" t="s">
        <v>2</v>
      </c>
    </row>
    <row r="224" spans="1:10" s="7" customFormat="1" x14ac:dyDescent="0.2">
      <c r="A224" s="5" t="s">
        <v>404</v>
      </c>
      <c r="B224" s="5" t="s">
        <v>405</v>
      </c>
      <c r="C224" s="5">
        <v>1154</v>
      </c>
      <c r="D224" s="5">
        <v>1154</v>
      </c>
      <c r="E224" s="6">
        <v>0.98</v>
      </c>
      <c r="F224" s="5">
        <v>0</v>
      </c>
      <c r="G224" s="5">
        <v>67.86</v>
      </c>
      <c r="H224" s="5">
        <v>811</v>
      </c>
      <c r="I224" s="5" t="str">
        <f>HYPERLINK("https://www.ncbi.nlm.nih.gov/protein/WP_171572853.1?report=genbank&amp;log$=prottop&amp;blast_rank=174&amp;RID=7U875CNM013","WP_171572853.1")</f>
        <v>WP_171572853.1</v>
      </c>
      <c r="J224" s="5" t="s">
        <v>2</v>
      </c>
    </row>
    <row r="225" spans="1:10" s="7" customFormat="1" x14ac:dyDescent="0.2">
      <c r="A225" s="5" t="s">
        <v>406</v>
      </c>
      <c r="B225" s="5" t="s">
        <v>407</v>
      </c>
      <c r="C225" s="5">
        <v>1152</v>
      </c>
      <c r="D225" s="5">
        <v>1152</v>
      </c>
      <c r="E225" s="6">
        <v>0.98</v>
      </c>
      <c r="F225" s="5">
        <v>0</v>
      </c>
      <c r="G225" s="5">
        <v>67.86</v>
      </c>
      <c r="H225" s="5">
        <v>805</v>
      </c>
      <c r="I225" s="5" t="str">
        <f>HYPERLINK("https://www.ncbi.nlm.nih.gov/protein/WP_162329432.1?report=genbank&amp;log$=prottop&amp;blast_rank=175&amp;RID=7U875CNM013","WP_162329432.1")</f>
        <v>WP_162329432.1</v>
      </c>
      <c r="J225" s="5" t="s">
        <v>2</v>
      </c>
    </row>
    <row r="226" spans="1:10" s="7" customFormat="1" x14ac:dyDescent="0.2">
      <c r="A226" s="5" t="s">
        <v>408</v>
      </c>
      <c r="B226" s="5" t="s">
        <v>409</v>
      </c>
      <c r="C226" s="5">
        <v>1149</v>
      </c>
      <c r="D226" s="5">
        <v>1149</v>
      </c>
      <c r="E226" s="6">
        <v>0.98</v>
      </c>
      <c r="F226" s="5">
        <v>0</v>
      </c>
      <c r="G226" s="5">
        <v>67.86</v>
      </c>
      <c r="H226" s="5">
        <v>812</v>
      </c>
      <c r="I226" s="5" t="str">
        <f>HYPERLINK("https://www.ncbi.nlm.nih.gov/protein/HIK35727.1?report=genbank&amp;log$=prottop&amp;blast_rank=177&amp;RID=7U875CNM013","HIK35727.1")</f>
        <v>HIK35727.1</v>
      </c>
      <c r="J226" s="5" t="s">
        <v>2</v>
      </c>
    </row>
    <row r="227" spans="1:10" s="7" customFormat="1" x14ac:dyDescent="0.2">
      <c r="A227" s="5" t="s">
        <v>410</v>
      </c>
      <c r="B227" s="5" t="s">
        <v>411</v>
      </c>
      <c r="C227" s="5">
        <v>1149</v>
      </c>
      <c r="D227" s="5">
        <v>1149</v>
      </c>
      <c r="E227" s="6">
        <v>0.98</v>
      </c>
      <c r="F227" s="5">
        <v>0</v>
      </c>
      <c r="G227" s="5">
        <v>67.86</v>
      </c>
      <c r="H227" s="5">
        <v>805</v>
      </c>
      <c r="I227" s="5" t="str">
        <f>HYPERLINK("https://www.ncbi.nlm.nih.gov/protein/WP_190599530.1?report=genbank&amp;log$=prottop&amp;blast_rank=178&amp;RID=7U875CNM013","WP_190599530.1")</f>
        <v>WP_190599530.1</v>
      </c>
      <c r="J227" s="5" t="s">
        <v>2</v>
      </c>
    </row>
    <row r="228" spans="1:10" s="7" customFormat="1" x14ac:dyDescent="0.2">
      <c r="A228" s="5" t="s">
        <v>412</v>
      </c>
      <c r="B228" s="5" t="s">
        <v>413</v>
      </c>
      <c r="C228" s="5">
        <v>1147</v>
      </c>
      <c r="D228" s="5">
        <v>1147</v>
      </c>
      <c r="E228" s="6">
        <v>0.98</v>
      </c>
      <c r="F228" s="5">
        <v>0</v>
      </c>
      <c r="G228" s="5">
        <v>67.86</v>
      </c>
      <c r="H228" s="5">
        <v>809</v>
      </c>
      <c r="I228" s="5" t="str">
        <f>HYPERLINK("https://www.ncbi.nlm.nih.gov/protein/WP_099799353.1?report=genbank&amp;log$=prottop&amp;blast_rank=179&amp;RID=7U875CNM013","WP_099799353.1")</f>
        <v>WP_099799353.1</v>
      </c>
      <c r="J228" s="5" t="s">
        <v>2</v>
      </c>
    </row>
    <row r="229" spans="1:10" s="7" customFormat="1" x14ac:dyDescent="0.2">
      <c r="A229" s="5" t="s">
        <v>414</v>
      </c>
      <c r="B229" s="5" t="s">
        <v>415</v>
      </c>
      <c r="C229" s="5">
        <v>1164</v>
      </c>
      <c r="D229" s="5">
        <v>1164</v>
      </c>
      <c r="E229" s="6">
        <v>0.98</v>
      </c>
      <c r="F229" s="5">
        <v>0</v>
      </c>
      <c r="G229" s="5">
        <v>67.81</v>
      </c>
      <c r="H229" s="5">
        <v>811</v>
      </c>
      <c r="I229" s="5" t="str">
        <f>HYPERLINK("https://www.ncbi.nlm.nih.gov/protein/EKQ70119.1?report=genbank&amp;log$=prottop&amp;blast_rank=186&amp;RID=7U875CNM013","EKQ70119.1")</f>
        <v>EKQ70119.1</v>
      </c>
      <c r="J229" s="5" t="s">
        <v>2</v>
      </c>
    </row>
    <row r="230" spans="1:10" s="7" customFormat="1" x14ac:dyDescent="0.2">
      <c r="A230" s="5" t="s">
        <v>416</v>
      </c>
      <c r="B230" s="5" t="s">
        <v>417</v>
      </c>
      <c r="C230" s="5">
        <v>1156</v>
      </c>
      <c r="D230" s="5">
        <v>1156</v>
      </c>
      <c r="E230" s="6">
        <v>0.98</v>
      </c>
      <c r="F230" s="5">
        <v>0</v>
      </c>
      <c r="G230" s="5">
        <v>67.81</v>
      </c>
      <c r="H230" s="5">
        <v>802</v>
      </c>
      <c r="I230" s="5" t="str">
        <f>HYPERLINK("https://www.ncbi.nlm.nih.gov/protein/NES19898.1?report=genbank&amp;log$=prottop&amp;blast_rank=187&amp;RID=7U875CNM013","NES19898.1")</f>
        <v>NES19898.1</v>
      </c>
      <c r="J230" s="5" t="s">
        <v>2</v>
      </c>
    </row>
    <row r="231" spans="1:10" s="5" customFormat="1" x14ac:dyDescent="0.2">
      <c r="A231" s="5" t="s">
        <v>418</v>
      </c>
      <c r="B231" s="5" t="s">
        <v>419</v>
      </c>
      <c r="C231" s="5">
        <v>1174</v>
      </c>
      <c r="D231" s="5">
        <v>1174</v>
      </c>
      <c r="E231" s="6">
        <v>0.99</v>
      </c>
      <c r="F231" s="5">
        <v>0</v>
      </c>
      <c r="G231" s="5">
        <v>67.790000000000006</v>
      </c>
      <c r="H231" s="5">
        <v>807</v>
      </c>
      <c r="I231" s="5" t="str">
        <f>HYPERLINK("https://www.ncbi.nlm.nih.gov/protein/WP_015226873.1?report=genbank&amp;log$=prottop&amp;blast_rank=4&amp;RID=7U875CNM013","WP_015226873.1")</f>
        <v>WP_015226873.1</v>
      </c>
      <c r="J231" s="5" t="s">
        <v>2</v>
      </c>
    </row>
    <row r="232" spans="1:10" s="5" customFormat="1" x14ac:dyDescent="0.2">
      <c r="A232" s="5" t="s">
        <v>420</v>
      </c>
      <c r="B232" s="5" t="s">
        <v>421</v>
      </c>
      <c r="C232" s="5">
        <v>1165</v>
      </c>
      <c r="D232" s="5">
        <v>1165</v>
      </c>
      <c r="E232" s="6">
        <v>0.98</v>
      </c>
      <c r="F232" s="5">
        <v>0</v>
      </c>
      <c r="G232" s="5">
        <v>67.77</v>
      </c>
      <c r="H232" s="5">
        <v>802</v>
      </c>
      <c r="I232" s="5" t="str">
        <f>HYPERLINK("https://www.ncbi.nlm.nih.gov/protein/WP_204102676.1?report=genbank&amp;log$=prottop&amp;blast_rank=9&amp;RID=7U875CNM013","WP_204102676.1")</f>
        <v>WP_204102676.1</v>
      </c>
      <c r="J232" s="5" t="s">
        <v>2</v>
      </c>
    </row>
    <row r="233" spans="1:10" s="5" customFormat="1" x14ac:dyDescent="0.2">
      <c r="A233" s="5" t="s">
        <v>422</v>
      </c>
      <c r="B233" s="5" t="s">
        <v>423</v>
      </c>
      <c r="C233" s="5">
        <v>1165</v>
      </c>
      <c r="D233" s="5">
        <v>1165</v>
      </c>
      <c r="E233" s="6">
        <v>0.98</v>
      </c>
      <c r="F233" s="5">
        <v>0</v>
      </c>
      <c r="G233" s="5">
        <v>67.77</v>
      </c>
      <c r="H233" s="5">
        <v>802</v>
      </c>
      <c r="I233" s="5" t="str">
        <f>HYPERLINK("https://www.ncbi.nlm.nih.gov/protein/WP_008276971.1?report=genbank&amp;log$=prottop&amp;blast_rank=10&amp;RID=7U875CNM013","WP_008276971.1")</f>
        <v>WP_008276971.1</v>
      </c>
      <c r="J233" s="5" t="s">
        <v>2</v>
      </c>
    </row>
    <row r="234" spans="1:10" s="5" customFormat="1" x14ac:dyDescent="0.2">
      <c r="A234" s="5" t="s">
        <v>424</v>
      </c>
      <c r="B234" s="5" t="s">
        <v>425</v>
      </c>
      <c r="C234" s="5">
        <v>1148</v>
      </c>
      <c r="D234" s="5">
        <v>1148</v>
      </c>
      <c r="E234" s="6">
        <v>0.98</v>
      </c>
      <c r="F234" s="5">
        <v>0</v>
      </c>
      <c r="G234" s="5">
        <v>67.760000000000005</v>
      </c>
      <c r="H234" s="5">
        <v>805</v>
      </c>
      <c r="I234" s="5" t="str">
        <f>HYPERLINK("https://www.ncbi.nlm.nih.gov/protein/WP_106457437.1?report=genbank&amp;log$=prottop&amp;blast_rank=14&amp;RID=7U875CNM013","WP_106457437.1")</f>
        <v>WP_106457437.1</v>
      </c>
      <c r="J234" s="5" t="s">
        <v>2</v>
      </c>
    </row>
    <row r="235" spans="1:10" s="5" customFormat="1" x14ac:dyDescent="0.2">
      <c r="A235" s="5" t="s">
        <v>426</v>
      </c>
      <c r="B235" s="5" t="s">
        <v>415</v>
      </c>
      <c r="C235" s="5">
        <v>1153</v>
      </c>
      <c r="D235" s="5">
        <v>1153</v>
      </c>
      <c r="E235" s="6">
        <v>0.98</v>
      </c>
      <c r="F235" s="5">
        <v>0</v>
      </c>
      <c r="G235" s="5">
        <v>67.73</v>
      </c>
      <c r="H235" s="5">
        <v>812</v>
      </c>
      <c r="I235" s="5" t="str">
        <f>HYPERLINK("https://www.ncbi.nlm.nih.gov/protein/MBF2028261.1?report=genbank&amp;log$=prottop&amp;blast_rank=18&amp;RID=7U875CNM013","MBF2028261.1")</f>
        <v>MBF2028261.1</v>
      </c>
      <c r="J235" s="5" t="s">
        <v>2</v>
      </c>
    </row>
    <row r="236" spans="1:10" s="5" customFormat="1" x14ac:dyDescent="0.2">
      <c r="A236" s="5" t="s">
        <v>427</v>
      </c>
      <c r="B236" s="5" t="s">
        <v>428</v>
      </c>
      <c r="C236" s="5">
        <v>1150</v>
      </c>
      <c r="D236" s="5">
        <v>1150</v>
      </c>
      <c r="E236" s="6">
        <v>0.98</v>
      </c>
      <c r="F236" s="5">
        <v>0</v>
      </c>
      <c r="G236" s="5">
        <v>67.680000000000007</v>
      </c>
      <c r="H236" s="5">
        <v>813</v>
      </c>
      <c r="I236" s="5" t="str">
        <f>HYPERLINK("https://www.ncbi.nlm.nih.gov/protein/WP_131118453.1?report=genbank&amp;log$=prottop&amp;blast_rank=29&amp;RID=7U875CNM013","WP_131118453.1")</f>
        <v>WP_131118453.1</v>
      </c>
      <c r="J236" s="5" t="s">
        <v>2</v>
      </c>
    </row>
    <row r="237" spans="1:10" s="5" customFormat="1" x14ac:dyDescent="0.2">
      <c r="A237" s="5" t="s">
        <v>429</v>
      </c>
      <c r="B237" s="5" t="s">
        <v>430</v>
      </c>
      <c r="C237" s="5">
        <v>1038</v>
      </c>
      <c r="D237" s="5">
        <v>1038</v>
      </c>
      <c r="E237" s="6">
        <v>0.91</v>
      </c>
      <c r="F237" s="5">
        <v>0</v>
      </c>
      <c r="G237" s="5">
        <v>67.67</v>
      </c>
      <c r="H237" s="5">
        <v>735</v>
      </c>
      <c r="I237" s="5" t="str">
        <f>HYPERLINK("https://www.ncbi.nlm.nih.gov/protein/NEQ54090.1?report=genbank&amp;log$=prottop&amp;blast_rank=35&amp;RID=7U875CNM013","NEQ54090.1")</f>
        <v>NEQ54090.1</v>
      </c>
      <c r="J237" s="5" t="s">
        <v>2</v>
      </c>
    </row>
    <row r="238" spans="1:10" s="5" customFormat="1" x14ac:dyDescent="0.2">
      <c r="A238" s="5" t="s">
        <v>431</v>
      </c>
      <c r="B238" s="5" t="s">
        <v>432</v>
      </c>
      <c r="C238" s="5">
        <v>1132</v>
      </c>
      <c r="D238" s="5">
        <v>1132</v>
      </c>
      <c r="E238" s="6">
        <v>0.98</v>
      </c>
      <c r="F238" s="5">
        <v>0</v>
      </c>
      <c r="G238" s="5">
        <v>67.67</v>
      </c>
      <c r="H238" s="5">
        <v>799</v>
      </c>
      <c r="I238" s="5" t="str">
        <f>HYPERLINK("https://www.ncbi.nlm.nih.gov/protein/WP_198807747.1?report=genbank&amp;log$=prottop&amp;blast_rank=36&amp;RID=7U875CNM013","WP_198807747.1")</f>
        <v>WP_198807747.1</v>
      </c>
      <c r="J238" s="5" t="s">
        <v>2</v>
      </c>
    </row>
    <row r="239" spans="1:10" s="5" customFormat="1" x14ac:dyDescent="0.2">
      <c r="A239" s="5" t="s">
        <v>433</v>
      </c>
      <c r="B239" s="5" t="s">
        <v>434</v>
      </c>
      <c r="C239" s="5">
        <v>1123</v>
      </c>
      <c r="D239" s="5">
        <v>1123</v>
      </c>
      <c r="E239" s="6">
        <v>0.98</v>
      </c>
      <c r="F239" s="5">
        <v>0</v>
      </c>
      <c r="G239" s="5">
        <v>67.64</v>
      </c>
      <c r="H239" s="5">
        <v>799</v>
      </c>
      <c r="I239" s="5" t="str">
        <f>HYPERLINK("https://www.ncbi.nlm.nih.gov/protein/WP_169614821.1?report=genbank&amp;log$=prottop&amp;blast_rank=38&amp;RID=7U875CNM013","WP_169614821.1")</f>
        <v>WP_169614821.1</v>
      </c>
      <c r="J239" s="5" t="s">
        <v>2</v>
      </c>
    </row>
    <row r="240" spans="1:10" s="5" customFormat="1" x14ac:dyDescent="0.2">
      <c r="A240" s="5" t="s">
        <v>414</v>
      </c>
      <c r="B240" s="5" t="s">
        <v>415</v>
      </c>
      <c r="C240" s="5">
        <v>1167</v>
      </c>
      <c r="D240" s="5">
        <v>1167</v>
      </c>
      <c r="E240" s="6">
        <v>0.99</v>
      </c>
      <c r="F240" s="5">
        <v>0</v>
      </c>
      <c r="G240" s="5">
        <v>67.63</v>
      </c>
      <c r="H240" s="5">
        <v>812</v>
      </c>
      <c r="I240" s="26" t="str">
        <f>HYPERLINK("https://www.ncbi.nlm.nih.gov/protein/EKQ69764.1?report=genbank&amp;log$=prottop&amp;blast_rank=39&amp;RID=7U875CNM013","EKQ69764.1")</f>
        <v>EKQ69764.1</v>
      </c>
      <c r="J240" s="5" t="s">
        <v>2</v>
      </c>
    </row>
    <row r="241" spans="1:10" s="5" customFormat="1" x14ac:dyDescent="0.2">
      <c r="A241" s="5" t="s">
        <v>435</v>
      </c>
      <c r="B241" s="5" t="s">
        <v>436</v>
      </c>
      <c r="C241" s="5">
        <v>1137</v>
      </c>
      <c r="D241" s="5">
        <v>1137</v>
      </c>
      <c r="E241" s="6">
        <v>0.99</v>
      </c>
      <c r="F241" s="5">
        <v>0</v>
      </c>
      <c r="G241" s="5">
        <v>67.63</v>
      </c>
      <c r="H241" s="5">
        <v>806</v>
      </c>
      <c r="I241" s="5" t="str">
        <f>HYPERLINK("https://www.ncbi.nlm.nih.gov/protein/TRU45167.1?report=genbank&amp;log$=prottop&amp;blast_rank=40&amp;RID=7U875CNM013","TRU45167.1")</f>
        <v>TRU45167.1</v>
      </c>
      <c r="J241" s="5" t="s">
        <v>2</v>
      </c>
    </row>
    <row r="242" spans="1:10" s="5" customFormat="1" x14ac:dyDescent="0.2">
      <c r="A242" s="5" t="s">
        <v>437</v>
      </c>
      <c r="B242" s="5" t="s">
        <v>438</v>
      </c>
      <c r="C242" s="5">
        <v>1137</v>
      </c>
      <c r="D242" s="5">
        <v>1137</v>
      </c>
      <c r="E242" s="6">
        <v>0.99</v>
      </c>
      <c r="F242" s="5">
        <v>0</v>
      </c>
      <c r="G242" s="5">
        <v>67.63</v>
      </c>
      <c r="H242" s="5">
        <v>806</v>
      </c>
      <c r="I242" s="5" t="str">
        <f>HYPERLINK("https://www.ncbi.nlm.nih.gov/protein/NCR56298.1?report=genbank&amp;log$=prottop&amp;blast_rank=41&amp;RID=7U875CNM013","NCR56298.1")</f>
        <v>NCR56298.1</v>
      </c>
      <c r="J242" s="5" t="s">
        <v>2</v>
      </c>
    </row>
    <row r="243" spans="1:10" s="5" customFormat="1" x14ac:dyDescent="0.2">
      <c r="A243" s="5" t="s">
        <v>439</v>
      </c>
      <c r="B243" s="5" t="s">
        <v>440</v>
      </c>
      <c r="C243" s="5">
        <v>1164</v>
      </c>
      <c r="D243" s="5">
        <v>1164</v>
      </c>
      <c r="E243" s="6">
        <v>0.98</v>
      </c>
      <c r="F243" s="5">
        <v>0</v>
      </c>
      <c r="G243" s="5">
        <v>67.56</v>
      </c>
      <c r="H243" s="5">
        <v>813</v>
      </c>
      <c r="I243" s="5" t="str">
        <f>HYPERLINK("https://www.ncbi.nlm.nih.gov/protein/WP_017312814.1?report=genbank&amp;log$=prottop&amp;blast_rank=53&amp;RID=7U875CNM013","WP_017312814.1")</f>
        <v>WP_017312814.1</v>
      </c>
      <c r="J243" s="5" t="s">
        <v>2</v>
      </c>
    </row>
    <row r="244" spans="1:10" s="5" customFormat="1" x14ac:dyDescent="0.2">
      <c r="A244" s="5" t="s">
        <v>441</v>
      </c>
      <c r="B244" s="5" t="s">
        <v>442</v>
      </c>
      <c r="C244" s="5">
        <v>1154</v>
      </c>
      <c r="D244" s="5">
        <v>1154</v>
      </c>
      <c r="E244" s="6">
        <v>0.98</v>
      </c>
      <c r="F244" s="5">
        <v>0</v>
      </c>
      <c r="G244" s="5">
        <v>67.56</v>
      </c>
      <c r="H244" s="5">
        <v>811</v>
      </c>
      <c r="I244" s="5" t="str">
        <f>HYPERLINK("https://www.ncbi.nlm.nih.gov/protein/MBF2079524.1?report=genbank&amp;log$=prottop&amp;blast_rank=54&amp;RID=7U875CNM013","MBF2079524.1")</f>
        <v>MBF2079524.1</v>
      </c>
      <c r="J244" s="5" t="s">
        <v>2</v>
      </c>
    </row>
    <row r="245" spans="1:10" s="5" customFormat="1" x14ac:dyDescent="0.2">
      <c r="A245" s="5" t="s">
        <v>443</v>
      </c>
      <c r="B245" s="5" t="s">
        <v>444</v>
      </c>
      <c r="C245" s="5">
        <v>1146</v>
      </c>
      <c r="D245" s="5">
        <v>1146</v>
      </c>
      <c r="E245" s="6">
        <v>0.98</v>
      </c>
      <c r="F245" s="5">
        <v>0</v>
      </c>
      <c r="G245" s="5">
        <v>67.56</v>
      </c>
      <c r="H245" s="5">
        <v>813</v>
      </c>
      <c r="I245" s="5" t="str">
        <f>HYPERLINK("https://www.ncbi.nlm.nih.gov/protein/RAM53237.1?report=genbank&amp;log$=prottop&amp;blast_rank=55&amp;RID=7U875CNM013","RAM53237.1")</f>
        <v>RAM53237.1</v>
      </c>
      <c r="J245" s="5" t="s">
        <v>2</v>
      </c>
    </row>
    <row r="246" spans="1:10" s="5" customFormat="1" x14ac:dyDescent="0.2">
      <c r="A246" s="5" t="s">
        <v>445</v>
      </c>
      <c r="B246" s="5" t="s">
        <v>446</v>
      </c>
      <c r="C246" s="5">
        <v>1127</v>
      </c>
      <c r="D246" s="5">
        <v>1127</v>
      </c>
      <c r="E246" s="6">
        <v>0.98</v>
      </c>
      <c r="F246" s="5">
        <v>0</v>
      </c>
      <c r="G246" s="5">
        <v>67.510000000000005</v>
      </c>
      <c r="H246" s="5">
        <v>805</v>
      </c>
      <c r="I246" s="5" t="str">
        <f>HYPERLINK("https://www.ncbi.nlm.nih.gov/protein/NEQ44909.1?report=genbank&amp;log$=prottop&amp;blast_rank=59&amp;RID=7U875CNM013","NEQ44909.1")</f>
        <v>NEQ44909.1</v>
      </c>
      <c r="J246" s="5" t="s">
        <v>2</v>
      </c>
    </row>
    <row r="247" spans="1:10" s="5" customFormat="1" x14ac:dyDescent="0.2">
      <c r="A247" s="5" t="s">
        <v>447</v>
      </c>
      <c r="B247" s="5" t="s">
        <v>448</v>
      </c>
      <c r="C247" s="5">
        <v>1173</v>
      </c>
      <c r="D247" s="5">
        <v>1173</v>
      </c>
      <c r="E247" s="6">
        <v>0.99</v>
      </c>
      <c r="F247" s="5">
        <v>0</v>
      </c>
      <c r="G247" s="5">
        <v>67.510000000000005</v>
      </c>
      <c r="H247" s="5">
        <v>811</v>
      </c>
      <c r="I247" s="5" t="str">
        <f>HYPERLINK("https://www.ncbi.nlm.nih.gov/protein/NJO40891.1?report=genbank&amp;log$=prottop&amp;blast_rank=60&amp;RID=7U875CNM013","NJO40891.1")</f>
        <v>NJO40891.1</v>
      </c>
      <c r="J247" s="5" t="s">
        <v>2</v>
      </c>
    </row>
    <row r="248" spans="1:10" s="5" customFormat="1" x14ac:dyDescent="0.2">
      <c r="A248" s="5" t="s">
        <v>449</v>
      </c>
      <c r="B248" s="5" t="s">
        <v>450</v>
      </c>
      <c r="C248" s="5">
        <v>1135</v>
      </c>
      <c r="D248" s="5">
        <v>1135</v>
      </c>
      <c r="E248" s="6">
        <v>0.99</v>
      </c>
      <c r="F248" s="5">
        <v>0</v>
      </c>
      <c r="G248" s="5">
        <v>67.5</v>
      </c>
      <c r="H248" s="5">
        <v>806</v>
      </c>
      <c r="I248" s="5" t="str">
        <f>HYPERLINK("https://www.ncbi.nlm.nih.gov/protein/WP_125730465.1?report=genbank&amp;log$=prottop&amp;blast_rank=61&amp;RID=7U875CNM013","WP_125730465.1")</f>
        <v>WP_125730465.1</v>
      </c>
      <c r="J248" s="5" t="s">
        <v>2</v>
      </c>
    </row>
    <row r="249" spans="1:10" s="5" customFormat="1" x14ac:dyDescent="0.2">
      <c r="A249" s="5" t="s">
        <v>451</v>
      </c>
      <c r="B249" s="5" t="s">
        <v>452</v>
      </c>
      <c r="C249" s="5">
        <v>1134</v>
      </c>
      <c r="D249" s="5">
        <v>1134</v>
      </c>
      <c r="E249" s="6">
        <v>0.99</v>
      </c>
      <c r="F249" s="5">
        <v>0</v>
      </c>
      <c r="G249" s="5">
        <v>67.5</v>
      </c>
      <c r="H249" s="5">
        <v>806</v>
      </c>
      <c r="I249" s="5" t="str">
        <f>HYPERLINK("https://www.ncbi.nlm.nih.gov/protein/WP_002750156.1?report=genbank&amp;log$=prottop&amp;blast_rank=62&amp;RID=7U875CNM013","WP_002750156.1")</f>
        <v>WP_002750156.1</v>
      </c>
      <c r="J249" s="5" t="s">
        <v>2</v>
      </c>
    </row>
    <row r="250" spans="1:10" s="5" customFormat="1" x14ac:dyDescent="0.2">
      <c r="A250" s="5" t="s">
        <v>451</v>
      </c>
      <c r="B250" s="5" t="s">
        <v>452</v>
      </c>
      <c r="C250" s="5">
        <v>1134</v>
      </c>
      <c r="D250" s="5">
        <v>1134</v>
      </c>
      <c r="E250" s="6">
        <v>0.99</v>
      </c>
      <c r="F250" s="5">
        <v>0</v>
      </c>
      <c r="G250" s="5">
        <v>67.5</v>
      </c>
      <c r="H250" s="5">
        <v>806</v>
      </c>
      <c r="I250" s="5" t="str">
        <f>HYPERLINK("https://www.ncbi.nlm.nih.gov/protein/WP_123231024.1?report=genbank&amp;log$=prottop&amp;blast_rank=63&amp;RID=7U875CNM013","WP_123231024.1")</f>
        <v>WP_123231024.1</v>
      </c>
      <c r="J250" s="5" t="s">
        <v>2</v>
      </c>
    </row>
    <row r="251" spans="1:10" s="5" customFormat="1" x14ac:dyDescent="0.2">
      <c r="A251" s="5" t="s">
        <v>453</v>
      </c>
      <c r="B251" s="5" t="s">
        <v>454</v>
      </c>
      <c r="C251" s="5">
        <v>1134</v>
      </c>
      <c r="D251" s="5">
        <v>1134</v>
      </c>
      <c r="E251" s="6">
        <v>0.99</v>
      </c>
      <c r="F251" s="5">
        <v>0</v>
      </c>
      <c r="G251" s="5">
        <v>67.5</v>
      </c>
      <c r="H251" s="5">
        <v>806</v>
      </c>
      <c r="I251" s="5" t="str">
        <f>HYPERLINK("https://www.ncbi.nlm.nih.gov/protein/TRU81301.1?report=genbank&amp;log$=prottop&amp;blast_rank=64&amp;RID=7U875CNM013","TRU81301.1")</f>
        <v>TRU81301.1</v>
      </c>
      <c r="J251" s="5" t="s">
        <v>2</v>
      </c>
    </row>
    <row r="252" spans="1:10" s="5" customFormat="1" x14ac:dyDescent="0.2">
      <c r="A252" s="5" t="s">
        <v>455</v>
      </c>
      <c r="B252" s="5" t="s">
        <v>456</v>
      </c>
      <c r="C252" s="5">
        <v>1133</v>
      </c>
      <c r="D252" s="5">
        <v>1133</v>
      </c>
      <c r="E252" s="6">
        <v>0.99</v>
      </c>
      <c r="F252" s="5">
        <v>0</v>
      </c>
      <c r="G252" s="5">
        <v>67.5</v>
      </c>
      <c r="H252" s="5">
        <v>806</v>
      </c>
      <c r="I252" s="5" t="str">
        <f>HYPERLINK("https://www.ncbi.nlm.nih.gov/protein/NCS29136.1?report=genbank&amp;log$=prottop&amp;blast_rank=65&amp;RID=7U875CNM013","NCS29136.1")</f>
        <v>NCS29136.1</v>
      </c>
      <c r="J252" s="5" t="s">
        <v>2</v>
      </c>
    </row>
    <row r="253" spans="1:10" s="5" customFormat="1" x14ac:dyDescent="0.2">
      <c r="A253" s="5" t="s">
        <v>451</v>
      </c>
      <c r="B253" s="5" t="s">
        <v>452</v>
      </c>
      <c r="C253" s="5">
        <v>1133</v>
      </c>
      <c r="D253" s="5">
        <v>1133</v>
      </c>
      <c r="E253" s="6">
        <v>0.99</v>
      </c>
      <c r="F253" s="5">
        <v>0</v>
      </c>
      <c r="G253" s="5">
        <v>67.5</v>
      </c>
      <c r="H253" s="5">
        <v>806</v>
      </c>
      <c r="I253" s="5" t="str">
        <f>HYPERLINK("https://www.ncbi.nlm.nih.gov/protein/WP_149987886.1?report=genbank&amp;log$=prottop&amp;blast_rank=66&amp;RID=7U875CNM013","WP_149987886.1")</f>
        <v>WP_149987886.1</v>
      </c>
      <c r="J253" s="5" t="s">
        <v>2</v>
      </c>
    </row>
    <row r="254" spans="1:10" s="5" customFormat="1" x14ac:dyDescent="0.2">
      <c r="A254" s="5" t="s">
        <v>451</v>
      </c>
      <c r="B254" s="5" t="s">
        <v>452</v>
      </c>
      <c r="C254" s="5">
        <v>1132</v>
      </c>
      <c r="D254" s="5">
        <v>1132</v>
      </c>
      <c r="E254" s="6">
        <v>0.99</v>
      </c>
      <c r="F254" s="5">
        <v>0</v>
      </c>
      <c r="G254" s="5">
        <v>67.5</v>
      </c>
      <c r="H254" s="5">
        <v>806</v>
      </c>
      <c r="I254" s="5" t="str">
        <f>HYPERLINK("https://www.ncbi.nlm.nih.gov/protein/WP_147072168.1?report=genbank&amp;log$=prottop&amp;blast_rank=68&amp;RID=7U875CNM013","WP_147072168.1")</f>
        <v>WP_147072168.1</v>
      </c>
      <c r="J254" s="5" t="s">
        <v>2</v>
      </c>
    </row>
    <row r="255" spans="1:10" s="5" customFormat="1" x14ac:dyDescent="0.2">
      <c r="A255" s="5" t="s">
        <v>451</v>
      </c>
      <c r="B255" s="5" t="s">
        <v>452</v>
      </c>
      <c r="C255" s="5">
        <v>1130</v>
      </c>
      <c r="D255" s="5">
        <v>1130</v>
      </c>
      <c r="E255" s="6">
        <v>0.99</v>
      </c>
      <c r="F255" s="5">
        <v>0</v>
      </c>
      <c r="G255" s="5">
        <v>67.5</v>
      </c>
      <c r="H255" s="5">
        <v>806</v>
      </c>
      <c r="I255" s="5" t="str">
        <f>HYPERLINK("https://www.ncbi.nlm.nih.gov/protein/WP_151696631.1?report=genbank&amp;log$=prottop&amp;blast_rank=69&amp;RID=7U875CNM013","WP_151696631.1")</f>
        <v>WP_151696631.1</v>
      </c>
      <c r="J255" s="5" t="s">
        <v>2</v>
      </c>
    </row>
    <row r="256" spans="1:10" s="5" customFormat="1" x14ac:dyDescent="0.2">
      <c r="A256" s="5" t="s">
        <v>457</v>
      </c>
      <c r="B256" s="5" t="s">
        <v>458</v>
      </c>
      <c r="C256" s="5">
        <v>1146</v>
      </c>
      <c r="D256" s="5">
        <v>1146</v>
      </c>
      <c r="E256" s="6">
        <v>0.98</v>
      </c>
      <c r="F256" s="5">
        <v>0</v>
      </c>
      <c r="G256" s="5">
        <v>67.47</v>
      </c>
      <c r="H256" s="5">
        <v>821</v>
      </c>
      <c r="I256" s="5" t="str">
        <f>HYPERLINK("https://www.ncbi.nlm.nih.gov/protein/AGF53357.1?report=genbank&amp;log$=prottop&amp;blast_rank=70&amp;RID=7U875CNM013","AGF53357.1")</f>
        <v>AGF53357.1</v>
      </c>
      <c r="J256" s="5" t="s">
        <v>2</v>
      </c>
    </row>
    <row r="257" spans="1:10" s="5" customFormat="1" x14ac:dyDescent="0.2">
      <c r="A257" s="5" t="s">
        <v>459</v>
      </c>
      <c r="B257" s="5" t="s">
        <v>460</v>
      </c>
      <c r="C257" s="5">
        <v>1145</v>
      </c>
      <c r="D257" s="5">
        <v>1145</v>
      </c>
      <c r="E257" s="6">
        <v>0.98</v>
      </c>
      <c r="F257" s="5">
        <v>0</v>
      </c>
      <c r="G257" s="5">
        <v>67.47</v>
      </c>
      <c r="H257" s="5">
        <v>805</v>
      </c>
      <c r="I257" s="5" t="str">
        <f>HYPERLINK("https://www.ncbi.nlm.nih.gov/protein/WP_020861888.1?report=genbank&amp;log$=prottop&amp;blast_rank=71&amp;RID=7U875CNM013","WP_020861888.1")</f>
        <v>WP_020861888.1</v>
      </c>
      <c r="J257" s="5" t="s">
        <v>2</v>
      </c>
    </row>
    <row r="258" spans="1:10" s="5" customFormat="1" x14ac:dyDescent="0.2">
      <c r="A258" s="5" t="s">
        <v>461</v>
      </c>
      <c r="B258" s="5" t="s">
        <v>462</v>
      </c>
      <c r="C258" s="5">
        <v>1164</v>
      </c>
      <c r="D258" s="5">
        <v>1164</v>
      </c>
      <c r="E258" s="6">
        <v>0.98</v>
      </c>
      <c r="F258" s="5">
        <v>0</v>
      </c>
      <c r="G258" s="5">
        <v>67.430000000000007</v>
      </c>
      <c r="H258" s="5">
        <v>813</v>
      </c>
      <c r="I258" s="5" t="str">
        <f>HYPERLINK("https://www.ncbi.nlm.nih.gov/protein/WP_016859248.1?report=genbank&amp;log$=prottop&amp;blast_rank=86&amp;RID=7U875CNM013","WP_016859248.1")</f>
        <v>WP_016859248.1</v>
      </c>
      <c r="J258" s="5" t="s">
        <v>2</v>
      </c>
    </row>
    <row r="259" spans="1:10" s="5" customFormat="1" x14ac:dyDescent="0.2">
      <c r="A259" s="5" t="s">
        <v>463</v>
      </c>
      <c r="B259" s="5" t="s">
        <v>464</v>
      </c>
      <c r="C259" s="5">
        <v>1162</v>
      </c>
      <c r="D259" s="5">
        <v>1162</v>
      </c>
      <c r="E259" s="6">
        <v>0.98</v>
      </c>
      <c r="F259" s="5">
        <v>0</v>
      </c>
      <c r="G259" s="5">
        <v>67.430000000000007</v>
      </c>
      <c r="H259" s="5">
        <v>813</v>
      </c>
      <c r="I259" s="5" t="str">
        <f>HYPERLINK("https://www.ncbi.nlm.nih.gov/protein/WP_026723163.1?report=genbank&amp;log$=prottop&amp;blast_rank=87&amp;RID=7U875CNM013","WP_026723163.1")</f>
        <v>WP_026723163.1</v>
      </c>
      <c r="J259" s="5" t="s">
        <v>2</v>
      </c>
    </row>
    <row r="260" spans="1:10" s="5" customFormat="1" x14ac:dyDescent="0.2">
      <c r="A260" s="5" t="s">
        <v>465</v>
      </c>
      <c r="B260" s="5" t="s">
        <v>466</v>
      </c>
      <c r="C260" s="5">
        <v>1118</v>
      </c>
      <c r="D260" s="5">
        <v>1118</v>
      </c>
      <c r="E260" s="6">
        <v>1</v>
      </c>
      <c r="F260" s="5">
        <v>0</v>
      </c>
      <c r="G260" s="5">
        <v>67.42</v>
      </c>
      <c r="H260" s="5">
        <v>806</v>
      </c>
      <c r="I260" s="5" t="str">
        <f>HYPERLINK("https://www.ncbi.nlm.nih.gov/protein/WP_029315343.1?report=genbank&amp;log$=prottop&amp;blast_rank=91&amp;RID=7U875CNM013","WP_029315343.1")</f>
        <v>WP_029315343.1</v>
      </c>
      <c r="J260" s="5" t="s">
        <v>2</v>
      </c>
    </row>
    <row r="261" spans="1:10" s="5" customFormat="1" x14ac:dyDescent="0.2">
      <c r="A261" s="5" t="s">
        <v>467</v>
      </c>
      <c r="B261" s="5" t="s">
        <v>468</v>
      </c>
      <c r="C261" s="5">
        <v>1165</v>
      </c>
      <c r="D261" s="5">
        <v>1165</v>
      </c>
      <c r="E261" s="6">
        <v>0.99</v>
      </c>
      <c r="F261" s="5">
        <v>0</v>
      </c>
      <c r="G261" s="5">
        <v>67.38</v>
      </c>
      <c r="H261" s="5">
        <v>808</v>
      </c>
      <c r="I261" s="5" t="str">
        <f>HYPERLINK("https://www.ncbi.nlm.nih.gov/protein/NEP70571.1?report=genbank&amp;log$=prottop&amp;blast_rank=92&amp;RID=7U875CNM013","NEP70571.1")</f>
        <v>NEP70571.1</v>
      </c>
      <c r="J261" s="5" t="s">
        <v>2</v>
      </c>
    </row>
    <row r="262" spans="1:10" s="5" customFormat="1" x14ac:dyDescent="0.2">
      <c r="A262" s="5" t="s">
        <v>469</v>
      </c>
      <c r="B262" s="5" t="s">
        <v>470</v>
      </c>
      <c r="C262" s="5">
        <v>1136</v>
      </c>
      <c r="D262" s="5">
        <v>1136</v>
      </c>
      <c r="E262" s="6">
        <v>0.99</v>
      </c>
      <c r="F262" s="5">
        <v>0</v>
      </c>
      <c r="G262" s="5">
        <v>67.38</v>
      </c>
      <c r="H262" s="5">
        <v>806</v>
      </c>
      <c r="I262" s="5" t="str">
        <f>HYPERLINK("https://www.ncbi.nlm.nih.gov/protein/NCS04039.1?report=genbank&amp;log$=prottop&amp;blast_rank=93&amp;RID=7U875CNM013","NCS04039.1")</f>
        <v>NCS04039.1</v>
      </c>
      <c r="J262" s="5" t="s">
        <v>2</v>
      </c>
    </row>
    <row r="263" spans="1:10" s="5" customFormat="1" x14ac:dyDescent="0.2">
      <c r="A263" s="5" t="s">
        <v>471</v>
      </c>
      <c r="B263" s="5" t="s">
        <v>472</v>
      </c>
      <c r="C263" s="5">
        <v>1135</v>
      </c>
      <c r="D263" s="5">
        <v>1135</v>
      </c>
      <c r="E263" s="6">
        <v>0.99</v>
      </c>
      <c r="F263" s="5">
        <v>0</v>
      </c>
      <c r="G263" s="5">
        <v>67.38</v>
      </c>
      <c r="H263" s="5">
        <v>806</v>
      </c>
      <c r="I263" s="5" t="str">
        <f>HYPERLINK("https://www.ncbi.nlm.nih.gov/protein/TRU46990.1?report=genbank&amp;log$=prottop&amp;blast_rank=94&amp;RID=7U875CNM013","TRU46990.1")</f>
        <v>TRU46990.1</v>
      </c>
      <c r="J263" s="5" t="s">
        <v>2</v>
      </c>
    </row>
    <row r="264" spans="1:10" s="5" customFormat="1" x14ac:dyDescent="0.2">
      <c r="A264" s="5" t="s">
        <v>473</v>
      </c>
      <c r="B264" s="5" t="s">
        <v>474</v>
      </c>
      <c r="C264" s="5">
        <v>1135</v>
      </c>
      <c r="D264" s="5">
        <v>1135</v>
      </c>
      <c r="E264" s="6">
        <v>0.99</v>
      </c>
      <c r="F264" s="5">
        <v>0</v>
      </c>
      <c r="G264" s="5">
        <v>67.38</v>
      </c>
      <c r="H264" s="5">
        <v>806</v>
      </c>
      <c r="I264" s="5" t="str">
        <f>HYPERLINK("https://www.ncbi.nlm.nih.gov/protein/NCQ69576.1?report=genbank&amp;log$=prottop&amp;blast_rank=95&amp;RID=7U875CNM013","NCQ69576.1")</f>
        <v>NCQ69576.1</v>
      </c>
      <c r="J264" s="5" t="s">
        <v>2</v>
      </c>
    </row>
    <row r="265" spans="1:10" s="5" customFormat="1" x14ac:dyDescent="0.2">
      <c r="A265" s="5" t="s">
        <v>475</v>
      </c>
      <c r="B265" s="5" t="s">
        <v>476</v>
      </c>
      <c r="C265" s="5">
        <v>1135</v>
      </c>
      <c r="D265" s="5">
        <v>1135</v>
      </c>
      <c r="E265" s="6">
        <v>0.99</v>
      </c>
      <c r="F265" s="5">
        <v>0</v>
      </c>
      <c r="G265" s="5">
        <v>67.38</v>
      </c>
      <c r="H265" s="5">
        <v>803</v>
      </c>
      <c r="I265" s="5" t="str">
        <f>HYPERLINK("https://www.ncbi.nlm.nih.gov/protein/NCT52550.1?report=genbank&amp;log$=prottop&amp;blast_rank=96&amp;RID=7U875CNM013","NCT52550.1")</f>
        <v>NCT52550.1</v>
      </c>
      <c r="J265" s="5" t="s">
        <v>2</v>
      </c>
    </row>
    <row r="266" spans="1:10" s="5" customFormat="1" x14ac:dyDescent="0.2">
      <c r="A266" s="5" t="s">
        <v>477</v>
      </c>
      <c r="B266" s="5" t="s">
        <v>478</v>
      </c>
      <c r="C266" s="5">
        <v>1134</v>
      </c>
      <c r="D266" s="5">
        <v>1134</v>
      </c>
      <c r="E266" s="6">
        <v>0.99</v>
      </c>
      <c r="F266" s="5">
        <v>0</v>
      </c>
      <c r="G266" s="5">
        <v>67.38</v>
      </c>
      <c r="H266" s="5">
        <v>806</v>
      </c>
      <c r="I266" s="5" t="str">
        <f>HYPERLINK("https://www.ncbi.nlm.nih.gov/protein/NCR01315.1?report=genbank&amp;log$=prottop&amp;blast_rank=97&amp;RID=7U875CNM013","NCR01315.1")</f>
        <v>NCR01315.1</v>
      </c>
      <c r="J266" s="5" t="s">
        <v>2</v>
      </c>
    </row>
    <row r="267" spans="1:10" s="5" customFormat="1" x14ac:dyDescent="0.2">
      <c r="A267" s="5" t="s">
        <v>451</v>
      </c>
      <c r="B267" s="5" t="s">
        <v>452</v>
      </c>
      <c r="C267" s="5">
        <v>1134</v>
      </c>
      <c r="D267" s="5">
        <v>1134</v>
      </c>
      <c r="E267" s="6">
        <v>0.99</v>
      </c>
      <c r="F267" s="5">
        <v>0</v>
      </c>
      <c r="G267" s="5">
        <v>67.38</v>
      </c>
      <c r="H267" s="5">
        <v>806</v>
      </c>
      <c r="I267" s="5" t="str">
        <f>HYPERLINK("https://www.ncbi.nlm.nih.gov/protein/WP_158200192.1?report=genbank&amp;log$=prottop&amp;blast_rank=98&amp;RID=7U875CNM013","WP_158200192.1")</f>
        <v>WP_158200192.1</v>
      </c>
      <c r="J267" s="5" t="s">
        <v>2</v>
      </c>
    </row>
    <row r="268" spans="1:10" s="5" customFormat="1" x14ac:dyDescent="0.2">
      <c r="A268" s="5" t="s">
        <v>479</v>
      </c>
      <c r="B268" s="5" t="s">
        <v>480</v>
      </c>
      <c r="C268" s="5">
        <v>1134</v>
      </c>
      <c r="D268" s="5">
        <v>1134</v>
      </c>
      <c r="E268" s="6">
        <v>0.99</v>
      </c>
      <c r="F268" s="5">
        <v>0</v>
      </c>
      <c r="G268" s="5">
        <v>67.38</v>
      </c>
      <c r="H268" s="5">
        <v>806</v>
      </c>
      <c r="I268" s="5" t="str">
        <f>HYPERLINK("https://www.ncbi.nlm.nih.gov/protein/TRV46097.1?report=genbank&amp;log$=prottop&amp;blast_rank=99&amp;RID=7U875CNM013","TRV46097.1")</f>
        <v>TRV46097.1</v>
      </c>
      <c r="J268" s="5" t="s">
        <v>2</v>
      </c>
    </row>
    <row r="269" spans="1:10" s="5" customFormat="1" x14ac:dyDescent="0.2">
      <c r="A269" s="5" t="s">
        <v>451</v>
      </c>
      <c r="B269" s="5" t="s">
        <v>452</v>
      </c>
      <c r="C269" s="5">
        <v>1133</v>
      </c>
      <c r="D269" s="5">
        <v>1133</v>
      </c>
      <c r="E269" s="6">
        <v>0.99</v>
      </c>
      <c r="F269" s="5">
        <v>0</v>
      </c>
      <c r="G269" s="5">
        <v>67.38</v>
      </c>
      <c r="H269" s="5">
        <v>806</v>
      </c>
      <c r="I269" s="5" t="str">
        <f>HYPERLINK("https://www.ncbi.nlm.nih.gov/protein/WP_012266358.1?report=genbank&amp;log$=prottop&amp;blast_rank=100&amp;RID=7U875CNM013","WP_012266358.1")</f>
        <v>WP_012266358.1</v>
      </c>
      <c r="J269" s="5" t="s">
        <v>2</v>
      </c>
    </row>
    <row r="270" spans="1:10" s="5" customFormat="1" x14ac:dyDescent="0.2">
      <c r="A270" s="5" t="s">
        <v>451</v>
      </c>
      <c r="B270" s="5" t="s">
        <v>452</v>
      </c>
      <c r="C270" s="5">
        <v>1133</v>
      </c>
      <c r="D270" s="5">
        <v>1133</v>
      </c>
      <c r="E270" s="6">
        <v>0.99</v>
      </c>
      <c r="F270" s="5">
        <v>0</v>
      </c>
      <c r="G270" s="5">
        <v>67.38</v>
      </c>
      <c r="H270" s="5">
        <v>806</v>
      </c>
      <c r="I270" s="5" t="str">
        <f>HYPERLINK("https://www.ncbi.nlm.nih.gov/protein/WP_002793127.1?report=genbank&amp;log$=prottop&amp;blast_rank=101&amp;RID=7U875CNM013","WP_002793127.1")</f>
        <v>WP_002793127.1</v>
      </c>
      <c r="J270" s="5" t="s">
        <v>2</v>
      </c>
    </row>
    <row r="271" spans="1:10" s="5" customFormat="1" x14ac:dyDescent="0.2">
      <c r="A271" s="5" t="s">
        <v>481</v>
      </c>
      <c r="B271" s="5" t="s">
        <v>482</v>
      </c>
      <c r="C271" s="5">
        <v>1133</v>
      </c>
      <c r="D271" s="5">
        <v>1133</v>
      </c>
      <c r="E271" s="6">
        <v>0.99</v>
      </c>
      <c r="F271" s="5">
        <v>0</v>
      </c>
      <c r="G271" s="5">
        <v>67.38</v>
      </c>
      <c r="H271" s="5">
        <v>806</v>
      </c>
      <c r="I271" s="5" t="str">
        <f>HYPERLINK("https://www.ncbi.nlm.nih.gov/protein/MBE5230086.1?report=genbank&amp;log$=prottop&amp;blast_rank=102&amp;RID=7U875CNM013","MBE5230086.1")</f>
        <v>MBE5230086.1</v>
      </c>
      <c r="J271" s="5" t="s">
        <v>2</v>
      </c>
    </row>
    <row r="272" spans="1:10" s="5" customFormat="1" x14ac:dyDescent="0.2">
      <c r="A272" s="5" t="s">
        <v>451</v>
      </c>
      <c r="B272" s="5" t="s">
        <v>452</v>
      </c>
      <c r="C272" s="5">
        <v>1133</v>
      </c>
      <c r="D272" s="5">
        <v>1133</v>
      </c>
      <c r="E272" s="6">
        <v>0.99</v>
      </c>
      <c r="F272" s="5">
        <v>0</v>
      </c>
      <c r="G272" s="5">
        <v>67.38</v>
      </c>
      <c r="H272" s="5">
        <v>806</v>
      </c>
      <c r="I272" s="5" t="str">
        <f>HYPERLINK("https://www.ncbi.nlm.nih.gov/protein/WP_024968908.1?report=genbank&amp;log$=prottop&amp;blast_rank=103&amp;RID=7U875CNM013","WP_024968908.1")</f>
        <v>WP_024968908.1</v>
      </c>
      <c r="J272" s="5" t="s">
        <v>2</v>
      </c>
    </row>
    <row r="273" spans="1:10" s="5" customFormat="1" x14ac:dyDescent="0.2">
      <c r="A273" s="5" t="s">
        <v>483</v>
      </c>
      <c r="B273" s="5" t="s">
        <v>484</v>
      </c>
      <c r="C273" s="5">
        <v>1133</v>
      </c>
      <c r="D273" s="5">
        <v>1133</v>
      </c>
      <c r="E273" s="6">
        <v>0.99</v>
      </c>
      <c r="F273" s="5">
        <v>0</v>
      </c>
      <c r="G273" s="5">
        <v>67.38</v>
      </c>
      <c r="H273" s="5">
        <v>806</v>
      </c>
      <c r="I273" s="5" t="str">
        <f>HYPERLINK("https://www.ncbi.nlm.nih.gov/protein/WP_002739607.1?report=genbank&amp;log$=prottop&amp;blast_rank=104&amp;RID=7U875CNM013","WP_002739607.1")</f>
        <v>WP_002739607.1</v>
      </c>
      <c r="J273" s="5" t="s">
        <v>2</v>
      </c>
    </row>
    <row r="274" spans="1:10" s="5" customFormat="1" x14ac:dyDescent="0.2">
      <c r="A274" s="5" t="s">
        <v>485</v>
      </c>
      <c r="B274" s="5" t="s">
        <v>486</v>
      </c>
      <c r="C274" s="5">
        <v>1133</v>
      </c>
      <c r="D274" s="5">
        <v>1133</v>
      </c>
      <c r="E274" s="6">
        <v>0.99</v>
      </c>
      <c r="F274" s="5">
        <v>0</v>
      </c>
      <c r="G274" s="5">
        <v>67.38</v>
      </c>
      <c r="H274" s="5">
        <v>806</v>
      </c>
      <c r="I274" s="5" t="str">
        <f>HYPERLINK("https://www.ncbi.nlm.nih.gov/protein/TRT65676.1?report=genbank&amp;log$=prottop&amp;blast_rank=105&amp;RID=7U875CNM013","TRT65676.1")</f>
        <v>TRT65676.1</v>
      </c>
      <c r="J274" s="5" t="s">
        <v>2</v>
      </c>
    </row>
    <row r="275" spans="1:10" s="5" customFormat="1" x14ac:dyDescent="0.2">
      <c r="A275" s="5" t="s">
        <v>487</v>
      </c>
      <c r="B275" s="5" t="s">
        <v>488</v>
      </c>
      <c r="C275" s="5">
        <v>1132</v>
      </c>
      <c r="D275" s="5">
        <v>1132</v>
      </c>
      <c r="E275" s="6">
        <v>0.99</v>
      </c>
      <c r="F275" s="5">
        <v>0</v>
      </c>
      <c r="G275" s="5">
        <v>67.38</v>
      </c>
      <c r="H275" s="5">
        <v>806</v>
      </c>
      <c r="I275" s="5" t="str">
        <f>HYPERLINK("https://www.ncbi.nlm.nih.gov/protein/NCR53971.1?report=genbank&amp;log$=prottop&amp;blast_rank=106&amp;RID=7U875CNM013","NCR53971.1")</f>
        <v>NCR53971.1</v>
      </c>
      <c r="J275" s="5" t="s">
        <v>2</v>
      </c>
    </row>
    <row r="276" spans="1:10" s="5" customFormat="1" x14ac:dyDescent="0.2">
      <c r="A276" s="5" t="s">
        <v>489</v>
      </c>
      <c r="B276" s="5" t="s">
        <v>490</v>
      </c>
      <c r="C276" s="5">
        <v>1132</v>
      </c>
      <c r="D276" s="5">
        <v>1132</v>
      </c>
      <c r="E276" s="6">
        <v>0.99</v>
      </c>
      <c r="F276" s="5">
        <v>0</v>
      </c>
      <c r="G276" s="5">
        <v>67.38</v>
      </c>
      <c r="H276" s="5">
        <v>806</v>
      </c>
      <c r="I276" s="5" t="str">
        <f>HYPERLINK("https://www.ncbi.nlm.nih.gov/protein/TRU20886.1?report=genbank&amp;log$=prottop&amp;blast_rank=107&amp;RID=7U875CNM013","TRU20886.1")</f>
        <v>TRU20886.1</v>
      </c>
      <c r="J276" s="5" t="s">
        <v>2</v>
      </c>
    </row>
    <row r="277" spans="1:10" s="5" customFormat="1" x14ac:dyDescent="0.2">
      <c r="A277" s="5" t="s">
        <v>491</v>
      </c>
      <c r="B277" s="5" t="s">
        <v>492</v>
      </c>
      <c r="C277" s="5">
        <v>1132</v>
      </c>
      <c r="D277" s="5">
        <v>1132</v>
      </c>
      <c r="E277" s="6">
        <v>0.99</v>
      </c>
      <c r="F277" s="5">
        <v>0</v>
      </c>
      <c r="G277" s="5">
        <v>67.38</v>
      </c>
      <c r="H277" s="5">
        <v>806</v>
      </c>
      <c r="I277" s="5" t="str">
        <f>HYPERLINK("https://www.ncbi.nlm.nih.gov/protein/NCR73306.1?report=genbank&amp;log$=prottop&amp;blast_rank=108&amp;RID=7U875CNM013","NCR73306.1")</f>
        <v>NCR73306.1</v>
      </c>
      <c r="J277" s="5" t="s">
        <v>2</v>
      </c>
    </row>
    <row r="278" spans="1:10" s="5" customFormat="1" x14ac:dyDescent="0.2">
      <c r="A278" s="5" t="s">
        <v>451</v>
      </c>
      <c r="B278" s="5" t="s">
        <v>452</v>
      </c>
      <c r="C278" s="5">
        <v>1132</v>
      </c>
      <c r="D278" s="5">
        <v>1132</v>
      </c>
      <c r="E278" s="6">
        <v>0.99</v>
      </c>
      <c r="F278" s="5">
        <v>0</v>
      </c>
      <c r="G278" s="5">
        <v>67.38</v>
      </c>
      <c r="H278" s="5">
        <v>806</v>
      </c>
      <c r="I278" s="5" t="str">
        <f>HYPERLINK("https://www.ncbi.nlm.nih.gov/protein/WP_002798207.1?report=genbank&amp;log$=prottop&amp;blast_rank=109&amp;RID=7U875CNM013","WP_002798207.1")</f>
        <v>WP_002798207.1</v>
      </c>
      <c r="J278" s="5" t="s">
        <v>2</v>
      </c>
    </row>
    <row r="279" spans="1:10" s="5" customFormat="1" x14ac:dyDescent="0.2">
      <c r="A279" s="5" t="s">
        <v>493</v>
      </c>
      <c r="B279" s="5" t="s">
        <v>452</v>
      </c>
      <c r="C279" s="5">
        <v>1132</v>
      </c>
      <c r="D279" s="5">
        <v>1132</v>
      </c>
      <c r="E279" s="6">
        <v>0.99</v>
      </c>
      <c r="F279" s="5">
        <v>0</v>
      </c>
      <c r="G279" s="5">
        <v>67.38</v>
      </c>
      <c r="H279" s="5">
        <v>806</v>
      </c>
      <c r="I279" s="5" t="str">
        <f>HYPERLINK("https://www.ncbi.nlm.nih.gov/protein/WP_194014387.1?report=genbank&amp;log$=prottop&amp;blast_rank=110&amp;RID=7U875CNM013","WP_194014387.1")</f>
        <v>WP_194014387.1</v>
      </c>
      <c r="J279" s="5" t="s">
        <v>2</v>
      </c>
    </row>
    <row r="280" spans="1:10" s="5" customFormat="1" x14ac:dyDescent="0.2">
      <c r="A280" s="5" t="s">
        <v>451</v>
      </c>
      <c r="B280" s="5" t="s">
        <v>452</v>
      </c>
      <c r="C280" s="5">
        <v>1131</v>
      </c>
      <c r="D280" s="5">
        <v>1131</v>
      </c>
      <c r="E280" s="6">
        <v>0.99</v>
      </c>
      <c r="F280" s="5">
        <v>0</v>
      </c>
      <c r="G280" s="5">
        <v>67.38</v>
      </c>
      <c r="H280" s="5">
        <v>806</v>
      </c>
      <c r="I280" s="5" t="str">
        <f>HYPERLINK("https://www.ncbi.nlm.nih.gov/protein/WP_130756715.1?report=genbank&amp;log$=prottop&amp;blast_rank=111&amp;RID=7U875CNM013","WP_130756715.1")</f>
        <v>WP_130756715.1</v>
      </c>
      <c r="J280" s="5" t="s">
        <v>2</v>
      </c>
    </row>
    <row r="281" spans="1:10" s="5" customFormat="1" x14ac:dyDescent="0.2">
      <c r="A281" s="5" t="s">
        <v>451</v>
      </c>
      <c r="B281" s="5" t="s">
        <v>452</v>
      </c>
      <c r="C281" s="5">
        <v>1131</v>
      </c>
      <c r="D281" s="5">
        <v>1131</v>
      </c>
      <c r="E281" s="6">
        <v>0.99</v>
      </c>
      <c r="F281" s="5">
        <v>0</v>
      </c>
      <c r="G281" s="5">
        <v>67.38</v>
      </c>
      <c r="H281" s="5">
        <v>806</v>
      </c>
      <c r="I281" s="5" t="str">
        <f>HYPERLINK("https://www.ncbi.nlm.nih.gov/protein/WP_103111501.1?report=genbank&amp;log$=prottop&amp;blast_rank=112&amp;RID=7U875CNM013","WP_103111501.1")</f>
        <v>WP_103111501.1</v>
      </c>
      <c r="J281" s="5" t="s">
        <v>2</v>
      </c>
    </row>
    <row r="282" spans="1:10" s="5" customFormat="1" x14ac:dyDescent="0.2">
      <c r="A282" s="5" t="s">
        <v>493</v>
      </c>
      <c r="B282" s="5" t="s">
        <v>452</v>
      </c>
      <c r="C282" s="5">
        <v>1131</v>
      </c>
      <c r="D282" s="5">
        <v>1131</v>
      </c>
      <c r="E282" s="6">
        <v>0.99</v>
      </c>
      <c r="F282" s="5">
        <v>0</v>
      </c>
      <c r="G282" s="5">
        <v>67.38</v>
      </c>
      <c r="H282" s="5">
        <v>806</v>
      </c>
      <c r="I282" s="5" t="str">
        <f>HYPERLINK("https://www.ncbi.nlm.nih.gov/protein/WP_185238135.1?report=genbank&amp;log$=prottop&amp;blast_rank=113&amp;RID=7U875CNM013","WP_185238135.1")</f>
        <v>WP_185238135.1</v>
      </c>
      <c r="J282" s="5" t="s">
        <v>2</v>
      </c>
    </row>
    <row r="283" spans="1:10" s="5" customFormat="1" x14ac:dyDescent="0.2">
      <c r="A283" s="5" t="s">
        <v>451</v>
      </c>
      <c r="B283" s="5" t="s">
        <v>452</v>
      </c>
      <c r="C283" s="5">
        <v>1131</v>
      </c>
      <c r="D283" s="5">
        <v>1131</v>
      </c>
      <c r="E283" s="6">
        <v>0.99</v>
      </c>
      <c r="F283" s="5">
        <v>0</v>
      </c>
      <c r="G283" s="5">
        <v>67.38</v>
      </c>
      <c r="H283" s="5">
        <v>806</v>
      </c>
      <c r="I283" s="5" t="str">
        <f>HYPERLINK("https://www.ncbi.nlm.nih.gov/protein/WP_150975710.1?report=genbank&amp;log$=prottop&amp;blast_rank=114&amp;RID=7U875CNM013","WP_150975710.1")</f>
        <v>WP_150975710.1</v>
      </c>
      <c r="J283" s="5" t="s">
        <v>2</v>
      </c>
    </row>
    <row r="284" spans="1:10" s="5" customFormat="1" x14ac:dyDescent="0.2">
      <c r="A284" s="5" t="s">
        <v>451</v>
      </c>
      <c r="B284" s="5" t="s">
        <v>452</v>
      </c>
      <c r="C284" s="5">
        <v>1131</v>
      </c>
      <c r="D284" s="5">
        <v>1131</v>
      </c>
      <c r="E284" s="6">
        <v>0.99</v>
      </c>
      <c r="F284" s="5">
        <v>0</v>
      </c>
      <c r="G284" s="5">
        <v>67.38</v>
      </c>
      <c r="H284" s="5">
        <v>806</v>
      </c>
      <c r="I284" s="5" t="str">
        <f>HYPERLINK("https://www.ncbi.nlm.nih.gov/protein/WP_002743684.1?report=genbank&amp;log$=prottop&amp;blast_rank=115&amp;RID=7U875CNM013","WP_002743684.1")</f>
        <v>WP_002743684.1</v>
      </c>
      <c r="J284" s="5" t="s">
        <v>2</v>
      </c>
    </row>
    <row r="285" spans="1:10" s="5" customFormat="1" x14ac:dyDescent="0.2">
      <c r="A285" s="5" t="s">
        <v>494</v>
      </c>
      <c r="B285" s="5" t="s">
        <v>495</v>
      </c>
      <c r="C285" s="5">
        <v>1131</v>
      </c>
      <c r="D285" s="5">
        <v>1131</v>
      </c>
      <c r="E285" s="6">
        <v>0.99</v>
      </c>
      <c r="F285" s="5">
        <v>0</v>
      </c>
      <c r="G285" s="5">
        <v>67.38</v>
      </c>
      <c r="H285" s="5">
        <v>806</v>
      </c>
      <c r="I285" s="5" t="str">
        <f>HYPERLINK("https://www.ncbi.nlm.nih.gov/protein/WP_190723144.1?report=genbank&amp;log$=prottop&amp;blast_rank=116&amp;RID=7U875CNM013","WP_190723144.1")</f>
        <v>WP_190723144.1</v>
      </c>
      <c r="J285" s="5" t="s">
        <v>2</v>
      </c>
    </row>
    <row r="286" spans="1:10" s="5" customFormat="1" x14ac:dyDescent="0.2">
      <c r="A286" s="5" t="s">
        <v>451</v>
      </c>
      <c r="B286" s="5" t="s">
        <v>452</v>
      </c>
      <c r="C286" s="5">
        <v>1131</v>
      </c>
      <c r="D286" s="5">
        <v>1131</v>
      </c>
      <c r="E286" s="6">
        <v>0.99</v>
      </c>
      <c r="F286" s="5">
        <v>0</v>
      </c>
      <c r="G286" s="5">
        <v>67.38</v>
      </c>
      <c r="H286" s="5">
        <v>806</v>
      </c>
      <c r="I286" s="5" t="str">
        <f>HYPERLINK("https://www.ncbi.nlm.nih.gov/protein/WP_002783018.1?report=genbank&amp;log$=prottop&amp;blast_rank=117&amp;RID=7U875CNM013","WP_002783018.1")</f>
        <v>WP_002783018.1</v>
      </c>
      <c r="J286" s="5" t="s">
        <v>2</v>
      </c>
    </row>
    <row r="287" spans="1:10" s="5" customFormat="1" x14ac:dyDescent="0.2">
      <c r="A287" s="5" t="s">
        <v>493</v>
      </c>
      <c r="B287" s="5" t="s">
        <v>452</v>
      </c>
      <c r="C287" s="5">
        <v>1131</v>
      </c>
      <c r="D287" s="5">
        <v>1131</v>
      </c>
      <c r="E287" s="6">
        <v>0.99</v>
      </c>
      <c r="F287" s="5">
        <v>0</v>
      </c>
      <c r="G287" s="5">
        <v>67.38</v>
      </c>
      <c r="H287" s="5">
        <v>806</v>
      </c>
      <c r="I287" s="5" t="str">
        <f>HYPERLINK("https://www.ncbi.nlm.nih.gov/protein/WP_159294133.1?report=genbank&amp;log$=prottop&amp;blast_rank=118&amp;RID=7U875CNM013","WP_159294133.1")</f>
        <v>WP_159294133.1</v>
      </c>
      <c r="J287" s="5" t="s">
        <v>2</v>
      </c>
    </row>
    <row r="288" spans="1:10" s="5" customFormat="1" x14ac:dyDescent="0.2">
      <c r="A288" s="5" t="s">
        <v>496</v>
      </c>
      <c r="B288" s="5" t="s">
        <v>497</v>
      </c>
      <c r="C288" s="5">
        <v>1131</v>
      </c>
      <c r="D288" s="5">
        <v>1131</v>
      </c>
      <c r="E288" s="6">
        <v>0.99</v>
      </c>
      <c r="F288" s="5">
        <v>0</v>
      </c>
      <c r="G288" s="5">
        <v>67.38</v>
      </c>
      <c r="H288" s="5">
        <v>806</v>
      </c>
      <c r="I288" s="5" t="str">
        <f>HYPERLINK("https://www.ncbi.nlm.nih.gov/protein/WP_193959945.1?report=genbank&amp;log$=prottop&amp;blast_rank=119&amp;RID=7U875CNM013","WP_193959945.1")</f>
        <v>WP_193959945.1</v>
      </c>
      <c r="J288" s="5" t="s">
        <v>2</v>
      </c>
    </row>
    <row r="289" spans="1:10" s="5" customFormat="1" x14ac:dyDescent="0.2">
      <c r="A289" s="5" t="s">
        <v>498</v>
      </c>
      <c r="B289" s="5" t="s">
        <v>499</v>
      </c>
      <c r="C289" s="5">
        <v>1131</v>
      </c>
      <c r="D289" s="5">
        <v>1131</v>
      </c>
      <c r="E289" s="6">
        <v>0.99</v>
      </c>
      <c r="F289" s="5">
        <v>0</v>
      </c>
      <c r="G289" s="5">
        <v>67.38</v>
      </c>
      <c r="H289" s="5">
        <v>806</v>
      </c>
      <c r="I289" s="5" t="str">
        <f>HYPERLINK("https://www.ncbi.nlm.nih.gov/protein/TRV04891.1?report=genbank&amp;log$=prottop&amp;blast_rank=120&amp;RID=7U875CNM013","TRV04891.1")</f>
        <v>TRV04891.1</v>
      </c>
      <c r="J289" s="5" t="s">
        <v>2</v>
      </c>
    </row>
    <row r="290" spans="1:10" s="5" customFormat="1" x14ac:dyDescent="0.2">
      <c r="A290" s="5" t="s">
        <v>500</v>
      </c>
      <c r="B290" s="5" t="s">
        <v>501</v>
      </c>
      <c r="C290" s="5">
        <v>1131</v>
      </c>
      <c r="D290" s="5">
        <v>1131</v>
      </c>
      <c r="E290" s="6">
        <v>0.99</v>
      </c>
      <c r="F290" s="5">
        <v>0</v>
      </c>
      <c r="G290" s="5">
        <v>67.38</v>
      </c>
      <c r="H290" s="5">
        <v>806</v>
      </c>
      <c r="I290" s="5" t="str">
        <f>HYPERLINK("https://www.ncbi.nlm.nih.gov/protein/REJ45620.1?report=genbank&amp;log$=prottop&amp;blast_rank=121&amp;RID=7U875CNM013","REJ45620.1")</f>
        <v>REJ45620.1</v>
      </c>
      <c r="J290" s="5" t="s">
        <v>2</v>
      </c>
    </row>
    <row r="291" spans="1:10" s="5" customFormat="1" x14ac:dyDescent="0.2">
      <c r="A291" s="5" t="s">
        <v>502</v>
      </c>
      <c r="B291" s="5" t="s">
        <v>503</v>
      </c>
      <c r="C291" s="5">
        <v>1130</v>
      </c>
      <c r="D291" s="5">
        <v>1130</v>
      </c>
      <c r="E291" s="6">
        <v>0.99</v>
      </c>
      <c r="F291" s="5">
        <v>0</v>
      </c>
      <c r="G291" s="5">
        <v>67.38</v>
      </c>
      <c r="H291" s="5">
        <v>806</v>
      </c>
      <c r="I291" s="5" t="str">
        <f>HYPERLINK("https://www.ncbi.nlm.nih.gov/protein/TRU92100.1?report=genbank&amp;log$=prottop&amp;blast_rank=122&amp;RID=7U875CNM013","TRU92100.1")</f>
        <v>TRU92100.1</v>
      </c>
      <c r="J291" s="5" t="s">
        <v>2</v>
      </c>
    </row>
    <row r="292" spans="1:10" s="5" customFormat="1" x14ac:dyDescent="0.2">
      <c r="A292" s="5" t="s">
        <v>504</v>
      </c>
      <c r="B292" s="5" t="s">
        <v>505</v>
      </c>
      <c r="C292" s="5">
        <v>1130</v>
      </c>
      <c r="D292" s="5">
        <v>1130</v>
      </c>
      <c r="E292" s="6">
        <v>0.99</v>
      </c>
      <c r="F292" s="5">
        <v>0</v>
      </c>
      <c r="G292" s="5">
        <v>67.38</v>
      </c>
      <c r="H292" s="5">
        <v>806</v>
      </c>
      <c r="I292" s="5" t="str">
        <f>HYPERLINK("https://www.ncbi.nlm.nih.gov/protein/NCR78610.1?report=genbank&amp;log$=prottop&amp;blast_rank=123&amp;RID=7U875CNM013","NCR78610.1")</f>
        <v>NCR78610.1</v>
      </c>
      <c r="J292" s="5" t="s">
        <v>2</v>
      </c>
    </row>
    <row r="293" spans="1:10" s="5" customFormat="1" x14ac:dyDescent="0.2">
      <c r="A293" s="5" t="s">
        <v>506</v>
      </c>
      <c r="B293" s="5" t="s">
        <v>507</v>
      </c>
      <c r="C293" s="5">
        <v>1124</v>
      </c>
      <c r="D293" s="5">
        <v>1124</v>
      </c>
      <c r="E293" s="6">
        <v>0.99</v>
      </c>
      <c r="F293" s="5">
        <v>0</v>
      </c>
      <c r="G293" s="5">
        <v>67.34</v>
      </c>
      <c r="H293" s="5">
        <v>808</v>
      </c>
      <c r="I293" s="5" t="str">
        <f>HYPERLINK("https://www.ncbi.nlm.nih.gov/protein/WP_023072651.1?report=genbank&amp;log$=prottop&amp;blast_rank=127&amp;RID=7U875CNM013","WP_023072651.1")</f>
        <v>WP_023072651.1</v>
      </c>
      <c r="J293" s="5" t="s">
        <v>2</v>
      </c>
    </row>
    <row r="294" spans="1:10" s="5" customFormat="1" x14ac:dyDescent="0.2">
      <c r="A294" s="5" t="s">
        <v>508</v>
      </c>
      <c r="B294" s="5" t="s">
        <v>509</v>
      </c>
      <c r="C294" s="5">
        <v>1135</v>
      </c>
      <c r="D294" s="5">
        <v>1135</v>
      </c>
      <c r="E294" s="6">
        <v>0.99</v>
      </c>
      <c r="F294" s="5">
        <v>0</v>
      </c>
      <c r="G294" s="5">
        <v>67.33</v>
      </c>
      <c r="H294" s="5">
        <v>819</v>
      </c>
      <c r="I294" s="5" t="str">
        <f>HYPERLINK("https://www.ncbi.nlm.nih.gov/protein/NJN32047.1?report=genbank&amp;log$=prottop&amp;blast_rank=129&amp;RID=7U875CNM013","NJN32047.1")</f>
        <v>NJN32047.1</v>
      </c>
      <c r="J294" s="5" t="s">
        <v>2</v>
      </c>
    </row>
    <row r="295" spans="1:10" s="5" customFormat="1" x14ac:dyDescent="0.2">
      <c r="A295" s="5" t="s">
        <v>510</v>
      </c>
      <c r="B295" s="5" t="s">
        <v>511</v>
      </c>
      <c r="C295" s="5">
        <v>1117</v>
      </c>
      <c r="D295" s="5">
        <v>1117</v>
      </c>
      <c r="E295" s="6">
        <v>1</v>
      </c>
      <c r="F295" s="5">
        <v>0</v>
      </c>
      <c r="G295" s="5">
        <v>67.290000000000006</v>
      </c>
      <c r="H295" s="5">
        <v>802</v>
      </c>
      <c r="I295" s="5" t="str">
        <f>HYPERLINK("https://www.ncbi.nlm.nih.gov/protein/KPQ33474.1?report=genbank&amp;log$=prottop&amp;blast_rank=137&amp;RID=7U875CNM013","KPQ33474.1")</f>
        <v>KPQ33474.1</v>
      </c>
      <c r="J295" s="5" t="s">
        <v>2</v>
      </c>
    </row>
    <row r="296" spans="1:10" s="5" customFormat="1" x14ac:dyDescent="0.2">
      <c r="A296" s="5" t="s">
        <v>512</v>
      </c>
      <c r="B296" s="5" t="s">
        <v>513</v>
      </c>
      <c r="C296" s="5">
        <v>1164</v>
      </c>
      <c r="D296" s="5">
        <v>1164</v>
      </c>
      <c r="E296" s="6">
        <v>0.99</v>
      </c>
      <c r="F296" s="5">
        <v>0</v>
      </c>
      <c r="G296" s="5">
        <v>67.25</v>
      </c>
      <c r="H296" s="5">
        <v>808</v>
      </c>
      <c r="I296" s="5" t="str">
        <f>HYPERLINK("https://www.ncbi.nlm.nih.gov/protein/WP_124144857.1?report=genbank&amp;log$=prottop&amp;blast_rank=139&amp;RID=7U875CNM013","WP_124144857.1")</f>
        <v>WP_124144857.1</v>
      </c>
      <c r="J296" s="5" t="s">
        <v>2</v>
      </c>
    </row>
    <row r="297" spans="1:10" s="5" customFormat="1" x14ac:dyDescent="0.2">
      <c r="A297" s="5" t="s">
        <v>514</v>
      </c>
      <c r="B297" s="5" t="s">
        <v>515</v>
      </c>
      <c r="C297" s="5">
        <v>1133</v>
      </c>
      <c r="D297" s="5">
        <v>1133</v>
      </c>
      <c r="E297" s="6">
        <v>0.99</v>
      </c>
      <c r="F297" s="5">
        <v>0</v>
      </c>
      <c r="G297" s="5">
        <v>67.25</v>
      </c>
      <c r="H297" s="5">
        <v>806</v>
      </c>
      <c r="I297" s="5" t="str">
        <f>HYPERLINK("https://www.ncbi.nlm.nih.gov/protein/NCQ84377.1?report=genbank&amp;log$=prottop&amp;blast_rank=140&amp;RID=7U875CNM013","NCQ84377.1")</f>
        <v>NCQ84377.1</v>
      </c>
      <c r="J297" s="5" t="s">
        <v>2</v>
      </c>
    </row>
    <row r="298" spans="1:10" s="5" customFormat="1" x14ac:dyDescent="0.2">
      <c r="A298" s="5" t="s">
        <v>516</v>
      </c>
      <c r="B298" s="5" t="s">
        <v>517</v>
      </c>
      <c r="C298" s="5">
        <v>1133</v>
      </c>
      <c r="D298" s="5">
        <v>1133</v>
      </c>
      <c r="E298" s="6">
        <v>0.99</v>
      </c>
      <c r="F298" s="5">
        <v>0</v>
      </c>
      <c r="G298" s="5">
        <v>67.25</v>
      </c>
      <c r="H298" s="5">
        <v>806</v>
      </c>
      <c r="I298" s="5" t="str">
        <f>HYPERLINK("https://www.ncbi.nlm.nih.gov/protein/NCS55599.1?report=genbank&amp;log$=prottop&amp;blast_rank=141&amp;RID=7U875CNM013","NCS55599.1")</f>
        <v>NCS55599.1</v>
      </c>
      <c r="J298" s="5" t="s">
        <v>2</v>
      </c>
    </row>
    <row r="299" spans="1:10" s="5" customFormat="1" x14ac:dyDescent="0.2">
      <c r="A299" s="5" t="s">
        <v>451</v>
      </c>
      <c r="B299" s="5" t="s">
        <v>452</v>
      </c>
      <c r="C299" s="5">
        <v>1132</v>
      </c>
      <c r="D299" s="5">
        <v>1132</v>
      </c>
      <c r="E299" s="6">
        <v>0.99</v>
      </c>
      <c r="F299" s="5">
        <v>0</v>
      </c>
      <c r="G299" s="5">
        <v>67.25</v>
      </c>
      <c r="H299" s="5">
        <v>806</v>
      </c>
      <c r="I299" s="5" t="str">
        <f>HYPERLINK("https://www.ncbi.nlm.nih.gov/protein/WP_149107087.1?report=genbank&amp;log$=prottop&amp;blast_rank=142&amp;RID=7U875CNM013","WP_149107087.1")</f>
        <v>WP_149107087.1</v>
      </c>
      <c r="J299" s="5" t="s">
        <v>2</v>
      </c>
    </row>
    <row r="300" spans="1:10" s="5" customFormat="1" x14ac:dyDescent="0.2">
      <c r="A300" s="5" t="s">
        <v>451</v>
      </c>
      <c r="B300" s="5" t="s">
        <v>452</v>
      </c>
      <c r="C300" s="5">
        <v>1132</v>
      </c>
      <c r="D300" s="5">
        <v>1132</v>
      </c>
      <c r="E300" s="6">
        <v>0.99</v>
      </c>
      <c r="F300" s="5">
        <v>0</v>
      </c>
      <c r="G300" s="5">
        <v>67.25</v>
      </c>
      <c r="H300" s="5">
        <v>806</v>
      </c>
      <c r="I300" s="5" t="str">
        <f>HYPERLINK("https://www.ncbi.nlm.nih.gov/protein/WP_002776550.1?report=genbank&amp;log$=prottop&amp;blast_rank=143&amp;RID=7U875CNM013","WP_002776550.1")</f>
        <v>WP_002776550.1</v>
      </c>
      <c r="J300" s="5" t="s">
        <v>2</v>
      </c>
    </row>
    <row r="301" spans="1:10" s="5" customFormat="1" x14ac:dyDescent="0.2">
      <c r="A301" s="5" t="s">
        <v>518</v>
      </c>
      <c r="B301" s="5" t="s">
        <v>519</v>
      </c>
      <c r="C301" s="5">
        <v>1132</v>
      </c>
      <c r="D301" s="5">
        <v>1132</v>
      </c>
      <c r="E301" s="6">
        <v>0.99</v>
      </c>
      <c r="F301" s="5">
        <v>0</v>
      </c>
      <c r="G301" s="5">
        <v>67.25</v>
      </c>
      <c r="H301" s="5">
        <v>806</v>
      </c>
      <c r="I301" s="5" t="str">
        <f>HYPERLINK("https://www.ncbi.nlm.nih.gov/protein/TRU21350.1?report=genbank&amp;log$=prottop&amp;blast_rank=144&amp;RID=7U875CNM013","TRU21350.1")</f>
        <v>TRU21350.1</v>
      </c>
      <c r="J301" s="5" t="s">
        <v>2</v>
      </c>
    </row>
    <row r="302" spans="1:10" s="5" customFormat="1" x14ac:dyDescent="0.2">
      <c r="A302" s="5" t="s">
        <v>451</v>
      </c>
      <c r="B302" s="5" t="s">
        <v>452</v>
      </c>
      <c r="C302" s="5">
        <v>1132</v>
      </c>
      <c r="D302" s="5">
        <v>1132</v>
      </c>
      <c r="E302" s="6">
        <v>0.99</v>
      </c>
      <c r="F302" s="5">
        <v>0</v>
      </c>
      <c r="G302" s="5">
        <v>67.25</v>
      </c>
      <c r="H302" s="5">
        <v>806</v>
      </c>
      <c r="I302" s="5" t="str">
        <f>HYPERLINK("https://www.ncbi.nlm.nih.gov/protein/WP_002757306.1?report=genbank&amp;log$=prottop&amp;blast_rank=145&amp;RID=7U875CNM013","WP_002757306.1")</f>
        <v>WP_002757306.1</v>
      </c>
      <c r="J302" s="5" t="s">
        <v>2</v>
      </c>
    </row>
    <row r="303" spans="1:10" s="5" customFormat="1" x14ac:dyDescent="0.2">
      <c r="A303" s="5" t="s">
        <v>451</v>
      </c>
      <c r="B303" s="5" t="s">
        <v>452</v>
      </c>
      <c r="C303" s="5">
        <v>1131</v>
      </c>
      <c r="D303" s="5">
        <v>1131</v>
      </c>
      <c r="E303" s="6">
        <v>0.99</v>
      </c>
      <c r="F303" s="5">
        <v>0</v>
      </c>
      <c r="G303" s="5">
        <v>67.25</v>
      </c>
      <c r="H303" s="5">
        <v>806</v>
      </c>
      <c r="I303" s="5" t="str">
        <f>HYPERLINK("https://www.ncbi.nlm.nih.gov/protein/WP_079210186.1?report=genbank&amp;log$=prottop&amp;blast_rank=146&amp;RID=7U875CNM013","WP_079210186.1")</f>
        <v>WP_079210186.1</v>
      </c>
      <c r="J303" s="5" t="s">
        <v>2</v>
      </c>
    </row>
    <row r="304" spans="1:10" s="5" customFormat="1" x14ac:dyDescent="0.2">
      <c r="A304" s="5" t="s">
        <v>483</v>
      </c>
      <c r="B304" s="5" t="s">
        <v>484</v>
      </c>
      <c r="C304" s="5">
        <v>1131</v>
      </c>
      <c r="D304" s="5">
        <v>1131</v>
      </c>
      <c r="E304" s="6">
        <v>0.99</v>
      </c>
      <c r="F304" s="5">
        <v>0</v>
      </c>
      <c r="G304" s="5">
        <v>67.25</v>
      </c>
      <c r="H304" s="5">
        <v>806</v>
      </c>
      <c r="I304" s="5" t="str">
        <f>HYPERLINK("https://www.ncbi.nlm.nih.gov/protein/WP_008200346.1?report=genbank&amp;log$=prottop&amp;blast_rank=147&amp;RID=7U875CNM013","WP_008200346.1")</f>
        <v>WP_008200346.1</v>
      </c>
      <c r="J304" s="5" t="s">
        <v>2</v>
      </c>
    </row>
    <row r="305" spans="1:10" s="5" customFormat="1" x14ac:dyDescent="0.2">
      <c r="A305" s="5" t="s">
        <v>520</v>
      </c>
      <c r="B305" s="5" t="s">
        <v>521</v>
      </c>
      <c r="C305" s="5">
        <v>1131</v>
      </c>
      <c r="D305" s="5">
        <v>1131</v>
      </c>
      <c r="E305" s="6">
        <v>0.99</v>
      </c>
      <c r="F305" s="5">
        <v>0</v>
      </c>
      <c r="G305" s="5">
        <v>67.25</v>
      </c>
      <c r="H305" s="5">
        <v>806</v>
      </c>
      <c r="I305" s="5" t="str">
        <f>HYPERLINK("https://www.ncbi.nlm.nih.gov/protein/NCR10837.1?report=genbank&amp;log$=prottop&amp;blast_rank=148&amp;RID=7U875CNM013","NCR10837.1")</f>
        <v>NCR10837.1</v>
      </c>
      <c r="J305" s="5" t="s">
        <v>2</v>
      </c>
    </row>
    <row r="306" spans="1:10" s="5" customFormat="1" x14ac:dyDescent="0.2">
      <c r="A306" s="5" t="s">
        <v>522</v>
      </c>
      <c r="B306" s="5" t="s">
        <v>523</v>
      </c>
      <c r="C306" s="5">
        <v>1130</v>
      </c>
      <c r="D306" s="5">
        <v>1130</v>
      </c>
      <c r="E306" s="6">
        <v>0.99</v>
      </c>
      <c r="F306" s="5">
        <v>0</v>
      </c>
      <c r="G306" s="5">
        <v>67.25</v>
      </c>
      <c r="H306" s="5">
        <v>806</v>
      </c>
      <c r="I306" s="5" t="str">
        <f>HYPERLINK("https://www.ncbi.nlm.nih.gov/protein/TRV14594.1?report=genbank&amp;log$=prottop&amp;blast_rank=149&amp;RID=7U875CNM013","TRV14594.1")</f>
        <v>TRV14594.1</v>
      </c>
      <c r="J306" s="5" t="s">
        <v>2</v>
      </c>
    </row>
    <row r="307" spans="1:10" s="5" customFormat="1" x14ac:dyDescent="0.2">
      <c r="A307" s="5" t="s">
        <v>524</v>
      </c>
      <c r="B307" s="5" t="s">
        <v>525</v>
      </c>
      <c r="C307" s="5">
        <v>1130</v>
      </c>
      <c r="D307" s="5">
        <v>1130</v>
      </c>
      <c r="E307" s="6">
        <v>0.99</v>
      </c>
      <c r="F307" s="5">
        <v>0</v>
      </c>
      <c r="G307" s="5">
        <v>67.25</v>
      </c>
      <c r="H307" s="5">
        <v>806</v>
      </c>
      <c r="I307" s="5" t="str">
        <f>HYPERLINK("https://www.ncbi.nlm.nih.gov/protein/WP_194033263.1?report=genbank&amp;log$=prottop&amp;blast_rank=150&amp;RID=7U875CNM013","WP_194033263.1")</f>
        <v>WP_194033263.1</v>
      </c>
      <c r="J307" s="5" t="s">
        <v>2</v>
      </c>
    </row>
    <row r="308" spans="1:10" s="5" customFormat="1" x14ac:dyDescent="0.2">
      <c r="A308" s="5" t="s">
        <v>526</v>
      </c>
      <c r="B308" s="5" t="s">
        <v>527</v>
      </c>
      <c r="C308" s="5">
        <v>1130</v>
      </c>
      <c r="D308" s="5">
        <v>1130</v>
      </c>
      <c r="E308" s="6">
        <v>0.99</v>
      </c>
      <c r="F308" s="5">
        <v>0</v>
      </c>
      <c r="G308" s="5">
        <v>67.25</v>
      </c>
      <c r="H308" s="5">
        <v>806</v>
      </c>
      <c r="I308" s="5" t="str">
        <f>HYPERLINK("https://www.ncbi.nlm.nih.gov/protein/NCQ93095.1?report=genbank&amp;log$=prottop&amp;blast_rank=151&amp;RID=7U875CNM013","NCQ93095.1")</f>
        <v>NCQ93095.1</v>
      </c>
      <c r="J308" s="5" t="s">
        <v>2</v>
      </c>
    </row>
    <row r="309" spans="1:10" s="5" customFormat="1" x14ac:dyDescent="0.2">
      <c r="A309" s="5" t="s">
        <v>451</v>
      </c>
      <c r="B309" s="5" t="s">
        <v>452</v>
      </c>
      <c r="C309" s="5">
        <v>1130</v>
      </c>
      <c r="D309" s="5">
        <v>1130</v>
      </c>
      <c r="E309" s="6">
        <v>0.99</v>
      </c>
      <c r="F309" s="5">
        <v>0</v>
      </c>
      <c r="G309" s="5">
        <v>67.25</v>
      </c>
      <c r="H309" s="5">
        <v>806</v>
      </c>
      <c r="I309" s="5" t="str">
        <f>HYPERLINK("https://www.ncbi.nlm.nih.gov/protein/WP_002768186.1?report=genbank&amp;log$=prottop&amp;blast_rank=152&amp;RID=7U875CNM013","WP_002768186.1")</f>
        <v>WP_002768186.1</v>
      </c>
      <c r="J309" s="5" t="s">
        <v>2</v>
      </c>
    </row>
    <row r="310" spans="1:10" s="5" customFormat="1" x14ac:dyDescent="0.2">
      <c r="A310" s="5" t="s">
        <v>528</v>
      </c>
      <c r="B310" s="5" t="s">
        <v>529</v>
      </c>
      <c r="C310" s="5">
        <v>1130</v>
      </c>
      <c r="D310" s="5">
        <v>1130</v>
      </c>
      <c r="E310" s="6">
        <v>0.99</v>
      </c>
      <c r="F310" s="5">
        <v>0</v>
      </c>
      <c r="G310" s="5">
        <v>67.25</v>
      </c>
      <c r="H310" s="5">
        <v>806</v>
      </c>
      <c r="I310" s="5" t="str">
        <f>HYPERLINK("https://www.ncbi.nlm.nih.gov/protein/WP_190357689.1?report=genbank&amp;log$=prottop&amp;blast_rank=153&amp;RID=7U875CNM013","WP_190357689.1")</f>
        <v>WP_190357689.1</v>
      </c>
      <c r="J310" s="5" t="s">
        <v>2</v>
      </c>
    </row>
    <row r="311" spans="1:10" s="5" customFormat="1" x14ac:dyDescent="0.2">
      <c r="A311" s="5" t="s">
        <v>530</v>
      </c>
      <c r="B311" s="5" t="s">
        <v>531</v>
      </c>
      <c r="C311" s="5">
        <v>1130</v>
      </c>
      <c r="D311" s="5">
        <v>1130</v>
      </c>
      <c r="E311" s="6">
        <v>0.99</v>
      </c>
      <c r="F311" s="5">
        <v>0</v>
      </c>
      <c r="G311" s="5">
        <v>67.25</v>
      </c>
      <c r="H311" s="5">
        <v>806</v>
      </c>
      <c r="I311" s="5" t="str">
        <f>HYPERLINK("https://www.ncbi.nlm.nih.gov/protein/NCS24108.1?report=genbank&amp;log$=prottop&amp;blast_rank=154&amp;RID=7U875CNM013","NCS24108.1")</f>
        <v>NCS24108.1</v>
      </c>
      <c r="J311" s="5" t="s">
        <v>2</v>
      </c>
    </row>
    <row r="312" spans="1:10" s="5" customFormat="1" x14ac:dyDescent="0.2">
      <c r="A312" s="5" t="s">
        <v>532</v>
      </c>
      <c r="B312" s="5" t="s">
        <v>533</v>
      </c>
      <c r="C312" s="5">
        <v>1130</v>
      </c>
      <c r="D312" s="5">
        <v>1130</v>
      </c>
      <c r="E312" s="6">
        <v>0.99</v>
      </c>
      <c r="F312" s="5">
        <v>0</v>
      </c>
      <c r="G312" s="5">
        <v>67.25</v>
      </c>
      <c r="H312" s="5">
        <v>806</v>
      </c>
      <c r="I312" s="5" t="str">
        <f>HYPERLINK("https://www.ncbi.nlm.nih.gov/protein/NCQ93945.1?report=genbank&amp;log$=prottop&amp;blast_rank=155&amp;RID=7U875CNM013","NCQ93945.1")</f>
        <v>NCQ93945.1</v>
      </c>
      <c r="J312" s="5" t="s">
        <v>2</v>
      </c>
    </row>
    <row r="313" spans="1:10" s="5" customFormat="1" x14ac:dyDescent="0.2">
      <c r="A313" s="5" t="s">
        <v>493</v>
      </c>
      <c r="B313" s="5" t="s">
        <v>452</v>
      </c>
      <c r="C313" s="5">
        <v>1130</v>
      </c>
      <c r="D313" s="5">
        <v>1130</v>
      </c>
      <c r="E313" s="6">
        <v>0.99</v>
      </c>
      <c r="F313" s="5">
        <v>0</v>
      </c>
      <c r="G313" s="5">
        <v>67.25</v>
      </c>
      <c r="H313" s="5">
        <v>806</v>
      </c>
      <c r="I313" s="5" t="str">
        <f>HYPERLINK("https://www.ncbi.nlm.nih.gov/protein/WP_193955841.1?report=genbank&amp;log$=prottop&amp;blast_rank=156&amp;RID=7U875CNM013","WP_193955841.1")</f>
        <v>WP_193955841.1</v>
      </c>
      <c r="J313" s="5" t="s">
        <v>2</v>
      </c>
    </row>
    <row r="314" spans="1:10" s="5" customFormat="1" x14ac:dyDescent="0.2">
      <c r="A314" s="5" t="s">
        <v>451</v>
      </c>
      <c r="B314" s="5" t="s">
        <v>452</v>
      </c>
      <c r="C314" s="5">
        <v>1130</v>
      </c>
      <c r="D314" s="5">
        <v>1130</v>
      </c>
      <c r="E314" s="6">
        <v>0.99</v>
      </c>
      <c r="F314" s="5">
        <v>0</v>
      </c>
      <c r="G314" s="5">
        <v>67.25</v>
      </c>
      <c r="H314" s="5">
        <v>806</v>
      </c>
      <c r="I314" s="5" t="str">
        <f>HYPERLINK("https://www.ncbi.nlm.nih.gov/protein/WP_052277987.1?report=genbank&amp;log$=prottop&amp;blast_rank=157&amp;RID=7U875CNM013","WP_052277987.1")</f>
        <v>WP_052277987.1</v>
      </c>
      <c r="J314" s="5" t="s">
        <v>2</v>
      </c>
    </row>
    <row r="315" spans="1:10" s="5" customFormat="1" x14ac:dyDescent="0.2">
      <c r="A315" s="5" t="s">
        <v>534</v>
      </c>
      <c r="B315" s="5" t="s">
        <v>535</v>
      </c>
      <c r="C315" s="5">
        <v>1130</v>
      </c>
      <c r="D315" s="5">
        <v>1130</v>
      </c>
      <c r="E315" s="6">
        <v>0.99</v>
      </c>
      <c r="F315" s="5">
        <v>0</v>
      </c>
      <c r="G315" s="5">
        <v>67.25</v>
      </c>
      <c r="H315" s="5">
        <v>806</v>
      </c>
      <c r="I315" s="5" t="str">
        <f>HYPERLINK("https://www.ncbi.nlm.nih.gov/protein/NCR40747.1?report=genbank&amp;log$=prottop&amp;blast_rank=158&amp;RID=7U875CNM013","NCR40747.1")</f>
        <v>NCR40747.1</v>
      </c>
      <c r="J315" s="5" t="s">
        <v>2</v>
      </c>
    </row>
    <row r="316" spans="1:10" s="5" customFormat="1" x14ac:dyDescent="0.2">
      <c r="A316" s="5" t="s">
        <v>451</v>
      </c>
      <c r="B316" s="5" t="s">
        <v>452</v>
      </c>
      <c r="C316" s="5">
        <v>1129</v>
      </c>
      <c r="D316" s="5">
        <v>1129</v>
      </c>
      <c r="E316" s="6">
        <v>0.99</v>
      </c>
      <c r="F316" s="5">
        <v>0</v>
      </c>
      <c r="G316" s="5">
        <v>67.25</v>
      </c>
      <c r="H316" s="5">
        <v>806</v>
      </c>
      <c r="I316" s="5" t="str">
        <f>HYPERLINK("https://www.ncbi.nlm.nih.gov/protein/WP_002802887.1?report=genbank&amp;log$=prottop&amp;blast_rank=159&amp;RID=7U875CNM013","WP_002802887.1")</f>
        <v>WP_002802887.1</v>
      </c>
      <c r="J316" s="5" t="s">
        <v>2</v>
      </c>
    </row>
    <row r="317" spans="1:10" s="5" customFormat="1" x14ac:dyDescent="0.2">
      <c r="A317" s="5" t="s">
        <v>536</v>
      </c>
      <c r="B317" s="5" t="s">
        <v>537</v>
      </c>
      <c r="C317" s="5">
        <v>1126</v>
      </c>
      <c r="D317" s="5">
        <v>1126</v>
      </c>
      <c r="E317" s="6">
        <v>0.99</v>
      </c>
      <c r="F317" s="5">
        <v>0</v>
      </c>
      <c r="G317" s="5">
        <v>67.25</v>
      </c>
      <c r="H317" s="5">
        <v>806</v>
      </c>
      <c r="I317" s="5" t="str">
        <f>HYPERLINK("https://www.ncbi.nlm.nih.gov/protein/TRT56181.1?report=genbank&amp;log$=prottop&amp;blast_rank=160&amp;RID=7U875CNM013","TRT56181.1")</f>
        <v>TRT56181.1</v>
      </c>
      <c r="J317" s="5" t="s">
        <v>2</v>
      </c>
    </row>
    <row r="318" spans="1:10" s="5" customFormat="1" x14ac:dyDescent="0.2">
      <c r="A318" s="5" t="s">
        <v>451</v>
      </c>
      <c r="B318" s="5" t="s">
        <v>452</v>
      </c>
      <c r="C318" s="5">
        <v>1124</v>
      </c>
      <c r="D318" s="5">
        <v>1124</v>
      </c>
      <c r="E318" s="6">
        <v>0.99</v>
      </c>
      <c r="F318" s="5">
        <v>0</v>
      </c>
      <c r="G318" s="5">
        <v>67.25</v>
      </c>
      <c r="H318" s="5">
        <v>806</v>
      </c>
      <c r="I318" s="5" t="str">
        <f>HYPERLINK("https://www.ncbi.nlm.nih.gov/protein/WP_104398251.1?report=genbank&amp;log$=prottop&amp;blast_rank=161&amp;RID=7U875CNM013","WP_104398251.1")</f>
        <v>WP_104398251.1</v>
      </c>
      <c r="J318" s="5" t="s">
        <v>2</v>
      </c>
    </row>
    <row r="319" spans="1:10" s="5" customFormat="1" x14ac:dyDescent="0.2">
      <c r="A319" s="5" t="s">
        <v>538</v>
      </c>
      <c r="B319" s="5" t="s">
        <v>539</v>
      </c>
      <c r="C319" s="5">
        <v>1123</v>
      </c>
      <c r="D319" s="5">
        <v>1123</v>
      </c>
      <c r="E319" s="6">
        <v>0.99</v>
      </c>
      <c r="F319" s="5">
        <v>0</v>
      </c>
      <c r="G319" s="5">
        <v>67.25</v>
      </c>
      <c r="H319" s="5">
        <v>806</v>
      </c>
      <c r="I319" s="5" t="str">
        <f>HYPERLINK("https://www.ncbi.nlm.nih.gov/protein/TRT93430.1?report=genbank&amp;log$=prottop&amp;blast_rank=162&amp;RID=7U875CNM013","TRT93430.1")</f>
        <v>TRT93430.1</v>
      </c>
      <c r="J319" s="5" t="s">
        <v>2</v>
      </c>
    </row>
    <row r="320" spans="1:10" s="5" customFormat="1" x14ac:dyDescent="0.2">
      <c r="A320" s="5" t="s">
        <v>540</v>
      </c>
      <c r="B320" s="5" t="s">
        <v>2</v>
      </c>
      <c r="C320" s="5">
        <v>1127</v>
      </c>
      <c r="D320" s="5">
        <v>1127</v>
      </c>
      <c r="E320" s="6">
        <v>0.98</v>
      </c>
      <c r="F320" s="5">
        <v>0</v>
      </c>
      <c r="G320" s="5">
        <v>67.13</v>
      </c>
      <c r="H320" s="5">
        <v>806</v>
      </c>
      <c r="I320" s="5" t="str">
        <f>HYPERLINK("https://www.ncbi.nlm.nih.gov/protein/WP_039726056.1?report=genbank&amp;log$=prottop&amp;blast_rank=185&amp;RID=7U875CNM013","WP_039726056.1")</f>
        <v>WP_039726056.1</v>
      </c>
      <c r="J320" s="5" t="s">
        <v>2</v>
      </c>
    </row>
    <row r="321" spans="1:10" s="5" customFormat="1" x14ac:dyDescent="0.2">
      <c r="A321" s="5" t="s">
        <v>541</v>
      </c>
      <c r="B321" s="5" t="s">
        <v>542</v>
      </c>
      <c r="C321" s="5">
        <v>1147</v>
      </c>
      <c r="D321" s="5">
        <v>1147</v>
      </c>
      <c r="E321" s="6">
        <v>0.99</v>
      </c>
      <c r="F321" s="5">
        <v>0</v>
      </c>
      <c r="G321" s="5">
        <v>67.13</v>
      </c>
      <c r="H321" s="5">
        <v>805</v>
      </c>
      <c r="I321" s="5" t="str">
        <f>HYPERLINK("https://www.ncbi.nlm.nih.gov/protein/WP_194072190.1?report=genbank&amp;log$=prottop&amp;blast_rank=186&amp;RID=7U875CNM013","WP_194072190.1")</f>
        <v>WP_194072190.1</v>
      </c>
      <c r="J321" s="5" t="s">
        <v>2</v>
      </c>
    </row>
    <row r="322" spans="1:10" s="5" customFormat="1" x14ac:dyDescent="0.2">
      <c r="A322" s="5" t="s">
        <v>451</v>
      </c>
      <c r="B322" s="5" t="s">
        <v>452</v>
      </c>
      <c r="C322" s="5">
        <v>1130</v>
      </c>
      <c r="D322" s="5">
        <v>1130</v>
      </c>
      <c r="E322" s="6">
        <v>0.99</v>
      </c>
      <c r="F322" s="5">
        <v>0</v>
      </c>
      <c r="G322" s="5">
        <v>67.13</v>
      </c>
      <c r="H322" s="5">
        <v>806</v>
      </c>
      <c r="I322" s="5" t="str">
        <f>HYPERLINK("https://www.ncbi.nlm.nih.gov/protein/WP_110580549.1?report=genbank&amp;log$=prottop&amp;blast_rank=187&amp;RID=7U875CNM013","WP_110580549.1")</f>
        <v>WP_110580549.1</v>
      </c>
      <c r="J322" s="5" t="s">
        <v>2</v>
      </c>
    </row>
    <row r="323" spans="1:10" s="5" customFormat="1" x14ac:dyDescent="0.2">
      <c r="A323" s="5" t="s">
        <v>451</v>
      </c>
      <c r="B323" s="5" t="s">
        <v>452</v>
      </c>
      <c r="C323" s="5">
        <v>1129</v>
      </c>
      <c r="D323" s="5">
        <v>1129</v>
      </c>
      <c r="E323" s="6">
        <v>0.99</v>
      </c>
      <c r="F323" s="5">
        <v>0</v>
      </c>
      <c r="G323" s="5">
        <v>67.13</v>
      </c>
      <c r="H323" s="5">
        <v>806</v>
      </c>
      <c r="I323" s="5" t="str">
        <f>HYPERLINK("https://www.ncbi.nlm.nih.gov/protein/WP_004161595.1?report=genbank&amp;log$=prottop&amp;blast_rank=188&amp;RID=7U875CNM013","WP_004161595.1")</f>
        <v>WP_004161595.1</v>
      </c>
      <c r="J323" s="5" t="s">
        <v>2</v>
      </c>
    </row>
    <row r="324" spans="1:10" s="5" customFormat="1" x14ac:dyDescent="0.2">
      <c r="A324" s="5" t="s">
        <v>543</v>
      </c>
      <c r="B324" s="5" t="s">
        <v>544</v>
      </c>
      <c r="C324" s="5">
        <v>1129</v>
      </c>
      <c r="D324" s="5">
        <v>1129</v>
      </c>
      <c r="E324" s="6">
        <v>0.99</v>
      </c>
      <c r="F324" s="5">
        <v>0</v>
      </c>
      <c r="G324" s="5">
        <v>67.13</v>
      </c>
      <c r="H324" s="5">
        <v>806</v>
      </c>
      <c r="I324" s="5" t="str">
        <f>HYPERLINK("https://www.ncbi.nlm.nih.gov/protein/REJ56843.1?report=genbank&amp;log$=prottop&amp;blast_rank=189&amp;RID=7U875CNM013","REJ56843.1")</f>
        <v>REJ56843.1</v>
      </c>
      <c r="J324" s="5" t="s">
        <v>2</v>
      </c>
    </row>
    <row r="325" spans="1:10" s="5" customFormat="1" x14ac:dyDescent="0.2">
      <c r="A325" s="5" t="s">
        <v>451</v>
      </c>
      <c r="B325" s="5" t="s">
        <v>452</v>
      </c>
      <c r="C325" s="5">
        <v>1128</v>
      </c>
      <c r="D325" s="5">
        <v>1128</v>
      </c>
      <c r="E325" s="6">
        <v>0.99</v>
      </c>
      <c r="F325" s="5">
        <v>0</v>
      </c>
      <c r="G325" s="5">
        <v>67.13</v>
      </c>
      <c r="H325" s="5">
        <v>806</v>
      </c>
      <c r="I325" s="5" t="str">
        <f>HYPERLINK("https://www.ncbi.nlm.nih.gov/protein/WP_110546039.1?report=genbank&amp;log$=prottop&amp;blast_rank=190&amp;RID=7U875CNM013","WP_110546039.1")</f>
        <v>WP_110546039.1</v>
      </c>
      <c r="J325" s="5" t="s">
        <v>2</v>
      </c>
    </row>
    <row r="326" spans="1:10" s="5" customFormat="1" x14ac:dyDescent="0.2">
      <c r="A326" s="5" t="s">
        <v>451</v>
      </c>
      <c r="B326" s="5" t="s">
        <v>452</v>
      </c>
      <c r="C326" s="5">
        <v>1127</v>
      </c>
      <c r="D326" s="5">
        <v>1127</v>
      </c>
      <c r="E326" s="6">
        <v>0.99</v>
      </c>
      <c r="F326" s="5">
        <v>0</v>
      </c>
      <c r="G326" s="5">
        <v>67.13</v>
      </c>
      <c r="H326" s="5">
        <v>806</v>
      </c>
      <c r="I326" s="5" t="str">
        <f>HYPERLINK("https://www.ncbi.nlm.nih.gov/protein/WP_149977325.1?report=genbank&amp;log$=prottop&amp;blast_rank=192&amp;RID=7U875CNM013","WP_149977325.1")</f>
        <v>WP_149977325.1</v>
      </c>
      <c r="J326" s="5" t="s">
        <v>2</v>
      </c>
    </row>
    <row r="327" spans="1:10" s="5" customFormat="1" x14ac:dyDescent="0.2">
      <c r="A327" s="5" t="s">
        <v>545</v>
      </c>
      <c r="B327" s="5" t="s">
        <v>546</v>
      </c>
      <c r="C327" s="5">
        <v>1123</v>
      </c>
      <c r="D327" s="5">
        <v>1123</v>
      </c>
      <c r="E327" s="6">
        <v>0.99</v>
      </c>
      <c r="F327" s="5">
        <v>0</v>
      </c>
      <c r="G327" s="5">
        <v>67.13</v>
      </c>
      <c r="H327" s="5">
        <v>806</v>
      </c>
      <c r="I327" s="5" t="str">
        <f>HYPERLINK("https://www.ncbi.nlm.nih.gov/protein/WP_108936974.1?report=genbank&amp;log$=prottop&amp;blast_rank=193&amp;RID=7U875CNM013","WP_108936974.1")</f>
        <v>WP_108936974.1</v>
      </c>
      <c r="J327" s="5" t="s">
        <v>2</v>
      </c>
    </row>
    <row r="328" spans="1:10" s="5" customFormat="1" x14ac:dyDescent="0.2">
      <c r="A328" s="5" t="s">
        <v>547</v>
      </c>
      <c r="B328" s="5" t="s">
        <v>548</v>
      </c>
      <c r="C328" s="5">
        <v>1130</v>
      </c>
      <c r="D328" s="5">
        <v>1130</v>
      </c>
      <c r="E328" s="6">
        <v>1</v>
      </c>
      <c r="F328" s="5">
        <v>0</v>
      </c>
      <c r="G328" s="5">
        <v>67.12</v>
      </c>
      <c r="H328" s="5">
        <v>806</v>
      </c>
      <c r="I328" s="5" t="str">
        <f>HYPERLINK("https://www.ncbi.nlm.nih.gov/protein/WP_204139669.1?report=genbank&amp;log$=prottop&amp;blast_rank=194&amp;RID=7U875CNM013","WP_204139669.1")</f>
        <v>WP_204139669.1</v>
      </c>
      <c r="J328" s="5" t="s">
        <v>2</v>
      </c>
    </row>
    <row r="329" spans="1:10" s="5" customFormat="1" x14ac:dyDescent="0.2">
      <c r="A329" s="5" t="s">
        <v>194</v>
      </c>
      <c r="B329" s="5" t="s">
        <v>195</v>
      </c>
      <c r="C329" s="5">
        <v>1152</v>
      </c>
      <c r="D329" s="5">
        <v>1152</v>
      </c>
      <c r="E329" s="6">
        <v>0.98</v>
      </c>
      <c r="F329" s="5">
        <v>0</v>
      </c>
      <c r="G329" s="5">
        <v>67.09</v>
      </c>
      <c r="H329" s="5">
        <v>813</v>
      </c>
      <c r="I329" s="5" t="str">
        <f>HYPERLINK("https://www.ncbi.nlm.nih.gov/protein/WP_012627302.1?report=genbank&amp;log$=prottop&amp;blast_rank=197&amp;RID=7U875CNM013","WP_012627302.1")</f>
        <v>WP_012627302.1</v>
      </c>
      <c r="J329" s="5" t="s">
        <v>2</v>
      </c>
    </row>
    <row r="330" spans="1:10" s="5" customFormat="1" x14ac:dyDescent="0.2">
      <c r="A330" s="5" t="s">
        <v>549</v>
      </c>
      <c r="B330" s="5" t="s">
        <v>550</v>
      </c>
      <c r="C330" s="5">
        <v>1141</v>
      </c>
      <c r="D330" s="5">
        <v>1141</v>
      </c>
      <c r="E330" s="6">
        <v>0.98</v>
      </c>
      <c r="F330" s="5">
        <v>0</v>
      </c>
      <c r="G330" s="5">
        <v>67.09</v>
      </c>
      <c r="H330" s="5">
        <v>811</v>
      </c>
      <c r="I330" s="5" t="str">
        <f>HYPERLINK("https://www.ncbi.nlm.nih.gov/protein/RMF69844.1?report=genbank&amp;log$=prottop&amp;blast_rank=198&amp;RID=7U875CNM013","RMF69844.1")</f>
        <v>RMF69844.1</v>
      </c>
      <c r="J330" s="5" t="s">
        <v>2</v>
      </c>
    </row>
    <row r="331" spans="1:10" s="5" customFormat="1" x14ac:dyDescent="0.2">
      <c r="A331" s="5" t="s">
        <v>551</v>
      </c>
      <c r="B331" s="5" t="s">
        <v>552</v>
      </c>
      <c r="C331" s="5">
        <v>1163</v>
      </c>
      <c r="D331" s="5">
        <v>1163</v>
      </c>
      <c r="E331" s="6">
        <v>0.99</v>
      </c>
      <c r="F331" s="5">
        <v>0</v>
      </c>
      <c r="G331" s="5">
        <v>67.09</v>
      </c>
      <c r="H331" s="5">
        <v>813</v>
      </c>
      <c r="I331" s="5" t="str">
        <f>HYPERLINK("https://www.ncbi.nlm.nih.gov/protein/NEO53226.1?report=genbank&amp;log$=prottop&amp;blast_rank=203&amp;RID=7U875CNM013","NEO53226.1")</f>
        <v>NEO53226.1</v>
      </c>
      <c r="J331" s="5" t="s">
        <v>2</v>
      </c>
    </row>
    <row r="332" spans="1:10" s="5" customFormat="1" x14ac:dyDescent="0.2">
      <c r="A332" s="5" t="s">
        <v>553</v>
      </c>
      <c r="B332" s="5" t="s">
        <v>554</v>
      </c>
      <c r="C332" s="5">
        <v>1139</v>
      </c>
      <c r="D332" s="5">
        <v>1139</v>
      </c>
      <c r="E332" s="6">
        <v>1</v>
      </c>
      <c r="F332" s="5">
        <v>0</v>
      </c>
      <c r="G332" s="5">
        <v>67.08</v>
      </c>
      <c r="H332" s="5">
        <v>802</v>
      </c>
      <c r="I332" s="5" t="str">
        <f>HYPERLINK("https://www.ncbi.nlm.nih.gov/protein/WP_100054429.1?report=genbank&amp;log$=prottop&amp;blast_rank=204&amp;RID=7U875CNM013","WP_100054429.1")</f>
        <v>WP_100054429.1</v>
      </c>
      <c r="J332" s="5" t="s">
        <v>2</v>
      </c>
    </row>
    <row r="333" spans="1:10" s="5" customFormat="1" x14ac:dyDescent="0.2">
      <c r="A333" s="5" t="s">
        <v>465</v>
      </c>
      <c r="B333" s="5" t="s">
        <v>466</v>
      </c>
      <c r="C333" s="5">
        <v>1127</v>
      </c>
      <c r="D333" s="5">
        <v>1127</v>
      </c>
      <c r="E333" s="6">
        <v>1</v>
      </c>
      <c r="F333" s="5">
        <v>0</v>
      </c>
      <c r="G333" s="5">
        <v>67.08</v>
      </c>
      <c r="H333" s="5">
        <v>808</v>
      </c>
      <c r="I333" s="5" t="str">
        <f>HYPERLINK("https://www.ncbi.nlm.nih.gov/protein/WP_039781025.1?report=genbank&amp;log$=prottop&amp;blast_rank=205&amp;RID=7U875CNM013","WP_039781025.1")</f>
        <v>WP_039781025.1</v>
      </c>
      <c r="J333" s="5" t="s">
        <v>2</v>
      </c>
    </row>
    <row r="334" spans="1:10" s="5" customFormat="1" x14ac:dyDescent="0.2">
      <c r="A334" s="5" t="s">
        <v>555</v>
      </c>
      <c r="B334" s="5" t="s">
        <v>556</v>
      </c>
      <c r="C334" s="5">
        <v>1160</v>
      </c>
      <c r="D334" s="5">
        <v>1160</v>
      </c>
      <c r="E334" s="6">
        <v>0.98</v>
      </c>
      <c r="F334" s="5">
        <v>0</v>
      </c>
      <c r="G334" s="5">
        <v>67.05</v>
      </c>
      <c r="H334" s="5">
        <v>813</v>
      </c>
      <c r="I334" s="5" t="str">
        <f>HYPERLINK("https://www.ncbi.nlm.nih.gov/protein/WP_096676258.1?report=genbank&amp;log$=prottop&amp;blast_rank=214&amp;RID=7U875CNM013","WP_096676258.1")</f>
        <v>WP_096676258.1</v>
      </c>
      <c r="J334" s="5" t="s">
        <v>2</v>
      </c>
    </row>
    <row r="335" spans="1:10" s="5" customFormat="1" x14ac:dyDescent="0.2">
      <c r="A335" s="5" t="s">
        <v>557</v>
      </c>
      <c r="B335" s="5" t="s">
        <v>558</v>
      </c>
      <c r="C335" s="5">
        <v>1151</v>
      </c>
      <c r="D335" s="5">
        <v>1151</v>
      </c>
      <c r="E335" s="6">
        <v>0.98</v>
      </c>
      <c r="F335" s="5">
        <v>0</v>
      </c>
      <c r="G335" s="5">
        <v>67.05</v>
      </c>
      <c r="H335" s="5">
        <v>812</v>
      </c>
      <c r="I335" s="5" t="str">
        <f>HYPERLINK("https://www.ncbi.nlm.nih.gov/protein/MBF2051317.1?report=genbank&amp;log$=prottop&amp;blast_rank=215&amp;RID=7U875CNM013","MBF2051317.1")</f>
        <v>MBF2051317.1</v>
      </c>
      <c r="J335" s="5" t="s">
        <v>2</v>
      </c>
    </row>
    <row r="336" spans="1:10" s="5" customFormat="1" x14ac:dyDescent="0.2">
      <c r="A336" s="5" t="s">
        <v>559</v>
      </c>
      <c r="B336" s="5" t="s">
        <v>560</v>
      </c>
      <c r="C336" s="5">
        <v>1139</v>
      </c>
      <c r="D336" s="5">
        <v>1139</v>
      </c>
      <c r="E336" s="6">
        <v>0.98</v>
      </c>
      <c r="F336" s="5">
        <v>0</v>
      </c>
      <c r="G336" s="5">
        <v>67.05</v>
      </c>
      <c r="H336" s="5">
        <v>811</v>
      </c>
      <c r="I336" s="5" t="str">
        <f>HYPERLINK("https://www.ncbi.nlm.nih.gov/protein/WP_106255153.1?report=genbank&amp;log$=prottop&amp;blast_rank=216&amp;RID=7U875CNM013","WP_106255153.1")</f>
        <v>WP_106255153.1</v>
      </c>
      <c r="J336" s="5" t="s">
        <v>2</v>
      </c>
    </row>
    <row r="337" spans="1:10" s="5" customFormat="1" x14ac:dyDescent="0.2">
      <c r="A337" s="5" t="s">
        <v>561</v>
      </c>
      <c r="B337" s="5" t="s">
        <v>562</v>
      </c>
      <c r="C337" s="5">
        <v>1162</v>
      </c>
      <c r="D337" s="5">
        <v>1162</v>
      </c>
      <c r="E337" s="6">
        <v>0.99</v>
      </c>
      <c r="F337" s="5">
        <v>0</v>
      </c>
      <c r="G337" s="5">
        <v>67</v>
      </c>
      <c r="H337" s="5">
        <v>808</v>
      </c>
      <c r="I337" s="5" t="str">
        <f>HYPERLINK("https://www.ncbi.nlm.nih.gov/protein/NEP88685.1?report=genbank&amp;log$=prottop&amp;blast_rank=2&amp;RID=7U875CNM013","NEP88685.1")</f>
        <v>NEP88685.1</v>
      </c>
      <c r="J337" s="5" t="s">
        <v>2</v>
      </c>
    </row>
    <row r="338" spans="1:10" s="5" customFormat="1" x14ac:dyDescent="0.2">
      <c r="A338" s="5" t="s">
        <v>102</v>
      </c>
      <c r="B338" s="5" t="s">
        <v>103</v>
      </c>
      <c r="C338" s="5">
        <v>1153</v>
      </c>
      <c r="D338" s="5">
        <v>1153</v>
      </c>
      <c r="E338" s="6">
        <v>0.98</v>
      </c>
      <c r="F338" s="5">
        <v>0</v>
      </c>
      <c r="G338" s="5">
        <v>66.92</v>
      </c>
      <c r="H338" s="5">
        <v>808</v>
      </c>
      <c r="I338" s="5" t="str">
        <f>HYPERLINK("https://www.ncbi.nlm.nih.gov/protein/PZV18998.1?report=genbank&amp;log$=prottop&amp;blast_rank=22&amp;RID=7U875CNM013","PZV18998.1")</f>
        <v>PZV18998.1</v>
      </c>
      <c r="J338" s="5" t="s">
        <v>2</v>
      </c>
    </row>
    <row r="339" spans="1:10" s="5" customFormat="1" x14ac:dyDescent="0.2">
      <c r="A339" s="5" t="s">
        <v>563</v>
      </c>
      <c r="B339" s="5" t="s">
        <v>564</v>
      </c>
      <c r="C339" s="5">
        <v>1160</v>
      </c>
      <c r="D339" s="5">
        <v>1160</v>
      </c>
      <c r="E339" s="6">
        <v>0.99</v>
      </c>
      <c r="F339" s="5">
        <v>0</v>
      </c>
      <c r="G339" s="5">
        <v>66.92</v>
      </c>
      <c r="H339" s="5">
        <v>813</v>
      </c>
      <c r="I339" s="5" t="str">
        <f>HYPERLINK("https://www.ncbi.nlm.nih.gov/protein/NET43279.1?report=genbank&amp;log$=prottop&amp;blast_rank=24&amp;RID=7U875CNM013","NET43279.1")</f>
        <v>NET43279.1</v>
      </c>
      <c r="J339" s="5" t="s">
        <v>2</v>
      </c>
    </row>
    <row r="340" spans="1:10" s="5" customFormat="1" x14ac:dyDescent="0.2">
      <c r="A340" s="5" t="s">
        <v>565</v>
      </c>
      <c r="B340" s="5" t="s">
        <v>566</v>
      </c>
      <c r="C340" s="5">
        <v>1159</v>
      </c>
      <c r="D340" s="5">
        <v>1159</v>
      </c>
      <c r="E340" s="6">
        <v>0.99</v>
      </c>
      <c r="F340" s="5">
        <v>0</v>
      </c>
      <c r="G340" s="5">
        <v>66.92</v>
      </c>
      <c r="H340" s="5">
        <v>813</v>
      </c>
      <c r="I340" s="5" t="str">
        <f>HYPERLINK("https://www.ncbi.nlm.nih.gov/protein/NES65852.1?report=genbank&amp;log$=prottop&amp;blast_rank=25&amp;RID=7U875CNM013","NES65852.1")</f>
        <v>NES65852.1</v>
      </c>
      <c r="J340" s="5" t="s">
        <v>2</v>
      </c>
    </row>
    <row r="341" spans="1:10" s="5" customFormat="1" x14ac:dyDescent="0.2">
      <c r="A341" s="5" t="s">
        <v>567</v>
      </c>
      <c r="B341" s="5" t="s">
        <v>568</v>
      </c>
      <c r="C341" s="5">
        <v>1115</v>
      </c>
      <c r="D341" s="5">
        <v>1115</v>
      </c>
      <c r="E341" s="6">
        <v>1</v>
      </c>
      <c r="F341" s="5">
        <v>0</v>
      </c>
      <c r="G341" s="5">
        <v>66.92</v>
      </c>
      <c r="H341" s="5">
        <v>806</v>
      </c>
      <c r="I341" s="5" t="str">
        <f>HYPERLINK("https://www.ncbi.nlm.nih.gov/protein/WP_012161106.1?report=genbank&amp;log$=prottop&amp;blast_rank=27&amp;RID=7U875CNM013","WP_012161106.1")</f>
        <v>WP_012161106.1</v>
      </c>
      <c r="J341" s="5" t="s">
        <v>2</v>
      </c>
    </row>
    <row r="342" spans="1:10" s="5" customFormat="1" x14ac:dyDescent="0.2">
      <c r="A342" s="5" t="s">
        <v>569</v>
      </c>
      <c r="B342" s="5" t="s">
        <v>570</v>
      </c>
      <c r="C342" s="5">
        <v>1162</v>
      </c>
      <c r="D342" s="5">
        <v>1162</v>
      </c>
      <c r="E342" s="6">
        <v>0.99</v>
      </c>
      <c r="F342" s="5">
        <v>0</v>
      </c>
      <c r="G342" s="5">
        <v>66.88</v>
      </c>
      <c r="H342" s="5">
        <v>808</v>
      </c>
      <c r="I342" s="5" t="str">
        <f>HYPERLINK("https://www.ncbi.nlm.nih.gov/protein/NEQ74323.1?report=genbank&amp;log$=prottop&amp;blast_rank=29&amp;RID=7U875CNM013","NEQ74323.1")</f>
        <v>NEQ74323.1</v>
      </c>
      <c r="J342" s="5" t="s">
        <v>2</v>
      </c>
    </row>
    <row r="343" spans="1:10" s="5" customFormat="1" x14ac:dyDescent="0.2">
      <c r="A343" s="5" t="s">
        <v>571</v>
      </c>
      <c r="B343" s="5" t="s">
        <v>572</v>
      </c>
      <c r="C343" s="5">
        <v>1159</v>
      </c>
      <c r="D343" s="5">
        <v>1159</v>
      </c>
      <c r="E343" s="6">
        <v>0.99</v>
      </c>
      <c r="F343" s="5">
        <v>0</v>
      </c>
      <c r="G343" s="5">
        <v>66.88</v>
      </c>
      <c r="H343" s="5">
        <v>808</v>
      </c>
      <c r="I343" s="5" t="str">
        <f>HYPERLINK("https://www.ncbi.nlm.nih.gov/protein/NES02625.1?report=genbank&amp;log$=prottop&amp;blast_rank=30&amp;RID=7U875CNM013","NES02625.1")</f>
        <v>NES02625.1</v>
      </c>
      <c r="J343" s="5" t="s">
        <v>2</v>
      </c>
    </row>
    <row r="344" spans="1:10" s="5" customFormat="1" x14ac:dyDescent="0.2">
      <c r="A344" s="5" t="s">
        <v>573</v>
      </c>
      <c r="B344" s="5" t="s">
        <v>574</v>
      </c>
      <c r="C344" s="5">
        <v>1152</v>
      </c>
      <c r="D344" s="5">
        <v>1152</v>
      </c>
      <c r="E344" s="6">
        <v>0.99</v>
      </c>
      <c r="F344" s="5">
        <v>0</v>
      </c>
      <c r="G344" s="5">
        <v>66.83</v>
      </c>
      <c r="H344" s="5">
        <v>827</v>
      </c>
      <c r="I344" s="5" t="str">
        <f>HYPERLINK("https://www.ncbi.nlm.nih.gov/protein/WP_190791999.1?report=genbank&amp;log$=prottop&amp;blast_rank=38&amp;RID=7U875CNM013","WP_190791999.1")</f>
        <v>WP_190791999.1</v>
      </c>
      <c r="J344" s="5" t="s">
        <v>2</v>
      </c>
    </row>
    <row r="345" spans="1:10" s="5" customFormat="1" x14ac:dyDescent="0.2">
      <c r="A345" s="5" t="s">
        <v>575</v>
      </c>
      <c r="B345" s="5" t="s">
        <v>576</v>
      </c>
      <c r="C345" s="5">
        <v>1150</v>
      </c>
      <c r="D345" s="5">
        <v>1150</v>
      </c>
      <c r="E345" s="6">
        <v>0.99</v>
      </c>
      <c r="F345" s="5">
        <v>0</v>
      </c>
      <c r="G345" s="5">
        <v>66.83</v>
      </c>
      <c r="H345" s="5">
        <v>811</v>
      </c>
      <c r="I345" s="5" t="str">
        <f>HYPERLINK("https://www.ncbi.nlm.nih.gov/protein/HIK53661.1?report=genbank&amp;log$=prottop&amp;blast_rank=39&amp;RID=7U875CNM013","HIK53661.1")</f>
        <v>HIK53661.1</v>
      </c>
      <c r="J345" s="5" t="s">
        <v>2</v>
      </c>
    </row>
    <row r="346" spans="1:10" s="5" customFormat="1" x14ac:dyDescent="0.2">
      <c r="A346" s="5" t="s">
        <v>553</v>
      </c>
      <c r="B346" s="5" t="s">
        <v>554</v>
      </c>
      <c r="C346" s="5">
        <v>1135</v>
      </c>
      <c r="D346" s="5">
        <v>1135</v>
      </c>
      <c r="E346" s="6">
        <v>1</v>
      </c>
      <c r="F346" s="5">
        <v>0</v>
      </c>
      <c r="G346" s="5">
        <v>66.83</v>
      </c>
      <c r="H346" s="5">
        <v>802</v>
      </c>
      <c r="I346" s="5" t="str">
        <f>HYPERLINK("https://www.ncbi.nlm.nih.gov/protein/WP_085728204.1?report=genbank&amp;log$=prottop&amp;blast_rank=41&amp;RID=7U875CNM013","WP_085728204.1")</f>
        <v>WP_085728204.1</v>
      </c>
      <c r="J346" s="5" t="s">
        <v>2</v>
      </c>
    </row>
    <row r="347" spans="1:10" s="5" customFormat="1" x14ac:dyDescent="0.2">
      <c r="A347" s="5" t="s">
        <v>577</v>
      </c>
      <c r="B347" s="5" t="s">
        <v>578</v>
      </c>
      <c r="C347" s="5">
        <v>1140</v>
      </c>
      <c r="D347" s="5">
        <v>1140</v>
      </c>
      <c r="E347" s="6">
        <v>0.98</v>
      </c>
      <c r="F347" s="5">
        <v>0</v>
      </c>
      <c r="G347" s="5">
        <v>66.790000000000006</v>
      </c>
      <c r="H347" s="5">
        <v>811</v>
      </c>
      <c r="I347" s="5" t="str">
        <f>HYPERLINK("https://www.ncbi.nlm.nih.gov/protein/MBJ7900250.1?report=genbank&amp;log$=prottop&amp;blast_rank=44&amp;RID=7U875CNM013","MBJ7900250.1")</f>
        <v>MBJ7900250.1</v>
      </c>
      <c r="J347" s="5" t="s">
        <v>2</v>
      </c>
    </row>
    <row r="348" spans="1:10" s="5" customFormat="1" x14ac:dyDescent="0.2">
      <c r="A348" s="5" t="s">
        <v>579</v>
      </c>
      <c r="B348" s="5" t="s">
        <v>580</v>
      </c>
      <c r="C348" s="5">
        <v>1160</v>
      </c>
      <c r="D348" s="5">
        <v>1160</v>
      </c>
      <c r="E348" s="6">
        <v>0.99</v>
      </c>
      <c r="F348" s="5">
        <v>0</v>
      </c>
      <c r="G348" s="5">
        <v>66.790000000000006</v>
      </c>
      <c r="H348" s="5">
        <v>813</v>
      </c>
      <c r="I348" s="5" t="str">
        <f>HYPERLINK("https://www.ncbi.nlm.nih.gov/protein/NET29286.1?report=genbank&amp;log$=prottop&amp;blast_rank=47&amp;RID=7U875CNM013","NET29286.1")</f>
        <v>NET29286.1</v>
      </c>
      <c r="J348" s="5" t="s">
        <v>2</v>
      </c>
    </row>
    <row r="349" spans="1:10" s="5" customFormat="1" x14ac:dyDescent="0.2">
      <c r="A349" s="5" t="s">
        <v>581</v>
      </c>
      <c r="B349" s="5" t="s">
        <v>582</v>
      </c>
      <c r="C349" s="5">
        <v>1131</v>
      </c>
      <c r="D349" s="5">
        <v>1131</v>
      </c>
      <c r="E349" s="6">
        <v>0.98</v>
      </c>
      <c r="F349" s="5">
        <v>0</v>
      </c>
      <c r="G349" s="5">
        <v>66.75</v>
      </c>
      <c r="H349" s="5">
        <v>824</v>
      </c>
      <c r="I349" s="5" t="str">
        <f>HYPERLINK("https://www.ncbi.nlm.nih.gov/protein/NJO81222.1?report=genbank&amp;log$=prottop&amp;blast_rank=48&amp;RID=7U875CNM013","NJO81222.1")</f>
        <v>NJO81222.1</v>
      </c>
      <c r="J349" s="5" t="s">
        <v>2</v>
      </c>
    </row>
    <row r="350" spans="1:10" s="5" customFormat="1" x14ac:dyDescent="0.2">
      <c r="A350" s="5" t="s">
        <v>583</v>
      </c>
      <c r="B350" s="5" t="s">
        <v>584</v>
      </c>
      <c r="C350" s="5">
        <v>1112</v>
      </c>
      <c r="D350" s="5">
        <v>1112</v>
      </c>
      <c r="E350" s="6">
        <v>0.99</v>
      </c>
      <c r="F350" s="5">
        <v>0</v>
      </c>
      <c r="G350" s="5">
        <v>66.75</v>
      </c>
      <c r="H350" s="5">
        <v>806</v>
      </c>
      <c r="I350" s="5" t="str">
        <f>HYPERLINK("https://www.ncbi.nlm.nih.gov/protein/WP_193994099.1?report=genbank&amp;log$=prottop&amp;blast_rank=51&amp;RID=7U875CNM013","WP_193994099.1")</f>
        <v>WP_193994099.1</v>
      </c>
      <c r="J350" s="5" t="s">
        <v>2</v>
      </c>
    </row>
    <row r="351" spans="1:10" s="5" customFormat="1" x14ac:dyDescent="0.2">
      <c r="A351" s="5" t="s">
        <v>585</v>
      </c>
      <c r="B351" s="5" t="s">
        <v>586</v>
      </c>
      <c r="C351" s="5">
        <v>1158</v>
      </c>
      <c r="D351" s="5">
        <v>1158</v>
      </c>
      <c r="E351" s="6">
        <v>0.99</v>
      </c>
      <c r="F351" s="5">
        <v>0</v>
      </c>
      <c r="G351" s="5">
        <v>66.67</v>
      </c>
      <c r="H351" s="5">
        <v>813</v>
      </c>
      <c r="I351" s="5" t="str">
        <f>HYPERLINK("https://www.ncbi.nlm.nih.gov/protein/NEN88885.1?report=genbank&amp;log$=prottop&amp;blast_rank=61&amp;RID=7U875CNM013","NEN88885.1")</f>
        <v>NEN88885.1</v>
      </c>
      <c r="J351" s="5" t="s">
        <v>2</v>
      </c>
    </row>
    <row r="352" spans="1:10" s="5" customFormat="1" x14ac:dyDescent="0.2">
      <c r="A352" s="5" t="s">
        <v>587</v>
      </c>
      <c r="B352" s="5" t="s">
        <v>588</v>
      </c>
      <c r="C352" s="5">
        <v>1146</v>
      </c>
      <c r="D352" s="5">
        <v>1146</v>
      </c>
      <c r="E352" s="6">
        <v>0.99</v>
      </c>
      <c r="F352" s="5">
        <v>0</v>
      </c>
      <c r="G352" s="5">
        <v>66.67</v>
      </c>
      <c r="H352" s="5">
        <v>832</v>
      </c>
      <c r="I352" s="5" t="str">
        <f>HYPERLINK("https://www.ncbi.nlm.nih.gov/protein/WP_088893339.1?report=genbank&amp;log$=prottop&amp;blast_rank=63&amp;RID=7U875CNM013","WP_088893339.1")</f>
        <v>WP_088893339.1</v>
      </c>
      <c r="J352" s="5" t="s">
        <v>2</v>
      </c>
    </row>
    <row r="353" spans="1:10" s="5" customFormat="1" x14ac:dyDescent="0.2">
      <c r="A353" s="5" t="s">
        <v>589</v>
      </c>
      <c r="B353" s="5" t="s">
        <v>590</v>
      </c>
      <c r="C353" s="5">
        <v>1130</v>
      </c>
      <c r="D353" s="5">
        <v>1130</v>
      </c>
      <c r="E353" s="6">
        <v>0.98</v>
      </c>
      <c r="F353" s="5">
        <v>0</v>
      </c>
      <c r="G353" s="5">
        <v>66.67</v>
      </c>
      <c r="H353" s="5">
        <v>804</v>
      </c>
      <c r="I353" s="5" t="str">
        <f>HYPERLINK("https://www.ncbi.nlm.nih.gov/protein/NJN22613.1?report=genbank&amp;log$=prottop&amp;blast_rank=65&amp;RID=7U875CNM013","NJN22613.1")</f>
        <v>NJN22613.1</v>
      </c>
      <c r="J353" s="5" t="s">
        <v>2</v>
      </c>
    </row>
    <row r="354" spans="1:10" s="5" customFormat="1" x14ac:dyDescent="0.2">
      <c r="A354" s="5" t="s">
        <v>591</v>
      </c>
      <c r="B354" s="5" t="s">
        <v>592</v>
      </c>
      <c r="C354" s="5">
        <v>1154</v>
      </c>
      <c r="D354" s="5">
        <v>1154</v>
      </c>
      <c r="E354" s="6">
        <v>0.99</v>
      </c>
      <c r="F354" s="5">
        <v>0</v>
      </c>
      <c r="G354" s="5">
        <v>66.62</v>
      </c>
      <c r="H354" s="5">
        <v>811</v>
      </c>
      <c r="I354" s="5" t="str">
        <f>HYPERLINK("https://www.ncbi.nlm.nih.gov/protein/WP_075597066.1?report=genbank&amp;log$=prottop&amp;blast_rank=71&amp;RID=7U875CNM013","WP_075597066.1")</f>
        <v>WP_075597066.1</v>
      </c>
      <c r="J354" s="5" t="s">
        <v>2</v>
      </c>
    </row>
    <row r="355" spans="1:10" s="5" customFormat="1" x14ac:dyDescent="0.2">
      <c r="A355" s="5" t="s">
        <v>593</v>
      </c>
      <c r="B355" s="5" t="s">
        <v>594</v>
      </c>
      <c r="C355" s="5">
        <v>1154</v>
      </c>
      <c r="D355" s="5">
        <v>1154</v>
      </c>
      <c r="E355" s="6">
        <v>0.99</v>
      </c>
      <c r="F355" s="5">
        <v>0</v>
      </c>
      <c r="G355" s="5">
        <v>66.62</v>
      </c>
      <c r="H355" s="5">
        <v>812</v>
      </c>
      <c r="I355" s="5" t="str">
        <f>HYPERLINK("https://www.ncbi.nlm.nih.gov/protein/WP_071455199.1?report=genbank&amp;log$=prottop&amp;blast_rank=72&amp;RID=7U875CNM013","WP_071455199.1")</f>
        <v>WP_071455199.1</v>
      </c>
      <c r="J355" s="5" t="s">
        <v>2</v>
      </c>
    </row>
    <row r="356" spans="1:10" s="5" customFormat="1" x14ac:dyDescent="0.2">
      <c r="A356" s="5" t="s">
        <v>595</v>
      </c>
      <c r="B356" s="5" t="s">
        <v>596</v>
      </c>
      <c r="C356" s="5">
        <v>1144</v>
      </c>
      <c r="D356" s="5">
        <v>1144</v>
      </c>
      <c r="E356" s="6">
        <v>0.99</v>
      </c>
      <c r="F356" s="5">
        <v>0</v>
      </c>
      <c r="G356" s="5">
        <v>66.62</v>
      </c>
      <c r="H356" s="5">
        <v>811</v>
      </c>
      <c r="I356" s="5" t="str">
        <f>HYPERLINK("https://www.ncbi.nlm.nih.gov/protein/WP_172358161.1?report=genbank&amp;log$=prottop&amp;blast_rank=73&amp;RID=7U875CNM013","WP_172358161.1")</f>
        <v>WP_172358161.1</v>
      </c>
      <c r="J356" s="5" t="s">
        <v>2</v>
      </c>
    </row>
    <row r="357" spans="1:10" s="5" customFormat="1" x14ac:dyDescent="0.2">
      <c r="A357" s="5" t="s">
        <v>597</v>
      </c>
      <c r="B357" s="5" t="s">
        <v>598</v>
      </c>
      <c r="C357" s="5">
        <v>1140</v>
      </c>
      <c r="D357" s="5">
        <v>1140</v>
      </c>
      <c r="E357" s="6">
        <v>0.99</v>
      </c>
      <c r="F357" s="5">
        <v>0</v>
      </c>
      <c r="G357" s="5">
        <v>66.62</v>
      </c>
      <c r="H357" s="5">
        <v>811</v>
      </c>
      <c r="I357" s="5" t="str">
        <f>HYPERLINK("https://www.ncbi.nlm.nih.gov/protein/MBF2084844.1?report=genbank&amp;log$=prottop&amp;blast_rank=74&amp;RID=7U875CNM013","MBF2084844.1")</f>
        <v>MBF2084844.1</v>
      </c>
      <c r="J357" s="5" t="s">
        <v>2</v>
      </c>
    </row>
    <row r="358" spans="1:10" s="5" customFormat="1" x14ac:dyDescent="0.2">
      <c r="A358" s="5" t="s">
        <v>599</v>
      </c>
      <c r="B358" s="5" t="s">
        <v>600</v>
      </c>
      <c r="C358" s="5">
        <v>1148</v>
      </c>
      <c r="D358" s="5">
        <v>1148</v>
      </c>
      <c r="E358" s="6">
        <v>1</v>
      </c>
      <c r="F358" s="5">
        <v>0</v>
      </c>
      <c r="G358" s="5">
        <v>66.58</v>
      </c>
      <c r="H358" s="5">
        <v>802</v>
      </c>
      <c r="I358" s="5" t="str">
        <f>HYPERLINK("https://www.ncbi.nlm.nih.gov/protein/MBP0019668.1?report=genbank&amp;log$=prottop&amp;blast_rank=76&amp;RID=7U875CNM013","MBP0019668.1")</f>
        <v>MBP0019668.1</v>
      </c>
      <c r="J358" s="5" t="s">
        <v>2</v>
      </c>
    </row>
    <row r="359" spans="1:10" s="5" customFormat="1" x14ac:dyDescent="0.2">
      <c r="A359" s="5" t="s">
        <v>601</v>
      </c>
      <c r="B359" s="5" t="s">
        <v>602</v>
      </c>
      <c r="C359" s="5">
        <v>1109</v>
      </c>
      <c r="D359" s="5">
        <v>1109</v>
      </c>
      <c r="E359" s="6">
        <v>0.98</v>
      </c>
      <c r="F359" s="5">
        <v>0</v>
      </c>
      <c r="G359" s="5">
        <v>66.540000000000006</v>
      </c>
      <c r="H359" s="5">
        <v>809</v>
      </c>
      <c r="I359" s="5" t="str">
        <f>HYPERLINK("https://www.ncbi.nlm.nih.gov/protein/WP_199464257.1?report=genbank&amp;log$=prottop&amp;blast_rank=83&amp;RID=7U875CNM013","WP_199464257.1")</f>
        <v>WP_199464257.1</v>
      </c>
      <c r="J359" s="5" t="s">
        <v>2</v>
      </c>
    </row>
    <row r="360" spans="1:10" s="5" customFormat="1" x14ac:dyDescent="0.2">
      <c r="A360" s="5" t="s">
        <v>603</v>
      </c>
      <c r="B360" s="5" t="s">
        <v>604</v>
      </c>
      <c r="C360" s="5">
        <v>1112</v>
      </c>
      <c r="D360" s="5">
        <v>1112</v>
      </c>
      <c r="E360" s="6">
        <v>0.98</v>
      </c>
      <c r="F360" s="5">
        <v>0</v>
      </c>
      <c r="G360" s="5">
        <v>66.540000000000006</v>
      </c>
      <c r="H360" s="5">
        <v>808</v>
      </c>
      <c r="I360" s="5" t="str">
        <f>HYPERLINK("https://www.ncbi.nlm.nih.gov/protein/WP_006454828.1?report=genbank&amp;log$=prottop&amp;blast_rank=84&amp;RID=7U875CNM013","WP_006454828.1")</f>
        <v>WP_006454828.1</v>
      </c>
      <c r="J360" s="5" t="s">
        <v>2</v>
      </c>
    </row>
    <row r="361" spans="1:10" s="5" customFormat="1" x14ac:dyDescent="0.2">
      <c r="A361" s="5" t="s">
        <v>605</v>
      </c>
      <c r="B361" s="5" t="s">
        <v>606</v>
      </c>
      <c r="C361" s="5">
        <v>1123</v>
      </c>
      <c r="D361" s="5">
        <v>1123</v>
      </c>
      <c r="E361" s="6">
        <v>0.98</v>
      </c>
      <c r="F361" s="5">
        <v>0</v>
      </c>
      <c r="G361" s="5">
        <v>66.45</v>
      </c>
      <c r="H361" s="5">
        <v>797</v>
      </c>
      <c r="I361" s="5" t="str">
        <f>HYPERLINK("https://www.ncbi.nlm.nih.gov/protein/WP_015193290.1?report=genbank&amp;log$=prottop&amp;blast_rank=89&amp;RID=7U875CNM013","WP_015193290.1")</f>
        <v>WP_015193290.1</v>
      </c>
      <c r="J361" s="5" t="s">
        <v>2</v>
      </c>
    </row>
    <row r="362" spans="1:10" s="5" customFormat="1" x14ac:dyDescent="0.2">
      <c r="A362" s="5" t="s">
        <v>607</v>
      </c>
      <c r="B362" s="5" t="s">
        <v>608</v>
      </c>
      <c r="C362" s="5">
        <v>1142</v>
      </c>
      <c r="D362" s="5">
        <v>1142</v>
      </c>
      <c r="E362" s="6">
        <v>0.99</v>
      </c>
      <c r="F362" s="5">
        <v>0</v>
      </c>
      <c r="G362" s="5">
        <v>66.37</v>
      </c>
      <c r="H362" s="5">
        <v>811</v>
      </c>
      <c r="I362" s="5" t="str">
        <f>HYPERLINK("https://www.ncbi.nlm.nih.gov/protein/HIK40157.1?report=genbank&amp;log$=prottop&amp;blast_rank=98&amp;RID=7U875CNM013","HIK40157.1")</f>
        <v>HIK40157.1</v>
      </c>
      <c r="J362" s="5" t="s">
        <v>2</v>
      </c>
    </row>
    <row r="363" spans="1:10" s="5" customFormat="1" x14ac:dyDescent="0.2">
      <c r="A363" s="5" t="s">
        <v>611</v>
      </c>
      <c r="B363" s="5" t="s">
        <v>612</v>
      </c>
      <c r="C363" s="5">
        <v>1153</v>
      </c>
      <c r="D363" s="5">
        <v>1153</v>
      </c>
      <c r="E363" s="6">
        <v>0.99</v>
      </c>
      <c r="F363" s="5">
        <v>0</v>
      </c>
      <c r="G363" s="5">
        <v>66.25</v>
      </c>
      <c r="H363" s="5">
        <v>808</v>
      </c>
      <c r="I363" s="5" t="str">
        <f>HYPERLINK("https://www.ncbi.nlm.nih.gov/protein/NEP82510.1?report=genbank&amp;log$=prottop&amp;blast_rank=109&amp;RID=7U875CNM013","NEP82510.1")</f>
        <v>NEP82510.1</v>
      </c>
      <c r="J363" s="5" t="s">
        <v>2</v>
      </c>
    </row>
    <row r="364" spans="1:10" s="5" customFormat="1" x14ac:dyDescent="0.2">
      <c r="A364" s="5" t="s">
        <v>613</v>
      </c>
      <c r="B364" s="5" t="s">
        <v>614</v>
      </c>
      <c r="C364" s="5">
        <v>1149</v>
      </c>
      <c r="D364" s="5">
        <v>1149</v>
      </c>
      <c r="E364" s="6">
        <v>0.99</v>
      </c>
      <c r="F364" s="5">
        <v>0</v>
      </c>
      <c r="G364" s="5">
        <v>66.25</v>
      </c>
      <c r="H364" s="5">
        <v>812</v>
      </c>
      <c r="I364" s="5" t="str">
        <f>HYPERLINK("https://www.ncbi.nlm.nih.gov/protein/WP_019503081.1?report=genbank&amp;log$=prottop&amp;blast_rank=110&amp;RID=7U875CNM013","WP_019503081.1")</f>
        <v>WP_019503081.1</v>
      </c>
      <c r="J364" s="5" t="s">
        <v>2</v>
      </c>
    </row>
    <row r="365" spans="1:10" s="5" customFormat="1" x14ac:dyDescent="0.2">
      <c r="A365" s="5" t="s">
        <v>615</v>
      </c>
      <c r="B365" s="5" t="s">
        <v>616</v>
      </c>
      <c r="C365" s="5">
        <v>1140</v>
      </c>
      <c r="D365" s="5">
        <v>1140</v>
      </c>
      <c r="E365" s="6">
        <v>0.99</v>
      </c>
      <c r="F365" s="5">
        <v>0</v>
      </c>
      <c r="G365" s="5">
        <v>66.25</v>
      </c>
      <c r="H365" s="5">
        <v>811</v>
      </c>
      <c r="I365" s="5" t="str">
        <f>HYPERLINK("https://www.ncbi.nlm.nih.gov/protein/WP_068509566.1?report=genbank&amp;log$=prottop&amp;blast_rank=112&amp;RID=7U875CNM013","WP_068509566.1")</f>
        <v>WP_068509566.1</v>
      </c>
      <c r="J365" s="5" t="s">
        <v>2</v>
      </c>
    </row>
    <row r="366" spans="1:10" s="5" customFormat="1" x14ac:dyDescent="0.2">
      <c r="A366" s="5" t="s">
        <v>617</v>
      </c>
      <c r="B366" s="5" t="s">
        <v>616</v>
      </c>
      <c r="C366" s="5">
        <v>1139</v>
      </c>
      <c r="D366" s="5">
        <v>1139</v>
      </c>
      <c r="E366" s="6">
        <v>0.99</v>
      </c>
      <c r="F366" s="5">
        <v>0</v>
      </c>
      <c r="G366" s="5">
        <v>66.25</v>
      </c>
      <c r="H366" s="5">
        <v>819</v>
      </c>
      <c r="I366" s="5" t="str">
        <f>HYPERLINK("https://www.ncbi.nlm.nih.gov/protein/BAU41868.1?report=genbank&amp;log$=prottop&amp;blast_rank=113&amp;RID=7U875CNM013","BAU41868.1")</f>
        <v>BAU41868.1</v>
      </c>
      <c r="J366" s="5" t="s">
        <v>2</v>
      </c>
    </row>
    <row r="367" spans="1:10" s="5" customFormat="1" x14ac:dyDescent="0.2">
      <c r="A367" s="5" t="s">
        <v>618</v>
      </c>
      <c r="B367" s="5" t="s">
        <v>619</v>
      </c>
      <c r="C367" s="5">
        <v>1122</v>
      </c>
      <c r="D367" s="5">
        <v>1122</v>
      </c>
      <c r="E367" s="6">
        <v>0.99</v>
      </c>
      <c r="F367" s="5">
        <v>0</v>
      </c>
      <c r="G367" s="5">
        <v>66.25</v>
      </c>
      <c r="H367" s="5">
        <v>791</v>
      </c>
      <c r="I367" s="5" t="str">
        <f>HYPERLINK("https://www.ncbi.nlm.nih.gov/protein/WP_193904455.1?report=genbank&amp;log$=prottop&amp;blast_rank=114&amp;RID=7U875CNM013","WP_193904455.1")</f>
        <v>WP_193904455.1</v>
      </c>
      <c r="J367" s="5" t="s">
        <v>2</v>
      </c>
    </row>
    <row r="368" spans="1:10" s="5" customFormat="1" x14ac:dyDescent="0.2">
      <c r="A368" s="5" t="s">
        <v>601</v>
      </c>
      <c r="B368" s="5" t="s">
        <v>602</v>
      </c>
      <c r="C368" s="5">
        <v>1118</v>
      </c>
      <c r="D368" s="5">
        <v>1118</v>
      </c>
      <c r="E368" s="6">
        <v>1</v>
      </c>
      <c r="F368" s="5">
        <v>0</v>
      </c>
      <c r="G368" s="5">
        <v>66.13</v>
      </c>
      <c r="H368" s="5">
        <v>809</v>
      </c>
      <c r="I368" s="5" t="str">
        <f>HYPERLINK("https://www.ncbi.nlm.nih.gov/protein/WP_110988552.1?report=genbank&amp;log$=prottop&amp;blast_rank=121&amp;RID=7U875CNM013","WP_110988552.1")</f>
        <v>WP_110988552.1</v>
      </c>
      <c r="J368" s="5" t="s">
        <v>2</v>
      </c>
    </row>
    <row r="369" spans="1:10" s="5" customFormat="1" x14ac:dyDescent="0.2">
      <c r="A369" s="5" t="s">
        <v>620</v>
      </c>
      <c r="B369" s="5" t="s">
        <v>621</v>
      </c>
      <c r="C369" s="5">
        <v>1158</v>
      </c>
      <c r="D369" s="5">
        <v>1158</v>
      </c>
      <c r="E369" s="6">
        <v>0.99</v>
      </c>
      <c r="F369" s="5">
        <v>0</v>
      </c>
      <c r="G369" s="5">
        <v>66.12</v>
      </c>
      <c r="H369" s="5">
        <v>808</v>
      </c>
      <c r="I369" s="5" t="str">
        <f>HYPERLINK("https://www.ncbi.nlm.nih.gov/protein/NEQ38157.1?report=genbank&amp;log$=prottop&amp;blast_rank=122&amp;RID=7U875CNM013","NEQ38157.1")</f>
        <v>NEQ38157.1</v>
      </c>
      <c r="J369" s="5" t="s">
        <v>2</v>
      </c>
    </row>
    <row r="370" spans="1:10" s="5" customFormat="1" x14ac:dyDescent="0.2">
      <c r="A370" s="5" t="s">
        <v>622</v>
      </c>
      <c r="B370" s="5" t="s">
        <v>623</v>
      </c>
      <c r="C370" s="5">
        <v>1107</v>
      </c>
      <c r="D370" s="5">
        <v>1107</v>
      </c>
      <c r="E370" s="6">
        <v>0.99</v>
      </c>
      <c r="F370" s="5">
        <v>0</v>
      </c>
      <c r="G370" s="5">
        <v>66.12</v>
      </c>
      <c r="H370" s="5">
        <v>791</v>
      </c>
      <c r="I370" s="5" t="str">
        <f>HYPERLINK("https://www.ncbi.nlm.nih.gov/protein/MBC8122485.1?report=genbank&amp;log$=prottop&amp;blast_rank=124&amp;RID=7U875CNM013","MBC8122485.1")</f>
        <v>MBC8122485.1</v>
      </c>
      <c r="J370" s="5" t="s">
        <v>2</v>
      </c>
    </row>
    <row r="371" spans="1:10" s="5" customFormat="1" x14ac:dyDescent="0.2">
      <c r="A371" s="5" t="s">
        <v>624</v>
      </c>
      <c r="B371" s="5" t="s">
        <v>625</v>
      </c>
      <c r="C371" s="5">
        <v>1114</v>
      </c>
      <c r="D371" s="5">
        <v>1114</v>
      </c>
      <c r="E371" s="6">
        <v>0.98</v>
      </c>
      <c r="F371" s="5">
        <v>0</v>
      </c>
      <c r="G371" s="5">
        <v>66.11</v>
      </c>
      <c r="H371" s="5">
        <v>788</v>
      </c>
      <c r="I371" s="5" t="str">
        <f>HYPERLINK("https://www.ncbi.nlm.nih.gov/protein/WP_015158062.1?report=genbank&amp;log$=prottop&amp;blast_rank=125&amp;RID=7U875CNM013","WP_015158062.1")</f>
        <v>WP_015158062.1</v>
      </c>
      <c r="J371" s="5" t="s">
        <v>2</v>
      </c>
    </row>
    <row r="372" spans="1:10" s="4" customFormat="1" x14ac:dyDescent="0.2">
      <c r="A372" s="1" t="s">
        <v>626</v>
      </c>
      <c r="B372" s="1" t="s">
        <v>627</v>
      </c>
      <c r="C372" s="1">
        <v>1153</v>
      </c>
      <c r="D372" s="1">
        <v>1153</v>
      </c>
      <c r="E372" s="2">
        <v>0.99</v>
      </c>
      <c r="F372" s="1">
        <v>0</v>
      </c>
      <c r="G372" s="1">
        <v>65.989999999999995</v>
      </c>
      <c r="H372" s="1">
        <v>808</v>
      </c>
      <c r="I372" s="1" t="str">
        <f>HYPERLINK("https://www.ncbi.nlm.nih.gov/protein/WP_094673661.1?report=genbank&amp;log$=prottop&amp;blast_rank=3&amp;RID=7U875CNM013","WP_094673661.1")</f>
        <v>WP_094673661.1</v>
      </c>
      <c r="J372" s="1" t="s">
        <v>2</v>
      </c>
    </row>
    <row r="373" spans="1:10" s="4" customFormat="1" x14ac:dyDescent="0.2">
      <c r="A373" s="1" t="s">
        <v>628</v>
      </c>
      <c r="B373" s="1" t="s">
        <v>629</v>
      </c>
      <c r="C373" s="1">
        <v>1120</v>
      </c>
      <c r="D373" s="1">
        <v>1120</v>
      </c>
      <c r="E373" s="2">
        <v>0.98</v>
      </c>
      <c r="F373" s="1">
        <v>0</v>
      </c>
      <c r="G373" s="1">
        <v>65.989999999999995</v>
      </c>
      <c r="H373" s="1">
        <v>823</v>
      </c>
      <c r="I373" s="1" t="str">
        <f>HYPERLINK("https://www.ncbi.nlm.nih.gov/protein/WP_190483494.1?report=genbank&amp;log$=prottop&amp;blast_rank=5&amp;RID=7U875CNM013","WP_190483494.1")</f>
        <v>WP_190483494.1</v>
      </c>
      <c r="J373" s="1" t="s">
        <v>2</v>
      </c>
    </row>
    <row r="374" spans="1:10" s="4" customFormat="1" x14ac:dyDescent="0.2">
      <c r="A374" s="1" t="s">
        <v>630</v>
      </c>
      <c r="B374" s="1" t="s">
        <v>631</v>
      </c>
      <c r="C374" s="1">
        <v>1117</v>
      </c>
      <c r="D374" s="1">
        <v>1117</v>
      </c>
      <c r="E374" s="2">
        <v>0.99</v>
      </c>
      <c r="F374" s="1">
        <v>0</v>
      </c>
      <c r="G374" s="1">
        <v>65.959999999999994</v>
      </c>
      <c r="H374" s="1">
        <v>808</v>
      </c>
      <c r="I374" s="1" t="str">
        <f>HYPERLINK("https://www.ncbi.nlm.nih.gov/protein/WP_193857742.1?report=genbank&amp;log$=prottop&amp;blast_rank=8&amp;RID=7U875CNM013","WP_193857742.1")</f>
        <v>WP_193857742.1</v>
      </c>
      <c r="J374" s="1" t="s">
        <v>2</v>
      </c>
    </row>
    <row r="375" spans="1:10" s="4" customFormat="1" x14ac:dyDescent="0.2">
      <c r="A375" s="1" t="s">
        <v>632</v>
      </c>
      <c r="B375" s="1" t="s">
        <v>633</v>
      </c>
      <c r="C375" s="1">
        <v>1114</v>
      </c>
      <c r="D375" s="1">
        <v>1114</v>
      </c>
      <c r="E375" s="2">
        <v>0.99</v>
      </c>
      <c r="F375" s="1">
        <v>0</v>
      </c>
      <c r="G375" s="1">
        <v>65.95</v>
      </c>
      <c r="H375" s="1">
        <v>791</v>
      </c>
      <c r="I375" s="1" t="str">
        <f>HYPERLINK("https://www.ncbi.nlm.nih.gov/protein/WP_015170545.1?report=genbank&amp;log$=prottop&amp;blast_rank=9&amp;RID=7U875CNM013","WP_015170545.1")</f>
        <v>WP_015170545.1</v>
      </c>
      <c r="J375" s="1" t="s">
        <v>2</v>
      </c>
    </row>
    <row r="376" spans="1:10" s="4" customFormat="1" x14ac:dyDescent="0.2">
      <c r="A376" s="1" t="s">
        <v>634</v>
      </c>
      <c r="B376" s="1" t="s">
        <v>635</v>
      </c>
      <c r="C376" s="1">
        <v>1129</v>
      </c>
      <c r="D376" s="1">
        <v>1129</v>
      </c>
      <c r="E376" s="2">
        <v>0.98</v>
      </c>
      <c r="F376" s="1">
        <v>0</v>
      </c>
      <c r="G376" s="1">
        <v>65.95</v>
      </c>
      <c r="H376" s="1">
        <v>804</v>
      </c>
      <c r="I376" s="1" t="str">
        <f>HYPERLINK("https://www.ncbi.nlm.nih.gov/protein/WP_106233753.1?report=genbank&amp;log$=prottop&amp;blast_rank=10&amp;RID=7U875CNM013","WP_106233753.1")</f>
        <v>WP_106233753.1</v>
      </c>
      <c r="J376" s="1" t="s">
        <v>2</v>
      </c>
    </row>
    <row r="377" spans="1:10" s="4" customFormat="1" x14ac:dyDescent="0.2">
      <c r="A377" s="1" t="s">
        <v>636</v>
      </c>
      <c r="B377" s="1" t="s">
        <v>637</v>
      </c>
      <c r="C377" s="1">
        <v>1115</v>
      </c>
      <c r="D377" s="1">
        <v>1115</v>
      </c>
      <c r="E377" s="2">
        <v>0.98</v>
      </c>
      <c r="F377" s="1">
        <v>0</v>
      </c>
      <c r="G377" s="1">
        <v>65.94</v>
      </c>
      <c r="H377" s="1">
        <v>791</v>
      </c>
      <c r="I377" s="1" t="str">
        <f>HYPERLINK("https://www.ncbi.nlm.nih.gov/protein/WP_011430799.1?report=genbank&amp;log$=prottop&amp;blast_rank=12&amp;RID=7U875CNM013","WP_011430799.1")</f>
        <v>WP_011430799.1</v>
      </c>
      <c r="J377" s="1" t="s">
        <v>2</v>
      </c>
    </row>
    <row r="378" spans="1:10" s="4" customFormat="1" x14ac:dyDescent="0.2">
      <c r="A378" s="1" t="s">
        <v>638</v>
      </c>
      <c r="B378" s="1" t="s">
        <v>639</v>
      </c>
      <c r="C378" s="1">
        <v>1096</v>
      </c>
      <c r="D378" s="1">
        <v>1096</v>
      </c>
      <c r="E378" s="2">
        <v>0.95</v>
      </c>
      <c r="F378" s="1">
        <v>0</v>
      </c>
      <c r="G378" s="1">
        <v>65.92</v>
      </c>
      <c r="H378" s="1">
        <v>779</v>
      </c>
      <c r="I378" s="1" t="str">
        <f>HYPERLINK("https://www.ncbi.nlm.nih.gov/protein/WP_106288032.1?report=genbank&amp;log$=prottop&amp;blast_rank=14&amp;RID=7U875CNM013","WP_106288032.1")</f>
        <v>WP_106288032.1</v>
      </c>
      <c r="J378" s="1" t="s">
        <v>2</v>
      </c>
    </row>
    <row r="379" spans="1:10" s="4" customFormat="1" x14ac:dyDescent="0.2">
      <c r="A379" s="1" t="s">
        <v>640</v>
      </c>
      <c r="B379" s="1" t="s">
        <v>641</v>
      </c>
      <c r="C379" s="1">
        <v>1106</v>
      </c>
      <c r="D379" s="1">
        <v>1106</v>
      </c>
      <c r="E379" s="2">
        <v>0.98</v>
      </c>
      <c r="F379" s="1">
        <v>0</v>
      </c>
      <c r="G379" s="1">
        <v>65.91</v>
      </c>
      <c r="H379" s="1">
        <v>793</v>
      </c>
      <c r="I379" s="1" t="str">
        <f>HYPERLINK("https://www.ncbi.nlm.nih.gov/protein/WP_179051169.1?report=genbank&amp;log$=prottop&amp;blast_rank=17&amp;RID=7U875CNM013","WP_179051169.1")</f>
        <v>WP_179051169.1</v>
      </c>
      <c r="J379" s="1" t="s">
        <v>2</v>
      </c>
    </row>
    <row r="380" spans="1:10" s="4" customFormat="1" x14ac:dyDescent="0.2">
      <c r="A380" s="1" t="s">
        <v>642</v>
      </c>
      <c r="B380" s="1" t="s">
        <v>643</v>
      </c>
      <c r="C380" s="1">
        <v>1122</v>
      </c>
      <c r="D380" s="1">
        <v>1122</v>
      </c>
      <c r="E380" s="2">
        <v>0.98</v>
      </c>
      <c r="F380" s="1">
        <v>0</v>
      </c>
      <c r="G380" s="1">
        <v>65.900000000000006</v>
      </c>
      <c r="H380" s="1">
        <v>793</v>
      </c>
      <c r="I380" s="1" t="str">
        <f>HYPERLINK("https://www.ncbi.nlm.nih.gov/protein/WP_017741794.1?report=genbank&amp;log$=prottop&amp;blast_rank=18&amp;RID=7U875CNM013","WP_017741794.1")</f>
        <v>WP_017741794.1</v>
      </c>
      <c r="J380" s="1" t="s">
        <v>2</v>
      </c>
    </row>
    <row r="381" spans="1:10" s="4" customFormat="1" x14ac:dyDescent="0.2">
      <c r="A381" s="1" t="s">
        <v>20</v>
      </c>
      <c r="B381" s="1" t="s">
        <v>21</v>
      </c>
      <c r="C381" s="1">
        <v>1121</v>
      </c>
      <c r="D381" s="1">
        <v>1121</v>
      </c>
      <c r="E381" s="2">
        <v>0.98</v>
      </c>
      <c r="F381" s="1">
        <v>0</v>
      </c>
      <c r="G381" s="1">
        <v>65.900000000000006</v>
      </c>
      <c r="H381" s="1">
        <v>793</v>
      </c>
      <c r="I381" s="1" t="str">
        <f>HYPERLINK("https://www.ncbi.nlm.nih.gov/protein/WP_016874476.1?report=genbank&amp;log$=prottop&amp;blast_rank=19&amp;RID=7U875CNM013","WP_016874476.1")</f>
        <v>WP_016874476.1</v>
      </c>
      <c r="J381" s="1" t="s">
        <v>2</v>
      </c>
    </row>
    <row r="382" spans="1:10" s="4" customFormat="1" x14ac:dyDescent="0.2">
      <c r="A382" s="1" t="s">
        <v>644</v>
      </c>
      <c r="B382" s="1" t="s">
        <v>645</v>
      </c>
      <c r="C382" s="1">
        <v>1085</v>
      </c>
      <c r="D382" s="1">
        <v>1085</v>
      </c>
      <c r="E382" s="2">
        <v>0.98</v>
      </c>
      <c r="F382" s="1">
        <v>0</v>
      </c>
      <c r="G382" s="1">
        <v>65.900000000000006</v>
      </c>
      <c r="H382" s="1">
        <v>793</v>
      </c>
      <c r="I382" s="1" t="str">
        <f>HYPERLINK("https://www.ncbi.nlm.nih.gov/protein/WP_198123782.1?report=genbank&amp;log$=prottop&amp;blast_rank=20&amp;RID=7U875CNM013","WP_198123782.1")</f>
        <v>WP_198123782.1</v>
      </c>
      <c r="J382" s="1" t="s">
        <v>2</v>
      </c>
    </row>
    <row r="383" spans="1:10" s="4" customFormat="1" x14ac:dyDescent="0.2">
      <c r="A383" s="1" t="s">
        <v>172</v>
      </c>
      <c r="B383" s="1" t="s">
        <v>173</v>
      </c>
      <c r="C383" s="1">
        <v>1082</v>
      </c>
      <c r="D383" s="1">
        <v>1082</v>
      </c>
      <c r="E383" s="2">
        <v>0.98</v>
      </c>
      <c r="F383" s="1">
        <v>0</v>
      </c>
      <c r="G383" s="1">
        <v>65.78</v>
      </c>
      <c r="H383" s="1">
        <v>791</v>
      </c>
      <c r="I383" s="1" t="str">
        <f>HYPERLINK("https://www.ncbi.nlm.nih.gov/protein/PSB07752.1?report=genbank&amp;log$=prottop&amp;blast_rank=32&amp;RID=7U875CNM013","PSB07752.1")</f>
        <v>PSB07752.1</v>
      </c>
      <c r="J383" s="1" t="s">
        <v>2</v>
      </c>
    </row>
    <row r="384" spans="1:10" s="4" customFormat="1" x14ac:dyDescent="0.2">
      <c r="A384" s="1" t="s">
        <v>646</v>
      </c>
      <c r="B384" s="1" t="s">
        <v>647</v>
      </c>
      <c r="C384" s="1">
        <v>1103</v>
      </c>
      <c r="D384" s="1">
        <v>1103</v>
      </c>
      <c r="E384" s="2">
        <v>0.98</v>
      </c>
      <c r="F384" s="1">
        <v>0</v>
      </c>
      <c r="G384" s="1">
        <v>65.78</v>
      </c>
      <c r="H384" s="1">
        <v>793</v>
      </c>
      <c r="I384" s="1" t="str">
        <f>HYPERLINK("https://www.ncbi.nlm.nih.gov/protein/WP_190953247.1?report=genbank&amp;log$=prottop&amp;blast_rank=36&amp;RID=7U875CNM013","WP_190953247.1")</f>
        <v>WP_190953247.1</v>
      </c>
      <c r="J384" s="1" t="s">
        <v>2</v>
      </c>
    </row>
    <row r="385" spans="1:10" s="4" customFormat="1" x14ac:dyDescent="0.2">
      <c r="A385" s="1" t="s">
        <v>648</v>
      </c>
      <c r="B385" s="1" t="s">
        <v>649</v>
      </c>
      <c r="C385" s="1">
        <v>1092</v>
      </c>
      <c r="D385" s="1">
        <v>1092</v>
      </c>
      <c r="E385" s="2">
        <v>0.98</v>
      </c>
      <c r="F385" s="1">
        <v>0</v>
      </c>
      <c r="G385" s="1">
        <v>65.78</v>
      </c>
      <c r="H385" s="1">
        <v>793</v>
      </c>
      <c r="I385" s="1" t="str">
        <f>HYPERLINK("https://www.ncbi.nlm.nih.gov/protein/WP_162398929.1?report=genbank&amp;log$=prottop&amp;blast_rank=39&amp;RID=7U875CNM013","WP_162398929.1")</f>
        <v>WP_162398929.1</v>
      </c>
      <c r="J385" s="1" t="s">
        <v>2</v>
      </c>
    </row>
    <row r="386" spans="1:10" s="4" customFormat="1" x14ac:dyDescent="0.2">
      <c r="A386" s="1" t="s">
        <v>650</v>
      </c>
      <c r="B386" s="1" t="s">
        <v>651</v>
      </c>
      <c r="C386" s="1">
        <v>1114</v>
      </c>
      <c r="D386" s="1">
        <v>1114</v>
      </c>
      <c r="E386" s="2">
        <v>0.99</v>
      </c>
      <c r="F386" s="1">
        <v>0</v>
      </c>
      <c r="G386" s="1">
        <v>65.739999999999995</v>
      </c>
      <c r="H386" s="1">
        <v>793</v>
      </c>
      <c r="I386" s="1" t="str">
        <f>HYPERLINK("https://www.ncbi.nlm.nih.gov/protein/WP_086688389.1?report=genbank&amp;log$=prottop&amp;blast_rank=45&amp;RID=7U875CNM013","WP_086688389.1")</f>
        <v>WP_086688389.1</v>
      </c>
      <c r="J386" s="1" t="s">
        <v>2</v>
      </c>
    </row>
    <row r="387" spans="1:10" s="4" customFormat="1" x14ac:dyDescent="0.2">
      <c r="A387" s="1" t="s">
        <v>652</v>
      </c>
      <c r="B387" s="1" t="s">
        <v>653</v>
      </c>
      <c r="C387" s="1">
        <v>1109</v>
      </c>
      <c r="D387" s="1">
        <v>1109</v>
      </c>
      <c r="E387" s="2">
        <v>0.98</v>
      </c>
      <c r="F387" s="1">
        <v>0</v>
      </c>
      <c r="G387" s="1">
        <v>65.69</v>
      </c>
      <c r="H387" s="1">
        <v>791</v>
      </c>
      <c r="I387" s="1" t="str">
        <f>HYPERLINK("https://www.ncbi.nlm.nih.gov/protein/HDW99555.1?report=genbank&amp;log$=prottop&amp;blast_rank=51&amp;RID=7U875CNM013","HDW99555.1")</f>
        <v>HDW99555.1</v>
      </c>
      <c r="J387" s="1" t="s">
        <v>2</v>
      </c>
    </row>
    <row r="388" spans="1:10" s="4" customFormat="1" x14ac:dyDescent="0.2">
      <c r="A388" s="1" t="s">
        <v>654</v>
      </c>
      <c r="B388" s="1" t="s">
        <v>655</v>
      </c>
      <c r="C388" s="1">
        <v>1110</v>
      </c>
      <c r="D388" s="1">
        <v>1110</v>
      </c>
      <c r="E388" s="2">
        <v>0.98</v>
      </c>
      <c r="F388" s="1">
        <v>0</v>
      </c>
      <c r="G388" s="1">
        <v>65.650000000000006</v>
      </c>
      <c r="H388" s="1">
        <v>793</v>
      </c>
      <c r="I388" s="1" t="str">
        <f>HYPERLINK("https://www.ncbi.nlm.nih.gov/protein/WP_190565750.1?report=genbank&amp;log$=prottop&amp;blast_rank=57&amp;RID=7U875CNM013","WP_190565750.1")</f>
        <v>WP_190565750.1</v>
      </c>
      <c r="J388" s="1" t="s">
        <v>2</v>
      </c>
    </row>
    <row r="389" spans="1:10" s="4" customFormat="1" x14ac:dyDescent="0.2">
      <c r="A389" s="1" t="s">
        <v>94</v>
      </c>
      <c r="B389" s="1" t="s">
        <v>95</v>
      </c>
      <c r="C389" s="1">
        <v>1108</v>
      </c>
      <c r="D389" s="1">
        <v>1108</v>
      </c>
      <c r="E389" s="2">
        <v>0.98</v>
      </c>
      <c r="F389" s="1">
        <v>0</v>
      </c>
      <c r="G389" s="1">
        <v>65.650000000000006</v>
      </c>
      <c r="H389" s="1">
        <v>793</v>
      </c>
      <c r="I389" s="1" t="str">
        <f>HYPERLINK("https://www.ncbi.nlm.nih.gov/protein/WP_011317375.1?report=genbank&amp;log$=prottop&amp;blast_rank=58&amp;RID=7U875CNM013","WP_011317375.1")</f>
        <v>WP_011317375.1</v>
      </c>
      <c r="J389" s="1" t="s">
        <v>2</v>
      </c>
    </row>
    <row r="390" spans="1:10" s="4" customFormat="1" x14ac:dyDescent="0.2">
      <c r="A390" s="1" t="s">
        <v>656</v>
      </c>
      <c r="B390" s="1" t="s">
        <v>657</v>
      </c>
      <c r="C390" s="1">
        <v>1102</v>
      </c>
      <c r="D390" s="1">
        <v>1102</v>
      </c>
      <c r="E390" s="2">
        <v>0.98</v>
      </c>
      <c r="F390" s="1">
        <v>0</v>
      </c>
      <c r="G390" s="1">
        <v>65.650000000000006</v>
      </c>
      <c r="H390" s="1">
        <v>793</v>
      </c>
      <c r="I390" s="1" t="str">
        <f>HYPERLINK("https://www.ncbi.nlm.nih.gov/protein/MBC6430953.1?report=genbank&amp;log$=prottop&amp;blast_rank=60&amp;RID=7U875CNM013","MBC6430953.1")</f>
        <v>MBC6430953.1</v>
      </c>
      <c r="J390" s="1" t="s">
        <v>2</v>
      </c>
    </row>
    <row r="391" spans="1:10" s="4" customFormat="1" x14ac:dyDescent="0.2">
      <c r="A391" s="1" t="s">
        <v>658</v>
      </c>
      <c r="B391" s="1" t="s">
        <v>659</v>
      </c>
      <c r="C391" s="1">
        <v>1082</v>
      </c>
      <c r="D391" s="1">
        <v>1082</v>
      </c>
      <c r="E391" s="2">
        <v>0.98</v>
      </c>
      <c r="F391" s="1">
        <v>0</v>
      </c>
      <c r="G391" s="1">
        <v>65.650000000000006</v>
      </c>
      <c r="H391" s="1">
        <v>793</v>
      </c>
      <c r="I391" s="1" t="str">
        <f>HYPERLINK("https://www.ncbi.nlm.nih.gov/protein/WP_096551068.1?report=genbank&amp;log$=prottop&amp;blast_rank=64&amp;RID=7U875CNM013","WP_096551068.1")</f>
        <v>WP_096551068.1</v>
      </c>
      <c r="J391" s="1" t="s">
        <v>2</v>
      </c>
    </row>
    <row r="392" spans="1:10" s="4" customFormat="1" x14ac:dyDescent="0.2">
      <c r="A392" s="1" t="s">
        <v>660</v>
      </c>
      <c r="B392" s="1" t="s">
        <v>661</v>
      </c>
      <c r="C392" s="1">
        <v>1116</v>
      </c>
      <c r="D392" s="1">
        <v>1116</v>
      </c>
      <c r="E392" s="2">
        <v>0.99</v>
      </c>
      <c r="F392" s="1">
        <v>0</v>
      </c>
      <c r="G392" s="1">
        <v>65.569999999999993</v>
      </c>
      <c r="H392" s="1">
        <v>795</v>
      </c>
      <c r="I392" s="1" t="str">
        <f>HYPERLINK("https://www.ncbi.nlm.nih.gov/protein/NJN02896.1?report=genbank&amp;log$=prottop&amp;blast_rank=81&amp;RID=7U875CNM013","NJN02896.1")</f>
        <v>NJN02896.1</v>
      </c>
      <c r="J392" s="1" t="s">
        <v>2</v>
      </c>
    </row>
    <row r="393" spans="1:10" s="4" customFormat="1" x14ac:dyDescent="0.2">
      <c r="A393" s="1" t="s">
        <v>662</v>
      </c>
      <c r="B393" s="1" t="s">
        <v>663</v>
      </c>
      <c r="C393" s="1">
        <v>1111</v>
      </c>
      <c r="D393" s="1">
        <v>1111</v>
      </c>
      <c r="E393" s="2">
        <v>0.98</v>
      </c>
      <c r="F393" s="1">
        <v>0</v>
      </c>
      <c r="G393" s="1">
        <v>65.56</v>
      </c>
      <c r="H393" s="1">
        <v>791</v>
      </c>
      <c r="I393" s="1" t="str">
        <f>HYPERLINK("https://www.ncbi.nlm.nih.gov/protein/WP_011432775.1?report=genbank&amp;log$=prottop&amp;blast_rank=84&amp;RID=7U875CNM013","WP_011432775.1")</f>
        <v>WP_011432775.1</v>
      </c>
      <c r="J393" s="1" t="s">
        <v>2</v>
      </c>
    </row>
    <row r="394" spans="1:10" s="4" customFormat="1" x14ac:dyDescent="0.2">
      <c r="A394" s="1" t="s">
        <v>664</v>
      </c>
      <c r="B394" s="1" t="s">
        <v>665</v>
      </c>
      <c r="C394" s="1">
        <v>1103</v>
      </c>
      <c r="D394" s="1">
        <v>1103</v>
      </c>
      <c r="E394" s="2">
        <v>0.98</v>
      </c>
      <c r="F394" s="1">
        <v>0</v>
      </c>
      <c r="G394" s="1">
        <v>65.56</v>
      </c>
      <c r="H394" s="1">
        <v>793</v>
      </c>
      <c r="I394" s="1" t="str">
        <f>HYPERLINK("https://www.ncbi.nlm.nih.gov/protein/PSO55642.1?report=genbank&amp;log$=prottop&amp;blast_rank=85&amp;RID=7U875CNM013","PSO55642.1")</f>
        <v>PSO55642.1</v>
      </c>
      <c r="J394" s="1" t="s">
        <v>2</v>
      </c>
    </row>
    <row r="395" spans="1:10" s="4" customFormat="1" x14ac:dyDescent="0.2">
      <c r="A395" s="1" t="s">
        <v>666</v>
      </c>
      <c r="B395" s="1" t="s">
        <v>667</v>
      </c>
      <c r="C395" s="1">
        <v>1103</v>
      </c>
      <c r="D395" s="1">
        <v>1103</v>
      </c>
      <c r="E395" s="2">
        <v>0.98</v>
      </c>
      <c r="F395" s="1">
        <v>0</v>
      </c>
      <c r="G395" s="1">
        <v>65.56</v>
      </c>
      <c r="H395" s="1">
        <v>793</v>
      </c>
      <c r="I395" s="1" t="str">
        <f>HYPERLINK("https://www.ncbi.nlm.nih.gov/protein/PSO93832.1?report=genbank&amp;log$=prottop&amp;blast_rank=86&amp;RID=7U875CNM013","PSO93832.1")</f>
        <v>PSO93832.1</v>
      </c>
      <c r="J395" s="1" t="s">
        <v>2</v>
      </c>
    </row>
    <row r="396" spans="1:10" s="4" customFormat="1" x14ac:dyDescent="0.2">
      <c r="A396" s="1" t="s">
        <v>668</v>
      </c>
      <c r="B396" s="1" t="s">
        <v>669</v>
      </c>
      <c r="C396" s="1">
        <v>1102</v>
      </c>
      <c r="D396" s="1">
        <v>1102</v>
      </c>
      <c r="E396" s="2">
        <v>0.98</v>
      </c>
      <c r="F396" s="1">
        <v>0</v>
      </c>
      <c r="G396" s="1">
        <v>65.56</v>
      </c>
      <c r="H396" s="1">
        <v>793</v>
      </c>
      <c r="I396" s="1" t="str">
        <f>HYPERLINK("https://www.ncbi.nlm.nih.gov/protein/PSO60855.1?report=genbank&amp;log$=prottop&amp;blast_rank=87&amp;RID=7U875CNM013","PSO60855.1")</f>
        <v>PSO60855.1</v>
      </c>
      <c r="J396" s="1" t="s">
        <v>2</v>
      </c>
    </row>
    <row r="397" spans="1:10" s="4" customFormat="1" x14ac:dyDescent="0.2">
      <c r="A397" s="1" t="s">
        <v>670</v>
      </c>
      <c r="B397" s="1" t="s">
        <v>671</v>
      </c>
      <c r="C397" s="1">
        <v>1101</v>
      </c>
      <c r="D397" s="1">
        <v>1101</v>
      </c>
      <c r="E397" s="2">
        <v>0.98</v>
      </c>
      <c r="F397" s="1">
        <v>0</v>
      </c>
      <c r="G397" s="1">
        <v>65.56</v>
      </c>
      <c r="H397" s="1">
        <v>793</v>
      </c>
      <c r="I397" s="1" t="str">
        <f>HYPERLINK("https://www.ncbi.nlm.nih.gov/protein/PSO74864.1?report=genbank&amp;log$=prottop&amp;blast_rank=88&amp;RID=7U875CNM013","PSO74864.1")</f>
        <v>PSO74864.1</v>
      </c>
      <c r="J397" s="1" t="s">
        <v>2</v>
      </c>
    </row>
    <row r="398" spans="1:10" s="4" customFormat="1" x14ac:dyDescent="0.2">
      <c r="A398" s="1" t="s">
        <v>672</v>
      </c>
      <c r="B398" s="1" t="s">
        <v>673</v>
      </c>
      <c r="C398" s="1">
        <v>1113</v>
      </c>
      <c r="D398" s="1">
        <v>1113</v>
      </c>
      <c r="E398" s="2">
        <v>0.98</v>
      </c>
      <c r="F398" s="1">
        <v>0</v>
      </c>
      <c r="G398" s="1">
        <v>65.52</v>
      </c>
      <c r="H398" s="1">
        <v>793</v>
      </c>
      <c r="I398" s="1" t="str">
        <f>HYPERLINK("https://www.ncbi.nlm.nih.gov/protein/MBF2005015.1?report=genbank&amp;log$=prottop&amp;blast_rank=95&amp;RID=7U875CNM013","MBF2005015.1")</f>
        <v>MBF2005015.1</v>
      </c>
      <c r="J398" s="1" t="s">
        <v>2</v>
      </c>
    </row>
    <row r="399" spans="1:10" s="4" customFormat="1" x14ac:dyDescent="0.2">
      <c r="A399" s="1" t="s">
        <v>674</v>
      </c>
      <c r="B399" s="1" t="s">
        <v>675</v>
      </c>
      <c r="C399" s="1">
        <v>1105</v>
      </c>
      <c r="D399" s="1">
        <v>1105</v>
      </c>
      <c r="E399" s="2">
        <v>0.98</v>
      </c>
      <c r="F399" s="1">
        <v>0</v>
      </c>
      <c r="G399" s="1">
        <v>65.52</v>
      </c>
      <c r="H399" s="1">
        <v>793</v>
      </c>
      <c r="I399" s="1" t="str">
        <f>HYPERLINK("https://www.ncbi.nlm.nih.gov/protein/WP_167723625.1?report=genbank&amp;log$=prottop&amp;blast_rank=96&amp;RID=7U875CNM013","WP_167723625.1")</f>
        <v>WP_167723625.1</v>
      </c>
      <c r="J399" s="1" t="s">
        <v>2</v>
      </c>
    </row>
    <row r="400" spans="1:10" s="4" customFormat="1" x14ac:dyDescent="0.2">
      <c r="A400" s="1" t="s">
        <v>676</v>
      </c>
      <c r="B400" s="1" t="s">
        <v>677</v>
      </c>
      <c r="C400" s="1">
        <v>1103</v>
      </c>
      <c r="D400" s="1">
        <v>1103</v>
      </c>
      <c r="E400" s="2">
        <v>0.98</v>
      </c>
      <c r="F400" s="1">
        <v>0</v>
      </c>
      <c r="G400" s="1">
        <v>65.52</v>
      </c>
      <c r="H400" s="1">
        <v>793</v>
      </c>
      <c r="I400" s="1" t="str">
        <f>HYPERLINK("https://www.ncbi.nlm.nih.gov/protein/RCJ25639.1?report=genbank&amp;log$=prottop&amp;blast_rank=97&amp;RID=7U875CNM013","RCJ25639.1")</f>
        <v>RCJ25639.1</v>
      </c>
      <c r="J400" s="1" t="s">
        <v>2</v>
      </c>
    </row>
    <row r="401" spans="1:10" s="4" customFormat="1" x14ac:dyDescent="0.2">
      <c r="A401" s="1" t="s">
        <v>678</v>
      </c>
      <c r="B401" s="1" t="s">
        <v>679</v>
      </c>
      <c r="C401" s="1">
        <v>1082</v>
      </c>
      <c r="D401" s="1">
        <v>1082</v>
      </c>
      <c r="E401" s="2">
        <v>0.98</v>
      </c>
      <c r="F401" s="1">
        <v>0</v>
      </c>
      <c r="G401" s="1">
        <v>65.52</v>
      </c>
      <c r="H401" s="1">
        <v>793</v>
      </c>
      <c r="I401" s="1" t="str">
        <f>HYPERLINK("https://www.ncbi.nlm.nih.gov/protein/WP_206263417.1?report=genbank&amp;log$=prottop&amp;blast_rank=101&amp;RID=7U875CNM013","WP_206263417.1")</f>
        <v>WP_206263417.1</v>
      </c>
      <c r="J401" s="1" t="s">
        <v>2</v>
      </c>
    </row>
    <row r="402" spans="1:10" s="7" customFormat="1" x14ac:dyDescent="0.2">
      <c r="A402" s="5" t="s">
        <v>680</v>
      </c>
      <c r="B402" s="5" t="s">
        <v>681</v>
      </c>
      <c r="C402" s="5">
        <v>1112</v>
      </c>
      <c r="D402" s="5">
        <v>1112</v>
      </c>
      <c r="E402" s="6">
        <v>0.99</v>
      </c>
      <c r="F402" s="5">
        <v>0</v>
      </c>
      <c r="G402" s="5">
        <v>65.489999999999995</v>
      </c>
      <c r="H402" s="5">
        <v>793</v>
      </c>
      <c r="I402" s="5" t="str">
        <f>HYPERLINK("https://www.ncbi.nlm.nih.gov/protein/WP_086767094.1?report=genbank&amp;log$=prottop&amp;blast_rank=4&amp;RID=7U875CNM013","WP_086767094.1")</f>
        <v>WP_086767094.1</v>
      </c>
      <c r="J402" s="5" t="s">
        <v>2</v>
      </c>
    </row>
    <row r="403" spans="1:10" s="7" customFormat="1" x14ac:dyDescent="0.2">
      <c r="A403" s="5" t="s">
        <v>682</v>
      </c>
      <c r="B403" s="5" t="s">
        <v>683</v>
      </c>
      <c r="C403" s="5">
        <v>1111</v>
      </c>
      <c r="D403" s="5">
        <v>1111</v>
      </c>
      <c r="E403" s="6">
        <v>0.99</v>
      </c>
      <c r="F403" s="5">
        <v>0</v>
      </c>
      <c r="G403" s="5">
        <v>65.489999999999995</v>
      </c>
      <c r="H403" s="5">
        <v>793</v>
      </c>
      <c r="I403" s="5" t="str">
        <f>HYPERLINK("https://www.ncbi.nlm.nih.gov/protein/WP_086836571.1?report=genbank&amp;log$=prottop&amp;blast_rank=5&amp;RID=7U875CNM013","WP_086836571.1")</f>
        <v>WP_086836571.1</v>
      </c>
      <c r="J403" s="5" t="s">
        <v>2</v>
      </c>
    </row>
    <row r="404" spans="1:10" s="7" customFormat="1" x14ac:dyDescent="0.2">
      <c r="A404" s="5" t="s">
        <v>684</v>
      </c>
      <c r="B404" s="5" t="s">
        <v>685</v>
      </c>
      <c r="C404" s="5">
        <v>1119</v>
      </c>
      <c r="D404" s="5">
        <v>1119</v>
      </c>
      <c r="E404" s="6">
        <v>0.98</v>
      </c>
      <c r="F404" s="5">
        <v>0</v>
      </c>
      <c r="G404" s="5">
        <v>65.430000000000007</v>
      </c>
      <c r="H404" s="5">
        <v>800</v>
      </c>
      <c r="I404" s="5" t="str">
        <f>HYPERLINK("https://www.ncbi.nlm.nih.gov/protein/MBC6420679.1?report=genbank&amp;log$=prottop&amp;blast_rank=16&amp;RID=7U875CNM013","MBC6420679.1")</f>
        <v>MBC6420679.1</v>
      </c>
      <c r="J404" s="5" t="s">
        <v>2</v>
      </c>
    </row>
    <row r="405" spans="1:10" s="7" customFormat="1" x14ac:dyDescent="0.2">
      <c r="A405" s="5" t="s">
        <v>686</v>
      </c>
      <c r="B405" s="5" t="s">
        <v>687</v>
      </c>
      <c r="C405" s="5">
        <v>1100</v>
      </c>
      <c r="D405" s="5">
        <v>1100</v>
      </c>
      <c r="E405" s="6">
        <v>0.98</v>
      </c>
      <c r="F405" s="5">
        <v>0</v>
      </c>
      <c r="G405" s="5">
        <v>65.430000000000007</v>
      </c>
      <c r="H405" s="5">
        <v>793</v>
      </c>
      <c r="I405" s="5" t="str">
        <f>HYPERLINK("https://www.ncbi.nlm.nih.gov/protein/PSP26302.1?report=genbank&amp;log$=prottop&amp;blast_rank=20&amp;RID=7U875CNM013","PSP26302.1")</f>
        <v>PSP26302.1</v>
      </c>
      <c r="J405" s="5" t="s">
        <v>2</v>
      </c>
    </row>
    <row r="406" spans="1:10" s="7" customFormat="1" x14ac:dyDescent="0.2">
      <c r="A406" s="5" t="s">
        <v>688</v>
      </c>
      <c r="B406" s="5" t="s">
        <v>689</v>
      </c>
      <c r="C406" s="5">
        <v>1100</v>
      </c>
      <c r="D406" s="5">
        <v>1100</v>
      </c>
      <c r="E406" s="6">
        <v>0.98</v>
      </c>
      <c r="F406" s="5">
        <v>0</v>
      </c>
      <c r="G406" s="5">
        <v>65.430000000000007</v>
      </c>
      <c r="H406" s="5">
        <v>793</v>
      </c>
      <c r="I406" s="5" t="str">
        <f>HYPERLINK("https://www.ncbi.nlm.nih.gov/protein/PSO86280.1?report=genbank&amp;log$=prottop&amp;blast_rank=21&amp;RID=7U875CNM013","PSO86280.1")</f>
        <v>PSO86280.1</v>
      </c>
      <c r="J406" s="5" t="s">
        <v>2</v>
      </c>
    </row>
    <row r="407" spans="1:10" s="7" customFormat="1" x14ac:dyDescent="0.2">
      <c r="A407" s="5" t="s">
        <v>690</v>
      </c>
      <c r="B407" s="5" t="s">
        <v>691</v>
      </c>
      <c r="C407" s="5">
        <v>1099</v>
      </c>
      <c r="D407" s="5">
        <v>1099</v>
      </c>
      <c r="E407" s="6">
        <v>0.98</v>
      </c>
      <c r="F407" s="5">
        <v>0</v>
      </c>
      <c r="G407" s="5">
        <v>65.430000000000007</v>
      </c>
      <c r="H407" s="5">
        <v>793</v>
      </c>
      <c r="I407" s="5" t="str">
        <f>HYPERLINK("https://www.ncbi.nlm.nih.gov/protein/PSO83289.1?report=genbank&amp;log$=prottop&amp;blast_rank=22&amp;RID=7U875CNM013","PSO83289.1")</f>
        <v>PSO83289.1</v>
      </c>
      <c r="J407" s="5" t="s">
        <v>2</v>
      </c>
    </row>
    <row r="408" spans="1:10" s="7" customFormat="1" x14ac:dyDescent="0.2">
      <c r="A408" s="5" t="s">
        <v>692</v>
      </c>
      <c r="B408" s="5" t="s">
        <v>693</v>
      </c>
      <c r="C408" s="5">
        <v>1117</v>
      </c>
      <c r="D408" s="5">
        <v>1117</v>
      </c>
      <c r="E408" s="6">
        <v>1</v>
      </c>
      <c r="F408" s="5">
        <v>0</v>
      </c>
      <c r="G408" s="5">
        <v>65.41</v>
      </c>
      <c r="H408" s="5">
        <v>826</v>
      </c>
      <c r="I408" s="5" t="str">
        <f>HYPERLINK("https://www.ncbi.nlm.nih.gov/protein/WP_104545062.1?report=genbank&amp;log$=prottop&amp;blast_rank=27&amp;RID=7U875CNM013","WP_104545062.1")</f>
        <v>WP_104545062.1</v>
      </c>
      <c r="J408" s="5" t="s">
        <v>2</v>
      </c>
    </row>
    <row r="409" spans="1:10" s="7" customFormat="1" x14ac:dyDescent="0.2">
      <c r="A409" s="5" t="s">
        <v>694</v>
      </c>
      <c r="B409" s="5" t="s">
        <v>695</v>
      </c>
      <c r="C409" s="5">
        <v>1108</v>
      </c>
      <c r="D409" s="5">
        <v>1108</v>
      </c>
      <c r="E409" s="6">
        <v>1</v>
      </c>
      <c r="F409" s="5">
        <v>0</v>
      </c>
      <c r="G409" s="5">
        <v>65.41</v>
      </c>
      <c r="H409" s="5">
        <v>826</v>
      </c>
      <c r="I409" s="5" t="str">
        <f>HYPERLINK("https://www.ncbi.nlm.nih.gov/protein/WP_015188211.1?report=genbank&amp;log$=prottop&amp;blast_rank=28&amp;RID=7U875CNM013","WP_015188211.1")</f>
        <v>WP_015188211.1</v>
      </c>
      <c r="J409" s="5" t="s">
        <v>2</v>
      </c>
    </row>
    <row r="410" spans="1:10" s="7" customFormat="1" x14ac:dyDescent="0.2">
      <c r="A410" s="5" t="s">
        <v>696</v>
      </c>
      <c r="B410" s="5" t="s">
        <v>697</v>
      </c>
      <c r="C410" s="5">
        <v>1103</v>
      </c>
      <c r="D410" s="5">
        <v>1103</v>
      </c>
      <c r="E410" s="6">
        <v>0.98</v>
      </c>
      <c r="F410" s="5">
        <v>0</v>
      </c>
      <c r="G410" s="5">
        <v>65.400000000000006</v>
      </c>
      <c r="H410" s="5">
        <v>793</v>
      </c>
      <c r="I410" s="5" t="str">
        <f>HYPERLINK("https://www.ncbi.nlm.nih.gov/protein/WP_190405420.1?report=genbank&amp;log$=prottop&amp;blast_rank=31&amp;RID=7U875CNM013","WP_190405420.1")</f>
        <v>WP_190405420.1</v>
      </c>
      <c r="J410" s="5" t="s">
        <v>2</v>
      </c>
    </row>
    <row r="411" spans="1:10" s="7" customFormat="1" x14ac:dyDescent="0.2">
      <c r="A411" s="5" t="s">
        <v>698</v>
      </c>
      <c r="B411" s="5" t="s">
        <v>699</v>
      </c>
      <c r="C411" s="5">
        <v>1110</v>
      </c>
      <c r="D411" s="5">
        <v>1110</v>
      </c>
      <c r="E411" s="6">
        <v>0.98</v>
      </c>
      <c r="F411" s="5">
        <v>0</v>
      </c>
      <c r="G411" s="5">
        <v>65.39</v>
      </c>
      <c r="H411" s="5">
        <v>793</v>
      </c>
      <c r="I411" s="5" t="str">
        <f>HYPERLINK("https://www.ncbi.nlm.nih.gov/protein/TVQ20612.1?report=genbank&amp;log$=prottop&amp;blast_rank=32&amp;RID=7U875CNM013","TVQ20612.1")</f>
        <v>TVQ20612.1</v>
      </c>
      <c r="J411" s="5" t="s">
        <v>2</v>
      </c>
    </row>
    <row r="412" spans="1:10" s="7" customFormat="1" x14ac:dyDescent="0.2">
      <c r="A412" s="5" t="s">
        <v>700</v>
      </c>
      <c r="B412" s="5" t="s">
        <v>701</v>
      </c>
      <c r="C412" s="5">
        <v>1110</v>
      </c>
      <c r="D412" s="5">
        <v>1110</v>
      </c>
      <c r="E412" s="6">
        <v>0.98</v>
      </c>
      <c r="F412" s="5">
        <v>0</v>
      </c>
      <c r="G412" s="5">
        <v>65.39</v>
      </c>
      <c r="H412" s="5">
        <v>793</v>
      </c>
      <c r="I412" s="5" t="str">
        <f>HYPERLINK("https://www.ncbi.nlm.nih.gov/protein/WP_038080432.1?report=genbank&amp;log$=prottop&amp;blast_rank=33&amp;RID=7U875CNM013","WP_038080432.1")</f>
        <v>WP_038080432.1</v>
      </c>
      <c r="J412" s="5" t="s">
        <v>2</v>
      </c>
    </row>
    <row r="413" spans="1:10" s="7" customFormat="1" x14ac:dyDescent="0.2">
      <c r="A413" s="5" t="s">
        <v>702</v>
      </c>
      <c r="B413" s="5" t="s">
        <v>703</v>
      </c>
      <c r="C413" s="5">
        <v>1107</v>
      </c>
      <c r="D413" s="5">
        <v>1107</v>
      </c>
      <c r="E413" s="6">
        <v>0.98</v>
      </c>
      <c r="F413" s="5">
        <v>0</v>
      </c>
      <c r="G413" s="5">
        <v>65.39</v>
      </c>
      <c r="H413" s="5">
        <v>793</v>
      </c>
      <c r="I413" s="5" t="str">
        <f>HYPERLINK("https://www.ncbi.nlm.nih.gov/protein/MBF2087753.1?report=genbank&amp;log$=prottop&amp;blast_rank=34&amp;RID=7U875CNM013","MBF2087753.1")</f>
        <v>MBF2087753.1</v>
      </c>
      <c r="J413" s="5" t="s">
        <v>2</v>
      </c>
    </row>
    <row r="414" spans="1:10" s="7" customFormat="1" x14ac:dyDescent="0.2">
      <c r="A414" s="5" t="s">
        <v>704</v>
      </c>
      <c r="B414" s="5" t="s">
        <v>705</v>
      </c>
      <c r="C414" s="5">
        <v>1107</v>
      </c>
      <c r="D414" s="5">
        <v>1107</v>
      </c>
      <c r="E414" s="6">
        <v>0.98</v>
      </c>
      <c r="F414" s="5">
        <v>0</v>
      </c>
      <c r="G414" s="5">
        <v>65.39</v>
      </c>
      <c r="H414" s="5">
        <v>793</v>
      </c>
      <c r="I414" s="5" t="str">
        <f>HYPERLINK("https://www.ncbi.nlm.nih.gov/protein/WP_204153226.1?report=genbank&amp;log$=prottop&amp;blast_rank=35&amp;RID=7U875CNM013","WP_204153226.1")</f>
        <v>WP_204153226.1</v>
      </c>
      <c r="J414" s="5" t="s">
        <v>2</v>
      </c>
    </row>
    <row r="415" spans="1:10" s="7" customFormat="1" x14ac:dyDescent="0.2">
      <c r="A415" s="5" t="s">
        <v>706</v>
      </c>
      <c r="B415" s="5" t="s">
        <v>707</v>
      </c>
      <c r="C415" s="5">
        <v>1105</v>
      </c>
      <c r="D415" s="5">
        <v>1105</v>
      </c>
      <c r="E415" s="6">
        <v>0.98</v>
      </c>
      <c r="F415" s="5">
        <v>0</v>
      </c>
      <c r="G415" s="5">
        <v>65.39</v>
      </c>
      <c r="H415" s="5">
        <v>793</v>
      </c>
      <c r="I415" s="5" t="str">
        <f>HYPERLINK("https://www.ncbi.nlm.nih.gov/protein/WP_096598829.1?report=genbank&amp;log$=prottop&amp;blast_rank=36&amp;RID=7U875CNM013","WP_096598829.1")</f>
        <v>WP_096598829.1</v>
      </c>
      <c r="J415" s="5" t="s">
        <v>2</v>
      </c>
    </row>
    <row r="416" spans="1:10" s="7" customFormat="1" x14ac:dyDescent="0.2">
      <c r="A416" s="5" t="s">
        <v>708</v>
      </c>
      <c r="B416" s="5" t="s">
        <v>709</v>
      </c>
      <c r="C416" s="5">
        <v>1100</v>
      </c>
      <c r="D416" s="5">
        <v>1100</v>
      </c>
      <c r="E416" s="6">
        <v>0.98</v>
      </c>
      <c r="F416" s="5">
        <v>0</v>
      </c>
      <c r="G416" s="5">
        <v>65.39</v>
      </c>
      <c r="H416" s="5">
        <v>793</v>
      </c>
      <c r="I416" s="5" t="str">
        <f>HYPERLINK("https://www.ncbi.nlm.nih.gov/protein/WP_193925612.1?report=genbank&amp;log$=prottop&amp;blast_rank=37&amp;RID=7U875CNM013","WP_193925612.1")</f>
        <v>WP_193925612.1</v>
      </c>
      <c r="J416" s="5" t="s">
        <v>2</v>
      </c>
    </row>
    <row r="417" spans="1:10" s="7" customFormat="1" x14ac:dyDescent="0.2">
      <c r="A417" s="5" t="s">
        <v>710</v>
      </c>
      <c r="B417" s="5" t="s">
        <v>711</v>
      </c>
      <c r="C417" s="5">
        <v>1095</v>
      </c>
      <c r="D417" s="5">
        <v>1095</v>
      </c>
      <c r="E417" s="6">
        <v>0.98</v>
      </c>
      <c r="F417" s="5">
        <v>0</v>
      </c>
      <c r="G417" s="5">
        <v>65.39</v>
      </c>
      <c r="H417" s="5">
        <v>793</v>
      </c>
      <c r="I417" s="5" t="str">
        <f>HYPERLINK("https://www.ncbi.nlm.nih.gov/protein/WP_190708538.1?report=genbank&amp;log$=prottop&amp;blast_rank=38&amp;RID=7U875CNM013","WP_190708538.1")</f>
        <v>WP_190708538.1</v>
      </c>
      <c r="J417" s="5" t="s">
        <v>2</v>
      </c>
    </row>
    <row r="418" spans="1:10" s="7" customFormat="1" x14ac:dyDescent="0.2">
      <c r="A418" s="5" t="s">
        <v>712</v>
      </c>
      <c r="B418" s="5" t="s">
        <v>713</v>
      </c>
      <c r="C418" s="5">
        <v>1085</v>
      </c>
      <c r="D418" s="5">
        <v>1085</v>
      </c>
      <c r="E418" s="6">
        <v>0.98</v>
      </c>
      <c r="F418" s="5">
        <v>0</v>
      </c>
      <c r="G418" s="5">
        <v>65.39</v>
      </c>
      <c r="H418" s="5">
        <v>793</v>
      </c>
      <c r="I418" s="5" t="str">
        <f>HYPERLINK("https://www.ncbi.nlm.nih.gov/protein/BAZ33243.1?report=genbank&amp;log$=prottop&amp;blast_rank=40&amp;RID=7U875CNM013","BAZ33243.1")</f>
        <v>BAZ33243.1</v>
      </c>
      <c r="J418" s="5" t="s">
        <v>2</v>
      </c>
    </row>
    <row r="419" spans="1:10" s="7" customFormat="1" x14ac:dyDescent="0.2">
      <c r="A419" s="5" t="s">
        <v>714</v>
      </c>
      <c r="B419" s="5" t="s">
        <v>715</v>
      </c>
      <c r="C419" s="5">
        <v>1099</v>
      </c>
      <c r="D419" s="5">
        <v>1099</v>
      </c>
      <c r="E419" s="6">
        <v>0.98</v>
      </c>
      <c r="F419" s="5">
        <v>0</v>
      </c>
      <c r="G419" s="5">
        <v>65.31</v>
      </c>
      <c r="H419" s="5">
        <v>793</v>
      </c>
      <c r="I419" s="5" t="str">
        <f>HYPERLINK("https://www.ncbi.nlm.nih.gov/protein/PSO66617.1?report=genbank&amp;log$=prottop&amp;blast_rank=64&amp;RID=7U875CNM013","PSO66617.1")</f>
        <v>PSO66617.1</v>
      </c>
      <c r="J419" s="5" t="s">
        <v>2</v>
      </c>
    </row>
    <row r="420" spans="1:10" s="7" customFormat="1" x14ac:dyDescent="0.2">
      <c r="A420" s="5" t="s">
        <v>716</v>
      </c>
      <c r="B420" s="5" t="s">
        <v>717</v>
      </c>
      <c r="C420" s="5">
        <v>1108</v>
      </c>
      <c r="D420" s="5">
        <v>1108</v>
      </c>
      <c r="E420" s="6">
        <v>1</v>
      </c>
      <c r="F420" s="5">
        <v>0</v>
      </c>
      <c r="G420" s="5">
        <v>65.290000000000006</v>
      </c>
      <c r="H420" s="5">
        <v>827</v>
      </c>
      <c r="I420" s="5" t="str">
        <f>HYPERLINK("https://www.ncbi.nlm.nih.gov/protein/WP_073548907.1?report=genbank&amp;log$=prottop&amp;blast_rank=80&amp;RID=7U875CNM013","WP_073548907.1")</f>
        <v>WP_073548907.1</v>
      </c>
      <c r="J420" s="5" t="s">
        <v>2</v>
      </c>
    </row>
    <row r="421" spans="1:10" s="7" customFormat="1" x14ac:dyDescent="0.2">
      <c r="A421" s="5" t="s">
        <v>718</v>
      </c>
      <c r="B421" s="5" t="s">
        <v>719</v>
      </c>
      <c r="C421" s="5">
        <v>1102</v>
      </c>
      <c r="D421" s="5">
        <v>1102</v>
      </c>
      <c r="E421" s="6">
        <v>0.98</v>
      </c>
      <c r="F421" s="5">
        <v>0</v>
      </c>
      <c r="G421" s="5">
        <v>65.27</v>
      </c>
      <c r="H421" s="5">
        <v>793</v>
      </c>
      <c r="I421" s="5" t="str">
        <f>HYPERLINK("https://www.ncbi.nlm.nih.gov/protein/WP_191759223.1?report=genbank&amp;log$=prottop&amp;blast_rank=82&amp;RID=7U875CNM013","WP_191759223.1")</f>
        <v>WP_191759223.1</v>
      </c>
      <c r="J421" s="5" t="s">
        <v>2</v>
      </c>
    </row>
    <row r="422" spans="1:10" s="7" customFormat="1" x14ac:dyDescent="0.2">
      <c r="A422" s="5" t="s">
        <v>720</v>
      </c>
      <c r="B422" s="5" t="s">
        <v>721</v>
      </c>
      <c r="C422" s="5">
        <v>1100</v>
      </c>
      <c r="D422" s="5">
        <v>1100</v>
      </c>
      <c r="E422" s="6">
        <v>0.98</v>
      </c>
      <c r="F422" s="5">
        <v>0</v>
      </c>
      <c r="G422" s="5">
        <v>65.27</v>
      </c>
      <c r="H422" s="5">
        <v>793</v>
      </c>
      <c r="I422" s="5" t="str">
        <f>HYPERLINK("https://www.ncbi.nlm.nih.gov/protein/WP_190620821.1?report=genbank&amp;log$=prottop&amp;blast_rank=83&amp;RID=7U875CNM013","WP_190620821.1")</f>
        <v>WP_190620821.1</v>
      </c>
      <c r="J422" s="5" t="s">
        <v>2</v>
      </c>
    </row>
    <row r="423" spans="1:10" s="7" customFormat="1" x14ac:dyDescent="0.2">
      <c r="A423" s="5" t="s">
        <v>60</v>
      </c>
      <c r="B423" s="5" t="s">
        <v>61</v>
      </c>
      <c r="C423" s="5">
        <v>1099</v>
      </c>
      <c r="D423" s="5">
        <v>1099</v>
      </c>
      <c r="E423" s="6">
        <v>0.98</v>
      </c>
      <c r="F423" s="5">
        <v>0</v>
      </c>
      <c r="G423" s="5">
        <v>65.27</v>
      </c>
      <c r="H423" s="5">
        <v>793</v>
      </c>
      <c r="I423" s="5" t="str">
        <f>HYPERLINK("https://www.ncbi.nlm.nih.gov/protein/WP_155746639.1?report=genbank&amp;log$=prottop&amp;blast_rank=84&amp;RID=7U875CNM013","WP_155746639.1")</f>
        <v>WP_155746639.1</v>
      </c>
      <c r="J423" s="5" t="s">
        <v>2</v>
      </c>
    </row>
    <row r="424" spans="1:10" s="7" customFormat="1" x14ac:dyDescent="0.2">
      <c r="A424" s="5" t="s">
        <v>722</v>
      </c>
      <c r="B424" s="5" t="s">
        <v>723</v>
      </c>
      <c r="C424" s="5">
        <v>1098</v>
      </c>
      <c r="D424" s="5">
        <v>1098</v>
      </c>
      <c r="E424" s="6">
        <v>0.98</v>
      </c>
      <c r="F424" s="5">
        <v>0</v>
      </c>
      <c r="G424" s="5">
        <v>65.27</v>
      </c>
      <c r="H424" s="5">
        <v>793</v>
      </c>
      <c r="I424" s="5" t="str">
        <f>HYPERLINK("https://www.ncbi.nlm.nih.gov/protein/WP_096732348.1?report=genbank&amp;log$=prottop&amp;blast_rank=85&amp;RID=7U875CNM013","WP_096732348.1")</f>
        <v>WP_096732348.1</v>
      </c>
      <c r="J424" s="5" t="s">
        <v>2</v>
      </c>
    </row>
    <row r="425" spans="1:10" s="7" customFormat="1" x14ac:dyDescent="0.2">
      <c r="A425" s="5" t="s">
        <v>724</v>
      </c>
      <c r="B425" s="5" t="s">
        <v>725</v>
      </c>
      <c r="C425" s="5">
        <v>1078</v>
      </c>
      <c r="D425" s="5">
        <v>1078</v>
      </c>
      <c r="E425" s="6">
        <v>0.98</v>
      </c>
      <c r="F425" s="5">
        <v>0</v>
      </c>
      <c r="G425" s="5">
        <v>65.27</v>
      </c>
      <c r="H425" s="5">
        <v>829</v>
      </c>
      <c r="I425" s="5" t="str">
        <f>HYPERLINK("https://www.ncbi.nlm.nih.gov/protein/WP_045056542.1?report=genbank&amp;log$=prottop&amp;blast_rank=86&amp;RID=7U875CNM013","WP_045056542.1")</f>
        <v>WP_045056542.1</v>
      </c>
      <c r="J425" s="5" t="s">
        <v>2</v>
      </c>
    </row>
    <row r="426" spans="1:10" s="7" customFormat="1" x14ac:dyDescent="0.2">
      <c r="A426" s="5" t="s">
        <v>465</v>
      </c>
      <c r="B426" s="5" t="s">
        <v>466</v>
      </c>
      <c r="C426" s="5">
        <v>1103</v>
      </c>
      <c r="D426" s="5">
        <v>1103</v>
      </c>
      <c r="E426" s="6">
        <v>1</v>
      </c>
      <c r="F426" s="5">
        <v>0</v>
      </c>
      <c r="G426" s="5">
        <v>65.260000000000005</v>
      </c>
      <c r="H426" s="5">
        <v>809</v>
      </c>
      <c r="I426" s="5" t="str">
        <f>HYPERLINK("https://www.ncbi.nlm.nih.gov/protein/WP_010476498.1?report=genbank&amp;log$=prottop&amp;blast_rank=90&amp;RID=7U875CNM013","WP_010476498.1")</f>
        <v>WP_010476498.1</v>
      </c>
      <c r="J426" s="5" t="s">
        <v>2</v>
      </c>
    </row>
    <row r="427" spans="1:10" s="7" customFormat="1" x14ac:dyDescent="0.2">
      <c r="A427" s="5" t="s">
        <v>726</v>
      </c>
      <c r="B427" s="5" t="s">
        <v>727</v>
      </c>
      <c r="C427" s="5">
        <v>1069</v>
      </c>
      <c r="D427" s="5">
        <v>1069</v>
      </c>
      <c r="E427" s="6">
        <v>1</v>
      </c>
      <c r="F427" s="5">
        <v>0</v>
      </c>
      <c r="G427" s="5">
        <v>65.239999999999995</v>
      </c>
      <c r="H427" s="5">
        <v>792</v>
      </c>
      <c r="I427" s="5" t="str">
        <f>HYPERLINK("https://www.ncbi.nlm.nih.gov/protein/HGZ85967.1?report=genbank&amp;log$=prottop&amp;blast_rank=91&amp;RID=7U875CNM013","HGZ85967.1")</f>
        <v>HGZ85967.1</v>
      </c>
      <c r="J427" s="5" t="s">
        <v>2</v>
      </c>
    </row>
    <row r="428" spans="1:10" s="7" customFormat="1" x14ac:dyDescent="0.2">
      <c r="A428" s="5" t="s">
        <v>728</v>
      </c>
      <c r="B428" s="5" t="s">
        <v>729</v>
      </c>
      <c r="C428" s="5">
        <v>1104</v>
      </c>
      <c r="D428" s="5">
        <v>1104</v>
      </c>
      <c r="E428" s="6">
        <v>0.98</v>
      </c>
      <c r="F428" s="5">
        <v>0</v>
      </c>
      <c r="G428" s="5">
        <v>65.23</v>
      </c>
      <c r="H428" s="5">
        <v>793</v>
      </c>
      <c r="I428" s="5" t="str">
        <f>HYPERLINK("https://www.ncbi.nlm.nih.gov/protein/WP_011140999.1?report=genbank&amp;log$=prottop&amp;blast_rank=95&amp;RID=7U875CNM013","WP_011140999.1")</f>
        <v>WP_011140999.1</v>
      </c>
      <c r="J428" s="5" t="s">
        <v>2</v>
      </c>
    </row>
    <row r="429" spans="1:10" s="7" customFormat="1" x14ac:dyDescent="0.2">
      <c r="A429" s="5" t="s">
        <v>730</v>
      </c>
      <c r="B429" s="5" t="s">
        <v>731</v>
      </c>
      <c r="C429" s="5">
        <v>1096</v>
      </c>
      <c r="D429" s="5">
        <v>1096</v>
      </c>
      <c r="E429" s="6">
        <v>0.98</v>
      </c>
      <c r="F429" s="5">
        <v>0</v>
      </c>
      <c r="G429" s="5">
        <v>65.22</v>
      </c>
      <c r="H429" s="5">
        <v>793</v>
      </c>
      <c r="I429" s="5" t="str">
        <f>HYPERLINK("https://www.ncbi.nlm.nih.gov/protein/WP_073627119.1?report=genbank&amp;log$=prottop&amp;blast_rank=99&amp;RID=7U875CNM013","WP_073627119.1")</f>
        <v>WP_073627119.1</v>
      </c>
      <c r="J429" s="5" t="s">
        <v>2</v>
      </c>
    </row>
    <row r="430" spans="1:10" s="8" customFormat="1" x14ac:dyDescent="0.2">
      <c r="A430" s="5" t="s">
        <v>732</v>
      </c>
      <c r="B430" s="5" t="s">
        <v>733</v>
      </c>
      <c r="C430" s="5">
        <v>1114</v>
      </c>
      <c r="D430" s="5">
        <v>1114</v>
      </c>
      <c r="E430" s="6">
        <v>0.98</v>
      </c>
      <c r="F430" s="5">
        <v>0</v>
      </c>
      <c r="G430" s="5">
        <v>65.180000000000007</v>
      </c>
      <c r="H430" s="5">
        <v>793</v>
      </c>
      <c r="I430" s="5" t="str">
        <f>HYPERLINK("https://www.ncbi.nlm.nih.gov/protein/ARV57490.1?report=genbank&amp;log$=prottop&amp;blast_rank=1&amp;RID=7U875CNM013","ARV57490.1")</f>
        <v>ARV57490.1</v>
      </c>
      <c r="J430" s="5" t="s">
        <v>2</v>
      </c>
    </row>
    <row r="431" spans="1:10" s="8" customFormat="1" x14ac:dyDescent="0.2">
      <c r="A431" s="5" t="s">
        <v>734</v>
      </c>
      <c r="B431" s="5" t="s">
        <v>735</v>
      </c>
      <c r="C431" s="5">
        <v>1106</v>
      </c>
      <c r="D431" s="5">
        <v>1106</v>
      </c>
      <c r="E431" s="6">
        <v>0.99</v>
      </c>
      <c r="F431" s="5">
        <v>0</v>
      </c>
      <c r="G431" s="5">
        <v>65.150000000000006</v>
      </c>
      <c r="H431" s="5">
        <v>827</v>
      </c>
      <c r="I431" s="5" t="str">
        <f>HYPERLINK("https://www.ncbi.nlm.nih.gov/protein/WP_193929923.1?report=genbank&amp;log$=prottop&amp;blast_rank=17&amp;RID=7U875CNM013","WP_193929923.1")</f>
        <v>WP_193929923.1</v>
      </c>
      <c r="J431" s="5" t="s">
        <v>2</v>
      </c>
    </row>
    <row r="432" spans="1:10" s="8" customFormat="1" x14ac:dyDescent="0.2">
      <c r="A432" s="5" t="s">
        <v>94</v>
      </c>
      <c r="B432" s="5" t="s">
        <v>95</v>
      </c>
      <c r="C432" s="5">
        <v>1106</v>
      </c>
      <c r="D432" s="5">
        <v>1106</v>
      </c>
      <c r="E432" s="6">
        <v>0.98</v>
      </c>
      <c r="F432" s="5">
        <v>0</v>
      </c>
      <c r="G432" s="5">
        <v>65.150000000000006</v>
      </c>
      <c r="H432" s="5">
        <v>793</v>
      </c>
      <c r="I432" s="5" t="str">
        <f>HYPERLINK("https://www.ncbi.nlm.nih.gov/protein/WP_010996723.1?report=genbank&amp;log$=prottop&amp;blast_rank=18&amp;RID=7U875CNM013","WP_010996723.1")</f>
        <v>WP_010996723.1</v>
      </c>
      <c r="J432" s="5" t="s">
        <v>2</v>
      </c>
    </row>
    <row r="433" spans="1:10" s="8" customFormat="1" x14ac:dyDescent="0.2">
      <c r="A433" s="5" t="s">
        <v>736</v>
      </c>
      <c r="B433" s="5" t="s">
        <v>737</v>
      </c>
      <c r="C433" s="5">
        <v>1097</v>
      </c>
      <c r="D433" s="5">
        <v>1097</v>
      </c>
      <c r="E433" s="6">
        <v>0.98</v>
      </c>
      <c r="F433" s="5">
        <v>0</v>
      </c>
      <c r="G433" s="5">
        <v>65.150000000000006</v>
      </c>
      <c r="H433" s="5">
        <v>805</v>
      </c>
      <c r="I433" s="5" t="str">
        <f>HYPERLINK("https://www.ncbi.nlm.nih.gov/protein/WP_089125394.1?report=genbank&amp;log$=prottop&amp;blast_rank=19&amp;RID=7U875CNM013","WP_089125394.1")</f>
        <v>WP_089125394.1</v>
      </c>
      <c r="J433" s="5" t="s">
        <v>2</v>
      </c>
    </row>
    <row r="434" spans="1:10" s="8" customFormat="1" x14ac:dyDescent="0.2">
      <c r="A434" s="5" t="s">
        <v>738</v>
      </c>
      <c r="B434" s="5" t="s">
        <v>739</v>
      </c>
      <c r="C434" s="5">
        <v>1115</v>
      </c>
      <c r="D434" s="5">
        <v>1115</v>
      </c>
      <c r="E434" s="6">
        <v>0.98</v>
      </c>
      <c r="F434" s="5">
        <v>0</v>
      </c>
      <c r="G434" s="5">
        <v>65.14</v>
      </c>
      <c r="H434" s="5">
        <v>793</v>
      </c>
      <c r="I434" s="5" t="str">
        <f>HYPERLINK("https://www.ncbi.nlm.nih.gov/protein/WP_017314599.1?report=genbank&amp;log$=prottop&amp;blast_rank=23&amp;RID=7U875CNM013","WP_017314599.1")</f>
        <v>WP_017314599.1</v>
      </c>
      <c r="J434" s="5" t="s">
        <v>2</v>
      </c>
    </row>
    <row r="435" spans="1:10" s="8" customFormat="1" x14ac:dyDescent="0.2">
      <c r="A435" s="5" t="s">
        <v>354</v>
      </c>
      <c r="B435" s="5" t="s">
        <v>355</v>
      </c>
      <c r="C435" s="5">
        <v>1109</v>
      </c>
      <c r="D435" s="5">
        <v>1109</v>
      </c>
      <c r="E435" s="6">
        <v>0.98</v>
      </c>
      <c r="F435" s="5">
        <v>0</v>
      </c>
      <c r="G435" s="5">
        <v>65.14</v>
      </c>
      <c r="H435" s="5">
        <v>793</v>
      </c>
      <c r="I435" s="5" t="str">
        <f>HYPERLINK("https://www.ncbi.nlm.nih.gov/protein/WP_026735051.1?report=genbank&amp;log$=prottop&amp;blast_rank=24&amp;RID=7U875CNM013","WP_026735051.1")</f>
        <v>WP_026735051.1</v>
      </c>
      <c r="J435" s="5" t="s">
        <v>2</v>
      </c>
    </row>
    <row r="436" spans="1:10" s="8" customFormat="1" x14ac:dyDescent="0.2">
      <c r="A436" s="5" t="s">
        <v>740</v>
      </c>
      <c r="B436" s="5" t="s">
        <v>741</v>
      </c>
      <c r="C436" s="5">
        <v>1102</v>
      </c>
      <c r="D436" s="5">
        <v>1102</v>
      </c>
      <c r="E436" s="6">
        <v>0.98</v>
      </c>
      <c r="F436" s="5">
        <v>0</v>
      </c>
      <c r="G436" s="5">
        <v>65.14</v>
      </c>
      <c r="H436" s="5">
        <v>793</v>
      </c>
      <c r="I436" s="5" t="str">
        <f>HYPERLINK("https://www.ncbi.nlm.nih.gov/protein/WP_190584388.1?report=genbank&amp;log$=prottop&amp;blast_rank=25&amp;RID=7U875CNM013","WP_190584388.1")</f>
        <v>WP_190584388.1</v>
      </c>
      <c r="J436" s="5" t="s">
        <v>2</v>
      </c>
    </row>
    <row r="437" spans="1:10" s="8" customFormat="1" x14ac:dyDescent="0.2">
      <c r="A437" s="5" t="s">
        <v>742</v>
      </c>
      <c r="B437" s="5" t="s">
        <v>743</v>
      </c>
      <c r="C437" s="5">
        <v>1100</v>
      </c>
      <c r="D437" s="5">
        <v>1100</v>
      </c>
      <c r="E437" s="6">
        <v>0.98</v>
      </c>
      <c r="F437" s="5">
        <v>0</v>
      </c>
      <c r="G437" s="5">
        <v>65.14</v>
      </c>
      <c r="H437" s="5">
        <v>793</v>
      </c>
      <c r="I437" s="5" t="str">
        <f>HYPERLINK("https://www.ncbi.nlm.nih.gov/protein/WP_190654409.1?report=genbank&amp;log$=prottop&amp;blast_rank=26&amp;RID=7U875CNM013","WP_190654409.1")</f>
        <v>WP_190654409.1</v>
      </c>
      <c r="J437" s="5" t="s">
        <v>2</v>
      </c>
    </row>
    <row r="438" spans="1:10" s="8" customFormat="1" x14ac:dyDescent="0.2">
      <c r="A438" s="5" t="s">
        <v>744</v>
      </c>
      <c r="B438" s="5" t="s">
        <v>745</v>
      </c>
      <c r="C438" s="5">
        <v>1097</v>
      </c>
      <c r="D438" s="5">
        <v>1097</v>
      </c>
      <c r="E438" s="6">
        <v>0.98</v>
      </c>
      <c r="F438" s="5">
        <v>0</v>
      </c>
      <c r="G438" s="5">
        <v>65.14</v>
      </c>
      <c r="H438" s="5">
        <v>793</v>
      </c>
      <c r="I438" s="5" t="str">
        <f>HYPERLINK("https://www.ncbi.nlm.nih.gov/protein/WP_193887068.1?report=genbank&amp;log$=prottop&amp;blast_rank=27&amp;RID=7U875CNM013","WP_193887068.1")</f>
        <v>WP_193887068.1</v>
      </c>
      <c r="J438" s="5" t="s">
        <v>2</v>
      </c>
    </row>
    <row r="439" spans="1:10" s="8" customFormat="1" x14ac:dyDescent="0.2">
      <c r="A439" s="5" t="s">
        <v>746</v>
      </c>
      <c r="B439" s="5" t="s">
        <v>747</v>
      </c>
      <c r="C439" s="5">
        <v>1097</v>
      </c>
      <c r="D439" s="5">
        <v>1097</v>
      </c>
      <c r="E439" s="6">
        <v>0.98</v>
      </c>
      <c r="F439" s="5">
        <v>0</v>
      </c>
      <c r="G439" s="5">
        <v>65.14</v>
      </c>
      <c r="H439" s="5">
        <v>793</v>
      </c>
      <c r="I439" s="5" t="str">
        <f>HYPERLINK("https://www.ncbi.nlm.nih.gov/protein/WP_190968584.1?report=genbank&amp;log$=prottop&amp;blast_rank=28&amp;RID=7U875CNM013","WP_190968584.1")</f>
        <v>WP_190968584.1</v>
      </c>
      <c r="J439" s="5" t="s">
        <v>2</v>
      </c>
    </row>
    <row r="440" spans="1:10" s="8" customFormat="1" x14ac:dyDescent="0.2">
      <c r="A440" s="5" t="s">
        <v>748</v>
      </c>
      <c r="B440" s="5" t="s">
        <v>749</v>
      </c>
      <c r="C440" s="5">
        <v>1096</v>
      </c>
      <c r="D440" s="5">
        <v>1096</v>
      </c>
      <c r="E440" s="6">
        <v>0.98</v>
      </c>
      <c r="F440" s="5">
        <v>0</v>
      </c>
      <c r="G440" s="5">
        <v>65.14</v>
      </c>
      <c r="H440" s="5">
        <v>793</v>
      </c>
      <c r="I440" s="5" t="str">
        <f>HYPERLINK("https://www.ncbi.nlm.nih.gov/protein/WP_062294613.1?report=genbank&amp;log$=prottop&amp;blast_rank=29&amp;RID=7U875CNM013","WP_062294613.1")</f>
        <v>WP_062294613.1</v>
      </c>
      <c r="J440" s="5" t="s">
        <v>2</v>
      </c>
    </row>
    <row r="441" spans="1:10" s="8" customFormat="1" x14ac:dyDescent="0.2">
      <c r="A441" s="5" t="s">
        <v>750</v>
      </c>
      <c r="B441" s="5" t="s">
        <v>751</v>
      </c>
      <c r="C441" s="5">
        <v>1096</v>
      </c>
      <c r="D441" s="5">
        <v>1096</v>
      </c>
      <c r="E441" s="6">
        <v>0.98</v>
      </c>
      <c r="F441" s="5">
        <v>0</v>
      </c>
      <c r="G441" s="5">
        <v>65.14</v>
      </c>
      <c r="H441" s="5">
        <v>793</v>
      </c>
      <c r="I441" s="5" t="str">
        <f>HYPERLINK("https://www.ncbi.nlm.nih.gov/protein/WP_096584335.1?report=genbank&amp;log$=prottop&amp;blast_rank=30&amp;RID=7U875CNM013","WP_096584335.1")</f>
        <v>WP_096584335.1</v>
      </c>
      <c r="J441" s="5" t="s">
        <v>2</v>
      </c>
    </row>
    <row r="442" spans="1:10" s="8" customFormat="1" x14ac:dyDescent="0.2">
      <c r="A442" s="5" t="s">
        <v>752</v>
      </c>
      <c r="B442" s="5" t="s">
        <v>753</v>
      </c>
      <c r="C442" s="5">
        <v>1095</v>
      </c>
      <c r="D442" s="5">
        <v>1095</v>
      </c>
      <c r="E442" s="6">
        <v>0.98</v>
      </c>
      <c r="F442" s="5">
        <v>0</v>
      </c>
      <c r="G442" s="5">
        <v>65.14</v>
      </c>
      <c r="H442" s="5">
        <v>793</v>
      </c>
      <c r="I442" s="5" t="str">
        <f>HYPERLINK("https://www.ncbi.nlm.nih.gov/protein/MBF2018277.1?report=genbank&amp;log$=prottop&amp;blast_rank=31&amp;RID=7U875CNM013","MBF2018277.1")</f>
        <v>MBF2018277.1</v>
      </c>
      <c r="J442" s="5" t="s">
        <v>2</v>
      </c>
    </row>
    <row r="443" spans="1:10" s="8" customFormat="1" x14ac:dyDescent="0.2">
      <c r="A443" s="5" t="s">
        <v>754</v>
      </c>
      <c r="B443" s="5" t="s">
        <v>755</v>
      </c>
      <c r="C443" s="5">
        <v>1095</v>
      </c>
      <c r="D443" s="5">
        <v>1095</v>
      </c>
      <c r="E443" s="6">
        <v>0.98</v>
      </c>
      <c r="F443" s="5">
        <v>0</v>
      </c>
      <c r="G443" s="5">
        <v>65.14</v>
      </c>
      <c r="H443" s="5">
        <v>793</v>
      </c>
      <c r="I443" s="5" t="str">
        <f>HYPERLINK("https://www.ncbi.nlm.nih.gov/protein/WP_190601445.1?report=genbank&amp;log$=prottop&amp;blast_rank=32&amp;RID=7U875CNM013","WP_190601445.1")</f>
        <v>WP_190601445.1</v>
      </c>
      <c r="J443" s="5" t="s">
        <v>2</v>
      </c>
    </row>
    <row r="444" spans="1:10" s="8" customFormat="1" x14ac:dyDescent="0.2">
      <c r="A444" s="5" t="s">
        <v>756</v>
      </c>
      <c r="B444" s="5" t="s">
        <v>757</v>
      </c>
      <c r="C444" s="5">
        <v>1093</v>
      </c>
      <c r="D444" s="5">
        <v>1093</v>
      </c>
      <c r="E444" s="6">
        <v>0.98</v>
      </c>
      <c r="F444" s="5">
        <v>0</v>
      </c>
      <c r="G444" s="5">
        <v>65.14</v>
      </c>
      <c r="H444" s="5">
        <v>824</v>
      </c>
      <c r="I444" s="5" t="str">
        <f>HYPERLINK("https://www.ncbi.nlm.nih.gov/protein/WP_105220107.1?report=genbank&amp;log$=prottop&amp;blast_rank=33&amp;RID=7U875CNM013","WP_105220107.1")</f>
        <v>WP_105220107.1</v>
      </c>
      <c r="J444" s="5" t="s">
        <v>2</v>
      </c>
    </row>
    <row r="445" spans="1:10" s="8" customFormat="1" x14ac:dyDescent="0.2">
      <c r="A445" s="5" t="s">
        <v>758</v>
      </c>
      <c r="B445" s="5" t="s">
        <v>759</v>
      </c>
      <c r="C445" s="5">
        <v>1091</v>
      </c>
      <c r="D445" s="5">
        <v>1091</v>
      </c>
      <c r="E445" s="6">
        <v>0.98</v>
      </c>
      <c r="F445" s="5">
        <v>0</v>
      </c>
      <c r="G445" s="5">
        <v>65.14</v>
      </c>
      <c r="H445" s="5">
        <v>793</v>
      </c>
      <c r="I445" s="5" t="str">
        <f>HYPERLINK("https://www.ncbi.nlm.nih.gov/protein/WP_196528186.1?report=genbank&amp;log$=prottop&amp;blast_rank=34&amp;RID=7U875CNM013","WP_196528186.1")</f>
        <v>WP_196528186.1</v>
      </c>
      <c r="J445" s="5" t="s">
        <v>2</v>
      </c>
    </row>
    <row r="446" spans="1:10" s="7" customFormat="1" x14ac:dyDescent="0.2">
      <c r="A446" s="5" t="s">
        <v>760</v>
      </c>
      <c r="B446" s="5" t="s">
        <v>761</v>
      </c>
      <c r="C446" s="5">
        <v>1087</v>
      </c>
      <c r="D446" s="5">
        <v>1087</v>
      </c>
      <c r="E446" s="6">
        <v>0.98</v>
      </c>
      <c r="F446" s="5">
        <v>0</v>
      </c>
      <c r="G446" s="5">
        <v>65.099999999999994</v>
      </c>
      <c r="H446" s="5">
        <v>796</v>
      </c>
      <c r="I446" s="5" t="str">
        <f>HYPERLINK("https://www.ncbi.nlm.nih.gov/protein/NJL98968.1?report=genbank&amp;log$=prottop&amp;blast_rank=47&amp;RID=7U875CNM013","NJL98968.1")</f>
        <v>NJL98968.1</v>
      </c>
      <c r="J446" s="5" t="s">
        <v>2</v>
      </c>
    </row>
    <row r="447" spans="1:10" s="7" customFormat="1" x14ac:dyDescent="0.2">
      <c r="A447" s="5" t="s">
        <v>762</v>
      </c>
      <c r="B447" s="5" t="s">
        <v>763</v>
      </c>
      <c r="C447" s="5">
        <v>1113</v>
      </c>
      <c r="D447" s="5">
        <v>1113</v>
      </c>
      <c r="E447" s="6">
        <v>0.98</v>
      </c>
      <c r="F447" s="5">
        <v>0</v>
      </c>
      <c r="G447" s="5">
        <v>65.099999999999994</v>
      </c>
      <c r="H447" s="5">
        <v>793</v>
      </c>
      <c r="I447" s="5" t="str">
        <f>HYPERLINK("https://www.ncbi.nlm.nih.gov/protein/WP_041036175.1?report=genbank&amp;log$=prottop&amp;blast_rank=48&amp;RID=7U875CNM013","WP_041036175.1")</f>
        <v>WP_041036175.1</v>
      </c>
      <c r="J447" s="5" t="s">
        <v>2</v>
      </c>
    </row>
    <row r="448" spans="1:10" s="7" customFormat="1" x14ac:dyDescent="0.2">
      <c r="A448" s="5" t="s">
        <v>764</v>
      </c>
      <c r="B448" s="5" t="s">
        <v>765</v>
      </c>
      <c r="C448" s="5">
        <v>1093</v>
      </c>
      <c r="D448" s="5">
        <v>1093</v>
      </c>
      <c r="E448" s="6">
        <v>0.98</v>
      </c>
      <c r="F448" s="5">
        <v>0</v>
      </c>
      <c r="G448" s="5">
        <v>65.099999999999994</v>
      </c>
      <c r="H448" s="5">
        <v>793</v>
      </c>
      <c r="I448" s="5" t="str">
        <f>HYPERLINK("https://www.ncbi.nlm.nih.gov/protein/WP_096566921.1?report=genbank&amp;log$=prottop&amp;blast_rank=52&amp;RID=7U875CNM013","WP_096566921.1")</f>
        <v>WP_096566921.1</v>
      </c>
      <c r="J448" s="5" t="s">
        <v>2</v>
      </c>
    </row>
    <row r="449" spans="1:10" s="7" customFormat="1" x14ac:dyDescent="0.2">
      <c r="A449" s="5" t="s">
        <v>766</v>
      </c>
      <c r="B449" s="5" t="s">
        <v>767</v>
      </c>
      <c r="C449" s="5">
        <v>1102</v>
      </c>
      <c r="D449" s="5">
        <v>1102</v>
      </c>
      <c r="E449" s="6">
        <v>0.99</v>
      </c>
      <c r="F449" s="5">
        <v>0</v>
      </c>
      <c r="G449" s="5">
        <v>65.08</v>
      </c>
      <c r="H449" s="5">
        <v>793</v>
      </c>
      <c r="I449" s="5" t="str">
        <f>HYPERLINK("https://www.ncbi.nlm.nih.gov/protein/RCJ14638.1?report=genbank&amp;log$=prottop&amp;blast_rank=65&amp;RID=7U875CNM013","RCJ14638.1")</f>
        <v>RCJ14638.1</v>
      </c>
      <c r="J449" s="5" t="s">
        <v>2</v>
      </c>
    </row>
    <row r="450" spans="1:10" s="7" customFormat="1" x14ac:dyDescent="0.2">
      <c r="A450" s="5" t="s">
        <v>768</v>
      </c>
      <c r="B450" s="5" t="s">
        <v>769</v>
      </c>
      <c r="C450" s="5">
        <v>1088</v>
      </c>
      <c r="D450" s="5">
        <v>1088</v>
      </c>
      <c r="E450" s="6">
        <v>0.98</v>
      </c>
      <c r="F450" s="5">
        <v>0</v>
      </c>
      <c r="G450" s="5">
        <v>65.05</v>
      </c>
      <c r="H450" s="5">
        <v>788</v>
      </c>
      <c r="I450" s="5" t="str">
        <f>HYPERLINK("https://www.ncbi.nlm.nih.gov/protein/WP_085953332.1?report=genbank&amp;log$=prottop&amp;blast_rank=69&amp;RID=7U875CNM013","WP_085953332.1")</f>
        <v>WP_085953332.1</v>
      </c>
      <c r="J450" s="5" t="s">
        <v>2</v>
      </c>
    </row>
    <row r="451" spans="1:10" s="7" customFormat="1" x14ac:dyDescent="0.2">
      <c r="A451" s="5" t="s">
        <v>559</v>
      </c>
      <c r="B451" s="5" t="s">
        <v>560</v>
      </c>
      <c r="C451" s="5">
        <v>1081</v>
      </c>
      <c r="D451" s="5">
        <v>1081</v>
      </c>
      <c r="E451" s="6">
        <v>0.98</v>
      </c>
      <c r="F451" s="5">
        <v>0</v>
      </c>
      <c r="G451" s="5">
        <v>65.05</v>
      </c>
      <c r="H451" s="5">
        <v>828</v>
      </c>
      <c r="I451" s="5" t="str">
        <f>HYPERLINK("https://www.ncbi.nlm.nih.gov/protein/WP_106254456.1?report=genbank&amp;log$=prottop&amp;blast_rank=70&amp;RID=7U875CNM013","WP_106254456.1")</f>
        <v>WP_106254456.1</v>
      </c>
      <c r="J451" s="5" t="s">
        <v>2</v>
      </c>
    </row>
    <row r="452" spans="1:10" s="7" customFormat="1" x14ac:dyDescent="0.2">
      <c r="A452" s="5" t="s">
        <v>314</v>
      </c>
      <c r="B452" s="5" t="s">
        <v>315</v>
      </c>
      <c r="C452" s="5">
        <v>1128</v>
      </c>
      <c r="D452" s="5">
        <v>1128</v>
      </c>
      <c r="E452" s="6">
        <v>1</v>
      </c>
      <c r="F452" s="5">
        <v>0</v>
      </c>
      <c r="G452" s="5">
        <v>65.040000000000006</v>
      </c>
      <c r="H452" s="5">
        <v>795</v>
      </c>
      <c r="I452" s="5" t="str">
        <f>HYPERLINK("https://www.ncbi.nlm.nih.gov/protein/WP_193963167.1?report=genbank&amp;log$=prottop&amp;blast_rank=79&amp;RID=7U875CNM013","WP_193963167.1")</f>
        <v>WP_193963167.1</v>
      </c>
      <c r="J452" s="5" t="s">
        <v>2</v>
      </c>
    </row>
    <row r="453" spans="1:10" s="7" customFormat="1" x14ac:dyDescent="0.2">
      <c r="A453" s="5" t="s">
        <v>368</v>
      </c>
      <c r="B453" s="5" t="s">
        <v>369</v>
      </c>
      <c r="C453" s="5">
        <v>1095</v>
      </c>
      <c r="D453" s="5">
        <v>1095</v>
      </c>
      <c r="E453" s="6">
        <v>1</v>
      </c>
      <c r="F453" s="5">
        <v>0</v>
      </c>
      <c r="G453" s="5">
        <v>65.040000000000006</v>
      </c>
      <c r="H453" s="5">
        <v>794</v>
      </c>
      <c r="I453" s="5" t="str">
        <f>HYPERLINK("https://www.ncbi.nlm.nih.gov/protein/WP_193887093.1?report=genbank&amp;log$=prottop&amp;blast_rank=80&amp;RID=7U875CNM013","WP_193887093.1")</f>
        <v>WP_193887093.1</v>
      </c>
      <c r="J453" s="5" t="s">
        <v>2</v>
      </c>
    </row>
    <row r="454" spans="1:10" s="7" customFormat="1" x14ac:dyDescent="0.2">
      <c r="A454" s="5" t="s">
        <v>770</v>
      </c>
      <c r="B454" s="5" t="s">
        <v>771</v>
      </c>
      <c r="C454" s="5">
        <v>1104</v>
      </c>
      <c r="D454" s="5">
        <v>1104</v>
      </c>
      <c r="E454" s="6">
        <v>0.98</v>
      </c>
      <c r="F454" s="5">
        <v>0</v>
      </c>
      <c r="G454" s="5">
        <v>65.02</v>
      </c>
      <c r="H454" s="5">
        <v>793</v>
      </c>
      <c r="I454" s="5" t="str">
        <f>HYPERLINK("https://www.ncbi.nlm.nih.gov/protein/WP_190665051.1?report=genbank&amp;log$=prottop&amp;blast_rank=82&amp;RID=7U875CNM013","WP_190665051.1")</f>
        <v>WP_190665051.1</v>
      </c>
      <c r="J454" s="5" t="s">
        <v>2</v>
      </c>
    </row>
    <row r="455" spans="1:10" s="7" customFormat="1" x14ac:dyDescent="0.2">
      <c r="A455" s="5" t="s">
        <v>772</v>
      </c>
      <c r="B455" s="5" t="s">
        <v>773</v>
      </c>
      <c r="C455" s="5">
        <v>1104</v>
      </c>
      <c r="D455" s="5">
        <v>1104</v>
      </c>
      <c r="E455" s="6">
        <v>0.98</v>
      </c>
      <c r="F455" s="5">
        <v>0</v>
      </c>
      <c r="G455" s="5">
        <v>65.02</v>
      </c>
      <c r="H455" s="5">
        <v>793</v>
      </c>
      <c r="I455" s="5" t="str">
        <f>HYPERLINK("https://www.ncbi.nlm.nih.gov/protein/WP_190475656.1?report=genbank&amp;log$=prottop&amp;blast_rank=83&amp;RID=7U875CNM013","WP_190475656.1")</f>
        <v>WP_190475656.1</v>
      </c>
      <c r="J455" s="5" t="s">
        <v>2</v>
      </c>
    </row>
    <row r="456" spans="1:10" s="7" customFormat="1" x14ac:dyDescent="0.2">
      <c r="A456" s="5" t="s">
        <v>774</v>
      </c>
      <c r="B456" s="5" t="s">
        <v>775</v>
      </c>
      <c r="C456" s="5">
        <v>1101</v>
      </c>
      <c r="D456" s="5">
        <v>1101</v>
      </c>
      <c r="E456" s="6">
        <v>0.98</v>
      </c>
      <c r="F456" s="5">
        <v>0</v>
      </c>
      <c r="G456" s="5">
        <v>65.02</v>
      </c>
      <c r="H456" s="5">
        <v>805</v>
      </c>
      <c r="I456" s="5" t="str">
        <f>HYPERLINK("https://www.ncbi.nlm.nih.gov/protein/MBD0265395.1?report=genbank&amp;log$=prottop&amp;blast_rank=84&amp;RID=7U875CNM013","MBD0265395.1")</f>
        <v>MBD0265395.1</v>
      </c>
      <c r="J456" s="5" t="s">
        <v>2</v>
      </c>
    </row>
    <row r="457" spans="1:10" s="7" customFormat="1" x14ac:dyDescent="0.2">
      <c r="A457" s="5" t="s">
        <v>776</v>
      </c>
      <c r="B457" s="5" t="s">
        <v>777</v>
      </c>
      <c r="C457" s="5">
        <v>1100</v>
      </c>
      <c r="D457" s="5">
        <v>1100</v>
      </c>
      <c r="E457" s="6">
        <v>0.98</v>
      </c>
      <c r="F457" s="5">
        <v>0</v>
      </c>
      <c r="G457" s="5">
        <v>65.02</v>
      </c>
      <c r="H457" s="5">
        <v>793</v>
      </c>
      <c r="I457" s="5" t="str">
        <f>HYPERLINK("https://www.ncbi.nlm.nih.gov/protein/WP_067770575.1?report=genbank&amp;log$=prottop&amp;blast_rank=85&amp;RID=7U875CNM013","WP_067770575.1")</f>
        <v>WP_067770575.1</v>
      </c>
      <c r="J457" s="5" t="s">
        <v>2</v>
      </c>
    </row>
    <row r="458" spans="1:10" s="7" customFormat="1" x14ac:dyDescent="0.2">
      <c r="A458" s="5" t="s">
        <v>778</v>
      </c>
      <c r="B458" s="5" t="s">
        <v>779</v>
      </c>
      <c r="C458" s="5">
        <v>1094</v>
      </c>
      <c r="D458" s="5">
        <v>1094</v>
      </c>
      <c r="E458" s="6">
        <v>0.98</v>
      </c>
      <c r="F458" s="5">
        <v>0</v>
      </c>
      <c r="G458" s="5">
        <v>65.02</v>
      </c>
      <c r="H458" s="5">
        <v>793</v>
      </c>
      <c r="I458" s="5" t="str">
        <f>HYPERLINK("https://www.ncbi.nlm.nih.gov/protein/WP_196516952.1?report=genbank&amp;log$=prottop&amp;blast_rank=86&amp;RID=7U875CNM013","WP_196516952.1")</f>
        <v>WP_196516952.1</v>
      </c>
      <c r="J458" s="5" t="s">
        <v>2</v>
      </c>
    </row>
    <row r="459" spans="1:10" s="7" customFormat="1" x14ac:dyDescent="0.2">
      <c r="A459" s="5" t="s">
        <v>780</v>
      </c>
      <c r="B459" s="5" t="s">
        <v>781</v>
      </c>
      <c r="C459" s="5">
        <v>1101</v>
      </c>
      <c r="D459" s="5">
        <v>1101</v>
      </c>
      <c r="E459" s="6">
        <v>0.98</v>
      </c>
      <c r="F459" s="5">
        <v>0</v>
      </c>
      <c r="G459" s="5">
        <v>65.010000000000005</v>
      </c>
      <c r="H459" s="5">
        <v>793</v>
      </c>
      <c r="I459" s="5" t="str">
        <f>HYPERLINK("https://www.ncbi.nlm.nih.gov/protein/WP_193196961.1?report=genbank&amp;log$=prottop&amp;blast_rank=87&amp;RID=7U875CNM013","WP_193196961.1")</f>
        <v>WP_193196961.1</v>
      </c>
      <c r="J459" s="5" t="s">
        <v>2</v>
      </c>
    </row>
    <row r="460" spans="1:10" s="7" customFormat="1" x14ac:dyDescent="0.2">
      <c r="A460" s="5" t="s">
        <v>782</v>
      </c>
      <c r="B460" s="5" t="s">
        <v>783</v>
      </c>
      <c r="C460" s="5">
        <v>1099</v>
      </c>
      <c r="D460" s="5">
        <v>1099</v>
      </c>
      <c r="E460" s="6">
        <v>0.98</v>
      </c>
      <c r="F460" s="5">
        <v>0</v>
      </c>
      <c r="G460" s="5">
        <v>65.010000000000005</v>
      </c>
      <c r="H460" s="5">
        <v>793</v>
      </c>
      <c r="I460" s="5" t="str">
        <f>HYPERLINK("https://www.ncbi.nlm.nih.gov/protein/WP_096565979.1?report=genbank&amp;log$=prottop&amp;blast_rank=88&amp;RID=7U875CNM013","WP_096565979.1")</f>
        <v>WP_096565979.1</v>
      </c>
      <c r="J460" s="5" t="s">
        <v>2</v>
      </c>
    </row>
    <row r="461" spans="1:10" s="7" customFormat="1" x14ac:dyDescent="0.2">
      <c r="A461" s="5" t="s">
        <v>784</v>
      </c>
      <c r="B461" s="5" t="s">
        <v>785</v>
      </c>
      <c r="C461" s="5">
        <v>1098</v>
      </c>
      <c r="D461" s="5">
        <v>1098</v>
      </c>
      <c r="E461" s="6">
        <v>0.98</v>
      </c>
      <c r="F461" s="5">
        <v>0</v>
      </c>
      <c r="G461" s="5">
        <v>65.010000000000005</v>
      </c>
      <c r="H461" s="5">
        <v>793</v>
      </c>
      <c r="I461" s="5" t="str">
        <f>HYPERLINK("https://www.ncbi.nlm.nih.gov/protein/WP_194059935.1?report=genbank&amp;log$=prottop&amp;blast_rank=89&amp;RID=7U875CNM013","WP_194059935.1")</f>
        <v>WP_194059935.1</v>
      </c>
      <c r="J461" s="5" t="s">
        <v>2</v>
      </c>
    </row>
    <row r="462" spans="1:10" s="7" customFormat="1" x14ac:dyDescent="0.2">
      <c r="A462" s="5" t="s">
        <v>786</v>
      </c>
      <c r="B462" s="5" t="s">
        <v>787</v>
      </c>
      <c r="C462" s="5">
        <v>1098</v>
      </c>
      <c r="D462" s="5">
        <v>1098</v>
      </c>
      <c r="E462" s="6">
        <v>0.98</v>
      </c>
      <c r="F462" s="5">
        <v>0</v>
      </c>
      <c r="G462" s="5">
        <v>65.010000000000005</v>
      </c>
      <c r="H462" s="5">
        <v>793</v>
      </c>
      <c r="I462" s="5" t="str">
        <f>HYPERLINK("https://www.ncbi.nlm.nih.gov/protein/WP_066425668.1?report=genbank&amp;log$=prottop&amp;blast_rank=90&amp;RID=7U875CNM013","WP_066425668.1")</f>
        <v>WP_066425668.1</v>
      </c>
      <c r="J462" s="5" t="s">
        <v>2</v>
      </c>
    </row>
    <row r="463" spans="1:10" s="7" customFormat="1" x14ac:dyDescent="0.2">
      <c r="A463" s="5" t="s">
        <v>788</v>
      </c>
      <c r="B463" s="5" t="s">
        <v>743</v>
      </c>
      <c r="C463" s="5">
        <v>1097</v>
      </c>
      <c r="D463" s="5">
        <v>1097</v>
      </c>
      <c r="E463" s="6">
        <v>0.98</v>
      </c>
      <c r="F463" s="5">
        <v>0</v>
      </c>
      <c r="G463" s="5">
        <v>65.010000000000005</v>
      </c>
      <c r="H463" s="5">
        <v>793</v>
      </c>
      <c r="I463" s="5" t="str">
        <f>HYPERLINK("https://www.ncbi.nlm.nih.gov/protein/WP_099071537.1?report=genbank&amp;log$=prottop&amp;blast_rank=91&amp;RID=7U875CNM013","WP_099071537.1")</f>
        <v>WP_099071537.1</v>
      </c>
      <c r="J463" s="5" t="s">
        <v>2</v>
      </c>
    </row>
    <row r="464" spans="1:10" s="7" customFormat="1" x14ac:dyDescent="0.2">
      <c r="A464" s="5" t="s">
        <v>789</v>
      </c>
      <c r="B464" s="5" t="s">
        <v>751</v>
      </c>
      <c r="C464" s="5">
        <v>1097</v>
      </c>
      <c r="D464" s="5">
        <v>1097</v>
      </c>
      <c r="E464" s="6">
        <v>0.98</v>
      </c>
      <c r="F464" s="5">
        <v>0</v>
      </c>
      <c r="G464" s="5">
        <v>65.010000000000005</v>
      </c>
      <c r="H464" s="5">
        <v>793</v>
      </c>
      <c r="I464" s="5" t="str">
        <f>HYPERLINK("https://www.ncbi.nlm.nih.gov/protein/WP_190594711.1?report=genbank&amp;log$=prottop&amp;blast_rank=92&amp;RID=7U875CNM013","WP_190594711.1")</f>
        <v>WP_190594711.1</v>
      </c>
      <c r="J464" s="5" t="s">
        <v>2</v>
      </c>
    </row>
    <row r="465" spans="1:10" s="7" customFormat="1" x14ac:dyDescent="0.2">
      <c r="A465" s="5" t="s">
        <v>790</v>
      </c>
      <c r="B465" s="5" t="s">
        <v>791</v>
      </c>
      <c r="C465" s="5">
        <v>1095</v>
      </c>
      <c r="D465" s="5">
        <v>1095</v>
      </c>
      <c r="E465" s="6">
        <v>0.98</v>
      </c>
      <c r="F465" s="5">
        <v>0</v>
      </c>
      <c r="G465" s="5">
        <v>65.010000000000005</v>
      </c>
      <c r="H465" s="5">
        <v>796</v>
      </c>
      <c r="I465" s="5" t="str">
        <f>HYPERLINK("https://www.ncbi.nlm.nih.gov/protein/NJL80077.1?report=genbank&amp;log$=prottop&amp;blast_rank=93&amp;RID=7U875CNM013","NJL80077.1")</f>
        <v>NJL80077.1</v>
      </c>
      <c r="J465" s="5" t="s">
        <v>2</v>
      </c>
    </row>
    <row r="466" spans="1:10" s="7" customFormat="1" x14ac:dyDescent="0.2">
      <c r="A466" s="5" t="s">
        <v>792</v>
      </c>
      <c r="B466" s="5" t="s">
        <v>793</v>
      </c>
      <c r="C466" s="5">
        <v>1095</v>
      </c>
      <c r="D466" s="5">
        <v>1095</v>
      </c>
      <c r="E466" s="6">
        <v>0.98</v>
      </c>
      <c r="F466" s="5">
        <v>0</v>
      </c>
      <c r="G466" s="5">
        <v>65.010000000000005</v>
      </c>
      <c r="H466" s="5">
        <v>793</v>
      </c>
      <c r="I466" s="5" t="str">
        <f>HYPERLINK("https://www.ncbi.nlm.nih.gov/protein/WP_190949636.1?report=genbank&amp;log$=prottop&amp;blast_rank=94&amp;RID=7U875CNM013","WP_190949636.1")</f>
        <v>WP_190949636.1</v>
      </c>
      <c r="J466" s="5" t="s">
        <v>2</v>
      </c>
    </row>
    <row r="467" spans="1:10" s="7" customFormat="1" x14ac:dyDescent="0.2">
      <c r="A467" s="5" t="s">
        <v>794</v>
      </c>
      <c r="B467" s="5" t="s">
        <v>795</v>
      </c>
      <c r="C467" s="5">
        <v>1095</v>
      </c>
      <c r="D467" s="5">
        <v>1095</v>
      </c>
      <c r="E467" s="6">
        <v>0.98</v>
      </c>
      <c r="F467" s="5">
        <v>0</v>
      </c>
      <c r="G467" s="5">
        <v>65.010000000000005</v>
      </c>
      <c r="H467" s="5">
        <v>793</v>
      </c>
      <c r="I467" s="5" t="str">
        <f>HYPERLINK("https://www.ncbi.nlm.nih.gov/protein/NJM20373.1?report=genbank&amp;log$=prottop&amp;blast_rank=95&amp;RID=7U875CNM013","NJM20373.1")</f>
        <v>NJM20373.1</v>
      </c>
      <c r="J467" s="5" t="s">
        <v>2</v>
      </c>
    </row>
    <row r="468" spans="1:10" s="7" customFormat="1" x14ac:dyDescent="0.2">
      <c r="A468" s="5" t="s">
        <v>796</v>
      </c>
      <c r="B468" s="5" t="s">
        <v>797</v>
      </c>
      <c r="C468" s="5">
        <v>1094</v>
      </c>
      <c r="D468" s="5">
        <v>1094</v>
      </c>
      <c r="E468" s="6">
        <v>0.98</v>
      </c>
      <c r="F468" s="5">
        <v>0</v>
      </c>
      <c r="G468" s="5">
        <v>65.010000000000005</v>
      </c>
      <c r="H468" s="5">
        <v>793</v>
      </c>
      <c r="I468" s="5" t="str">
        <f>HYPERLINK("https://www.ncbi.nlm.nih.gov/protein/TVP61686.1?report=genbank&amp;log$=prottop&amp;blast_rank=96&amp;RID=7U875CNM013","TVP61686.1")</f>
        <v>TVP61686.1</v>
      </c>
      <c r="J468" s="5" t="s">
        <v>2</v>
      </c>
    </row>
    <row r="469" spans="1:10" s="7" customFormat="1" x14ac:dyDescent="0.2">
      <c r="A469" s="5" t="s">
        <v>798</v>
      </c>
      <c r="B469" s="5" t="s">
        <v>799</v>
      </c>
      <c r="C469" s="5">
        <v>1094</v>
      </c>
      <c r="D469" s="5">
        <v>1094</v>
      </c>
      <c r="E469" s="6">
        <v>0.98</v>
      </c>
      <c r="F469" s="5">
        <v>0</v>
      </c>
      <c r="G469" s="5">
        <v>65.010000000000005</v>
      </c>
      <c r="H469" s="5">
        <v>793</v>
      </c>
      <c r="I469" s="5" t="str">
        <f>HYPERLINK("https://www.ncbi.nlm.nih.gov/protein/OCQ95390.1?report=genbank&amp;log$=prottop&amp;blast_rank=97&amp;RID=7U875CNM013","OCQ95390.1")</f>
        <v>OCQ95390.1</v>
      </c>
      <c r="J469" s="5" t="s">
        <v>2</v>
      </c>
    </row>
    <row r="470" spans="1:10" s="7" customFormat="1" x14ac:dyDescent="0.2">
      <c r="A470" s="5" t="s">
        <v>800</v>
      </c>
      <c r="B470" s="5" t="s">
        <v>801</v>
      </c>
      <c r="C470" s="5">
        <v>1094</v>
      </c>
      <c r="D470" s="5">
        <v>1094</v>
      </c>
      <c r="E470" s="6">
        <v>0.98</v>
      </c>
      <c r="F470" s="5">
        <v>0</v>
      </c>
      <c r="G470" s="5">
        <v>65.010000000000005</v>
      </c>
      <c r="H470" s="5">
        <v>793</v>
      </c>
      <c r="I470" s="5" t="str">
        <f>HYPERLINK("https://www.ncbi.nlm.nih.gov/protein/WP_103140363.1?report=genbank&amp;log$=prottop&amp;blast_rank=98&amp;RID=7U875CNM013","WP_103140363.1")</f>
        <v>WP_103140363.1</v>
      </c>
      <c r="J470" s="5" t="s">
        <v>2</v>
      </c>
    </row>
    <row r="471" spans="1:10" s="7" customFormat="1" ht="15" customHeight="1" x14ac:dyDescent="0.2">
      <c r="A471" s="5" t="s">
        <v>802</v>
      </c>
      <c r="B471" s="5" t="s">
        <v>803</v>
      </c>
      <c r="C471" s="5">
        <v>1100</v>
      </c>
      <c r="D471" s="5">
        <v>1100</v>
      </c>
      <c r="E471" s="6">
        <v>0.99</v>
      </c>
      <c r="F471" s="5">
        <v>0</v>
      </c>
      <c r="G471" s="5">
        <v>64.98</v>
      </c>
      <c r="H471" s="5">
        <v>797</v>
      </c>
      <c r="I471" s="5" t="str">
        <f>HYPERLINK("https://www.ncbi.nlm.nih.gov/protein/EKF06034.1?report=genbank&amp;log$=prottop&amp;blast_rank=110&amp;RID=7U875CNM013","EKF06034.1")</f>
        <v>EKF06034.1</v>
      </c>
      <c r="J471" s="5" t="s">
        <v>2</v>
      </c>
    </row>
    <row r="472" spans="1:10" s="7" customFormat="1" x14ac:dyDescent="0.2">
      <c r="A472" s="5" t="s">
        <v>750</v>
      </c>
      <c r="B472" s="5" t="s">
        <v>751</v>
      </c>
      <c r="C472" s="5">
        <v>1100</v>
      </c>
      <c r="D472" s="5">
        <v>1100</v>
      </c>
      <c r="E472" s="6">
        <v>0.99</v>
      </c>
      <c r="F472" s="5">
        <v>0</v>
      </c>
      <c r="G472" s="5">
        <v>64.98</v>
      </c>
      <c r="H472" s="5">
        <v>793</v>
      </c>
      <c r="I472" s="5" t="str">
        <f>HYPERLINK("https://www.ncbi.nlm.nih.gov/protein/WP_045868791.1?report=genbank&amp;log$=prottop&amp;blast_rank=111&amp;RID=7U875CNM013","WP_045868791.1")</f>
        <v>WP_045868791.1</v>
      </c>
      <c r="J472" s="5" t="s">
        <v>2</v>
      </c>
    </row>
    <row r="473" spans="1:10" s="7" customFormat="1" x14ac:dyDescent="0.2">
      <c r="A473" s="5" t="s">
        <v>804</v>
      </c>
      <c r="B473" s="5" t="s">
        <v>805</v>
      </c>
      <c r="C473" s="5">
        <v>1110</v>
      </c>
      <c r="D473" s="5">
        <v>1110</v>
      </c>
      <c r="E473" s="6">
        <v>0.98</v>
      </c>
      <c r="F473" s="5">
        <v>0</v>
      </c>
      <c r="G473" s="5">
        <v>64.97</v>
      </c>
      <c r="H473" s="5">
        <v>793</v>
      </c>
      <c r="I473" s="5" t="str">
        <f>HYPERLINK("https://www.ncbi.nlm.nih.gov/protein/WP_169218147.1?report=genbank&amp;log$=prottop&amp;blast_rank=115&amp;RID=7U875CNM013","WP_169218147.1")</f>
        <v>WP_169218147.1</v>
      </c>
      <c r="J473" s="5" t="s">
        <v>2</v>
      </c>
    </row>
    <row r="474" spans="1:10" s="7" customFormat="1" x14ac:dyDescent="0.2">
      <c r="A474" s="5" t="s">
        <v>806</v>
      </c>
      <c r="B474" s="5" t="s">
        <v>807</v>
      </c>
      <c r="C474" s="5">
        <v>1091</v>
      </c>
      <c r="D474" s="5">
        <v>1091</v>
      </c>
      <c r="E474" s="6">
        <v>0.98</v>
      </c>
      <c r="F474" s="5">
        <v>0</v>
      </c>
      <c r="G474" s="5">
        <v>64.97</v>
      </c>
      <c r="H474" s="5">
        <v>820</v>
      </c>
      <c r="I474" s="5" t="str">
        <f>HYPERLINK("https://www.ncbi.nlm.nih.gov/protein/NEQ18770.1?report=genbank&amp;log$=prottop&amp;blast_rank=117&amp;RID=7U875CNM013","NEQ18770.1")</f>
        <v>NEQ18770.1</v>
      </c>
      <c r="J474" s="5" t="s">
        <v>2</v>
      </c>
    </row>
    <row r="475" spans="1:10" s="7" customFormat="1" x14ac:dyDescent="0.2">
      <c r="A475" s="5" t="s">
        <v>808</v>
      </c>
      <c r="B475" s="5" t="s">
        <v>809</v>
      </c>
      <c r="C475" s="5">
        <v>1084</v>
      </c>
      <c r="D475" s="5">
        <v>1084</v>
      </c>
      <c r="E475" s="6">
        <v>0.97</v>
      </c>
      <c r="F475" s="5">
        <v>0</v>
      </c>
      <c r="G475" s="5">
        <v>64.959999999999994</v>
      </c>
      <c r="H475" s="5">
        <v>793</v>
      </c>
      <c r="I475" s="5" t="str">
        <f>HYPERLINK("https://www.ncbi.nlm.nih.gov/protein/WP_190698860.1?report=genbank&amp;log$=prottop&amp;blast_rank=126&amp;RID=7U875CNM013","WP_190698860.1")</f>
        <v>WP_190698860.1</v>
      </c>
      <c r="J475" s="5" t="s">
        <v>2</v>
      </c>
    </row>
    <row r="476" spans="1:10" s="7" customFormat="1" x14ac:dyDescent="0.2">
      <c r="A476" s="5" t="s">
        <v>810</v>
      </c>
      <c r="B476" s="5" t="s">
        <v>811</v>
      </c>
      <c r="C476" s="5">
        <v>1098</v>
      </c>
      <c r="D476" s="5">
        <v>1098</v>
      </c>
      <c r="E476" s="6">
        <v>0.99</v>
      </c>
      <c r="F476" s="5">
        <v>0</v>
      </c>
      <c r="G476" s="5">
        <v>64.95</v>
      </c>
      <c r="H476" s="5">
        <v>793</v>
      </c>
      <c r="I476" s="5" t="str">
        <f>HYPERLINK("https://www.ncbi.nlm.nih.gov/protein/WP_016950066.1?report=genbank&amp;log$=prottop&amp;blast_rank=135&amp;RID=7U875CNM013","WP_016950066.1")</f>
        <v>WP_016950066.1</v>
      </c>
      <c r="J476" s="5" t="s">
        <v>2</v>
      </c>
    </row>
    <row r="477" spans="1:10" s="7" customFormat="1" x14ac:dyDescent="0.2">
      <c r="A477" s="5" t="s">
        <v>812</v>
      </c>
      <c r="B477" s="5" t="s">
        <v>813</v>
      </c>
      <c r="C477" s="5">
        <v>1100</v>
      </c>
      <c r="D477" s="5">
        <v>1100</v>
      </c>
      <c r="E477" s="6">
        <v>0.98</v>
      </c>
      <c r="F477" s="5">
        <v>0</v>
      </c>
      <c r="G477" s="5">
        <v>64.94</v>
      </c>
      <c r="H477" s="5">
        <v>825</v>
      </c>
      <c r="I477" s="5" t="str">
        <f>HYPERLINK("https://www.ncbi.nlm.nih.gov/protein/RUT06163.1?report=genbank&amp;log$=prottop&amp;blast_rank=140&amp;RID=7U875CNM013","RUT06163.1")</f>
        <v>RUT06163.1</v>
      </c>
      <c r="J477" s="5" t="s">
        <v>2</v>
      </c>
    </row>
    <row r="478" spans="1:10" s="7" customFormat="1" x14ac:dyDescent="0.2">
      <c r="A478" s="5" t="s">
        <v>814</v>
      </c>
      <c r="B478" s="5" t="s">
        <v>815</v>
      </c>
      <c r="C478" s="5">
        <v>1099</v>
      </c>
      <c r="D478" s="5">
        <v>1099</v>
      </c>
      <c r="E478" s="6">
        <v>0.98</v>
      </c>
      <c r="F478" s="5">
        <v>0</v>
      </c>
      <c r="G478" s="5">
        <v>64.94</v>
      </c>
      <c r="H478" s="5">
        <v>805</v>
      </c>
      <c r="I478" s="5" t="str">
        <f>HYPERLINK("https://www.ncbi.nlm.nih.gov/protein/WP_127081825.1?report=genbank&amp;log$=prottop&amp;blast_rank=141&amp;RID=7U875CNM013","WP_127081825.1")</f>
        <v>WP_127081825.1</v>
      </c>
      <c r="J478" s="5" t="s">
        <v>2</v>
      </c>
    </row>
    <row r="479" spans="1:10" s="7" customFormat="1" x14ac:dyDescent="0.2">
      <c r="A479" s="5" t="s">
        <v>816</v>
      </c>
      <c r="B479" s="5" t="s">
        <v>817</v>
      </c>
      <c r="C479" s="5">
        <v>1102</v>
      </c>
      <c r="D479" s="5">
        <v>1102</v>
      </c>
      <c r="E479" s="6">
        <v>1</v>
      </c>
      <c r="F479" s="5">
        <v>0</v>
      </c>
      <c r="G479" s="5">
        <v>64.91</v>
      </c>
      <c r="H479" s="5">
        <v>794</v>
      </c>
      <c r="I479" s="5" t="str">
        <f>HYPERLINK("https://www.ncbi.nlm.nih.gov/protein/MBC7883406.1?report=genbank&amp;log$=prottop&amp;blast_rank=157&amp;RID=7U875CNM013","MBC7883406.1")</f>
        <v>MBC7883406.1</v>
      </c>
      <c r="J479" s="5" t="s">
        <v>2</v>
      </c>
    </row>
    <row r="480" spans="1:10" s="7" customFormat="1" x14ac:dyDescent="0.2">
      <c r="A480" s="5" t="s">
        <v>818</v>
      </c>
      <c r="B480" s="5" t="s">
        <v>819</v>
      </c>
      <c r="C480" s="5">
        <v>1101</v>
      </c>
      <c r="D480" s="5">
        <v>1101</v>
      </c>
      <c r="E480" s="6">
        <v>0.98</v>
      </c>
      <c r="F480" s="5">
        <v>0</v>
      </c>
      <c r="G480" s="5">
        <v>64.89</v>
      </c>
      <c r="H480" s="5">
        <v>793</v>
      </c>
      <c r="I480" s="5" t="str">
        <f>HYPERLINK("https://www.ncbi.nlm.nih.gov/protein/WP_015115169.1?report=genbank&amp;log$=prottop&amp;blast_rank=1&amp;RID=7U875CNM013","WP_015115169.1")</f>
        <v>WP_015115169.1</v>
      </c>
      <c r="J480" s="5" t="s">
        <v>2</v>
      </c>
    </row>
    <row r="481" spans="1:10" s="7" customFormat="1" x14ac:dyDescent="0.2">
      <c r="A481" s="5" t="s">
        <v>820</v>
      </c>
      <c r="B481" s="5" t="s">
        <v>821</v>
      </c>
      <c r="C481" s="5">
        <v>1096</v>
      </c>
      <c r="D481" s="5">
        <v>1096</v>
      </c>
      <c r="E481" s="6">
        <v>0.98</v>
      </c>
      <c r="F481" s="5">
        <v>0</v>
      </c>
      <c r="G481" s="5">
        <v>64.89</v>
      </c>
      <c r="H481" s="5">
        <v>793</v>
      </c>
      <c r="I481" s="5" t="str">
        <f>HYPERLINK("https://www.ncbi.nlm.nih.gov/protein/WP_096680430.1?report=genbank&amp;log$=prottop&amp;blast_rank=2&amp;RID=7U875CNM013","WP_096680430.1")</f>
        <v>WP_096680430.1</v>
      </c>
      <c r="J481" s="5" t="s">
        <v>2</v>
      </c>
    </row>
    <row r="482" spans="1:10" s="7" customFormat="1" x14ac:dyDescent="0.2">
      <c r="A482" s="5" t="s">
        <v>822</v>
      </c>
      <c r="B482" s="5" t="s">
        <v>823</v>
      </c>
      <c r="C482" s="5">
        <v>1106</v>
      </c>
      <c r="D482" s="5">
        <v>1106</v>
      </c>
      <c r="E482" s="6">
        <v>0.98</v>
      </c>
      <c r="F482" s="5">
        <v>0</v>
      </c>
      <c r="G482" s="5">
        <v>64.89</v>
      </c>
      <c r="H482" s="5">
        <v>793</v>
      </c>
      <c r="I482" s="5" t="str">
        <f>HYPERLINK("https://www.ncbi.nlm.nih.gov/protein/WP_169157103.1?report=genbank&amp;log$=prottop&amp;blast_rank=4&amp;RID=7U875CNM013","WP_169157103.1")</f>
        <v>WP_169157103.1</v>
      </c>
      <c r="J482" s="5" t="s">
        <v>2</v>
      </c>
    </row>
    <row r="483" spans="1:10" s="7" customFormat="1" x14ac:dyDescent="0.2">
      <c r="A483" s="5" t="s">
        <v>824</v>
      </c>
      <c r="B483" s="5" t="s">
        <v>825</v>
      </c>
      <c r="C483" s="5">
        <v>1101</v>
      </c>
      <c r="D483" s="5">
        <v>1101</v>
      </c>
      <c r="E483" s="6">
        <v>0.98</v>
      </c>
      <c r="F483" s="5">
        <v>0</v>
      </c>
      <c r="G483" s="5">
        <v>64.89</v>
      </c>
      <c r="H483" s="5">
        <v>793</v>
      </c>
      <c r="I483" s="5" t="str">
        <f>HYPERLINK("https://www.ncbi.nlm.nih.gov/protein/WP_187040506.1?report=genbank&amp;log$=prottop&amp;blast_rank=5&amp;RID=7U875CNM013","WP_187040506.1")</f>
        <v>WP_187040506.1</v>
      </c>
      <c r="J483" s="5" t="s">
        <v>2</v>
      </c>
    </row>
    <row r="484" spans="1:10" s="7" customFormat="1" x14ac:dyDescent="0.2">
      <c r="A484" s="5" t="s">
        <v>826</v>
      </c>
      <c r="B484" s="5" t="s">
        <v>827</v>
      </c>
      <c r="C484" s="5">
        <v>1099</v>
      </c>
      <c r="D484" s="5">
        <v>1099</v>
      </c>
      <c r="E484" s="6">
        <v>0.98</v>
      </c>
      <c r="F484" s="5">
        <v>0</v>
      </c>
      <c r="G484" s="5">
        <v>64.89</v>
      </c>
      <c r="H484" s="5">
        <v>793</v>
      </c>
      <c r="I484" s="5" t="str">
        <f>HYPERLINK("https://www.ncbi.nlm.nih.gov/protein/WP_193900065.1?report=genbank&amp;log$=prottop&amp;blast_rank=6&amp;RID=7U875CNM013","WP_193900065.1")</f>
        <v>WP_193900065.1</v>
      </c>
      <c r="J484" s="5" t="s">
        <v>2</v>
      </c>
    </row>
    <row r="485" spans="1:10" s="7" customFormat="1" x14ac:dyDescent="0.2">
      <c r="A485" s="5" t="s">
        <v>828</v>
      </c>
      <c r="B485" s="5" t="s">
        <v>829</v>
      </c>
      <c r="C485" s="5">
        <v>1098</v>
      </c>
      <c r="D485" s="5">
        <v>1098</v>
      </c>
      <c r="E485" s="6">
        <v>0.98</v>
      </c>
      <c r="F485" s="5">
        <v>0</v>
      </c>
      <c r="G485" s="5">
        <v>64.89</v>
      </c>
      <c r="H485" s="5">
        <v>793</v>
      </c>
      <c r="I485" s="26" t="str">
        <f>HYPERLINK("https://www.ncbi.nlm.nih.gov/protein/WP_138502929.1?report=genbank&amp;log$=prottop&amp;blast_rank=7&amp;RID=7U875CNM013","WP_138502929.1")</f>
        <v>WP_138502929.1</v>
      </c>
      <c r="J485" s="5" t="s">
        <v>2</v>
      </c>
    </row>
    <row r="486" spans="1:10" s="7" customFormat="1" x14ac:dyDescent="0.2">
      <c r="A486" s="5" t="s">
        <v>830</v>
      </c>
      <c r="B486" s="5" t="s">
        <v>831</v>
      </c>
      <c r="C486" s="5">
        <v>1098</v>
      </c>
      <c r="D486" s="5">
        <v>1098</v>
      </c>
      <c r="E486" s="6">
        <v>0.98</v>
      </c>
      <c r="F486" s="5">
        <v>0</v>
      </c>
      <c r="G486" s="5">
        <v>64.89</v>
      </c>
      <c r="H486" s="5">
        <v>793</v>
      </c>
      <c r="I486" s="5" t="str">
        <f>HYPERLINK("https://www.ncbi.nlm.nih.gov/protein/WP_190507690.1?report=genbank&amp;log$=prottop&amp;blast_rank=8&amp;RID=7U875CNM013","WP_190507690.1")</f>
        <v>WP_190507690.1</v>
      </c>
      <c r="J486" s="5" t="s">
        <v>2</v>
      </c>
    </row>
    <row r="487" spans="1:10" s="7" customFormat="1" x14ac:dyDescent="0.2">
      <c r="A487" s="5" t="s">
        <v>832</v>
      </c>
      <c r="B487" s="5" t="s">
        <v>833</v>
      </c>
      <c r="C487" s="5">
        <v>1097</v>
      </c>
      <c r="D487" s="5">
        <v>1097</v>
      </c>
      <c r="E487" s="6">
        <v>0.98</v>
      </c>
      <c r="F487" s="5">
        <v>0</v>
      </c>
      <c r="G487" s="5">
        <v>64.89</v>
      </c>
      <c r="H487" s="5">
        <v>793</v>
      </c>
      <c r="I487" s="5" t="str">
        <f>HYPERLINK("https://www.ncbi.nlm.nih.gov/protein/WP_190548172.1?report=genbank&amp;log$=prottop&amp;blast_rank=9&amp;RID=7U875CNM013","WP_190548172.1")</f>
        <v>WP_190548172.1</v>
      </c>
      <c r="J487" s="5" t="s">
        <v>2</v>
      </c>
    </row>
    <row r="488" spans="1:10" s="7" customFormat="1" x14ac:dyDescent="0.2">
      <c r="A488" s="5" t="s">
        <v>834</v>
      </c>
      <c r="B488" s="5" t="s">
        <v>835</v>
      </c>
      <c r="C488" s="5">
        <v>1097</v>
      </c>
      <c r="D488" s="5">
        <v>1097</v>
      </c>
      <c r="E488" s="6">
        <v>0.98</v>
      </c>
      <c r="F488" s="5">
        <v>0</v>
      </c>
      <c r="G488" s="5">
        <v>64.89</v>
      </c>
      <c r="H488" s="5">
        <v>793</v>
      </c>
      <c r="I488" s="5" t="str">
        <f>HYPERLINK("https://www.ncbi.nlm.nih.gov/protein/WP_193920208.1?report=genbank&amp;log$=prottop&amp;blast_rank=10&amp;RID=7U875CNM013","WP_193920208.1")</f>
        <v>WP_193920208.1</v>
      </c>
      <c r="J488" s="5" t="s">
        <v>2</v>
      </c>
    </row>
    <row r="489" spans="1:10" s="7" customFormat="1" x14ac:dyDescent="0.2">
      <c r="A489" s="5" t="s">
        <v>836</v>
      </c>
      <c r="B489" s="5" t="s">
        <v>837</v>
      </c>
      <c r="C489" s="5">
        <v>1097</v>
      </c>
      <c r="D489" s="5">
        <v>1097</v>
      </c>
      <c r="E489" s="6">
        <v>0.98</v>
      </c>
      <c r="F489" s="5">
        <v>0</v>
      </c>
      <c r="G489" s="5">
        <v>64.89</v>
      </c>
      <c r="H489" s="5">
        <v>793</v>
      </c>
      <c r="I489" s="9" t="str">
        <f>HYPERLINK("https://www.ncbi.nlm.nih.gov/protein/WP_193943282.1?report=genbank&amp;log$=prottop&amp;blast_rank=11&amp;RID=7U875CNM013","WP_193943282.1")</f>
        <v>WP_193943282.1</v>
      </c>
      <c r="J489" s="5" t="s">
        <v>2</v>
      </c>
    </row>
    <row r="490" spans="1:10" s="7" customFormat="1" x14ac:dyDescent="0.2">
      <c r="A490" s="5" t="s">
        <v>838</v>
      </c>
      <c r="B490" s="5" t="s">
        <v>839</v>
      </c>
      <c r="C490" s="5">
        <v>1097</v>
      </c>
      <c r="D490" s="5">
        <v>1097</v>
      </c>
      <c r="E490" s="6">
        <v>0.98</v>
      </c>
      <c r="F490" s="5">
        <v>0</v>
      </c>
      <c r="G490" s="5">
        <v>64.89</v>
      </c>
      <c r="H490" s="5">
        <v>793</v>
      </c>
      <c r="I490" s="5" t="str">
        <f>HYPERLINK("https://www.ncbi.nlm.nih.gov/protein/WP_137667561.1?report=genbank&amp;log$=prottop&amp;blast_rank=12&amp;RID=7U875CNM013","WP_137667561.1")</f>
        <v>WP_137667561.1</v>
      </c>
      <c r="J490" s="5" t="s">
        <v>2</v>
      </c>
    </row>
    <row r="491" spans="1:10" s="7" customFormat="1" x14ac:dyDescent="0.2">
      <c r="A491" s="5" t="s">
        <v>840</v>
      </c>
      <c r="B491" s="5" t="s">
        <v>841</v>
      </c>
      <c r="C491" s="5">
        <v>1096</v>
      </c>
      <c r="D491" s="5">
        <v>1096</v>
      </c>
      <c r="E491" s="6">
        <v>0.98</v>
      </c>
      <c r="F491" s="5">
        <v>0</v>
      </c>
      <c r="G491" s="5">
        <v>64.89</v>
      </c>
      <c r="H491" s="5">
        <v>793</v>
      </c>
      <c r="I491" s="5" t="str">
        <f>HYPERLINK("https://www.ncbi.nlm.nih.gov/protein/WP_190348026.1?report=genbank&amp;log$=prottop&amp;blast_rank=13&amp;RID=7U875CNM013","WP_190348026.1")</f>
        <v>WP_190348026.1</v>
      </c>
      <c r="J491" s="5" t="s">
        <v>2</v>
      </c>
    </row>
    <row r="492" spans="1:10" s="7" customFormat="1" x14ac:dyDescent="0.2">
      <c r="A492" s="5" t="s">
        <v>842</v>
      </c>
      <c r="B492" s="5" t="s">
        <v>843</v>
      </c>
      <c r="C492" s="5">
        <v>1096</v>
      </c>
      <c r="D492" s="5">
        <v>1096</v>
      </c>
      <c r="E492" s="6">
        <v>0.98</v>
      </c>
      <c r="F492" s="5">
        <v>0</v>
      </c>
      <c r="G492" s="5">
        <v>64.89</v>
      </c>
      <c r="H492" s="5">
        <v>793</v>
      </c>
      <c r="I492" s="5" t="str">
        <f>HYPERLINK("https://www.ncbi.nlm.nih.gov/protein/WP_066384465.1?report=genbank&amp;log$=prottop&amp;blast_rank=14&amp;RID=7U875CNM013","WP_066384465.1")</f>
        <v>WP_066384465.1</v>
      </c>
      <c r="J492" s="5" t="s">
        <v>2</v>
      </c>
    </row>
    <row r="493" spans="1:10" s="7" customFormat="1" x14ac:dyDescent="0.2">
      <c r="A493" s="5" t="s">
        <v>844</v>
      </c>
      <c r="B493" s="5" t="s">
        <v>845</v>
      </c>
      <c r="C493" s="5">
        <v>1095</v>
      </c>
      <c r="D493" s="5">
        <v>1095</v>
      </c>
      <c r="E493" s="6">
        <v>0.98</v>
      </c>
      <c r="F493" s="5">
        <v>0</v>
      </c>
      <c r="G493" s="5">
        <v>64.89</v>
      </c>
      <c r="H493" s="5">
        <v>793</v>
      </c>
      <c r="I493" s="5" t="str">
        <f>HYPERLINK("https://www.ncbi.nlm.nih.gov/protein/WP_185570335.1?report=genbank&amp;log$=prottop&amp;blast_rank=15&amp;RID=7U875CNM013","WP_185570335.1")</f>
        <v>WP_185570335.1</v>
      </c>
      <c r="J493" s="5" t="s">
        <v>2</v>
      </c>
    </row>
    <row r="494" spans="1:10" s="7" customFormat="1" x14ac:dyDescent="0.2">
      <c r="A494" s="5" t="s">
        <v>846</v>
      </c>
      <c r="B494" s="5" t="s">
        <v>847</v>
      </c>
      <c r="C494" s="5">
        <v>1095</v>
      </c>
      <c r="D494" s="5">
        <v>1095</v>
      </c>
      <c r="E494" s="6">
        <v>0.98</v>
      </c>
      <c r="F494" s="5">
        <v>0</v>
      </c>
      <c r="G494" s="5">
        <v>64.89</v>
      </c>
      <c r="H494" s="5">
        <v>793</v>
      </c>
      <c r="I494" s="5" t="str">
        <f>HYPERLINK("https://www.ncbi.nlm.nih.gov/protein/WP_190750439.1?report=genbank&amp;log$=prottop&amp;blast_rank=16&amp;RID=7U875CNM013","WP_190750439.1")</f>
        <v>WP_190750439.1</v>
      </c>
      <c r="J494" s="5" t="s">
        <v>2</v>
      </c>
    </row>
    <row r="495" spans="1:10" s="7" customFormat="1" x14ac:dyDescent="0.2">
      <c r="A495" s="5" t="s">
        <v>848</v>
      </c>
      <c r="B495" s="5" t="s">
        <v>849</v>
      </c>
      <c r="C495" s="5">
        <v>1094</v>
      </c>
      <c r="D495" s="5">
        <v>1094</v>
      </c>
      <c r="E495" s="6">
        <v>0.98</v>
      </c>
      <c r="F495" s="5">
        <v>0</v>
      </c>
      <c r="G495" s="5">
        <v>64.89</v>
      </c>
      <c r="H495" s="5">
        <v>793</v>
      </c>
      <c r="I495" s="5" t="str">
        <f>HYPERLINK("https://www.ncbi.nlm.nih.gov/protein/MBL1202217.1?report=genbank&amp;log$=prottop&amp;blast_rank=17&amp;RID=7U875CNM013","MBL1202217.1")</f>
        <v>MBL1202217.1</v>
      </c>
      <c r="J495" s="5" t="s">
        <v>2</v>
      </c>
    </row>
    <row r="496" spans="1:10" s="7" customFormat="1" x14ac:dyDescent="0.2">
      <c r="A496" s="5" t="s">
        <v>850</v>
      </c>
      <c r="B496" s="5" t="s">
        <v>851</v>
      </c>
      <c r="C496" s="5">
        <v>1094</v>
      </c>
      <c r="D496" s="5">
        <v>1094</v>
      </c>
      <c r="E496" s="6">
        <v>0.98</v>
      </c>
      <c r="F496" s="5">
        <v>0</v>
      </c>
      <c r="G496" s="5">
        <v>64.89</v>
      </c>
      <c r="H496" s="5">
        <v>793</v>
      </c>
      <c r="I496" s="5" t="str">
        <f>HYPERLINK("https://www.ncbi.nlm.nih.gov/protein/WP_048866664.1?report=genbank&amp;log$=prottop&amp;blast_rank=18&amp;RID=7U875CNM013","WP_048866664.1")</f>
        <v>WP_048866664.1</v>
      </c>
      <c r="J496" s="5" t="s">
        <v>2</v>
      </c>
    </row>
    <row r="497" spans="1:10" s="7" customFormat="1" x14ac:dyDescent="0.2">
      <c r="A497" s="5" t="s">
        <v>855</v>
      </c>
      <c r="B497" s="5" t="s">
        <v>856</v>
      </c>
      <c r="C497" s="5">
        <v>1092</v>
      </c>
      <c r="D497" s="5">
        <v>1092</v>
      </c>
      <c r="E497" s="6">
        <v>0.98</v>
      </c>
      <c r="F497" s="5">
        <v>0</v>
      </c>
      <c r="G497" s="5">
        <v>64.89</v>
      </c>
      <c r="H497" s="5">
        <v>793</v>
      </c>
      <c r="I497" s="5" t="str">
        <f>HYPERLINK("https://www.ncbi.nlm.nih.gov/protein/MBE9053332.1?report=genbank&amp;log$=prottop&amp;blast_rank=20&amp;RID=7U875CNM013","MBE9053332.1")</f>
        <v>MBE9053332.1</v>
      </c>
      <c r="J497" s="5" t="s">
        <v>2</v>
      </c>
    </row>
    <row r="498" spans="1:10" s="7" customFormat="1" x14ac:dyDescent="0.2">
      <c r="A498" s="5" t="s">
        <v>857</v>
      </c>
      <c r="B498" s="5" t="s">
        <v>858</v>
      </c>
      <c r="C498" s="5">
        <v>1092</v>
      </c>
      <c r="D498" s="5">
        <v>1092</v>
      </c>
      <c r="E498" s="6">
        <v>0.98</v>
      </c>
      <c r="F498" s="5">
        <v>0</v>
      </c>
      <c r="G498" s="5">
        <v>64.89</v>
      </c>
      <c r="H498" s="5">
        <v>793</v>
      </c>
      <c r="I498" s="5" t="str">
        <f>HYPERLINK("https://www.ncbi.nlm.nih.gov/protein/WP_190629165.1?report=genbank&amp;log$=prottop&amp;blast_rank=21&amp;RID=7U875CNM013","WP_190629165.1")</f>
        <v>WP_190629165.1</v>
      </c>
      <c r="J498" s="5" t="s">
        <v>2</v>
      </c>
    </row>
    <row r="499" spans="1:10" s="7" customFormat="1" x14ac:dyDescent="0.2">
      <c r="A499" s="5" t="s">
        <v>859</v>
      </c>
      <c r="B499" s="5" t="s">
        <v>860</v>
      </c>
      <c r="C499" s="5">
        <v>1091</v>
      </c>
      <c r="D499" s="5">
        <v>1091</v>
      </c>
      <c r="E499" s="6">
        <v>0.98</v>
      </c>
      <c r="F499" s="5">
        <v>0</v>
      </c>
      <c r="G499" s="5">
        <v>64.89</v>
      </c>
      <c r="H499" s="5">
        <v>793</v>
      </c>
      <c r="I499" s="5" t="str">
        <f>HYPERLINK("https://www.ncbi.nlm.nih.gov/protein/WP_015141375.1?report=genbank&amp;log$=prottop&amp;blast_rank=22&amp;RID=7U875CNM013","WP_015141375.1")</f>
        <v>WP_015141375.1</v>
      </c>
      <c r="J499" s="5" t="s">
        <v>2</v>
      </c>
    </row>
    <row r="500" spans="1:10" s="7" customFormat="1" x14ac:dyDescent="0.2">
      <c r="A500" s="5" t="s">
        <v>861</v>
      </c>
      <c r="B500" s="5" t="s">
        <v>862</v>
      </c>
      <c r="C500" s="5">
        <v>1086</v>
      </c>
      <c r="D500" s="5">
        <v>1086</v>
      </c>
      <c r="E500" s="6">
        <v>0.98</v>
      </c>
      <c r="F500" s="5">
        <v>0</v>
      </c>
      <c r="G500" s="5">
        <v>64.89</v>
      </c>
      <c r="H500" s="5">
        <v>793</v>
      </c>
      <c r="I500" s="5" t="str">
        <f>HYPERLINK("https://www.ncbi.nlm.nih.gov/protein/WP_190942397.1?report=genbank&amp;log$=prottop&amp;blast_rank=26&amp;RID=7U875CNM013","WP_190942397.1")</f>
        <v>WP_190942397.1</v>
      </c>
      <c r="J500" s="5" t="s">
        <v>2</v>
      </c>
    </row>
    <row r="501" spans="1:10" s="7" customFormat="1" x14ac:dyDescent="0.2">
      <c r="A501" s="5" t="s">
        <v>863</v>
      </c>
      <c r="B501" s="5" t="s">
        <v>864</v>
      </c>
      <c r="C501" s="5">
        <v>1104</v>
      </c>
      <c r="D501" s="5">
        <v>1104</v>
      </c>
      <c r="E501" s="6">
        <v>0.98</v>
      </c>
      <c r="F501" s="5">
        <v>0</v>
      </c>
      <c r="G501" s="5">
        <v>64.849999999999994</v>
      </c>
      <c r="H501" s="5">
        <v>828</v>
      </c>
      <c r="I501" s="26" t="str">
        <f>HYPERLINK("https://www.ncbi.nlm.nih.gov/protein/WP_106169101.1?report=genbank&amp;log$=prottop&amp;blast_rank=36&amp;RID=7U875CNM013","WP_106169101.1")</f>
        <v>WP_106169101.1</v>
      </c>
      <c r="J501" s="5" t="s">
        <v>2</v>
      </c>
    </row>
    <row r="502" spans="1:10" s="7" customFormat="1" x14ac:dyDescent="0.2">
      <c r="A502" s="5" t="s">
        <v>262</v>
      </c>
      <c r="B502" s="5" t="s">
        <v>263</v>
      </c>
      <c r="C502" s="5">
        <v>1080</v>
      </c>
      <c r="D502" s="5">
        <v>1080</v>
      </c>
      <c r="E502" s="6">
        <v>0.98</v>
      </c>
      <c r="F502" s="5">
        <v>0</v>
      </c>
      <c r="G502" s="5">
        <v>64.84</v>
      </c>
      <c r="H502" s="5">
        <v>797</v>
      </c>
      <c r="I502" s="5" t="str">
        <f>HYPERLINK("https://www.ncbi.nlm.nih.gov/protein/WP_102182033.1?report=genbank&amp;log$=prottop&amp;blast_rank=41&amp;RID=7U875CNM013","WP_102182033.1")</f>
        <v>WP_102182033.1</v>
      </c>
      <c r="J502" s="5" t="s">
        <v>2</v>
      </c>
    </row>
    <row r="503" spans="1:10" s="7" customFormat="1" x14ac:dyDescent="0.2">
      <c r="A503" s="5" t="s">
        <v>865</v>
      </c>
      <c r="B503" s="5" t="s">
        <v>866</v>
      </c>
      <c r="C503" s="5">
        <v>1079</v>
      </c>
      <c r="D503" s="5">
        <v>1079</v>
      </c>
      <c r="E503" s="6">
        <v>0.98</v>
      </c>
      <c r="F503" s="5">
        <v>0</v>
      </c>
      <c r="G503" s="5">
        <v>64.84</v>
      </c>
      <c r="H503" s="5">
        <v>797</v>
      </c>
      <c r="I503" s="5" t="str">
        <f>HYPERLINK("https://www.ncbi.nlm.nih.gov/protein/PMB08972.1?report=genbank&amp;log$=prottop&amp;blast_rank=42&amp;RID=7U875CNM013","PMB08972.1")</f>
        <v>PMB08972.1</v>
      </c>
      <c r="J503" s="5" t="s">
        <v>2</v>
      </c>
    </row>
    <row r="504" spans="1:10" s="7" customFormat="1" x14ac:dyDescent="0.2">
      <c r="A504" s="5" t="s">
        <v>262</v>
      </c>
      <c r="B504" s="5" t="s">
        <v>263</v>
      </c>
      <c r="C504" s="5">
        <v>1078</v>
      </c>
      <c r="D504" s="5">
        <v>1078</v>
      </c>
      <c r="E504" s="6">
        <v>0.98</v>
      </c>
      <c r="F504" s="5">
        <v>0</v>
      </c>
      <c r="G504" s="5">
        <v>64.84</v>
      </c>
      <c r="H504" s="5">
        <v>797</v>
      </c>
      <c r="I504" s="5" t="str">
        <f>HYPERLINK("https://www.ncbi.nlm.nih.gov/protein/WP_102148941.1?report=genbank&amp;log$=prottop&amp;blast_rank=43&amp;RID=7U875CNM013","WP_102148941.1")</f>
        <v>WP_102148941.1</v>
      </c>
      <c r="J504" s="5" t="s">
        <v>2</v>
      </c>
    </row>
    <row r="505" spans="1:10" s="7" customFormat="1" x14ac:dyDescent="0.2">
      <c r="A505" s="5" t="s">
        <v>788</v>
      </c>
      <c r="B505" s="5" t="s">
        <v>743</v>
      </c>
      <c r="C505" s="5">
        <v>1100</v>
      </c>
      <c r="D505" s="5">
        <v>1100</v>
      </c>
      <c r="E505" s="6">
        <v>0.99</v>
      </c>
      <c r="F505" s="5">
        <v>0</v>
      </c>
      <c r="G505" s="5">
        <v>64.819999999999993</v>
      </c>
      <c r="H505" s="5">
        <v>793</v>
      </c>
      <c r="I505" s="5" t="str">
        <f>HYPERLINK("https://www.ncbi.nlm.nih.gov/protein/WP_096535601.1?report=genbank&amp;log$=prottop&amp;blast_rank=56&amp;RID=7U875CNM013","WP_096535601.1")</f>
        <v>WP_096535601.1</v>
      </c>
      <c r="J505" s="5" t="s">
        <v>2</v>
      </c>
    </row>
    <row r="506" spans="1:10" s="7" customFormat="1" x14ac:dyDescent="0.2">
      <c r="A506" s="5" t="s">
        <v>867</v>
      </c>
      <c r="B506" s="5" t="s">
        <v>868</v>
      </c>
      <c r="C506" s="5">
        <v>1092</v>
      </c>
      <c r="D506" s="5">
        <v>1092</v>
      </c>
      <c r="E506" s="6">
        <v>0.99</v>
      </c>
      <c r="F506" s="5">
        <v>0</v>
      </c>
      <c r="G506" s="5">
        <v>64.819999999999993</v>
      </c>
      <c r="H506" s="5">
        <v>793</v>
      </c>
      <c r="I506" s="5" t="str">
        <f>HYPERLINK("https://www.ncbi.nlm.nih.gov/protein/MBN3898824.1?report=genbank&amp;log$=prottop&amp;blast_rank=57&amp;RID=7U875CNM013","MBN3898824.1")</f>
        <v>MBN3898824.1</v>
      </c>
      <c r="J506" s="5" t="s">
        <v>2</v>
      </c>
    </row>
    <row r="507" spans="1:10" s="7" customFormat="1" x14ac:dyDescent="0.2">
      <c r="A507" s="5" t="s">
        <v>869</v>
      </c>
      <c r="B507" s="5" t="s">
        <v>870</v>
      </c>
      <c r="C507" s="5">
        <v>1100</v>
      </c>
      <c r="D507" s="5">
        <v>1100</v>
      </c>
      <c r="E507" s="6">
        <v>0.98</v>
      </c>
      <c r="F507" s="5">
        <v>0</v>
      </c>
      <c r="G507" s="5">
        <v>64.81</v>
      </c>
      <c r="H507" s="5">
        <v>805</v>
      </c>
      <c r="I507" s="5" t="str">
        <f>HYPERLINK("https://www.ncbi.nlm.nih.gov/protein/MBF2065306.1?report=genbank&amp;log$=prottop&amp;blast_rank=65&amp;RID=7U875CNM013","MBF2065306.1")</f>
        <v>MBF2065306.1</v>
      </c>
      <c r="J507" s="5" t="s">
        <v>2</v>
      </c>
    </row>
    <row r="508" spans="1:10" s="7" customFormat="1" x14ac:dyDescent="0.2">
      <c r="A508" s="5" t="s">
        <v>418</v>
      </c>
      <c r="B508" s="5" t="s">
        <v>419</v>
      </c>
      <c r="C508" s="5">
        <v>1112</v>
      </c>
      <c r="D508" s="5">
        <v>1112</v>
      </c>
      <c r="E508" s="6">
        <v>0.98</v>
      </c>
      <c r="F508" s="5">
        <v>0</v>
      </c>
      <c r="G508" s="5">
        <v>64.8</v>
      </c>
      <c r="H508" s="5">
        <v>792</v>
      </c>
      <c r="I508" s="5" t="str">
        <f>HYPERLINK("https://www.ncbi.nlm.nih.gov/protein/WP_015225514.1?report=genbank&amp;log$=prottop&amp;blast_rank=72&amp;RID=7U875CNM013","WP_015225514.1")</f>
        <v>WP_015225514.1</v>
      </c>
      <c r="J508" s="5" t="s">
        <v>2</v>
      </c>
    </row>
    <row r="509" spans="1:10" s="7" customFormat="1" x14ac:dyDescent="0.2">
      <c r="A509" s="5" t="s">
        <v>871</v>
      </c>
      <c r="B509" s="5" t="s">
        <v>872</v>
      </c>
      <c r="C509" s="5">
        <v>1103</v>
      </c>
      <c r="D509" s="5">
        <v>1103</v>
      </c>
      <c r="E509" s="6">
        <v>1</v>
      </c>
      <c r="F509" s="5">
        <v>0</v>
      </c>
      <c r="G509" s="5">
        <v>64.790000000000006</v>
      </c>
      <c r="H509" s="5">
        <v>826</v>
      </c>
      <c r="I509" s="5" t="str">
        <f>HYPERLINK("https://www.ncbi.nlm.nih.gov/protein/PIG92466.1?report=genbank&amp;log$=prottop&amp;blast_rank=86&amp;RID=7U875CNM013","PIG92466.1")</f>
        <v>PIG92466.1</v>
      </c>
      <c r="J509" s="5" t="s">
        <v>2</v>
      </c>
    </row>
    <row r="510" spans="1:10" s="7" customFormat="1" x14ac:dyDescent="0.2">
      <c r="A510" s="5" t="s">
        <v>873</v>
      </c>
      <c r="B510" s="5" t="s">
        <v>874</v>
      </c>
      <c r="C510" s="5">
        <v>1122</v>
      </c>
      <c r="D510" s="5">
        <v>1122</v>
      </c>
      <c r="E510" s="6">
        <v>0.99</v>
      </c>
      <c r="F510" s="5">
        <v>0</v>
      </c>
      <c r="G510" s="5">
        <v>64.77</v>
      </c>
      <c r="H510" s="5">
        <v>789</v>
      </c>
      <c r="I510" s="5" t="str">
        <f>HYPERLINK("https://www.ncbi.nlm.nih.gov/protein/MBC6476610.1?report=genbank&amp;log$=prottop&amp;blast_rank=92&amp;RID=7U875CNM013","MBC6476610.1")</f>
        <v>MBC6476610.1</v>
      </c>
      <c r="J510" s="5" t="s">
        <v>2</v>
      </c>
    </row>
    <row r="511" spans="1:10" s="7" customFormat="1" x14ac:dyDescent="0.2">
      <c r="A511" s="5" t="s">
        <v>875</v>
      </c>
      <c r="B511" s="5" t="s">
        <v>876</v>
      </c>
      <c r="C511" s="5">
        <v>1099</v>
      </c>
      <c r="D511" s="5">
        <v>1099</v>
      </c>
      <c r="E511" s="6">
        <v>0.98</v>
      </c>
      <c r="F511" s="5">
        <v>0</v>
      </c>
      <c r="G511" s="5">
        <v>64.77</v>
      </c>
      <c r="H511" s="5">
        <v>793</v>
      </c>
      <c r="I511" s="5" t="str">
        <f>HYPERLINK("https://www.ncbi.nlm.nih.gov/protein/QSV71764.1?report=genbank&amp;log$=prottop&amp;blast_rank=96&amp;RID=7U875CNM013","QSV71764.1")</f>
        <v>QSV71764.1</v>
      </c>
      <c r="J511" s="5" t="s">
        <v>2</v>
      </c>
    </row>
    <row r="512" spans="1:10" s="7" customFormat="1" x14ac:dyDescent="0.2">
      <c r="A512" s="5" t="s">
        <v>877</v>
      </c>
      <c r="B512" s="5" t="s">
        <v>878</v>
      </c>
      <c r="C512" s="5">
        <v>1099</v>
      </c>
      <c r="D512" s="5">
        <v>1099</v>
      </c>
      <c r="E512" s="6">
        <v>0.98</v>
      </c>
      <c r="F512" s="5">
        <v>0</v>
      </c>
      <c r="G512" s="5">
        <v>64.77</v>
      </c>
      <c r="H512" s="5">
        <v>793</v>
      </c>
      <c r="I512" s="5" t="str">
        <f>HYPERLINK("https://www.ncbi.nlm.nih.gov/protein/WP_168465757.1?report=genbank&amp;log$=prottop&amp;blast_rank=97&amp;RID=7U875CNM013","WP_168465757.1")</f>
        <v>WP_168465757.1</v>
      </c>
      <c r="J512" s="5" t="s">
        <v>2</v>
      </c>
    </row>
    <row r="513" spans="1:10" s="7" customFormat="1" x14ac:dyDescent="0.2">
      <c r="A513" s="5" t="s">
        <v>879</v>
      </c>
      <c r="B513" s="5" t="s">
        <v>880</v>
      </c>
      <c r="C513" s="5">
        <v>1097</v>
      </c>
      <c r="D513" s="5">
        <v>1097</v>
      </c>
      <c r="E513" s="6">
        <v>0.98</v>
      </c>
      <c r="F513" s="5">
        <v>0</v>
      </c>
      <c r="G513" s="5">
        <v>64.77</v>
      </c>
      <c r="H513" s="5">
        <v>805</v>
      </c>
      <c r="I513" s="5" t="str">
        <f>HYPERLINK("https://www.ncbi.nlm.nih.gov/protein/MBD0303331.1?report=genbank&amp;log$=prottop&amp;blast_rank=98&amp;RID=7U875CNM013","MBD0303331.1")</f>
        <v>MBD0303331.1</v>
      </c>
      <c r="J513" s="5" t="s">
        <v>2</v>
      </c>
    </row>
    <row r="514" spans="1:10" s="7" customFormat="1" x14ac:dyDescent="0.2">
      <c r="A514" s="5" t="s">
        <v>881</v>
      </c>
      <c r="B514" s="5" t="s">
        <v>882</v>
      </c>
      <c r="C514" s="5">
        <v>1092</v>
      </c>
      <c r="D514" s="5">
        <v>1092</v>
      </c>
      <c r="E514" s="6">
        <v>0.98</v>
      </c>
      <c r="F514" s="5">
        <v>0</v>
      </c>
      <c r="G514" s="5">
        <v>64.77</v>
      </c>
      <c r="H514" s="5">
        <v>805</v>
      </c>
      <c r="I514" s="5" t="str">
        <f>HYPERLINK("https://www.ncbi.nlm.nih.gov/protein/WP_039741547.1?report=genbank&amp;log$=prottop&amp;blast_rank=99&amp;RID=7U875CNM013","WP_039741547.1")</f>
        <v>WP_039741547.1</v>
      </c>
      <c r="J514" s="5" t="s">
        <v>2</v>
      </c>
    </row>
    <row r="515" spans="1:10" s="7" customFormat="1" x14ac:dyDescent="0.2">
      <c r="A515" s="5" t="s">
        <v>883</v>
      </c>
      <c r="B515" s="5" t="s">
        <v>884</v>
      </c>
      <c r="C515" s="5">
        <v>1098</v>
      </c>
      <c r="D515" s="5">
        <v>1098</v>
      </c>
      <c r="E515" s="6">
        <v>0.98</v>
      </c>
      <c r="F515" s="5">
        <v>0</v>
      </c>
      <c r="G515" s="5">
        <v>64.760000000000005</v>
      </c>
      <c r="H515" s="5">
        <v>793</v>
      </c>
      <c r="I515" s="5" t="str">
        <f>HYPERLINK("https://www.ncbi.nlm.nih.gov/protein/WP_190880656.1?report=genbank&amp;log$=prottop&amp;blast_rank=100&amp;RID=7U875CNM013","WP_190880656.1")</f>
        <v>WP_190880656.1</v>
      </c>
      <c r="J515" s="5" t="s">
        <v>2</v>
      </c>
    </row>
    <row r="516" spans="1:10" s="7" customFormat="1" x14ac:dyDescent="0.2">
      <c r="A516" s="5" t="s">
        <v>885</v>
      </c>
      <c r="B516" s="5" t="s">
        <v>886</v>
      </c>
      <c r="C516" s="5">
        <v>1096</v>
      </c>
      <c r="D516" s="5">
        <v>1096</v>
      </c>
      <c r="E516" s="6">
        <v>0.98</v>
      </c>
      <c r="F516" s="5">
        <v>0</v>
      </c>
      <c r="G516" s="5">
        <v>64.760000000000005</v>
      </c>
      <c r="H516" s="5">
        <v>793</v>
      </c>
      <c r="I516" s="5" t="str">
        <f>HYPERLINK("https://www.ncbi.nlm.nih.gov/protein/WP_006194930.1?report=genbank&amp;log$=prottop&amp;blast_rank=101&amp;RID=7U875CNM013","WP_006194930.1")</f>
        <v>WP_006194930.1</v>
      </c>
      <c r="J516" s="5" t="s">
        <v>2</v>
      </c>
    </row>
    <row r="517" spans="1:10" s="7" customFormat="1" x14ac:dyDescent="0.2">
      <c r="A517" s="5" t="s">
        <v>887</v>
      </c>
      <c r="B517" s="5" t="s">
        <v>888</v>
      </c>
      <c r="C517" s="5">
        <v>1095</v>
      </c>
      <c r="D517" s="5">
        <v>1095</v>
      </c>
      <c r="E517" s="6">
        <v>0.98</v>
      </c>
      <c r="F517" s="5">
        <v>0</v>
      </c>
      <c r="G517" s="5">
        <v>64.760000000000005</v>
      </c>
      <c r="H517" s="5">
        <v>793</v>
      </c>
      <c r="I517" s="5" t="str">
        <f>HYPERLINK("https://www.ncbi.nlm.nih.gov/protein/WP_103123897.1?report=genbank&amp;log$=prottop&amp;blast_rank=102&amp;RID=7U875CNM013","WP_103123897.1")</f>
        <v>WP_103123897.1</v>
      </c>
      <c r="J517" s="5" t="s">
        <v>2</v>
      </c>
    </row>
    <row r="518" spans="1:10" s="7" customFormat="1" x14ac:dyDescent="0.2">
      <c r="A518" s="5" t="s">
        <v>889</v>
      </c>
      <c r="B518" s="5" t="s">
        <v>890</v>
      </c>
      <c r="C518" s="5">
        <v>1093</v>
      </c>
      <c r="D518" s="5">
        <v>1093</v>
      </c>
      <c r="E518" s="6">
        <v>0.98</v>
      </c>
      <c r="F518" s="5">
        <v>0</v>
      </c>
      <c r="G518" s="5">
        <v>64.760000000000005</v>
      </c>
      <c r="H518" s="5">
        <v>793</v>
      </c>
      <c r="I518" s="5" t="str">
        <f>HYPERLINK("https://www.ncbi.nlm.nih.gov/protein/WP_096642326.1?report=genbank&amp;log$=prottop&amp;blast_rank=103&amp;RID=7U875CNM013","WP_096642326.1")</f>
        <v>WP_096642326.1</v>
      </c>
      <c r="J518" s="5" t="s">
        <v>2</v>
      </c>
    </row>
    <row r="519" spans="1:10" s="7" customFormat="1" x14ac:dyDescent="0.2">
      <c r="A519" s="5" t="s">
        <v>891</v>
      </c>
      <c r="B519" s="5" t="s">
        <v>892</v>
      </c>
      <c r="C519" s="5">
        <v>1092</v>
      </c>
      <c r="D519" s="5">
        <v>1092</v>
      </c>
      <c r="E519" s="6">
        <v>0.98</v>
      </c>
      <c r="F519" s="5">
        <v>0</v>
      </c>
      <c r="G519" s="5">
        <v>64.760000000000005</v>
      </c>
      <c r="H519" s="5">
        <v>793</v>
      </c>
      <c r="I519" s="5" t="str">
        <f>HYPERLINK("https://www.ncbi.nlm.nih.gov/protein/WP_073643332.1?report=genbank&amp;log$=prottop&amp;blast_rank=104&amp;RID=7U875CNM013","WP_073643332.1")</f>
        <v>WP_073643332.1</v>
      </c>
      <c r="J519" s="5" t="s">
        <v>2</v>
      </c>
    </row>
    <row r="520" spans="1:10" s="7" customFormat="1" x14ac:dyDescent="0.2">
      <c r="A520" s="5" t="s">
        <v>893</v>
      </c>
      <c r="B520" s="5" t="s">
        <v>894</v>
      </c>
      <c r="C520" s="5">
        <v>1091</v>
      </c>
      <c r="D520" s="5">
        <v>1091</v>
      </c>
      <c r="E520" s="6">
        <v>0.98</v>
      </c>
      <c r="F520" s="5">
        <v>0</v>
      </c>
      <c r="G520" s="5">
        <v>64.760000000000005</v>
      </c>
      <c r="H520" s="5">
        <v>793</v>
      </c>
      <c r="I520" s="5" t="str">
        <f>HYPERLINK("https://www.ncbi.nlm.nih.gov/protein/WP_190693375.1?report=genbank&amp;log$=prottop&amp;blast_rank=106&amp;RID=7U875CNM013","WP_190693375.1")</f>
        <v>WP_190693375.1</v>
      </c>
      <c r="J520" s="5" t="s">
        <v>2</v>
      </c>
    </row>
    <row r="521" spans="1:10" s="7" customFormat="1" x14ac:dyDescent="0.2">
      <c r="A521" s="5" t="s">
        <v>895</v>
      </c>
      <c r="B521" s="5" t="s">
        <v>896</v>
      </c>
      <c r="C521" s="5">
        <v>1090</v>
      </c>
      <c r="D521" s="5">
        <v>1090</v>
      </c>
      <c r="E521" s="6">
        <v>0.98</v>
      </c>
      <c r="F521" s="5">
        <v>0</v>
      </c>
      <c r="G521" s="5">
        <v>64.760000000000005</v>
      </c>
      <c r="H521" s="5">
        <v>793</v>
      </c>
      <c r="I521" s="5" t="str">
        <f>HYPERLINK("https://www.ncbi.nlm.nih.gov/protein/TAE56517.1?report=genbank&amp;log$=prottop&amp;blast_rank=107&amp;RID=7U875CNM013","TAE56517.1")</f>
        <v>TAE56517.1</v>
      </c>
      <c r="J521" s="5" t="s">
        <v>2</v>
      </c>
    </row>
    <row r="522" spans="1:10" s="7" customFormat="1" x14ac:dyDescent="0.2">
      <c r="A522" s="5" t="s">
        <v>233</v>
      </c>
      <c r="B522" s="5" t="s">
        <v>234</v>
      </c>
      <c r="C522" s="5">
        <v>1088</v>
      </c>
      <c r="D522" s="5">
        <v>1088</v>
      </c>
      <c r="E522" s="6">
        <v>0.98</v>
      </c>
      <c r="F522" s="5">
        <v>0</v>
      </c>
      <c r="G522" s="5">
        <v>64.760000000000005</v>
      </c>
      <c r="H522" s="5">
        <v>793</v>
      </c>
      <c r="I522" s="5" t="str">
        <f>HYPERLINK("https://www.ncbi.nlm.nih.gov/protein/WP_190983210.1?report=genbank&amp;log$=prottop&amp;blast_rank=108&amp;RID=7U875CNM013","WP_190983210.1")</f>
        <v>WP_190983210.1</v>
      </c>
      <c r="J522" s="5" t="s">
        <v>2</v>
      </c>
    </row>
    <row r="523" spans="1:10" s="7" customFormat="1" x14ac:dyDescent="0.2">
      <c r="A523" s="5" t="s">
        <v>897</v>
      </c>
      <c r="B523" s="5" t="s">
        <v>898</v>
      </c>
      <c r="C523" s="5">
        <v>1088</v>
      </c>
      <c r="D523" s="5">
        <v>1088</v>
      </c>
      <c r="E523" s="6">
        <v>0.98</v>
      </c>
      <c r="F523" s="5">
        <v>0</v>
      </c>
      <c r="G523" s="5">
        <v>64.760000000000005</v>
      </c>
      <c r="H523" s="5">
        <v>793</v>
      </c>
      <c r="I523" s="5" t="str">
        <f>HYPERLINK("https://www.ncbi.nlm.nih.gov/protein/WP_190913574.1?report=genbank&amp;log$=prottop&amp;blast_rank=109&amp;RID=7U875CNM013","WP_190913574.1")</f>
        <v>WP_190913574.1</v>
      </c>
      <c r="J523" s="5" t="s">
        <v>2</v>
      </c>
    </row>
    <row r="524" spans="1:10" s="7" customFormat="1" x14ac:dyDescent="0.2">
      <c r="A524" s="5" t="s">
        <v>899</v>
      </c>
      <c r="B524" s="5" t="s">
        <v>900</v>
      </c>
      <c r="C524" s="5">
        <v>1075</v>
      </c>
      <c r="D524" s="5">
        <v>1075</v>
      </c>
      <c r="E524" s="6">
        <v>0.98</v>
      </c>
      <c r="F524" s="5">
        <v>0</v>
      </c>
      <c r="G524" s="5">
        <v>64.760000000000005</v>
      </c>
      <c r="H524" s="5">
        <v>826</v>
      </c>
      <c r="I524" s="5" t="str">
        <f>HYPERLINK("https://www.ncbi.nlm.nih.gov/protein/WP_190803722.1?report=genbank&amp;log$=prottop&amp;blast_rank=110&amp;RID=7U875CNM013","WP_190803722.1")</f>
        <v>WP_190803722.1</v>
      </c>
      <c r="J524" s="5" t="s">
        <v>2</v>
      </c>
    </row>
    <row r="525" spans="1:10" s="7" customFormat="1" x14ac:dyDescent="0.2">
      <c r="A525" s="5" t="s">
        <v>901</v>
      </c>
      <c r="B525" s="5" t="s">
        <v>902</v>
      </c>
      <c r="C525" s="5">
        <v>1071</v>
      </c>
      <c r="D525" s="5">
        <v>1071</v>
      </c>
      <c r="E525" s="6">
        <v>0.98</v>
      </c>
      <c r="F525" s="5">
        <v>0</v>
      </c>
      <c r="G525" s="5">
        <v>64.760000000000005</v>
      </c>
      <c r="H525" s="5">
        <v>793</v>
      </c>
      <c r="I525" s="5" t="str">
        <f>HYPERLINK("https://www.ncbi.nlm.nih.gov/protein/PSP16895.1?report=genbank&amp;log$=prottop&amp;blast_rank=112&amp;RID=7U875CNM013","PSP16895.1")</f>
        <v>PSP16895.1</v>
      </c>
      <c r="J525" s="5" t="s">
        <v>2</v>
      </c>
    </row>
    <row r="526" spans="1:10" s="7" customFormat="1" x14ac:dyDescent="0.2">
      <c r="A526" s="5" t="s">
        <v>903</v>
      </c>
      <c r="B526" s="5" t="s">
        <v>904</v>
      </c>
      <c r="C526" s="5">
        <v>1096</v>
      </c>
      <c r="D526" s="5">
        <v>1096</v>
      </c>
      <c r="E526" s="6">
        <v>0.99</v>
      </c>
      <c r="F526" s="5">
        <v>0</v>
      </c>
      <c r="G526" s="5">
        <v>64.739999999999995</v>
      </c>
      <c r="H526" s="5">
        <v>824</v>
      </c>
      <c r="I526" s="5" t="str">
        <f>HYPERLINK("https://www.ncbi.nlm.nih.gov/protein/NJK65519.1?report=genbank&amp;log$=prottop&amp;blast_rank=121&amp;RID=7U875CNM013","NJK65519.1")</f>
        <v>NJK65519.1</v>
      </c>
      <c r="J526" s="5" t="s">
        <v>2</v>
      </c>
    </row>
    <row r="527" spans="1:10" s="7" customFormat="1" x14ac:dyDescent="0.2">
      <c r="A527" s="5" t="s">
        <v>905</v>
      </c>
      <c r="B527" s="5" t="s">
        <v>906</v>
      </c>
      <c r="C527" s="5">
        <v>1104</v>
      </c>
      <c r="D527" s="5">
        <v>1104</v>
      </c>
      <c r="E527" s="6">
        <v>0.98</v>
      </c>
      <c r="F527" s="5">
        <v>0</v>
      </c>
      <c r="G527" s="5">
        <v>64.72</v>
      </c>
      <c r="H527" s="5">
        <v>828</v>
      </c>
      <c r="I527" s="5" t="str">
        <f>HYPERLINK("https://www.ncbi.nlm.nih.gov/protein/WP_106547047.1?report=genbank&amp;log$=prottop&amp;blast_rank=126&amp;RID=7U875CNM013","WP_106547047.1")</f>
        <v>WP_106547047.1</v>
      </c>
      <c r="J527" s="5" t="s">
        <v>2</v>
      </c>
    </row>
    <row r="528" spans="1:10" s="7" customFormat="1" x14ac:dyDescent="0.2">
      <c r="A528" s="5" t="s">
        <v>907</v>
      </c>
      <c r="B528" s="5" t="s">
        <v>908</v>
      </c>
      <c r="C528" s="5">
        <v>1104</v>
      </c>
      <c r="D528" s="5">
        <v>1104</v>
      </c>
      <c r="E528" s="6">
        <v>0.98</v>
      </c>
      <c r="F528" s="5">
        <v>0</v>
      </c>
      <c r="G528" s="5">
        <v>64.72</v>
      </c>
      <c r="H528" s="5">
        <v>828</v>
      </c>
      <c r="I528" s="5" t="str">
        <f>HYPERLINK("https://www.ncbi.nlm.nih.gov/protein/PSB46686.1?report=genbank&amp;log$=prottop&amp;blast_rank=127&amp;RID=7U875CNM013","PSB46686.1")</f>
        <v>PSB46686.1</v>
      </c>
      <c r="J528" s="5" t="s">
        <v>2</v>
      </c>
    </row>
    <row r="529" spans="1:10" s="7" customFormat="1" x14ac:dyDescent="0.2">
      <c r="A529" s="5" t="s">
        <v>909</v>
      </c>
      <c r="B529" s="5" t="s">
        <v>910</v>
      </c>
      <c r="C529" s="5">
        <v>1103</v>
      </c>
      <c r="D529" s="5">
        <v>1103</v>
      </c>
      <c r="E529" s="6">
        <v>0.98</v>
      </c>
      <c r="F529" s="5">
        <v>0</v>
      </c>
      <c r="G529" s="5">
        <v>64.72</v>
      </c>
      <c r="H529" s="5">
        <v>828</v>
      </c>
      <c r="I529" s="5" t="str">
        <f>HYPERLINK("https://www.ncbi.nlm.nih.gov/protein/WP_015152495.1?report=genbank&amp;log$=prottop&amp;blast_rank=128&amp;RID=7U875CNM013","WP_015152495.1")</f>
        <v>WP_015152495.1</v>
      </c>
      <c r="J529" s="5" t="s">
        <v>2</v>
      </c>
    </row>
    <row r="530" spans="1:10" s="7" customFormat="1" x14ac:dyDescent="0.2">
      <c r="A530" s="5" t="s">
        <v>911</v>
      </c>
      <c r="B530" s="5" t="s">
        <v>912</v>
      </c>
      <c r="C530" s="5">
        <v>1102</v>
      </c>
      <c r="D530" s="5">
        <v>1102</v>
      </c>
      <c r="E530" s="6">
        <v>0.98</v>
      </c>
      <c r="F530" s="5">
        <v>0</v>
      </c>
      <c r="G530" s="5">
        <v>64.72</v>
      </c>
      <c r="H530" s="5">
        <v>828</v>
      </c>
      <c r="I530" s="5" t="str">
        <f>HYPERLINK("https://www.ncbi.nlm.nih.gov/protein/WP_039715037.1?report=genbank&amp;log$=prottop&amp;blast_rank=129&amp;RID=7U875CNM013","WP_039715037.1")</f>
        <v>WP_039715037.1</v>
      </c>
      <c r="J530" s="5" t="s">
        <v>2</v>
      </c>
    </row>
    <row r="531" spans="1:10" s="7" customFormat="1" x14ac:dyDescent="0.2">
      <c r="A531" s="5" t="s">
        <v>318</v>
      </c>
      <c r="B531" s="5" t="s">
        <v>319</v>
      </c>
      <c r="C531" s="5">
        <v>1078</v>
      </c>
      <c r="D531" s="5">
        <v>1078</v>
      </c>
      <c r="E531" s="6">
        <v>0.98</v>
      </c>
      <c r="F531" s="5">
        <v>0</v>
      </c>
      <c r="G531" s="5">
        <v>64.709999999999994</v>
      </c>
      <c r="H531" s="5">
        <v>797</v>
      </c>
      <c r="I531" s="5" t="str">
        <f>HYPERLINK("https://www.ncbi.nlm.nih.gov/protein/PMB29886.1?report=genbank&amp;log$=prottop&amp;blast_rank=136&amp;RID=7U875CNM013","PMB29886.1")</f>
        <v>PMB29886.1</v>
      </c>
      <c r="J531" s="5" t="s">
        <v>2</v>
      </c>
    </row>
    <row r="532" spans="1:10" s="7" customFormat="1" x14ac:dyDescent="0.2">
      <c r="A532" s="5" t="s">
        <v>915</v>
      </c>
      <c r="B532" s="5" t="s">
        <v>916</v>
      </c>
      <c r="C532" s="5">
        <v>1098</v>
      </c>
      <c r="D532" s="5">
        <v>1098</v>
      </c>
      <c r="E532" s="6">
        <v>0.99</v>
      </c>
      <c r="F532" s="5">
        <v>0</v>
      </c>
      <c r="G532" s="5">
        <v>64.7</v>
      </c>
      <c r="H532" s="5">
        <v>793</v>
      </c>
      <c r="I532" s="5" t="str">
        <f>HYPERLINK("https://www.ncbi.nlm.nih.gov/protein/WP_127054570.1?report=genbank&amp;log$=prottop&amp;blast_rank=154&amp;RID=7U875CNM013","WP_127054570.1")</f>
        <v>WP_127054570.1</v>
      </c>
      <c r="J532" s="5" t="s">
        <v>2</v>
      </c>
    </row>
    <row r="533" spans="1:10" s="8" customFormat="1" x14ac:dyDescent="0.2">
      <c r="A533" s="5" t="s">
        <v>917</v>
      </c>
      <c r="B533" s="5" t="s">
        <v>918</v>
      </c>
      <c r="C533" s="5">
        <v>1100</v>
      </c>
      <c r="D533" s="5">
        <v>1100</v>
      </c>
      <c r="E533" s="6">
        <v>0.98</v>
      </c>
      <c r="F533" s="5">
        <v>0</v>
      </c>
      <c r="G533" s="5">
        <v>64.680000000000007</v>
      </c>
      <c r="H533" s="5">
        <v>805</v>
      </c>
      <c r="I533" s="5" t="str">
        <f>HYPERLINK("https://www.ncbi.nlm.nih.gov/protein/WP_073624302.1?report=genbank&amp;log$=prottop&amp;blast_rank=7&amp;RID=7U875CNM013","WP_073624302.1")</f>
        <v>WP_073624302.1</v>
      </c>
      <c r="J533" s="5" t="s">
        <v>2</v>
      </c>
    </row>
    <row r="534" spans="1:10" s="8" customFormat="1" x14ac:dyDescent="0.2">
      <c r="A534" s="5" t="s">
        <v>919</v>
      </c>
      <c r="B534" s="5" t="s">
        <v>920</v>
      </c>
      <c r="C534" s="5">
        <v>1069</v>
      </c>
      <c r="D534" s="5">
        <v>1069</v>
      </c>
      <c r="E534" s="6">
        <v>0.98</v>
      </c>
      <c r="F534" s="5">
        <v>0</v>
      </c>
      <c r="G534" s="5">
        <v>64.680000000000007</v>
      </c>
      <c r="H534" s="5">
        <v>793</v>
      </c>
      <c r="I534" s="5" t="str">
        <f>HYPERLINK("https://www.ncbi.nlm.nih.gov/protein/WP_069069496.1?report=genbank&amp;log$=prottop&amp;blast_rank=8&amp;RID=7U875CNM013","WP_069069496.1")</f>
        <v>WP_069069496.1</v>
      </c>
      <c r="J534" s="5" t="s">
        <v>2</v>
      </c>
    </row>
    <row r="535" spans="1:10" s="8" customFormat="1" x14ac:dyDescent="0.2">
      <c r="A535" s="5" t="s">
        <v>256</v>
      </c>
      <c r="B535" s="5" t="s">
        <v>257</v>
      </c>
      <c r="C535" s="5">
        <v>1101</v>
      </c>
      <c r="D535" s="5">
        <v>1101</v>
      </c>
      <c r="E535" s="6">
        <v>0.98</v>
      </c>
      <c r="F535" s="5">
        <v>0</v>
      </c>
      <c r="G535" s="5">
        <v>64.67</v>
      </c>
      <c r="H535" s="5">
        <v>834</v>
      </c>
      <c r="I535" s="5" t="str">
        <f>HYPERLINK("https://www.ncbi.nlm.nih.gov/protein/NES96136.1?report=genbank&amp;log$=prottop&amp;blast_rank=11&amp;RID=7U875CNM013","NES96136.1")</f>
        <v>NES96136.1</v>
      </c>
      <c r="J535" s="5" t="s">
        <v>2</v>
      </c>
    </row>
    <row r="536" spans="1:10" s="7" customFormat="1" x14ac:dyDescent="0.2">
      <c r="A536" s="5" t="s">
        <v>921</v>
      </c>
      <c r="B536" s="5" t="s">
        <v>922</v>
      </c>
      <c r="C536" s="5">
        <v>1091</v>
      </c>
      <c r="D536" s="5">
        <v>1091</v>
      </c>
      <c r="E536" s="6">
        <v>0.99</v>
      </c>
      <c r="F536" s="5">
        <v>0</v>
      </c>
      <c r="G536" s="5">
        <v>64.650000000000006</v>
      </c>
      <c r="H536" s="5">
        <v>791</v>
      </c>
      <c r="I536" s="5" t="str">
        <f>HYPERLINK("https://www.ncbi.nlm.nih.gov/protein/WP_144080488.1?report=genbank&amp;log$=prottop&amp;blast_rank=26&amp;RID=7U875CNM013","WP_144080488.1")</f>
        <v>WP_144080488.1</v>
      </c>
      <c r="J536" s="5" t="s">
        <v>2</v>
      </c>
    </row>
    <row r="537" spans="1:10" s="7" customFormat="1" x14ac:dyDescent="0.2">
      <c r="A537" s="5" t="s">
        <v>923</v>
      </c>
      <c r="B537" s="5" t="s">
        <v>924</v>
      </c>
      <c r="C537" s="5">
        <v>1094</v>
      </c>
      <c r="D537" s="5">
        <v>1094</v>
      </c>
      <c r="E537" s="6">
        <v>0.98</v>
      </c>
      <c r="F537" s="5">
        <v>0</v>
      </c>
      <c r="G537" s="5">
        <v>64.64</v>
      </c>
      <c r="H537" s="5">
        <v>793</v>
      </c>
      <c r="I537" s="5" t="str">
        <f>HYPERLINK("https://www.ncbi.nlm.nih.gov/protein/WP_053539711.1?report=genbank&amp;log$=prottop&amp;blast_rank=30&amp;RID=7U875CNM013","WP_053539711.1")</f>
        <v>WP_053539711.1</v>
      </c>
      <c r="J537" s="5" t="s">
        <v>2</v>
      </c>
    </row>
    <row r="538" spans="1:10" s="7" customFormat="1" x14ac:dyDescent="0.2">
      <c r="A538" s="5" t="s">
        <v>925</v>
      </c>
      <c r="B538" s="5" t="s">
        <v>926</v>
      </c>
      <c r="C538" s="5">
        <v>1103</v>
      </c>
      <c r="D538" s="5">
        <v>1103</v>
      </c>
      <c r="E538" s="6">
        <v>0.98</v>
      </c>
      <c r="F538" s="5">
        <v>0</v>
      </c>
      <c r="G538" s="5">
        <v>64.63</v>
      </c>
      <c r="H538" s="5">
        <v>793</v>
      </c>
      <c r="I538" s="5" t="str">
        <f>HYPERLINK("https://www.ncbi.nlm.nih.gov/protein/WP_190830264.1?report=genbank&amp;log$=prottop&amp;blast_rank=31&amp;RID=7U875CNM013","WP_190830264.1")</f>
        <v>WP_190830264.1</v>
      </c>
      <c r="J538" s="5" t="s">
        <v>2</v>
      </c>
    </row>
    <row r="539" spans="1:10" s="7" customFormat="1" x14ac:dyDescent="0.2">
      <c r="A539" s="5" t="s">
        <v>927</v>
      </c>
      <c r="B539" s="5" t="s">
        <v>928</v>
      </c>
      <c r="C539" s="5">
        <v>1098</v>
      </c>
      <c r="D539" s="5">
        <v>1098</v>
      </c>
      <c r="E539" s="6">
        <v>0.98</v>
      </c>
      <c r="F539" s="5">
        <v>0</v>
      </c>
      <c r="G539" s="5">
        <v>64.63</v>
      </c>
      <c r="H539" s="5">
        <v>793</v>
      </c>
      <c r="I539" s="5" t="str">
        <f>HYPERLINK("https://www.ncbi.nlm.nih.gov/protein/MBH8556172.1?report=genbank&amp;log$=prottop&amp;blast_rank=32&amp;RID=7U875CNM013","MBH8556172.1")</f>
        <v>MBH8556172.1</v>
      </c>
      <c r="J539" s="5" t="s">
        <v>2</v>
      </c>
    </row>
    <row r="540" spans="1:10" s="7" customFormat="1" x14ac:dyDescent="0.2">
      <c r="A540" s="5" t="s">
        <v>929</v>
      </c>
      <c r="B540" s="5" t="s">
        <v>930</v>
      </c>
      <c r="C540" s="5">
        <v>1092</v>
      </c>
      <c r="D540" s="5">
        <v>1092</v>
      </c>
      <c r="E540" s="6">
        <v>0.98</v>
      </c>
      <c r="F540" s="5">
        <v>0</v>
      </c>
      <c r="G540" s="5">
        <v>64.63</v>
      </c>
      <c r="H540" s="5">
        <v>793</v>
      </c>
      <c r="I540" s="5" t="str">
        <f>HYPERLINK("https://www.ncbi.nlm.nih.gov/protein/BBD58305.1?report=genbank&amp;log$=prottop&amp;blast_rank=33&amp;RID=7U875CNM013","BBD58305.1")</f>
        <v>BBD58305.1</v>
      </c>
      <c r="J540" s="5" t="s">
        <v>2</v>
      </c>
    </row>
    <row r="541" spans="1:10" s="7" customFormat="1" x14ac:dyDescent="0.2">
      <c r="A541" s="5" t="s">
        <v>931</v>
      </c>
      <c r="B541" s="5" t="s">
        <v>932</v>
      </c>
      <c r="C541" s="5">
        <v>1092</v>
      </c>
      <c r="D541" s="5">
        <v>1092</v>
      </c>
      <c r="E541" s="6">
        <v>0.98</v>
      </c>
      <c r="F541" s="5">
        <v>0</v>
      </c>
      <c r="G541" s="5">
        <v>64.63</v>
      </c>
      <c r="H541" s="5">
        <v>793</v>
      </c>
      <c r="I541" s="5" t="str">
        <f>HYPERLINK("https://www.ncbi.nlm.nih.gov/protein/MBH8576900.1?report=genbank&amp;log$=prottop&amp;blast_rank=35&amp;RID=7U875CNM013","MBH8576900.1")</f>
        <v>MBH8576900.1</v>
      </c>
      <c r="J541" s="5" t="s">
        <v>2</v>
      </c>
    </row>
    <row r="542" spans="1:10" s="7" customFormat="1" x14ac:dyDescent="0.2">
      <c r="A542" s="5" t="s">
        <v>933</v>
      </c>
      <c r="B542" s="5" t="s">
        <v>934</v>
      </c>
      <c r="C542" s="5">
        <v>1091</v>
      </c>
      <c r="D542" s="5">
        <v>1091</v>
      </c>
      <c r="E542" s="6">
        <v>0.98</v>
      </c>
      <c r="F542" s="5">
        <v>0</v>
      </c>
      <c r="G542" s="5">
        <v>64.63</v>
      </c>
      <c r="H542" s="5">
        <v>793</v>
      </c>
      <c r="I542" s="5" t="str">
        <f>HYPERLINK("https://www.ncbi.nlm.nih.gov/protein/WP_094347526.1?report=genbank&amp;log$=prottop&amp;blast_rank=36&amp;RID=7U875CNM013","WP_094347526.1")</f>
        <v>WP_094347526.1</v>
      </c>
      <c r="J542" s="5" t="s">
        <v>2</v>
      </c>
    </row>
    <row r="543" spans="1:10" s="7" customFormat="1" x14ac:dyDescent="0.2">
      <c r="A543" s="5" t="s">
        <v>935</v>
      </c>
      <c r="B543" s="5" t="s">
        <v>936</v>
      </c>
      <c r="C543" s="5">
        <v>1091</v>
      </c>
      <c r="D543" s="5">
        <v>1091</v>
      </c>
      <c r="E543" s="6">
        <v>0.98</v>
      </c>
      <c r="F543" s="5">
        <v>0</v>
      </c>
      <c r="G543" s="5">
        <v>64.63</v>
      </c>
      <c r="H543" s="5">
        <v>793</v>
      </c>
      <c r="I543" s="5" t="str">
        <f>HYPERLINK("https://www.ncbi.nlm.nih.gov/protein/WP_190564776.1?report=genbank&amp;log$=prottop&amp;blast_rank=37&amp;RID=7U875CNM013","WP_190564776.1")</f>
        <v>WP_190564776.1</v>
      </c>
      <c r="J543" s="5" t="s">
        <v>2</v>
      </c>
    </row>
    <row r="544" spans="1:10" s="7" customFormat="1" x14ac:dyDescent="0.2">
      <c r="A544" s="5" t="s">
        <v>937</v>
      </c>
      <c r="B544" s="5" t="s">
        <v>938</v>
      </c>
      <c r="C544" s="5">
        <v>1089</v>
      </c>
      <c r="D544" s="5">
        <v>1089</v>
      </c>
      <c r="E544" s="6">
        <v>0.98</v>
      </c>
      <c r="F544" s="5">
        <v>0</v>
      </c>
      <c r="G544" s="5">
        <v>64.63</v>
      </c>
      <c r="H544" s="5">
        <v>793</v>
      </c>
      <c r="I544" s="5" t="str">
        <f>HYPERLINK("https://www.ncbi.nlm.nih.gov/protein/WP_196510515.1?report=genbank&amp;log$=prottop&amp;blast_rank=38&amp;RID=7U875CNM013","WP_196510515.1")</f>
        <v>WP_196510515.1</v>
      </c>
      <c r="J544" s="5" t="s">
        <v>2</v>
      </c>
    </row>
    <row r="545" spans="1:10" s="7" customFormat="1" x14ac:dyDescent="0.2">
      <c r="A545" s="5" t="s">
        <v>939</v>
      </c>
      <c r="B545" s="5" t="s">
        <v>940</v>
      </c>
      <c r="C545" s="5">
        <v>1087</v>
      </c>
      <c r="D545" s="5">
        <v>1087</v>
      </c>
      <c r="E545" s="6">
        <v>0.98</v>
      </c>
      <c r="F545" s="5">
        <v>0</v>
      </c>
      <c r="G545" s="5">
        <v>64.63</v>
      </c>
      <c r="H545" s="5">
        <v>793</v>
      </c>
      <c r="I545" s="5" t="str">
        <f>HYPERLINK("https://www.ncbi.nlm.nih.gov/protein/WP_194144115.1?report=genbank&amp;log$=prottop&amp;blast_rank=40&amp;RID=7U875CNM013","WP_194144115.1")</f>
        <v>WP_194144115.1</v>
      </c>
      <c r="J545" s="5" t="s">
        <v>2</v>
      </c>
    </row>
    <row r="546" spans="1:10" s="7" customFormat="1" x14ac:dyDescent="0.2">
      <c r="A546" s="5" t="s">
        <v>646</v>
      </c>
      <c r="B546" s="5" t="s">
        <v>647</v>
      </c>
      <c r="C546" s="5">
        <v>1087</v>
      </c>
      <c r="D546" s="5">
        <v>1087</v>
      </c>
      <c r="E546" s="6">
        <v>0.98</v>
      </c>
      <c r="F546" s="5">
        <v>0</v>
      </c>
      <c r="G546" s="5">
        <v>64.63</v>
      </c>
      <c r="H546" s="5">
        <v>793</v>
      </c>
      <c r="I546" s="5" t="str">
        <f>HYPERLINK("https://www.ncbi.nlm.nih.gov/protein/WP_190892287.1?report=genbank&amp;log$=prottop&amp;blast_rank=41&amp;RID=7U875CNM013","WP_190892287.1")</f>
        <v>WP_190892287.1</v>
      </c>
      <c r="J546" s="5" t="s">
        <v>2</v>
      </c>
    </row>
    <row r="547" spans="1:10" s="7" customFormat="1" x14ac:dyDescent="0.2">
      <c r="A547" s="5" t="s">
        <v>941</v>
      </c>
      <c r="B547" s="5" t="s">
        <v>942</v>
      </c>
      <c r="C547" s="5">
        <v>1084</v>
      </c>
      <c r="D547" s="5">
        <v>1084</v>
      </c>
      <c r="E547" s="6">
        <v>0.98</v>
      </c>
      <c r="F547" s="5">
        <v>0</v>
      </c>
      <c r="G547" s="5">
        <v>64.63</v>
      </c>
      <c r="H547" s="5">
        <v>793</v>
      </c>
      <c r="I547" s="5" t="str">
        <f>HYPERLINK("https://www.ncbi.nlm.nih.gov/protein/MBN3905854.1?report=genbank&amp;log$=prottop&amp;blast_rank=43&amp;RID=7U875CNM013","MBN3905854.1")</f>
        <v>MBN3905854.1</v>
      </c>
      <c r="J547" s="5" t="s">
        <v>2</v>
      </c>
    </row>
    <row r="548" spans="1:10" s="7" customFormat="1" x14ac:dyDescent="0.2">
      <c r="A548" s="5" t="s">
        <v>943</v>
      </c>
      <c r="B548" s="5" t="s">
        <v>944</v>
      </c>
      <c r="C548" s="5">
        <v>1065</v>
      </c>
      <c r="D548" s="5">
        <v>1065</v>
      </c>
      <c r="E548" s="6">
        <v>0.98</v>
      </c>
      <c r="F548" s="5">
        <v>0</v>
      </c>
      <c r="G548" s="5">
        <v>64.63</v>
      </c>
      <c r="H548" s="5">
        <v>826</v>
      </c>
      <c r="I548" s="5" t="str">
        <f>HYPERLINK("https://www.ncbi.nlm.nih.gov/protein/WP_009633636.1?report=genbank&amp;log$=prottop&amp;blast_rank=46&amp;RID=7U875CNM013","WP_009633636.1")</f>
        <v>WP_009633636.1</v>
      </c>
      <c r="J548" s="5" t="s">
        <v>2</v>
      </c>
    </row>
    <row r="549" spans="1:10" s="7" customFormat="1" x14ac:dyDescent="0.2">
      <c r="A549" s="5" t="s">
        <v>945</v>
      </c>
      <c r="B549" s="5" t="s">
        <v>946</v>
      </c>
      <c r="C549" s="5">
        <v>1100</v>
      </c>
      <c r="D549" s="5">
        <v>1100</v>
      </c>
      <c r="E549" s="6">
        <v>0.99</v>
      </c>
      <c r="F549" s="5">
        <v>0</v>
      </c>
      <c r="G549" s="5">
        <v>64.62</v>
      </c>
      <c r="H549" s="5">
        <v>825</v>
      </c>
      <c r="I549" s="5" t="str">
        <f>HYPERLINK("https://www.ncbi.nlm.nih.gov/protein/TAG88995.1?report=genbank&amp;log$=prottop&amp;blast_rank=54&amp;RID=7U875CNM013","TAG88995.1")</f>
        <v>TAG88995.1</v>
      </c>
      <c r="J549" s="5" t="s">
        <v>2</v>
      </c>
    </row>
    <row r="550" spans="1:10" s="7" customFormat="1" x14ac:dyDescent="0.2">
      <c r="A550" s="5" t="s">
        <v>947</v>
      </c>
      <c r="B550" s="5" t="s">
        <v>948</v>
      </c>
      <c r="C550" s="5">
        <v>1100</v>
      </c>
      <c r="D550" s="5">
        <v>1100</v>
      </c>
      <c r="E550" s="6">
        <v>0.99</v>
      </c>
      <c r="F550" s="5">
        <v>0</v>
      </c>
      <c r="G550" s="5">
        <v>64.62</v>
      </c>
      <c r="H550" s="5">
        <v>799</v>
      </c>
      <c r="I550" s="5" t="str">
        <f>HYPERLINK("https://www.ncbi.nlm.nih.gov/protein/HBK96517.1?report=genbank&amp;log$=prottop&amp;blast_rank=55&amp;RID=7U875CNM013","HBK96517.1")</f>
        <v>HBK96517.1</v>
      </c>
      <c r="J550" s="5" t="s">
        <v>2</v>
      </c>
    </row>
    <row r="551" spans="1:10" s="7" customFormat="1" x14ac:dyDescent="0.2">
      <c r="A551" s="5" t="s">
        <v>949</v>
      </c>
      <c r="B551" s="5" t="s">
        <v>950</v>
      </c>
      <c r="C551" s="5">
        <v>1097</v>
      </c>
      <c r="D551" s="5">
        <v>1097</v>
      </c>
      <c r="E551" s="6">
        <v>0.99</v>
      </c>
      <c r="F551" s="5">
        <v>0</v>
      </c>
      <c r="G551" s="5">
        <v>64.599999999999994</v>
      </c>
      <c r="H551" s="5">
        <v>793</v>
      </c>
      <c r="I551" s="5" t="str">
        <f>HYPERLINK("https://www.ncbi.nlm.nih.gov/protein/WP_096587686.1?report=genbank&amp;log$=prottop&amp;blast_rank=59&amp;RID=7U875CNM013","WP_096587686.1")</f>
        <v>WP_096587686.1</v>
      </c>
      <c r="J551" s="5" t="s">
        <v>2</v>
      </c>
    </row>
    <row r="552" spans="1:10" s="7" customFormat="1" x14ac:dyDescent="0.2">
      <c r="A552" s="5" t="s">
        <v>951</v>
      </c>
      <c r="B552" s="5" t="s">
        <v>952</v>
      </c>
      <c r="C552" s="5">
        <v>1070</v>
      </c>
      <c r="D552" s="5">
        <v>1070</v>
      </c>
      <c r="E552" s="6">
        <v>0.96</v>
      </c>
      <c r="F552" s="5">
        <v>0</v>
      </c>
      <c r="G552" s="5">
        <v>64.599999999999994</v>
      </c>
      <c r="H552" s="5">
        <v>772</v>
      </c>
      <c r="I552" s="5" t="str">
        <f>HYPERLINK("https://www.ncbi.nlm.nih.gov/protein/HAT14871.1?report=genbank&amp;log$=prottop&amp;blast_rank=60&amp;RID=7U875CNM013","HAT14871.1")</f>
        <v>HAT14871.1</v>
      </c>
      <c r="J552" s="5" t="s">
        <v>2</v>
      </c>
    </row>
    <row r="553" spans="1:10" s="7" customFormat="1" x14ac:dyDescent="0.2">
      <c r="A553" s="5" t="s">
        <v>953</v>
      </c>
      <c r="B553" s="5" t="s">
        <v>954</v>
      </c>
      <c r="C553" s="5">
        <v>1104</v>
      </c>
      <c r="D553" s="5">
        <v>1104</v>
      </c>
      <c r="E553" s="6">
        <v>0.98</v>
      </c>
      <c r="F553" s="5">
        <v>0</v>
      </c>
      <c r="G553" s="5">
        <v>64.59</v>
      </c>
      <c r="H553" s="5">
        <v>828</v>
      </c>
      <c r="I553" s="5" t="str">
        <f>HYPERLINK("https://www.ncbi.nlm.nih.gov/protein/OWY68613.1?report=genbank&amp;log$=prottop&amp;blast_rank=62&amp;RID=7U875CNM013","OWY68613.1")</f>
        <v>OWY68613.1</v>
      </c>
      <c r="J553" s="5" t="s">
        <v>2</v>
      </c>
    </row>
    <row r="554" spans="1:10" s="7" customFormat="1" x14ac:dyDescent="0.2">
      <c r="A554" s="5" t="s">
        <v>955</v>
      </c>
      <c r="B554" s="5" t="s">
        <v>956</v>
      </c>
      <c r="C554" s="5">
        <v>1095</v>
      </c>
      <c r="D554" s="5">
        <v>1095</v>
      </c>
      <c r="E554" s="6">
        <v>0.99</v>
      </c>
      <c r="F554" s="5">
        <v>0</v>
      </c>
      <c r="G554" s="5">
        <v>64.569999999999993</v>
      </c>
      <c r="H554" s="5">
        <v>794</v>
      </c>
      <c r="I554" s="5" t="str">
        <f>HYPERLINK("https://www.ncbi.nlm.nih.gov/protein/AFY99159.1?report=genbank&amp;log$=prottop&amp;blast_rank=78&amp;RID=7U875CNM013","AFY99159.1")</f>
        <v>AFY99159.1</v>
      </c>
      <c r="J554" s="5" t="s">
        <v>2</v>
      </c>
    </row>
    <row r="555" spans="1:10" s="7" customFormat="1" x14ac:dyDescent="0.2">
      <c r="A555" s="5" t="s">
        <v>957</v>
      </c>
      <c r="B555" s="5" t="s">
        <v>958</v>
      </c>
      <c r="C555" s="5">
        <v>1097</v>
      </c>
      <c r="D555" s="5">
        <v>1097</v>
      </c>
      <c r="E555" s="6">
        <v>0.98</v>
      </c>
      <c r="F555" s="5">
        <v>0</v>
      </c>
      <c r="G555" s="5">
        <v>64.56</v>
      </c>
      <c r="H555" s="5">
        <v>805</v>
      </c>
      <c r="I555" s="5" t="str">
        <f>HYPERLINK("https://www.ncbi.nlm.nih.gov/protein/WP_019490951.1?report=genbank&amp;log$=prottop&amp;blast_rank=91&amp;RID=7U875CNM013","WP_019490951.1")</f>
        <v>WP_019490951.1</v>
      </c>
      <c r="J555" s="5" t="s">
        <v>2</v>
      </c>
    </row>
    <row r="556" spans="1:10" s="7" customFormat="1" x14ac:dyDescent="0.2">
      <c r="A556" s="5" t="s">
        <v>959</v>
      </c>
      <c r="B556" s="5" t="s">
        <v>960</v>
      </c>
      <c r="C556" s="5">
        <v>1093</v>
      </c>
      <c r="D556" s="5">
        <v>1093</v>
      </c>
      <c r="E556" s="6">
        <v>0.98</v>
      </c>
      <c r="F556" s="5">
        <v>0</v>
      </c>
      <c r="G556" s="5">
        <v>64.510000000000005</v>
      </c>
      <c r="H556" s="5">
        <v>793</v>
      </c>
      <c r="I556" s="5" t="str">
        <f>HYPERLINK("https://www.ncbi.nlm.nih.gov/protein/WP_190384096.1?report=genbank&amp;log$=prottop&amp;blast_rank=115&amp;RID=7U875CNM013","WP_190384096.1")</f>
        <v>WP_190384096.1</v>
      </c>
      <c r="J556" s="5" t="s">
        <v>2</v>
      </c>
    </row>
    <row r="557" spans="1:10" s="7" customFormat="1" x14ac:dyDescent="0.2">
      <c r="A557" s="5" t="s">
        <v>961</v>
      </c>
      <c r="B557" s="5" t="s">
        <v>962</v>
      </c>
      <c r="C557" s="5">
        <v>1091</v>
      </c>
      <c r="D557" s="5">
        <v>1091</v>
      </c>
      <c r="E557" s="6">
        <v>0.98</v>
      </c>
      <c r="F557" s="5">
        <v>0</v>
      </c>
      <c r="G557" s="5">
        <v>64.510000000000005</v>
      </c>
      <c r="H557" s="5">
        <v>793</v>
      </c>
      <c r="I557" s="5" t="str">
        <f>HYPERLINK("https://www.ncbi.nlm.nih.gov/protein/WP_168637272.1?report=genbank&amp;log$=prottop&amp;blast_rank=116&amp;RID=7U875CNM013","WP_168637272.1")</f>
        <v>WP_168637272.1</v>
      </c>
      <c r="J557" s="5" t="s">
        <v>2</v>
      </c>
    </row>
    <row r="558" spans="1:10" s="7" customFormat="1" x14ac:dyDescent="0.2">
      <c r="A558" s="5" t="s">
        <v>963</v>
      </c>
      <c r="B558" s="5" t="s">
        <v>964</v>
      </c>
      <c r="C558" s="5">
        <v>1092</v>
      </c>
      <c r="D558" s="5">
        <v>1092</v>
      </c>
      <c r="E558" s="6">
        <v>0.98</v>
      </c>
      <c r="F558" s="5">
        <v>0</v>
      </c>
      <c r="G558" s="5">
        <v>64.5</v>
      </c>
      <c r="H558" s="5">
        <v>793</v>
      </c>
      <c r="I558" s="5" t="str">
        <f>HYPERLINK("https://www.ncbi.nlm.nih.gov/protein/WP_181929848.1?report=genbank&amp;log$=prottop&amp;blast_rank=121&amp;RID=7U875CNM013","WP_181929848.1")</f>
        <v>WP_181929848.1</v>
      </c>
      <c r="J558" s="5" t="s">
        <v>2</v>
      </c>
    </row>
    <row r="559" spans="1:10" s="7" customFormat="1" x14ac:dyDescent="0.2">
      <c r="A559" s="5" t="s">
        <v>965</v>
      </c>
      <c r="B559" s="5" t="s">
        <v>966</v>
      </c>
      <c r="C559" s="5">
        <v>1090</v>
      </c>
      <c r="D559" s="5">
        <v>1090</v>
      </c>
      <c r="E559" s="6">
        <v>0.98</v>
      </c>
      <c r="F559" s="5">
        <v>0</v>
      </c>
      <c r="G559" s="5">
        <v>64.5</v>
      </c>
      <c r="H559" s="5">
        <v>793</v>
      </c>
      <c r="I559" s="5" t="str">
        <f>HYPERLINK("https://www.ncbi.nlm.nih.gov/protein/WP_096580681.1?report=genbank&amp;log$=prottop&amp;blast_rank=122&amp;RID=7U875CNM013","WP_096580681.1")</f>
        <v>WP_096580681.1</v>
      </c>
      <c r="J559" s="5" t="s">
        <v>2</v>
      </c>
    </row>
    <row r="560" spans="1:10" s="7" customFormat="1" x14ac:dyDescent="0.2">
      <c r="A560" s="5" t="s">
        <v>967</v>
      </c>
      <c r="B560" s="5" t="s">
        <v>968</v>
      </c>
      <c r="C560" s="5">
        <v>1088</v>
      </c>
      <c r="D560" s="5">
        <v>1088</v>
      </c>
      <c r="E560" s="6">
        <v>0.98</v>
      </c>
      <c r="F560" s="5">
        <v>0</v>
      </c>
      <c r="G560" s="5">
        <v>64.5</v>
      </c>
      <c r="H560" s="5">
        <v>793</v>
      </c>
      <c r="I560" s="5" t="str">
        <f>HYPERLINK("https://www.ncbi.nlm.nih.gov/protein/MBJ7298078.1?report=genbank&amp;log$=prottop&amp;blast_rank=123&amp;RID=7U875CNM013","MBJ7298078.1")</f>
        <v>MBJ7298078.1</v>
      </c>
      <c r="J560" s="5" t="s">
        <v>2</v>
      </c>
    </row>
    <row r="561" spans="1:10" s="7" customFormat="1" x14ac:dyDescent="0.2">
      <c r="A561" s="5" t="s">
        <v>969</v>
      </c>
      <c r="B561" s="5" t="s">
        <v>970</v>
      </c>
      <c r="C561" s="5">
        <v>1087</v>
      </c>
      <c r="D561" s="5">
        <v>1087</v>
      </c>
      <c r="E561" s="6">
        <v>0.98</v>
      </c>
      <c r="F561" s="5">
        <v>0</v>
      </c>
      <c r="G561" s="5">
        <v>64.5</v>
      </c>
      <c r="H561" s="5">
        <v>793</v>
      </c>
      <c r="I561" s="5" t="str">
        <f>HYPERLINK("https://www.ncbi.nlm.nih.gov/protein/WP_152590474.1?report=genbank&amp;log$=prottop&amp;blast_rank=124&amp;RID=7U875CNM013","WP_152590474.1")</f>
        <v>WP_152590474.1</v>
      </c>
      <c r="J561" s="5" t="s">
        <v>2</v>
      </c>
    </row>
    <row r="562" spans="1:10" s="7" customFormat="1" x14ac:dyDescent="0.2">
      <c r="A562" s="5" t="s">
        <v>969</v>
      </c>
      <c r="B562" s="5" t="s">
        <v>970</v>
      </c>
      <c r="C562" s="5">
        <v>1086</v>
      </c>
      <c r="D562" s="5">
        <v>1086</v>
      </c>
      <c r="E562" s="6">
        <v>0.98</v>
      </c>
      <c r="F562" s="5">
        <v>0</v>
      </c>
      <c r="G562" s="5">
        <v>64.5</v>
      </c>
      <c r="H562" s="5">
        <v>793</v>
      </c>
      <c r="I562" s="5" t="str">
        <f>HYPERLINK("https://www.ncbi.nlm.nih.gov/protein/WP_118166335.1?report=genbank&amp;log$=prottop&amp;blast_rank=125&amp;RID=7U875CNM013","WP_118166335.1")</f>
        <v>WP_118166335.1</v>
      </c>
      <c r="J562" s="5" t="s">
        <v>2</v>
      </c>
    </row>
    <row r="563" spans="1:10" s="7" customFormat="1" x14ac:dyDescent="0.2">
      <c r="A563" s="5" t="s">
        <v>971</v>
      </c>
      <c r="B563" s="5" t="s">
        <v>972</v>
      </c>
      <c r="C563" s="5">
        <v>1084</v>
      </c>
      <c r="D563" s="5">
        <v>1084</v>
      </c>
      <c r="E563" s="6">
        <v>0.98</v>
      </c>
      <c r="F563" s="5">
        <v>0</v>
      </c>
      <c r="G563" s="5">
        <v>64.5</v>
      </c>
      <c r="H563" s="5">
        <v>793</v>
      </c>
      <c r="I563" s="5" t="str">
        <f>HYPERLINK("https://www.ncbi.nlm.nih.gov/protein/WP_163928673.1?report=genbank&amp;log$=prottop&amp;blast_rank=126&amp;RID=7U875CNM013","WP_163928673.1")</f>
        <v>WP_163928673.1</v>
      </c>
      <c r="J563" s="5" t="s">
        <v>2</v>
      </c>
    </row>
    <row r="564" spans="1:10" s="7" customFormat="1" x14ac:dyDescent="0.2">
      <c r="A564" s="5" t="s">
        <v>973</v>
      </c>
      <c r="B564" s="5" t="s">
        <v>974</v>
      </c>
      <c r="C564" s="5">
        <v>1083</v>
      </c>
      <c r="D564" s="5">
        <v>1083</v>
      </c>
      <c r="E564" s="6">
        <v>0.98</v>
      </c>
      <c r="F564" s="5">
        <v>0</v>
      </c>
      <c r="G564" s="5">
        <v>64.5</v>
      </c>
      <c r="H564" s="5">
        <v>793</v>
      </c>
      <c r="I564" s="5" t="str">
        <f>HYPERLINK("https://www.ncbi.nlm.nih.gov/protein/WP_190735375.1?report=genbank&amp;log$=prottop&amp;blast_rank=127&amp;RID=7U875CNM013","WP_190735375.1")</f>
        <v>WP_190735375.1</v>
      </c>
      <c r="J564" s="5" t="s">
        <v>2</v>
      </c>
    </row>
    <row r="565" spans="1:10" s="7" customFormat="1" x14ac:dyDescent="0.2">
      <c r="A565" s="5" t="s">
        <v>975</v>
      </c>
      <c r="B565" s="5" t="s">
        <v>976</v>
      </c>
      <c r="C565" s="5">
        <v>1083</v>
      </c>
      <c r="D565" s="5">
        <v>1083</v>
      </c>
      <c r="E565" s="6">
        <v>0.98</v>
      </c>
      <c r="F565" s="5">
        <v>0</v>
      </c>
      <c r="G565" s="5">
        <v>64.5</v>
      </c>
      <c r="H565" s="5">
        <v>799</v>
      </c>
      <c r="I565" s="5" t="str">
        <f>HYPERLINK("https://www.ncbi.nlm.nih.gov/protein/OLE97431.1?report=genbank&amp;log$=prottop&amp;blast_rank=128&amp;RID=7U875CNM013","OLE97431.1")</f>
        <v>OLE97431.1</v>
      </c>
      <c r="J565" s="5" t="s">
        <v>2</v>
      </c>
    </row>
    <row r="566" spans="1:10" s="7" customFormat="1" x14ac:dyDescent="0.2">
      <c r="A566" s="5" t="s">
        <v>963</v>
      </c>
      <c r="B566" s="5" t="s">
        <v>964</v>
      </c>
      <c r="C566" s="5">
        <v>1080</v>
      </c>
      <c r="D566" s="5">
        <v>1080</v>
      </c>
      <c r="E566" s="6">
        <v>0.98</v>
      </c>
      <c r="F566" s="5">
        <v>0</v>
      </c>
      <c r="G566" s="5">
        <v>64.5</v>
      </c>
      <c r="H566" s="5">
        <v>793</v>
      </c>
      <c r="I566" s="5" t="str">
        <f>HYPERLINK("https://www.ncbi.nlm.nih.gov/protein/WP_194045068.1?report=genbank&amp;log$=prottop&amp;blast_rank=129&amp;RID=7U875CNM013","WP_194045068.1")</f>
        <v>WP_194045068.1</v>
      </c>
      <c r="J566" s="5" t="s">
        <v>2</v>
      </c>
    </row>
    <row r="567" spans="1:10" s="7" customFormat="1" x14ac:dyDescent="0.2">
      <c r="A567" s="5" t="s">
        <v>977</v>
      </c>
      <c r="B567" s="5" t="s">
        <v>978</v>
      </c>
      <c r="C567" s="5">
        <v>1098</v>
      </c>
      <c r="D567" s="5">
        <v>1098</v>
      </c>
      <c r="E567" s="6">
        <v>0.98</v>
      </c>
      <c r="F567" s="5">
        <v>0</v>
      </c>
      <c r="G567" s="5">
        <v>64.47</v>
      </c>
      <c r="H567" s="5">
        <v>828</v>
      </c>
      <c r="I567" s="5" t="str">
        <f>HYPERLINK("https://www.ncbi.nlm.nih.gov/protein/WP_192153552.1?report=genbank&amp;log$=prottop&amp;blast_rank=146&amp;RID=7U875CNM013","WP_192153552.1")</f>
        <v>WP_192153552.1</v>
      </c>
      <c r="J567" s="5" t="s">
        <v>2</v>
      </c>
    </row>
    <row r="568" spans="1:10" s="7" customFormat="1" x14ac:dyDescent="0.2">
      <c r="A568" s="5" t="s">
        <v>979</v>
      </c>
      <c r="B568" s="5" t="s">
        <v>980</v>
      </c>
      <c r="C568" s="5">
        <v>1095</v>
      </c>
      <c r="D568" s="5">
        <v>1095</v>
      </c>
      <c r="E568" s="6">
        <v>1</v>
      </c>
      <c r="F568" s="5">
        <v>0</v>
      </c>
      <c r="G568" s="5">
        <v>64.459999999999994</v>
      </c>
      <c r="H568" s="5">
        <v>795</v>
      </c>
      <c r="I568" s="5" t="str">
        <f>HYPERLINK("https://www.ncbi.nlm.nih.gov/protein/AGY58622.1?report=genbank&amp;log$=prottop&amp;blast_rank=164&amp;RID=7U875CNM013","AGY58622.1")</f>
        <v>AGY58622.1</v>
      </c>
      <c r="J568" s="5" t="s">
        <v>2</v>
      </c>
    </row>
    <row r="569" spans="1:10" s="7" customFormat="1" x14ac:dyDescent="0.2">
      <c r="A569" s="5" t="s">
        <v>981</v>
      </c>
      <c r="B569" s="5" t="s">
        <v>982</v>
      </c>
      <c r="C569" s="5">
        <v>1093</v>
      </c>
      <c r="D569" s="5">
        <v>1093</v>
      </c>
      <c r="E569" s="6">
        <v>0.99</v>
      </c>
      <c r="F569" s="5">
        <v>0</v>
      </c>
      <c r="G569" s="5">
        <v>64.45</v>
      </c>
      <c r="H569" s="5">
        <v>793</v>
      </c>
      <c r="I569" s="5" t="str">
        <f>HYPERLINK("https://www.ncbi.nlm.nih.gov/protein/WP_071188416.1?report=genbank&amp;log$=prottop&amp;blast_rank=172&amp;RID=7U875CNM013","WP_071188416.1")</f>
        <v>WP_071188416.1</v>
      </c>
      <c r="J569" s="5" t="s">
        <v>2</v>
      </c>
    </row>
    <row r="570" spans="1:10" s="4" customFormat="1" ht="14" customHeight="1" x14ac:dyDescent="0.2">
      <c r="A570" s="1" t="s">
        <v>983</v>
      </c>
      <c r="B570" s="1" t="s">
        <v>984</v>
      </c>
      <c r="C570" s="1">
        <v>1085</v>
      </c>
      <c r="D570" s="1">
        <v>1085</v>
      </c>
      <c r="E570" s="2">
        <v>0.98</v>
      </c>
      <c r="F570" s="1">
        <v>0</v>
      </c>
      <c r="G570" s="1">
        <v>64.430000000000007</v>
      </c>
      <c r="H570" s="1">
        <v>805</v>
      </c>
      <c r="I570" s="1" t="str">
        <f>HYPERLINK("https://www.ncbi.nlm.nih.gov/protein/NJR17660.1?report=genbank&amp;log$=prottop&amp;blast_rank=7&amp;RID=7U875CNM013","NJR17660.1")</f>
        <v>NJR17660.1</v>
      </c>
      <c r="J570" s="1" t="s">
        <v>2</v>
      </c>
    </row>
    <row r="571" spans="1:10" s="4" customFormat="1" x14ac:dyDescent="0.2">
      <c r="A571" s="1" t="s">
        <v>985</v>
      </c>
      <c r="B571" s="1" t="s">
        <v>986</v>
      </c>
      <c r="C571" s="1">
        <v>1082</v>
      </c>
      <c r="D571" s="1">
        <v>1082</v>
      </c>
      <c r="E571" s="2">
        <v>0.98</v>
      </c>
      <c r="F571" s="1">
        <v>0</v>
      </c>
      <c r="G571" s="1">
        <v>64.430000000000007</v>
      </c>
      <c r="H571" s="1">
        <v>805</v>
      </c>
      <c r="I571" s="1" t="str">
        <f>HYPERLINK("https://www.ncbi.nlm.nih.gov/protein/WP_095721498.1?report=genbank&amp;log$=prottop&amp;blast_rank=8&amp;RID=7U875CNM013","WP_095721498.1")</f>
        <v>WP_095721498.1</v>
      </c>
      <c r="J571" s="1" t="s">
        <v>2</v>
      </c>
    </row>
    <row r="572" spans="1:10" s="4" customFormat="1" x14ac:dyDescent="0.2">
      <c r="A572" s="1" t="s">
        <v>987</v>
      </c>
      <c r="B572" s="1" t="s">
        <v>988</v>
      </c>
      <c r="C572" s="1">
        <v>1058</v>
      </c>
      <c r="D572" s="1">
        <v>1058</v>
      </c>
      <c r="E572" s="2">
        <v>0.98</v>
      </c>
      <c r="F572" s="1">
        <v>0</v>
      </c>
      <c r="G572" s="1">
        <v>64.42</v>
      </c>
      <c r="H572" s="1">
        <v>803</v>
      </c>
      <c r="I572" s="1" t="str">
        <f>HYPERLINK("https://www.ncbi.nlm.nih.gov/protein/MXW12577.1?report=genbank&amp;log$=prottop&amp;blast_rank=12&amp;RID=7U875CNM013","MXW12577.1")</f>
        <v>MXW12577.1</v>
      </c>
      <c r="J572" s="1" t="s">
        <v>2</v>
      </c>
    </row>
    <row r="573" spans="1:10" s="4" customFormat="1" x14ac:dyDescent="0.2">
      <c r="A573" s="1" t="s">
        <v>989</v>
      </c>
      <c r="B573" s="1" t="s">
        <v>990</v>
      </c>
      <c r="C573" s="1">
        <v>1057</v>
      </c>
      <c r="D573" s="1">
        <v>1057</v>
      </c>
      <c r="E573" s="2">
        <v>0.98</v>
      </c>
      <c r="F573" s="1">
        <v>0</v>
      </c>
      <c r="G573" s="1">
        <v>64.42</v>
      </c>
      <c r="H573" s="1">
        <v>803</v>
      </c>
      <c r="I573" s="1" t="str">
        <f>HYPERLINK("https://www.ncbi.nlm.nih.gov/protein/MYG38151.1?report=genbank&amp;log$=prottop&amp;blast_rank=13&amp;RID=7U875CNM013","MYG38151.1")</f>
        <v>MYG38151.1</v>
      </c>
      <c r="J573" s="1" t="s">
        <v>2</v>
      </c>
    </row>
    <row r="574" spans="1:10" s="4" customFormat="1" x14ac:dyDescent="0.2">
      <c r="A574" s="1" t="s">
        <v>991</v>
      </c>
      <c r="B574" s="1" t="s">
        <v>992</v>
      </c>
      <c r="C574" s="1">
        <v>1106</v>
      </c>
      <c r="D574" s="1">
        <v>1106</v>
      </c>
      <c r="E574" s="2">
        <v>0.98</v>
      </c>
      <c r="F574" s="1">
        <v>0</v>
      </c>
      <c r="G574" s="1">
        <v>64.41</v>
      </c>
      <c r="H574" s="1">
        <v>808</v>
      </c>
      <c r="I574" s="1" t="str">
        <f>HYPERLINK("https://www.ncbi.nlm.nih.gov/protein/NET91351.1?report=genbank&amp;log$=prottop&amp;blast_rank=17&amp;RID=7U875CNM013","NET91351.1")</f>
        <v>NET91351.1</v>
      </c>
      <c r="J574" s="1" t="s">
        <v>2</v>
      </c>
    </row>
    <row r="575" spans="1:10" s="4" customFormat="1" x14ac:dyDescent="0.2">
      <c r="A575" s="1" t="s">
        <v>993</v>
      </c>
      <c r="B575" s="1" t="s">
        <v>994</v>
      </c>
      <c r="C575" s="1">
        <v>1098</v>
      </c>
      <c r="D575" s="1">
        <v>1098</v>
      </c>
      <c r="E575" s="2">
        <v>1</v>
      </c>
      <c r="F575" s="1">
        <v>0</v>
      </c>
      <c r="G575" s="1">
        <v>64.41</v>
      </c>
      <c r="H575" s="1">
        <v>793</v>
      </c>
      <c r="I575" s="1" t="str">
        <f>HYPERLINK("https://www.ncbi.nlm.nih.gov/protein/WP_194002039.1?report=genbank&amp;log$=prottop&amp;blast_rank=42&amp;RID=7U875CNM013","WP_194002039.1")</f>
        <v>WP_194002039.1</v>
      </c>
      <c r="J575" s="1" t="s">
        <v>2</v>
      </c>
    </row>
    <row r="576" spans="1:10" s="4" customFormat="1" x14ac:dyDescent="0.2">
      <c r="A576" s="1" t="s">
        <v>995</v>
      </c>
      <c r="B576" s="1" t="s">
        <v>996</v>
      </c>
      <c r="C576" s="1">
        <v>1095</v>
      </c>
      <c r="D576" s="1">
        <v>1095</v>
      </c>
      <c r="E576" s="2">
        <v>1</v>
      </c>
      <c r="F576" s="1">
        <v>0</v>
      </c>
      <c r="G576" s="1">
        <v>64.41</v>
      </c>
      <c r="H576" s="1">
        <v>793</v>
      </c>
      <c r="I576" s="1" t="str">
        <f>HYPERLINK("https://www.ncbi.nlm.nih.gov/protein/WP_190456036.1?report=genbank&amp;log$=prottop&amp;blast_rank=43&amp;RID=7U875CNM013","WP_190456036.1")</f>
        <v>WP_190456036.1</v>
      </c>
      <c r="J576" s="1" t="s">
        <v>2</v>
      </c>
    </row>
    <row r="577" spans="1:10" s="4" customFormat="1" x14ac:dyDescent="0.2">
      <c r="A577" s="1" t="s">
        <v>997</v>
      </c>
      <c r="B577" s="1" t="s">
        <v>998</v>
      </c>
      <c r="C577" s="1">
        <v>1091</v>
      </c>
      <c r="D577" s="1">
        <v>1091</v>
      </c>
      <c r="E577" s="2">
        <v>0.98</v>
      </c>
      <c r="F577" s="1">
        <v>0</v>
      </c>
      <c r="G577" s="1">
        <v>64.39</v>
      </c>
      <c r="H577" s="1">
        <v>793</v>
      </c>
      <c r="I577" s="1" t="str">
        <f>HYPERLINK("https://www.ncbi.nlm.nih.gov/protein/WP_193964180.1?report=genbank&amp;log$=prottop&amp;blast_rank=60&amp;RID=7U875CNM013","WP_193964180.1")</f>
        <v>WP_193964180.1</v>
      </c>
      <c r="J577" s="1" t="s">
        <v>2</v>
      </c>
    </row>
    <row r="578" spans="1:10" s="4" customFormat="1" x14ac:dyDescent="0.2">
      <c r="A578" s="1" t="s">
        <v>999</v>
      </c>
      <c r="B578" s="1" t="s">
        <v>960</v>
      </c>
      <c r="C578" s="1">
        <v>1091</v>
      </c>
      <c r="D578" s="1">
        <v>1091</v>
      </c>
      <c r="E578" s="2">
        <v>0.98</v>
      </c>
      <c r="F578" s="1">
        <v>0</v>
      </c>
      <c r="G578" s="1">
        <v>64.39</v>
      </c>
      <c r="H578" s="1">
        <v>793</v>
      </c>
      <c r="I578" s="1" t="str">
        <f>HYPERLINK("https://www.ncbi.nlm.nih.gov/protein/WP_027403972.1?report=genbank&amp;log$=prottop&amp;blast_rank=61&amp;RID=7U875CNM013","WP_027403972.1")</f>
        <v>WP_027403972.1</v>
      </c>
      <c r="J578" s="1" t="s">
        <v>2</v>
      </c>
    </row>
    <row r="579" spans="1:10" s="4" customFormat="1" x14ac:dyDescent="0.2">
      <c r="A579" s="1" t="s">
        <v>1000</v>
      </c>
      <c r="B579" s="1" t="s">
        <v>1001</v>
      </c>
      <c r="C579" s="1">
        <v>1097</v>
      </c>
      <c r="D579" s="1">
        <v>1097</v>
      </c>
      <c r="E579" s="2">
        <v>0.98</v>
      </c>
      <c r="F579" s="1">
        <v>0</v>
      </c>
      <c r="G579" s="1">
        <v>64.38</v>
      </c>
      <c r="H579" s="1">
        <v>825</v>
      </c>
      <c r="I579" s="1" t="str">
        <f>HYPERLINK("https://www.ncbi.nlm.nih.gov/protein/HAJ59569.1?report=genbank&amp;log$=prottop&amp;blast_rank=62&amp;RID=7U875CNM013","HAJ59569.1")</f>
        <v>HAJ59569.1</v>
      </c>
      <c r="J579" s="1" t="s">
        <v>2</v>
      </c>
    </row>
    <row r="580" spans="1:10" s="4" customFormat="1" x14ac:dyDescent="0.2">
      <c r="A580" s="1" t="s">
        <v>127</v>
      </c>
      <c r="B580" s="1" t="s">
        <v>128</v>
      </c>
      <c r="C580" s="1">
        <v>1087</v>
      </c>
      <c r="D580" s="1">
        <v>1087</v>
      </c>
      <c r="E580" s="2">
        <v>0.98</v>
      </c>
      <c r="F580" s="1">
        <v>0</v>
      </c>
      <c r="G580" s="1">
        <v>64.38</v>
      </c>
      <c r="H580" s="1">
        <v>793</v>
      </c>
      <c r="I580" s="1" t="str">
        <f>HYPERLINK("https://www.ncbi.nlm.nih.gov/protein/WP_179064604.1?report=genbank&amp;log$=prottop&amp;blast_rank=63&amp;RID=7U875CNM013","WP_179064604.1")</f>
        <v>WP_179064604.1</v>
      </c>
      <c r="J580" s="1" t="s">
        <v>2</v>
      </c>
    </row>
    <row r="581" spans="1:10" s="4" customFormat="1" x14ac:dyDescent="0.2">
      <c r="A581" s="1" t="s">
        <v>1002</v>
      </c>
      <c r="B581" s="1" t="s">
        <v>1003</v>
      </c>
      <c r="C581" s="1">
        <v>1087</v>
      </c>
      <c r="D581" s="1">
        <v>1087</v>
      </c>
      <c r="E581" s="2">
        <v>0.98</v>
      </c>
      <c r="F581" s="1">
        <v>0</v>
      </c>
      <c r="G581" s="1">
        <v>64.38</v>
      </c>
      <c r="H581" s="1">
        <v>793</v>
      </c>
      <c r="I581" s="1" t="str">
        <f>HYPERLINK("https://www.ncbi.nlm.nih.gov/protein/OBQ13142.1?report=genbank&amp;log$=prottop&amp;blast_rank=64&amp;RID=7U875CNM013","OBQ13142.1")</f>
        <v>OBQ13142.1</v>
      </c>
      <c r="J581" s="1" t="s">
        <v>2</v>
      </c>
    </row>
    <row r="582" spans="1:10" s="4" customFormat="1" x14ac:dyDescent="0.2">
      <c r="A582" s="1" t="s">
        <v>1004</v>
      </c>
      <c r="B582" s="1" t="s">
        <v>1005</v>
      </c>
      <c r="C582" s="1">
        <v>1087</v>
      </c>
      <c r="D582" s="1">
        <v>1087</v>
      </c>
      <c r="E582" s="2">
        <v>0.98</v>
      </c>
      <c r="F582" s="1">
        <v>0</v>
      </c>
      <c r="G582" s="1">
        <v>64.38</v>
      </c>
      <c r="H582" s="1">
        <v>793</v>
      </c>
      <c r="I582" s="1" t="str">
        <f>HYPERLINK("https://www.ncbi.nlm.nih.gov/protein/PHM07295.1?report=genbank&amp;log$=prottop&amp;blast_rank=65&amp;RID=7U875CNM013","PHM07295.1")</f>
        <v>PHM07295.1</v>
      </c>
      <c r="J582" s="1" t="s">
        <v>2</v>
      </c>
    </row>
    <row r="583" spans="1:10" s="4" customFormat="1" x14ac:dyDescent="0.2">
      <c r="A583" s="1" t="s">
        <v>1006</v>
      </c>
      <c r="B583" s="1" t="s">
        <v>1007</v>
      </c>
      <c r="C583" s="1">
        <v>1086</v>
      </c>
      <c r="D583" s="1">
        <v>1086</v>
      </c>
      <c r="E583" s="2">
        <v>0.98</v>
      </c>
      <c r="F583" s="1">
        <v>0</v>
      </c>
      <c r="G583" s="1">
        <v>64.38</v>
      </c>
      <c r="H583" s="1">
        <v>793</v>
      </c>
      <c r="I583" s="1" t="str">
        <f>HYPERLINK("https://www.ncbi.nlm.nih.gov/protein/WP_114085182.1?report=genbank&amp;log$=prottop&amp;blast_rank=66&amp;RID=7U875CNM013","WP_114085182.1")</f>
        <v>WP_114085182.1</v>
      </c>
      <c r="J583" s="1" t="s">
        <v>2</v>
      </c>
    </row>
    <row r="584" spans="1:10" s="4" customFormat="1" x14ac:dyDescent="0.2">
      <c r="A584" s="1" t="s">
        <v>919</v>
      </c>
      <c r="B584" s="1" t="s">
        <v>920</v>
      </c>
      <c r="C584" s="1">
        <v>1085</v>
      </c>
      <c r="D584" s="1">
        <v>1085</v>
      </c>
      <c r="E584" s="2">
        <v>0.98</v>
      </c>
      <c r="F584" s="1">
        <v>0</v>
      </c>
      <c r="G584" s="1">
        <v>64.38</v>
      </c>
      <c r="H584" s="1">
        <v>793</v>
      </c>
      <c r="I584" s="1" t="str">
        <f>HYPERLINK("https://www.ncbi.nlm.nih.gov/protein/WP_069068315.1?report=genbank&amp;log$=prottop&amp;blast_rank=67&amp;RID=7U875CNM013","WP_069068315.1")</f>
        <v>WP_069068315.1</v>
      </c>
      <c r="J584" s="1" t="s">
        <v>2</v>
      </c>
    </row>
    <row r="585" spans="1:10" s="4" customFormat="1" x14ac:dyDescent="0.2">
      <c r="A585" s="1" t="s">
        <v>1008</v>
      </c>
      <c r="B585" s="1" t="s">
        <v>1009</v>
      </c>
      <c r="C585" s="1">
        <v>1034</v>
      </c>
      <c r="D585" s="1">
        <v>1034</v>
      </c>
      <c r="E585" s="2">
        <v>0.97</v>
      </c>
      <c r="F585" s="1">
        <v>0</v>
      </c>
      <c r="G585" s="1">
        <v>64.37</v>
      </c>
      <c r="H585" s="1">
        <v>806</v>
      </c>
      <c r="I585" s="1" t="str">
        <f>HYPERLINK("https://www.ncbi.nlm.nih.gov/protein/KEF41468.1?report=genbank&amp;log$=prottop&amp;blast_rank=76&amp;RID=7U875CNM013","KEF41468.1")</f>
        <v>KEF41468.1</v>
      </c>
      <c r="J585" s="1" t="s">
        <v>2</v>
      </c>
    </row>
    <row r="586" spans="1:10" s="4" customFormat="1" x14ac:dyDescent="0.2">
      <c r="A586" s="1" t="s">
        <v>1010</v>
      </c>
      <c r="B586" s="1" t="s">
        <v>1011</v>
      </c>
      <c r="C586" s="1">
        <v>1091</v>
      </c>
      <c r="D586" s="1">
        <v>1091</v>
      </c>
      <c r="E586" s="2">
        <v>0.99</v>
      </c>
      <c r="F586" s="1">
        <v>0</v>
      </c>
      <c r="G586" s="1">
        <v>64.37</v>
      </c>
      <c r="H586" s="1">
        <v>825</v>
      </c>
      <c r="I586" s="1" t="str">
        <f>HYPERLINK("https://www.ncbi.nlm.nih.gov/protein/WP_096831119.1?report=genbank&amp;log$=prottop&amp;blast_rank=80&amp;RID=7U875CNM013","WP_096831119.1")</f>
        <v>WP_096831119.1</v>
      </c>
      <c r="J586" s="1" t="s">
        <v>2</v>
      </c>
    </row>
    <row r="587" spans="1:10" s="4" customFormat="1" x14ac:dyDescent="0.2">
      <c r="A587" s="1" t="s">
        <v>1012</v>
      </c>
      <c r="B587" s="1" t="s">
        <v>1013</v>
      </c>
      <c r="C587" s="1">
        <v>1103</v>
      </c>
      <c r="D587" s="1">
        <v>1103</v>
      </c>
      <c r="E587" s="2">
        <v>0.98</v>
      </c>
      <c r="F587" s="1">
        <v>0</v>
      </c>
      <c r="G587" s="1">
        <v>64.34</v>
      </c>
      <c r="H587" s="1">
        <v>827</v>
      </c>
      <c r="I587" s="1" t="str">
        <f>HYPERLINK("https://www.ncbi.nlm.nih.gov/protein/WP_015180247.1?report=genbank&amp;log$=prottop&amp;blast_rank=85&amp;RID=7U875CNM013","WP_015180247.1")</f>
        <v>WP_015180247.1</v>
      </c>
      <c r="J587" s="1" t="s">
        <v>2</v>
      </c>
    </row>
    <row r="588" spans="1:10" s="4" customFormat="1" x14ac:dyDescent="0.2">
      <c r="A588" s="1" t="s">
        <v>1014</v>
      </c>
      <c r="B588" s="1" t="s">
        <v>1015</v>
      </c>
      <c r="C588" s="1">
        <v>1098</v>
      </c>
      <c r="D588" s="1">
        <v>1098</v>
      </c>
      <c r="E588" s="2">
        <v>0.98</v>
      </c>
      <c r="F588" s="1">
        <v>0</v>
      </c>
      <c r="G588" s="1">
        <v>64.319999999999993</v>
      </c>
      <c r="H588" s="1">
        <v>797</v>
      </c>
      <c r="I588" s="1" t="str">
        <f>HYPERLINK("https://www.ncbi.nlm.nih.gov/protein/WP_036483738.1?report=genbank&amp;log$=prottop&amp;blast_rank=105&amp;RID=7U875CNM013","WP_036483738.1")</f>
        <v>WP_036483738.1</v>
      </c>
      <c r="J588" s="1" t="s">
        <v>2</v>
      </c>
    </row>
    <row r="589" spans="1:10" s="4" customFormat="1" x14ac:dyDescent="0.2">
      <c r="A589" s="1" t="s">
        <v>1016</v>
      </c>
      <c r="B589" s="1" t="s">
        <v>1017</v>
      </c>
      <c r="C589" s="1">
        <v>1082</v>
      </c>
      <c r="D589" s="1">
        <v>1082</v>
      </c>
      <c r="E589" s="2">
        <v>0.99</v>
      </c>
      <c r="F589" s="1">
        <v>0</v>
      </c>
      <c r="G589" s="1">
        <v>64.319999999999993</v>
      </c>
      <c r="H589" s="1">
        <v>793</v>
      </c>
      <c r="I589" s="1" t="str">
        <f>HYPERLINK("https://www.ncbi.nlm.nih.gov/protein/WP_015129070.1?report=genbank&amp;log$=prottop&amp;blast_rank=115&amp;RID=7U875CNM013","WP_015129070.1")</f>
        <v>WP_015129070.1</v>
      </c>
      <c r="J589" s="1" t="s">
        <v>2</v>
      </c>
    </row>
    <row r="590" spans="1:10" s="4" customFormat="1" x14ac:dyDescent="0.2">
      <c r="A590" s="1" t="s">
        <v>1018</v>
      </c>
      <c r="B590" s="1" t="s">
        <v>1019</v>
      </c>
      <c r="C590" s="1">
        <v>1080</v>
      </c>
      <c r="D590" s="1">
        <v>1080</v>
      </c>
      <c r="E590" s="2">
        <v>0.98</v>
      </c>
      <c r="F590" s="1">
        <v>0</v>
      </c>
      <c r="G590" s="1">
        <v>64.3</v>
      </c>
      <c r="H590" s="1">
        <v>805</v>
      </c>
      <c r="I590" s="1" t="str">
        <f>HYPERLINK("https://www.ncbi.nlm.nih.gov/protein/BAZ39135.1?report=genbank&amp;log$=prottop&amp;blast_rank=124&amp;RID=7U875CNM013","BAZ39135.1")</f>
        <v>BAZ39135.1</v>
      </c>
      <c r="J590" s="1" t="s">
        <v>2</v>
      </c>
    </row>
    <row r="591" spans="1:10" s="4" customFormat="1" x14ac:dyDescent="0.2">
      <c r="A591" s="1" t="s">
        <v>1020</v>
      </c>
      <c r="B591" s="1" t="s">
        <v>1021</v>
      </c>
      <c r="C591" s="1">
        <v>1117</v>
      </c>
      <c r="D591" s="1">
        <v>1117</v>
      </c>
      <c r="E591" s="2">
        <v>1</v>
      </c>
      <c r="F591" s="1">
        <v>0</v>
      </c>
      <c r="G591" s="1">
        <v>64.290000000000006</v>
      </c>
      <c r="H591" s="1">
        <v>826</v>
      </c>
      <c r="I591" s="1" t="str">
        <f>HYPERLINK("https://www.ncbi.nlm.nih.gov/protein/WP_190779872.1?report=genbank&amp;log$=prottop&amp;blast_rank=129&amp;RID=7U875CNM013","WP_190779872.1")</f>
        <v>WP_190779872.1</v>
      </c>
      <c r="J591" s="1" t="s">
        <v>2</v>
      </c>
    </row>
    <row r="592" spans="1:10" s="4" customFormat="1" x14ac:dyDescent="0.2">
      <c r="A592" s="1" t="s">
        <v>1022</v>
      </c>
      <c r="B592" s="1" t="s">
        <v>1023</v>
      </c>
      <c r="C592" s="1">
        <v>1095</v>
      </c>
      <c r="D592" s="1">
        <v>1095</v>
      </c>
      <c r="E592" s="2">
        <v>0.98</v>
      </c>
      <c r="F592" s="1">
        <v>0</v>
      </c>
      <c r="G592" s="1">
        <v>64.27</v>
      </c>
      <c r="H592" s="1">
        <v>796</v>
      </c>
      <c r="I592" s="1" t="str">
        <f>HYPERLINK("https://www.ncbi.nlm.nih.gov/protein/WP_200989142.1?report=genbank&amp;log$=prottop&amp;blast_rank=162&amp;RID=7U875CNM013","WP_200989142.1")</f>
        <v>WP_200989142.1</v>
      </c>
      <c r="J592" s="1" t="s">
        <v>2</v>
      </c>
    </row>
    <row r="593" spans="1:10" s="4" customFormat="1" x14ac:dyDescent="0.2">
      <c r="A593" s="1" t="s">
        <v>1024</v>
      </c>
      <c r="B593" s="1" t="s">
        <v>1025</v>
      </c>
      <c r="C593" s="1">
        <v>1088</v>
      </c>
      <c r="D593" s="1">
        <v>1088</v>
      </c>
      <c r="E593" s="2">
        <v>0.99</v>
      </c>
      <c r="F593" s="1">
        <v>0</v>
      </c>
      <c r="G593" s="1">
        <v>64.27</v>
      </c>
      <c r="H593" s="1">
        <v>792</v>
      </c>
      <c r="I593" s="1" t="str">
        <f>HYPERLINK("https://www.ncbi.nlm.nih.gov/protein/WP_096657101.1?report=genbank&amp;log$=prottop&amp;blast_rank=163&amp;RID=7U875CNM013","WP_096657101.1")</f>
        <v>WP_096657101.1</v>
      </c>
      <c r="J593" s="1" t="s">
        <v>2</v>
      </c>
    </row>
    <row r="594" spans="1:10" s="4" customFormat="1" x14ac:dyDescent="0.2">
      <c r="A594" s="1" t="s">
        <v>1026</v>
      </c>
      <c r="B594" s="1" t="s">
        <v>1027</v>
      </c>
      <c r="C594" s="1">
        <v>1090</v>
      </c>
      <c r="D594" s="1">
        <v>1090</v>
      </c>
      <c r="E594" s="2">
        <v>0.98</v>
      </c>
      <c r="F594" s="1">
        <v>0</v>
      </c>
      <c r="G594" s="1">
        <v>64.260000000000005</v>
      </c>
      <c r="H594" s="1">
        <v>793</v>
      </c>
      <c r="I594" s="1" t="str">
        <f>HYPERLINK("https://www.ncbi.nlm.nih.gov/protein/WP_096671308.1?report=genbank&amp;log$=prottop&amp;blast_rank=175&amp;RID=7U875CNM013","WP_096671308.1")</f>
        <v>WP_096671308.1</v>
      </c>
      <c r="J594" s="1" t="s">
        <v>2</v>
      </c>
    </row>
    <row r="595" spans="1:10" s="4" customFormat="1" x14ac:dyDescent="0.2">
      <c r="A595" s="1" t="s">
        <v>1028</v>
      </c>
      <c r="B595" s="1" t="s">
        <v>1029</v>
      </c>
      <c r="C595" s="1">
        <v>1088</v>
      </c>
      <c r="D595" s="1">
        <v>1088</v>
      </c>
      <c r="E595" s="2">
        <v>0.98</v>
      </c>
      <c r="F595" s="1">
        <v>0</v>
      </c>
      <c r="G595" s="1">
        <v>64.260000000000005</v>
      </c>
      <c r="H595" s="1">
        <v>793</v>
      </c>
      <c r="I595" s="1" t="str">
        <f>HYPERLINK("https://www.ncbi.nlm.nih.gov/protein/WP_168644743.1?report=genbank&amp;log$=prottop&amp;blast_rank=176&amp;RID=7U875CNM013","WP_168644743.1")</f>
        <v>WP_168644743.1</v>
      </c>
      <c r="J595" s="1" t="s">
        <v>2</v>
      </c>
    </row>
    <row r="596" spans="1:10" s="4" customFormat="1" x14ac:dyDescent="0.2">
      <c r="A596" s="1" t="s">
        <v>750</v>
      </c>
      <c r="B596" s="1" t="s">
        <v>751</v>
      </c>
      <c r="C596" s="1">
        <v>1087</v>
      </c>
      <c r="D596" s="1">
        <v>1087</v>
      </c>
      <c r="E596" s="2">
        <v>0.98</v>
      </c>
      <c r="F596" s="1">
        <v>0</v>
      </c>
      <c r="G596" s="1">
        <v>64.260000000000005</v>
      </c>
      <c r="H596" s="1">
        <v>805</v>
      </c>
      <c r="I596" s="1" t="str">
        <f>HYPERLINK("https://www.ncbi.nlm.nih.gov/protein/WP_029637461.1?report=genbank&amp;log$=prottop&amp;blast_rank=177&amp;RID=7U875CNM013","WP_029637461.1")</f>
        <v>WP_029637461.1</v>
      </c>
      <c r="J596" s="1" t="s">
        <v>2</v>
      </c>
    </row>
    <row r="597" spans="1:10" s="4" customFormat="1" x14ac:dyDescent="0.2">
      <c r="A597" s="1" t="s">
        <v>1030</v>
      </c>
      <c r="B597" s="1" t="s">
        <v>1031</v>
      </c>
      <c r="C597" s="1">
        <v>1083</v>
      </c>
      <c r="D597" s="1">
        <v>1083</v>
      </c>
      <c r="E597" s="2">
        <v>0.98</v>
      </c>
      <c r="F597" s="1">
        <v>0</v>
      </c>
      <c r="G597" s="1">
        <v>64.260000000000005</v>
      </c>
      <c r="H597" s="1">
        <v>793</v>
      </c>
      <c r="I597" s="1" t="str">
        <f>HYPERLINK("https://www.ncbi.nlm.nih.gov/protein/WP_193894490.1?report=genbank&amp;log$=prottop&amp;blast_rank=178&amp;RID=7U875CNM013","WP_193894490.1")</f>
        <v>WP_193894490.1</v>
      </c>
      <c r="J597" s="1" t="s">
        <v>2</v>
      </c>
    </row>
    <row r="598" spans="1:10" s="4" customFormat="1" x14ac:dyDescent="0.2">
      <c r="A598" s="1" t="s">
        <v>1032</v>
      </c>
      <c r="B598" s="1" t="s">
        <v>1033</v>
      </c>
      <c r="C598" s="1">
        <v>1105</v>
      </c>
      <c r="D598" s="1">
        <v>1105</v>
      </c>
      <c r="E598" s="2">
        <v>0.98</v>
      </c>
      <c r="F598" s="1">
        <v>0</v>
      </c>
      <c r="G598" s="1">
        <v>64.25</v>
      </c>
      <c r="H598" s="1">
        <v>793</v>
      </c>
      <c r="I598" s="1" t="str">
        <f>HYPERLINK("https://www.ncbi.nlm.nih.gov/protein/NJM70759.1?report=genbank&amp;log$=prottop&amp;blast_rank=184&amp;RID=7U875CNM013","NJM70759.1")</f>
        <v>NJM70759.1</v>
      </c>
      <c r="J598" s="1" t="s">
        <v>2</v>
      </c>
    </row>
    <row r="599" spans="1:10" s="4" customFormat="1" x14ac:dyDescent="0.2">
      <c r="A599" s="1" t="s">
        <v>1034</v>
      </c>
      <c r="B599" s="1" t="s">
        <v>1035</v>
      </c>
      <c r="C599" s="1">
        <v>1087</v>
      </c>
      <c r="D599" s="1">
        <v>1087</v>
      </c>
      <c r="E599" s="2">
        <v>0.98</v>
      </c>
      <c r="F599" s="1">
        <v>0</v>
      </c>
      <c r="G599" s="1">
        <v>64.25</v>
      </c>
      <c r="H599" s="1">
        <v>793</v>
      </c>
      <c r="I599" s="1" t="str">
        <f>HYPERLINK("https://www.ncbi.nlm.nih.gov/protein/NET01983.1?report=genbank&amp;log$=prottop&amp;blast_rank=185&amp;RID=7U875CNM013","NET01983.1")</f>
        <v>NET01983.1</v>
      </c>
      <c r="J599" s="1" t="s">
        <v>2</v>
      </c>
    </row>
    <row r="600" spans="1:10" s="4" customFormat="1" x14ac:dyDescent="0.2">
      <c r="A600" s="1" t="s">
        <v>1036</v>
      </c>
      <c r="B600" s="1" t="s">
        <v>1037</v>
      </c>
      <c r="C600" s="1">
        <v>1086</v>
      </c>
      <c r="D600" s="1">
        <v>1086</v>
      </c>
      <c r="E600" s="2">
        <v>0.98</v>
      </c>
      <c r="F600" s="1">
        <v>0</v>
      </c>
      <c r="G600" s="1">
        <v>64.25</v>
      </c>
      <c r="H600" s="1">
        <v>793</v>
      </c>
      <c r="I600" s="1" t="str">
        <f>HYPERLINK("https://www.ncbi.nlm.nih.gov/protein/MBO1048484.1?report=genbank&amp;log$=prottop&amp;blast_rank=186&amp;RID=7U875CNM013","MBO1048484.1")</f>
        <v>MBO1048484.1</v>
      </c>
      <c r="J600" s="1" t="s">
        <v>2</v>
      </c>
    </row>
    <row r="601" spans="1:10" s="4" customFormat="1" x14ac:dyDescent="0.2">
      <c r="A601" s="1" t="s">
        <v>1038</v>
      </c>
      <c r="B601" s="1" t="s">
        <v>1039</v>
      </c>
      <c r="C601" s="1">
        <v>1085</v>
      </c>
      <c r="D601" s="1">
        <v>1085</v>
      </c>
      <c r="E601" s="2">
        <v>0.98</v>
      </c>
      <c r="F601" s="1">
        <v>0</v>
      </c>
      <c r="G601" s="1">
        <v>64.25</v>
      </c>
      <c r="H601" s="1">
        <v>793</v>
      </c>
      <c r="I601" s="1" t="str">
        <f>HYPERLINK("https://www.ncbi.nlm.nih.gov/protein/MBN3959406.1?report=genbank&amp;log$=prottop&amp;blast_rank=189&amp;RID=7U875CNM013","MBN3959406.1")</f>
        <v>MBN3959406.1</v>
      </c>
      <c r="J601" s="1" t="s">
        <v>2</v>
      </c>
    </row>
    <row r="602" spans="1:10" s="4" customFormat="1" x14ac:dyDescent="0.2">
      <c r="A602" s="1" t="s">
        <v>1040</v>
      </c>
      <c r="B602" s="1" t="s">
        <v>1041</v>
      </c>
      <c r="C602" s="1">
        <v>1085</v>
      </c>
      <c r="D602" s="1">
        <v>1085</v>
      </c>
      <c r="E602" s="2">
        <v>0.98</v>
      </c>
      <c r="F602" s="1">
        <v>0</v>
      </c>
      <c r="G602" s="1">
        <v>64.25</v>
      </c>
      <c r="H602" s="1">
        <v>793</v>
      </c>
      <c r="I602" s="1" t="str">
        <f>HYPERLINK("https://www.ncbi.nlm.nih.gov/protein/MBO1058004.1?report=genbank&amp;log$=prottop&amp;blast_rank=190&amp;RID=7U875CNM013","MBO1058004.1")</f>
        <v>MBO1058004.1</v>
      </c>
      <c r="J602" s="1" t="s">
        <v>2</v>
      </c>
    </row>
    <row r="603" spans="1:10" s="4" customFormat="1" x14ac:dyDescent="0.2">
      <c r="A603" s="1" t="s">
        <v>1042</v>
      </c>
      <c r="B603" s="1" t="s">
        <v>1043</v>
      </c>
      <c r="C603" s="1">
        <v>1084</v>
      </c>
      <c r="D603" s="1">
        <v>1084</v>
      </c>
      <c r="E603" s="2">
        <v>0.98</v>
      </c>
      <c r="F603" s="1">
        <v>0</v>
      </c>
      <c r="G603" s="1">
        <v>64.25</v>
      </c>
      <c r="H603" s="1">
        <v>793</v>
      </c>
      <c r="I603" s="1" t="str">
        <f>HYPERLINK("https://www.ncbi.nlm.nih.gov/protein/OBQ13370.1?report=genbank&amp;log$=prottop&amp;blast_rank=191&amp;RID=7U875CNM013","OBQ13370.1")</f>
        <v>OBQ13370.1</v>
      </c>
      <c r="J603" s="1" t="s">
        <v>2</v>
      </c>
    </row>
    <row r="604" spans="1:10" s="4" customFormat="1" x14ac:dyDescent="0.2">
      <c r="A604" s="1" t="s">
        <v>1044</v>
      </c>
      <c r="B604" s="1" t="s">
        <v>1045</v>
      </c>
      <c r="C604" s="1">
        <v>1084</v>
      </c>
      <c r="D604" s="1">
        <v>1084</v>
      </c>
      <c r="E604" s="2">
        <v>0.98</v>
      </c>
      <c r="F604" s="1">
        <v>0</v>
      </c>
      <c r="G604" s="1">
        <v>64.25</v>
      </c>
      <c r="H604" s="1">
        <v>793</v>
      </c>
      <c r="I604" s="1" t="str">
        <f>HYPERLINK("https://www.ncbi.nlm.nih.gov/protein/OBQ34611.1?report=genbank&amp;log$=prottop&amp;blast_rank=192&amp;RID=7U875CNM013","OBQ34611.1")</f>
        <v>OBQ34611.1</v>
      </c>
      <c r="J604" s="1" t="s">
        <v>2</v>
      </c>
    </row>
    <row r="605" spans="1:10" s="4" customFormat="1" x14ac:dyDescent="0.2">
      <c r="A605" s="1" t="s">
        <v>1046</v>
      </c>
      <c r="B605" s="1" t="s">
        <v>1047</v>
      </c>
      <c r="C605" s="1">
        <v>1084</v>
      </c>
      <c r="D605" s="1">
        <v>1084</v>
      </c>
      <c r="E605" s="2">
        <v>0.98</v>
      </c>
      <c r="F605" s="1">
        <v>0</v>
      </c>
      <c r="G605" s="1">
        <v>64.25</v>
      </c>
      <c r="H605" s="1">
        <v>799</v>
      </c>
      <c r="I605" s="1" t="str">
        <f>HYPERLINK("https://www.ncbi.nlm.nih.gov/protein/AVH65862.1?report=genbank&amp;log$=prottop&amp;blast_rank=193&amp;RID=7U875CNM013","AVH65862.1")</f>
        <v>AVH65862.1</v>
      </c>
      <c r="J605" s="1" t="s">
        <v>2</v>
      </c>
    </row>
    <row r="606" spans="1:10" s="4" customFormat="1" x14ac:dyDescent="0.2">
      <c r="A606" s="1" t="s">
        <v>834</v>
      </c>
      <c r="B606" s="1" t="s">
        <v>835</v>
      </c>
      <c r="C606" s="1">
        <v>1084</v>
      </c>
      <c r="D606" s="1">
        <v>1084</v>
      </c>
      <c r="E606" s="2">
        <v>0.98</v>
      </c>
      <c r="F606" s="1">
        <v>0</v>
      </c>
      <c r="G606" s="1">
        <v>64.25</v>
      </c>
      <c r="H606" s="1">
        <v>793</v>
      </c>
      <c r="I606" s="1" t="str">
        <f>HYPERLINK("https://www.ncbi.nlm.nih.gov/protein/WP_190962567.1?report=genbank&amp;log$=prottop&amp;blast_rank=194&amp;RID=7U875CNM013","WP_190962567.1")</f>
        <v>WP_190962567.1</v>
      </c>
      <c r="J606" s="1" t="s">
        <v>2</v>
      </c>
    </row>
    <row r="607" spans="1:10" s="4" customFormat="1" x14ac:dyDescent="0.2">
      <c r="A607" s="1" t="s">
        <v>1048</v>
      </c>
      <c r="B607" s="1" t="s">
        <v>1049</v>
      </c>
      <c r="C607" s="1">
        <v>1084</v>
      </c>
      <c r="D607" s="1">
        <v>1084</v>
      </c>
      <c r="E607" s="2">
        <v>0.98</v>
      </c>
      <c r="F607" s="1">
        <v>0</v>
      </c>
      <c r="G607" s="1">
        <v>64.25</v>
      </c>
      <c r="H607" s="1">
        <v>793</v>
      </c>
      <c r="I607" s="1" t="str">
        <f>HYPERLINK("https://www.ncbi.nlm.nih.gov/protein/WP_168653414.1?report=genbank&amp;log$=prottop&amp;blast_rank=195&amp;RID=7U875CNM013","WP_168653414.1")</f>
        <v>WP_168653414.1</v>
      </c>
      <c r="J607" s="1" t="s">
        <v>2</v>
      </c>
    </row>
    <row r="608" spans="1:10" s="4" customFormat="1" x14ac:dyDescent="0.2">
      <c r="A608" s="1" t="s">
        <v>1050</v>
      </c>
      <c r="B608" s="1" t="s">
        <v>1051</v>
      </c>
      <c r="C608" s="1">
        <v>1083</v>
      </c>
      <c r="D608" s="1">
        <v>1083</v>
      </c>
      <c r="E608" s="2">
        <v>0.98</v>
      </c>
      <c r="F608" s="1">
        <v>0</v>
      </c>
      <c r="G608" s="1">
        <v>64.25</v>
      </c>
      <c r="H608" s="1">
        <v>792</v>
      </c>
      <c r="I608" s="1" t="str">
        <f>HYPERLINK("https://www.ncbi.nlm.nih.gov/protein/WP_015118131.1?report=genbank&amp;log$=prottop&amp;blast_rank=196&amp;RID=7U875CNM013","WP_015118131.1")</f>
        <v>WP_015118131.1</v>
      </c>
      <c r="J608" s="1" t="s">
        <v>2</v>
      </c>
    </row>
    <row r="609" spans="1:10" s="4" customFormat="1" x14ac:dyDescent="0.2">
      <c r="A609" s="1" t="s">
        <v>1052</v>
      </c>
      <c r="B609" s="1" t="s">
        <v>1053</v>
      </c>
      <c r="C609" s="1">
        <v>1083</v>
      </c>
      <c r="D609" s="1">
        <v>1083</v>
      </c>
      <c r="E609" s="2">
        <v>0.98</v>
      </c>
      <c r="F609" s="1">
        <v>0</v>
      </c>
      <c r="G609" s="1">
        <v>64.25</v>
      </c>
      <c r="H609" s="1">
        <v>793</v>
      </c>
      <c r="I609" s="1" t="str">
        <f>HYPERLINK("https://www.ncbi.nlm.nih.gov/protein/WP_174710565.1?report=genbank&amp;log$=prottop&amp;blast_rank=197&amp;RID=7U875CNM013","WP_174710565.1")</f>
        <v>WP_174710565.1</v>
      </c>
      <c r="J609" s="1" t="s">
        <v>2</v>
      </c>
    </row>
    <row r="610" spans="1:10" s="4" customFormat="1" x14ac:dyDescent="0.2">
      <c r="A610" s="1" t="s">
        <v>1054</v>
      </c>
      <c r="B610" s="1" t="s">
        <v>711</v>
      </c>
      <c r="C610" s="1">
        <v>1083</v>
      </c>
      <c r="D610" s="1">
        <v>1083</v>
      </c>
      <c r="E610" s="2">
        <v>0.98</v>
      </c>
      <c r="F610" s="1">
        <v>0</v>
      </c>
      <c r="G610" s="1">
        <v>64.25</v>
      </c>
      <c r="H610" s="1">
        <v>793</v>
      </c>
      <c r="I610" s="1" t="str">
        <f>HYPERLINK("https://www.ncbi.nlm.nih.gov/protein/WP_094329671.1?report=genbank&amp;log$=prottop&amp;blast_rank=198&amp;RID=7U875CNM013","WP_094329671.1")</f>
        <v>WP_094329671.1</v>
      </c>
      <c r="J610" s="1" t="s">
        <v>2</v>
      </c>
    </row>
    <row r="611" spans="1:10" s="4" customFormat="1" x14ac:dyDescent="0.2">
      <c r="A611" s="1" t="s">
        <v>1055</v>
      </c>
      <c r="B611" s="1" t="s">
        <v>1056</v>
      </c>
      <c r="C611" s="1">
        <v>1083</v>
      </c>
      <c r="D611" s="1">
        <v>1083</v>
      </c>
      <c r="E611" s="2">
        <v>0.98</v>
      </c>
      <c r="F611" s="1">
        <v>0</v>
      </c>
      <c r="G611" s="1">
        <v>64.25</v>
      </c>
      <c r="H611" s="1">
        <v>793</v>
      </c>
      <c r="I611" s="1" t="str">
        <f>HYPERLINK("https://www.ncbi.nlm.nih.gov/protein/WP_190936107.1?report=genbank&amp;log$=prottop&amp;blast_rank=199&amp;RID=7U875CNM013","WP_190936107.1")</f>
        <v>WP_190936107.1</v>
      </c>
      <c r="J611" s="1" t="s">
        <v>2</v>
      </c>
    </row>
    <row r="612" spans="1:10" s="4" customFormat="1" x14ac:dyDescent="0.2">
      <c r="A612" s="1" t="s">
        <v>1057</v>
      </c>
      <c r="B612" s="1" t="s">
        <v>1058</v>
      </c>
      <c r="C612" s="1">
        <v>1081</v>
      </c>
      <c r="D612" s="1">
        <v>1081</v>
      </c>
      <c r="E612" s="2">
        <v>0.98</v>
      </c>
      <c r="F612" s="1">
        <v>0</v>
      </c>
      <c r="G612" s="1">
        <v>64.25</v>
      </c>
      <c r="H612" s="1">
        <v>793</v>
      </c>
      <c r="I612" s="1" t="str">
        <f>HYPERLINK("https://www.ncbi.nlm.nih.gov/protein/WP_179074979.1?report=genbank&amp;log$=prottop&amp;blast_rank=200&amp;RID=7U875CNM013","WP_179074979.1")</f>
        <v>WP_179074979.1</v>
      </c>
      <c r="J612" s="1" t="s">
        <v>2</v>
      </c>
    </row>
    <row r="613" spans="1:10" s="4" customFormat="1" x14ac:dyDescent="0.2">
      <c r="A613" s="1" t="s">
        <v>1059</v>
      </c>
      <c r="B613" s="1" t="s">
        <v>1060</v>
      </c>
      <c r="C613" s="1">
        <v>1080</v>
      </c>
      <c r="D613" s="1">
        <v>1080</v>
      </c>
      <c r="E613" s="2">
        <v>0.98</v>
      </c>
      <c r="F613" s="1">
        <v>0</v>
      </c>
      <c r="G613" s="1">
        <v>64.25</v>
      </c>
      <c r="H613" s="1">
        <v>793</v>
      </c>
      <c r="I613" s="1" t="str">
        <f>HYPERLINK("https://www.ncbi.nlm.nih.gov/protein/HFS09226.1?report=genbank&amp;log$=prottop&amp;blast_rank=201&amp;RID=7U875CNM013","HFS09226.1")</f>
        <v>HFS09226.1</v>
      </c>
      <c r="J613" s="1" t="s">
        <v>2</v>
      </c>
    </row>
    <row r="614" spans="1:10" s="7" customFormat="1" x14ac:dyDescent="0.2">
      <c r="A614" s="5" t="s">
        <v>945</v>
      </c>
      <c r="B614" s="5" t="s">
        <v>946</v>
      </c>
      <c r="C614" s="5">
        <v>1098</v>
      </c>
      <c r="D614" s="5">
        <v>1098</v>
      </c>
      <c r="E614" s="6">
        <v>0.99</v>
      </c>
      <c r="F614" s="5">
        <v>0</v>
      </c>
      <c r="G614" s="5">
        <v>64.239999999999995</v>
      </c>
      <c r="H614" s="5">
        <v>825</v>
      </c>
      <c r="I614" s="5" t="str">
        <f>HYPERLINK("https://www.ncbi.nlm.nih.gov/protein/TAE13812.1?report=genbank&amp;log$=prottop&amp;blast_rank=1&amp;RID=7U875CNM013","TAE13812.1")</f>
        <v>TAE13812.1</v>
      </c>
      <c r="J614" s="5" t="s">
        <v>2</v>
      </c>
    </row>
    <row r="615" spans="1:10" s="7" customFormat="1" x14ac:dyDescent="0.2">
      <c r="A615" s="5" t="s">
        <v>945</v>
      </c>
      <c r="B615" s="5" t="s">
        <v>946</v>
      </c>
      <c r="C615" s="5">
        <v>1097</v>
      </c>
      <c r="D615" s="5">
        <v>1097</v>
      </c>
      <c r="E615" s="6">
        <v>0.99</v>
      </c>
      <c r="F615" s="5">
        <v>0</v>
      </c>
      <c r="G615" s="5">
        <v>64.239999999999995</v>
      </c>
      <c r="H615" s="5">
        <v>825</v>
      </c>
      <c r="I615" s="5" t="str">
        <f>HYPERLINK("https://www.ncbi.nlm.nih.gov/protein/TAE39164.1?report=genbank&amp;log$=prottop&amp;blast_rank=2&amp;RID=7U875CNM013","TAE39164.1")</f>
        <v>TAE39164.1</v>
      </c>
      <c r="J615" s="5" t="s">
        <v>2</v>
      </c>
    </row>
    <row r="616" spans="1:10" s="7" customFormat="1" x14ac:dyDescent="0.2">
      <c r="A616" s="5" t="s">
        <v>945</v>
      </c>
      <c r="B616" s="5" t="s">
        <v>946</v>
      </c>
      <c r="C616" s="5">
        <v>1096</v>
      </c>
      <c r="D616" s="5">
        <v>1096</v>
      </c>
      <c r="E616" s="6">
        <v>0.99</v>
      </c>
      <c r="F616" s="5">
        <v>0</v>
      </c>
      <c r="G616" s="5">
        <v>64.239999999999995</v>
      </c>
      <c r="H616" s="5">
        <v>825</v>
      </c>
      <c r="I616" s="5" t="str">
        <f>HYPERLINK("https://www.ncbi.nlm.nih.gov/protein/TAF91638.1?report=genbank&amp;log$=prottop&amp;blast_rank=3&amp;RID=7U875CNM013","TAF91638.1")</f>
        <v>TAF91638.1</v>
      </c>
      <c r="J616" s="5" t="s">
        <v>2</v>
      </c>
    </row>
    <row r="617" spans="1:10" s="7" customFormat="1" x14ac:dyDescent="0.2">
      <c r="A617" s="5" t="s">
        <v>359</v>
      </c>
      <c r="B617" s="5" t="s">
        <v>358</v>
      </c>
      <c r="C617" s="5">
        <v>1048</v>
      </c>
      <c r="D617" s="5">
        <v>1048</v>
      </c>
      <c r="E617" s="6">
        <v>0.98</v>
      </c>
      <c r="F617" s="5">
        <v>0</v>
      </c>
      <c r="G617" s="5">
        <v>64.2</v>
      </c>
      <c r="H617" s="5">
        <v>804</v>
      </c>
      <c r="I617" s="5" t="str">
        <f>HYPERLINK("https://www.ncbi.nlm.nih.gov/protein/WP_017301665.1?report=genbank&amp;log$=prottop&amp;blast_rank=33&amp;RID=7U875CNM013","WP_017301665.1")</f>
        <v>WP_017301665.1</v>
      </c>
      <c r="J617" s="5" t="s">
        <v>2</v>
      </c>
    </row>
    <row r="618" spans="1:10" s="7" customFormat="1" x14ac:dyDescent="0.2">
      <c r="A618" s="5" t="s">
        <v>1063</v>
      </c>
      <c r="B618" s="5" t="s">
        <v>1064</v>
      </c>
      <c r="C618" s="5">
        <v>1092</v>
      </c>
      <c r="D618" s="5">
        <v>1092</v>
      </c>
      <c r="E618" s="6">
        <v>0.99</v>
      </c>
      <c r="F618" s="5">
        <v>0</v>
      </c>
      <c r="G618" s="5">
        <v>64.2</v>
      </c>
      <c r="H618" s="5">
        <v>793</v>
      </c>
      <c r="I618" s="5" t="str">
        <f>HYPERLINK("https://www.ncbi.nlm.nih.gov/protein/WP_193937958.1?report=genbank&amp;log$=prottop&amp;blast_rank=36&amp;RID=7U875CNM013","WP_193937958.1")</f>
        <v>WP_193937958.1</v>
      </c>
      <c r="J618" s="5" t="s">
        <v>2</v>
      </c>
    </row>
    <row r="619" spans="1:10" s="7" customFormat="1" x14ac:dyDescent="0.2">
      <c r="A619" s="5" t="s">
        <v>895</v>
      </c>
      <c r="B619" s="5" t="s">
        <v>896</v>
      </c>
      <c r="C619" s="5">
        <v>1088</v>
      </c>
      <c r="D619" s="5">
        <v>1088</v>
      </c>
      <c r="E619" s="6">
        <v>0.99</v>
      </c>
      <c r="F619" s="5">
        <v>0</v>
      </c>
      <c r="G619" s="5">
        <v>64.2</v>
      </c>
      <c r="H619" s="5">
        <v>793</v>
      </c>
      <c r="I619" s="5" t="str">
        <f>HYPERLINK("https://www.ncbi.nlm.nih.gov/protein/TAF08466.1?report=genbank&amp;log$=prottop&amp;blast_rank=37&amp;RID=7U875CNM013","TAF08466.1")</f>
        <v>TAF08466.1</v>
      </c>
      <c r="J619" s="5" t="s">
        <v>2</v>
      </c>
    </row>
    <row r="620" spans="1:10" s="7" customFormat="1" x14ac:dyDescent="0.2">
      <c r="A620" s="5" t="s">
        <v>1065</v>
      </c>
      <c r="B620" s="5" t="s">
        <v>1066</v>
      </c>
      <c r="C620" s="5">
        <v>1083</v>
      </c>
      <c r="D620" s="5">
        <v>1083</v>
      </c>
      <c r="E620" s="6">
        <v>0.99</v>
      </c>
      <c r="F620" s="5">
        <v>0</v>
      </c>
      <c r="G620" s="5">
        <v>64.2</v>
      </c>
      <c r="H620" s="5">
        <v>793</v>
      </c>
      <c r="I620" s="5" t="str">
        <f>HYPERLINK("https://www.ncbi.nlm.nih.gov/protein/WP_017651799.1?report=genbank&amp;log$=prottop&amp;blast_rank=38&amp;RID=7U875CNM013","WP_017651799.1")</f>
        <v>WP_017651799.1</v>
      </c>
      <c r="J620" s="5" t="s">
        <v>2</v>
      </c>
    </row>
    <row r="621" spans="1:10" s="7" customFormat="1" x14ac:dyDescent="0.2">
      <c r="A621" s="5" t="s">
        <v>1067</v>
      </c>
      <c r="B621" s="5" t="s">
        <v>1068</v>
      </c>
      <c r="C621" s="5">
        <v>1114</v>
      </c>
      <c r="D621" s="5">
        <v>1114</v>
      </c>
      <c r="E621" s="6">
        <v>1</v>
      </c>
      <c r="F621" s="5">
        <v>0</v>
      </c>
      <c r="G621" s="5">
        <v>64.16</v>
      </c>
      <c r="H621" s="5">
        <v>826</v>
      </c>
      <c r="I621" s="5" t="str">
        <f>HYPERLINK("https://www.ncbi.nlm.nih.gov/protein/WP_190502452.1?report=genbank&amp;log$=prottop&amp;blast_rank=62&amp;RID=7U875CNM013","WP_190502452.1")</f>
        <v>WP_190502452.1</v>
      </c>
      <c r="J621" s="5" t="s">
        <v>2</v>
      </c>
    </row>
    <row r="622" spans="1:10" s="7" customFormat="1" x14ac:dyDescent="0.2">
      <c r="A622" s="5" t="s">
        <v>1069</v>
      </c>
      <c r="B622" s="5" t="s">
        <v>1070</v>
      </c>
      <c r="C622" s="5">
        <v>1088</v>
      </c>
      <c r="D622" s="5">
        <v>1088</v>
      </c>
      <c r="E622" s="6">
        <v>1</v>
      </c>
      <c r="F622" s="5">
        <v>0</v>
      </c>
      <c r="G622" s="5">
        <v>64.16</v>
      </c>
      <c r="H622" s="5">
        <v>793</v>
      </c>
      <c r="I622" s="5" t="str">
        <f>HYPERLINK("https://www.ncbi.nlm.nih.gov/protein/WP_190711558.1?report=genbank&amp;log$=prottop&amp;blast_rank=63&amp;RID=7U875CNM013","WP_190711558.1")</f>
        <v>WP_190711558.1</v>
      </c>
      <c r="J622" s="5" t="s">
        <v>2</v>
      </c>
    </row>
    <row r="623" spans="1:10" s="7" customFormat="1" x14ac:dyDescent="0.2">
      <c r="A623" s="5" t="s">
        <v>1071</v>
      </c>
      <c r="B623" s="5" t="s">
        <v>1072</v>
      </c>
      <c r="C623" s="5">
        <v>1090</v>
      </c>
      <c r="D623" s="5">
        <v>1090</v>
      </c>
      <c r="E623" s="6">
        <v>0.98</v>
      </c>
      <c r="F623" s="5">
        <v>0</v>
      </c>
      <c r="G623" s="5">
        <v>64.13</v>
      </c>
      <c r="H623" s="5">
        <v>793</v>
      </c>
      <c r="I623" s="5" t="str">
        <f>HYPERLINK("https://www.ncbi.nlm.nih.gov/protein/OBQ17022.1?report=genbank&amp;log$=prottop&amp;blast_rank=92&amp;RID=7U875CNM013","OBQ17022.1")</f>
        <v>OBQ17022.1</v>
      </c>
      <c r="J623" s="5" t="s">
        <v>2</v>
      </c>
    </row>
    <row r="624" spans="1:10" s="7" customFormat="1" x14ac:dyDescent="0.2">
      <c r="A624" s="5" t="s">
        <v>1073</v>
      </c>
      <c r="B624" s="5" t="s">
        <v>1074</v>
      </c>
      <c r="C624" s="5">
        <v>1090</v>
      </c>
      <c r="D624" s="5">
        <v>1090</v>
      </c>
      <c r="E624" s="6">
        <v>0.98</v>
      </c>
      <c r="F624" s="5">
        <v>0</v>
      </c>
      <c r="G624" s="5">
        <v>64.12</v>
      </c>
      <c r="H624" s="5">
        <v>828</v>
      </c>
      <c r="I624" s="5" t="str">
        <f>HYPERLINK("https://www.ncbi.nlm.nih.gov/protein/NJO51033.1?report=genbank&amp;log$=prottop&amp;blast_rank=99&amp;RID=7U875CNM013","NJO51033.1")</f>
        <v>NJO51033.1</v>
      </c>
      <c r="J624" s="5" t="s">
        <v>2</v>
      </c>
    </row>
    <row r="625" spans="1:10" s="7" customFormat="1" x14ac:dyDescent="0.2">
      <c r="A625" s="5" t="s">
        <v>1075</v>
      </c>
      <c r="B625" s="5" t="s">
        <v>1076</v>
      </c>
      <c r="C625" s="5">
        <v>1087</v>
      </c>
      <c r="D625" s="5">
        <v>1087</v>
      </c>
      <c r="E625" s="6">
        <v>0.98</v>
      </c>
      <c r="F625" s="5">
        <v>0</v>
      </c>
      <c r="G625" s="5">
        <v>64.12</v>
      </c>
      <c r="H625" s="5">
        <v>793</v>
      </c>
      <c r="I625" s="5" t="str">
        <f>HYPERLINK("https://www.ncbi.nlm.nih.gov/protein/WP_027843628.1?report=genbank&amp;log$=prottop&amp;blast_rank=100&amp;RID=7U875CNM013","WP_027843628.1")</f>
        <v>WP_027843628.1</v>
      </c>
      <c r="J625" s="5" t="s">
        <v>2</v>
      </c>
    </row>
    <row r="626" spans="1:10" s="7" customFormat="1" x14ac:dyDescent="0.2">
      <c r="A626" s="5" t="s">
        <v>1077</v>
      </c>
      <c r="B626" s="5" t="s">
        <v>1078</v>
      </c>
      <c r="C626" s="5">
        <v>1087</v>
      </c>
      <c r="D626" s="5">
        <v>1087</v>
      </c>
      <c r="E626" s="6">
        <v>0.98</v>
      </c>
      <c r="F626" s="5">
        <v>0</v>
      </c>
      <c r="G626" s="5">
        <v>64.12</v>
      </c>
      <c r="H626" s="5">
        <v>793</v>
      </c>
      <c r="I626" s="5" t="str">
        <f>HYPERLINK("https://www.ncbi.nlm.nih.gov/protein/QSV64300.1?report=genbank&amp;log$=prottop&amp;blast_rank=101&amp;RID=7U875CNM013","QSV64300.1")</f>
        <v>QSV64300.1</v>
      </c>
      <c r="J626" s="5" t="s">
        <v>2</v>
      </c>
    </row>
    <row r="627" spans="1:10" s="7" customFormat="1" x14ac:dyDescent="0.2">
      <c r="A627" s="5" t="s">
        <v>1079</v>
      </c>
      <c r="B627" s="5" t="s">
        <v>1080</v>
      </c>
      <c r="C627" s="5">
        <v>1084</v>
      </c>
      <c r="D627" s="5">
        <v>1084</v>
      </c>
      <c r="E627" s="6">
        <v>0.98</v>
      </c>
      <c r="F627" s="5">
        <v>0</v>
      </c>
      <c r="G627" s="5">
        <v>64.12</v>
      </c>
      <c r="H627" s="5">
        <v>793</v>
      </c>
      <c r="I627" s="5" t="str">
        <f>HYPERLINK("https://www.ncbi.nlm.nih.gov/protein/WP_148764677.1?report=genbank&amp;log$=prottop&amp;blast_rank=102&amp;RID=7U875CNM013","WP_148764677.1")</f>
        <v>WP_148764677.1</v>
      </c>
      <c r="J627" s="5" t="s">
        <v>2</v>
      </c>
    </row>
    <row r="628" spans="1:10" s="7" customFormat="1" x14ac:dyDescent="0.2">
      <c r="A628" s="5" t="s">
        <v>1081</v>
      </c>
      <c r="B628" s="5" t="s">
        <v>1082</v>
      </c>
      <c r="C628" s="5">
        <v>1083</v>
      </c>
      <c r="D628" s="5">
        <v>1083</v>
      </c>
      <c r="E628" s="6">
        <v>0.98</v>
      </c>
      <c r="F628" s="5">
        <v>0</v>
      </c>
      <c r="G628" s="5">
        <v>64.12</v>
      </c>
      <c r="H628" s="5">
        <v>793</v>
      </c>
      <c r="I628" s="5" t="str">
        <f>HYPERLINK("https://www.ncbi.nlm.nih.gov/protein/MBN3952120.1?report=genbank&amp;log$=prottop&amp;blast_rank=103&amp;RID=7U875CNM013","MBN3952120.1")</f>
        <v>MBN3952120.1</v>
      </c>
      <c r="J628" s="5" t="s">
        <v>2</v>
      </c>
    </row>
    <row r="629" spans="1:10" s="7" customFormat="1" x14ac:dyDescent="0.2">
      <c r="A629" s="5" t="s">
        <v>1083</v>
      </c>
      <c r="B629" s="5" t="s">
        <v>1084</v>
      </c>
      <c r="C629" s="5">
        <v>1082</v>
      </c>
      <c r="D629" s="5">
        <v>1082</v>
      </c>
      <c r="E629" s="6">
        <v>0.98</v>
      </c>
      <c r="F629" s="5">
        <v>0</v>
      </c>
      <c r="G629" s="5">
        <v>64.12</v>
      </c>
      <c r="H629" s="5">
        <v>793</v>
      </c>
      <c r="I629" s="5" t="str">
        <f>HYPERLINK("https://www.ncbi.nlm.nih.gov/protein/WP_089093853.1?report=genbank&amp;log$=prottop&amp;blast_rank=104&amp;RID=7U875CNM013","WP_089093853.1")</f>
        <v>WP_089093853.1</v>
      </c>
      <c r="J629" s="5" t="s">
        <v>2</v>
      </c>
    </row>
    <row r="630" spans="1:10" s="7" customFormat="1" x14ac:dyDescent="0.2">
      <c r="A630" s="5" t="s">
        <v>1088</v>
      </c>
      <c r="B630" s="5" t="s">
        <v>793</v>
      </c>
      <c r="C630" s="5">
        <v>1077</v>
      </c>
      <c r="D630" s="5">
        <v>1077</v>
      </c>
      <c r="E630" s="6">
        <v>0.98</v>
      </c>
      <c r="F630" s="5">
        <v>0</v>
      </c>
      <c r="G630" s="5">
        <v>64.12</v>
      </c>
      <c r="H630" s="5">
        <v>793</v>
      </c>
      <c r="I630" s="5" t="str">
        <f>HYPERLINK("https://www.ncbi.nlm.nih.gov/protein/WP_012408618.1?report=genbank&amp;log$=prottop&amp;blast_rank=106&amp;RID=7U875CNM013","WP_012408618.1")</f>
        <v>WP_012408618.1</v>
      </c>
      <c r="J630" s="5" t="s">
        <v>2</v>
      </c>
    </row>
    <row r="631" spans="1:10" s="7" customFormat="1" x14ac:dyDescent="0.2">
      <c r="A631" s="5" t="s">
        <v>1089</v>
      </c>
      <c r="B631" s="5" t="s">
        <v>1090</v>
      </c>
      <c r="C631" s="5">
        <v>1075</v>
      </c>
      <c r="D631" s="5">
        <v>1075</v>
      </c>
      <c r="E631" s="6">
        <v>0.98</v>
      </c>
      <c r="F631" s="5">
        <v>0</v>
      </c>
      <c r="G631" s="5">
        <v>64.12</v>
      </c>
      <c r="H631" s="5">
        <v>793</v>
      </c>
      <c r="I631" s="5" t="str">
        <f>HYPERLINK("https://www.ncbi.nlm.nih.gov/protein/MBN3942189.1?report=genbank&amp;log$=prottop&amp;blast_rank=107&amp;RID=7U875CNM013","MBN3942189.1")</f>
        <v>MBN3942189.1</v>
      </c>
      <c r="J631" s="5" t="s">
        <v>2</v>
      </c>
    </row>
    <row r="632" spans="1:10" s="7" customFormat="1" x14ac:dyDescent="0.2">
      <c r="A632" s="5" t="s">
        <v>1091</v>
      </c>
      <c r="B632" s="5" t="s">
        <v>862</v>
      </c>
      <c r="C632" s="5">
        <v>1074</v>
      </c>
      <c r="D632" s="5">
        <v>1074</v>
      </c>
      <c r="E632" s="6">
        <v>0.98</v>
      </c>
      <c r="F632" s="5">
        <v>0</v>
      </c>
      <c r="G632" s="5">
        <v>64.12</v>
      </c>
      <c r="H632" s="5">
        <v>793</v>
      </c>
      <c r="I632" s="5" t="str">
        <f>HYPERLINK("https://www.ncbi.nlm.nih.gov/protein/WP_100900282.1?report=genbank&amp;log$=prottop&amp;blast_rank=109&amp;RID=7U875CNM013","WP_100900282.1")</f>
        <v>WP_100900282.1</v>
      </c>
      <c r="J632" s="5" t="s">
        <v>2</v>
      </c>
    </row>
    <row r="633" spans="1:10" s="7" customFormat="1" x14ac:dyDescent="0.2">
      <c r="A633" s="5" t="s">
        <v>1092</v>
      </c>
      <c r="B633" s="5" t="s">
        <v>1093</v>
      </c>
      <c r="C633" s="5">
        <v>1073</v>
      </c>
      <c r="D633" s="5">
        <v>1073</v>
      </c>
      <c r="E633" s="6">
        <v>0.98</v>
      </c>
      <c r="F633" s="5">
        <v>0</v>
      </c>
      <c r="G633" s="5">
        <v>64.12</v>
      </c>
      <c r="H633" s="5">
        <v>793</v>
      </c>
      <c r="I633" s="5" t="str">
        <f>HYPERLINK("https://www.ncbi.nlm.nih.gov/protein/WP_109011550.1?report=genbank&amp;log$=prottop&amp;blast_rank=110&amp;RID=7U875CNM013","WP_109011550.1")</f>
        <v>WP_109011550.1</v>
      </c>
      <c r="J633" s="5" t="s">
        <v>2</v>
      </c>
    </row>
    <row r="634" spans="1:10" s="7" customFormat="1" x14ac:dyDescent="0.2">
      <c r="A634" s="5" t="s">
        <v>945</v>
      </c>
      <c r="B634" s="5" t="s">
        <v>946</v>
      </c>
      <c r="C634" s="5">
        <v>1092</v>
      </c>
      <c r="D634" s="5">
        <v>1092</v>
      </c>
      <c r="E634" s="6">
        <v>0.99</v>
      </c>
      <c r="F634" s="5">
        <v>0</v>
      </c>
      <c r="G634" s="5">
        <v>64.12</v>
      </c>
      <c r="H634" s="5">
        <v>825</v>
      </c>
      <c r="I634" s="5" t="str">
        <f>HYPERLINK("https://www.ncbi.nlm.nih.gov/protein/TAE71383.1?report=genbank&amp;log$=prottop&amp;blast_rank=126&amp;RID=7U875CNM013","TAE71383.1")</f>
        <v>TAE71383.1</v>
      </c>
      <c r="J634" s="5" t="s">
        <v>2</v>
      </c>
    </row>
    <row r="635" spans="1:10" s="7" customFormat="1" x14ac:dyDescent="0.2">
      <c r="A635" s="5" t="s">
        <v>1094</v>
      </c>
      <c r="B635" s="5" t="s">
        <v>1095</v>
      </c>
      <c r="C635" s="5">
        <v>1045</v>
      </c>
      <c r="D635" s="5">
        <v>1045</v>
      </c>
      <c r="E635" s="6">
        <v>0.97</v>
      </c>
      <c r="F635" s="5">
        <v>0</v>
      </c>
      <c r="G635" s="5">
        <v>64.11</v>
      </c>
      <c r="H635" s="5">
        <v>805</v>
      </c>
      <c r="I635" s="5" t="str">
        <f>HYPERLINK("https://www.ncbi.nlm.nih.gov/protein/PSB39575.1?report=genbank&amp;log$=prottop&amp;blast_rank=132&amp;RID=7U875CNM013","PSB39575.1")</f>
        <v>PSB39575.1</v>
      </c>
      <c r="J635" s="5" t="s">
        <v>2</v>
      </c>
    </row>
    <row r="636" spans="1:10" s="7" customFormat="1" x14ac:dyDescent="0.2">
      <c r="A636" s="5" t="s">
        <v>1096</v>
      </c>
      <c r="B636" s="5" t="s">
        <v>1097</v>
      </c>
      <c r="C636" s="5">
        <v>1069</v>
      </c>
      <c r="D636" s="5">
        <v>1069</v>
      </c>
      <c r="E636" s="6">
        <v>0.99</v>
      </c>
      <c r="F636" s="5">
        <v>0</v>
      </c>
      <c r="G636" s="5">
        <v>64.069999999999993</v>
      </c>
      <c r="H636" s="5">
        <v>793</v>
      </c>
      <c r="I636" s="5" t="str">
        <f>HYPERLINK("https://www.ncbi.nlm.nih.gov/protein/WP_168539691.1?report=genbank&amp;log$=prottop&amp;blast_rank=155&amp;RID=7U875CNM013","WP_168539691.1")</f>
        <v>WP_168539691.1</v>
      </c>
      <c r="J636" s="5" t="s">
        <v>2</v>
      </c>
    </row>
    <row r="637" spans="1:10" s="7" customFormat="1" x14ac:dyDescent="0.2">
      <c r="A637" s="5" t="s">
        <v>1098</v>
      </c>
      <c r="B637" s="5" t="s">
        <v>1099</v>
      </c>
      <c r="C637" s="5">
        <v>1068</v>
      </c>
      <c r="D637" s="5">
        <v>1068</v>
      </c>
      <c r="E637" s="6">
        <v>0.99</v>
      </c>
      <c r="F637" s="5">
        <v>0</v>
      </c>
      <c r="G637" s="5">
        <v>64.069999999999993</v>
      </c>
      <c r="H637" s="5">
        <v>793</v>
      </c>
      <c r="I637" s="5" t="str">
        <f>HYPERLINK("https://www.ncbi.nlm.nih.gov/protein/WP_168497051.1?report=genbank&amp;log$=prottop&amp;blast_rank=156&amp;RID=7U875CNM013","WP_168497051.1")</f>
        <v>WP_168497051.1</v>
      </c>
      <c r="J637" s="5" t="s">
        <v>2</v>
      </c>
    </row>
    <row r="638" spans="1:10" s="7" customFormat="1" x14ac:dyDescent="0.2">
      <c r="A638" s="5" t="s">
        <v>1100</v>
      </c>
      <c r="B638" s="5" t="s">
        <v>1101</v>
      </c>
      <c r="C638" s="5">
        <v>1090</v>
      </c>
      <c r="D638" s="5">
        <v>1090</v>
      </c>
      <c r="E638" s="6">
        <v>1</v>
      </c>
      <c r="F638" s="5">
        <v>0</v>
      </c>
      <c r="G638" s="5">
        <v>64.040000000000006</v>
      </c>
      <c r="H638" s="5">
        <v>833</v>
      </c>
      <c r="I638" s="5" t="str">
        <f>HYPERLINK("https://www.ncbi.nlm.nih.gov/protein/HCF28731.1?report=genbank&amp;log$=prottop&amp;blast_rank=199&amp;RID=7U875CNM013","HCF28731.1")</f>
        <v>HCF28731.1</v>
      </c>
      <c r="J638" s="5" t="s">
        <v>2</v>
      </c>
    </row>
    <row r="639" spans="1:10" s="7" customFormat="1" x14ac:dyDescent="0.2">
      <c r="A639" s="5" t="s">
        <v>1102</v>
      </c>
      <c r="B639" s="5" t="s">
        <v>1103</v>
      </c>
      <c r="C639" s="5">
        <v>1061</v>
      </c>
      <c r="D639" s="5">
        <v>1061</v>
      </c>
      <c r="E639" s="6">
        <v>0.99</v>
      </c>
      <c r="F639" s="5">
        <v>0</v>
      </c>
      <c r="G639" s="5">
        <v>64.040000000000006</v>
      </c>
      <c r="H639" s="5">
        <v>807</v>
      </c>
      <c r="I639" s="5" t="str">
        <f>HYPERLINK("https://www.ncbi.nlm.nih.gov/protein/WP_006170251.1?report=genbank&amp;log$=prottop&amp;blast_rank=200&amp;RID=7U875CNM013","WP_006170251.1")</f>
        <v>WP_006170251.1</v>
      </c>
      <c r="J639" s="5" t="s">
        <v>2</v>
      </c>
    </row>
    <row r="640" spans="1:10" s="7" customFormat="1" x14ac:dyDescent="0.2">
      <c r="A640" s="5" t="s">
        <v>1104</v>
      </c>
      <c r="B640" s="5" t="s">
        <v>1105</v>
      </c>
      <c r="C640" s="5">
        <v>1077</v>
      </c>
      <c r="D640" s="5">
        <v>1077</v>
      </c>
      <c r="E640" s="6">
        <v>0.98</v>
      </c>
      <c r="F640" s="5">
        <v>0</v>
      </c>
      <c r="G640" s="5">
        <v>64.040000000000006</v>
      </c>
      <c r="H640" s="5">
        <v>796</v>
      </c>
      <c r="I640" s="5" t="str">
        <f>HYPERLINK("https://www.ncbi.nlm.nih.gov/protein/WP_190442247.1?report=genbank&amp;log$=prottop&amp;blast_rank=201&amp;RID=7U875CNM013","WP_190442247.1")</f>
        <v>WP_190442247.1</v>
      </c>
      <c r="J640" s="5" t="s">
        <v>2</v>
      </c>
    </row>
    <row r="641" spans="1:10" s="7" customFormat="1" x14ac:dyDescent="0.2">
      <c r="A641" s="5" t="s">
        <v>1014</v>
      </c>
      <c r="B641" s="5" t="s">
        <v>1015</v>
      </c>
      <c r="C641" s="5">
        <v>1110</v>
      </c>
      <c r="D641" s="5">
        <v>1110</v>
      </c>
      <c r="E641" s="6">
        <v>1</v>
      </c>
      <c r="F641" s="5">
        <v>0</v>
      </c>
      <c r="G641" s="5">
        <v>64.040000000000006</v>
      </c>
      <c r="H641" s="5">
        <v>795</v>
      </c>
      <c r="I641" s="5" t="str">
        <f>HYPERLINK("https://www.ncbi.nlm.nih.gov/protein/WP_036488667.1?report=genbank&amp;log$=prottop&amp;blast_rank=212&amp;RID=7U875CNM013","WP_036488667.1")</f>
        <v>WP_036488667.1</v>
      </c>
      <c r="J641" s="5" t="s">
        <v>2</v>
      </c>
    </row>
    <row r="642" spans="1:10" s="7" customFormat="1" x14ac:dyDescent="0.2">
      <c r="A642" s="5" t="s">
        <v>1106</v>
      </c>
      <c r="B642" s="5" t="s">
        <v>1107</v>
      </c>
      <c r="C642" s="5">
        <v>1105</v>
      </c>
      <c r="D642" s="5">
        <v>1105</v>
      </c>
      <c r="E642" s="6">
        <v>0.98</v>
      </c>
      <c r="F642" s="5">
        <v>0</v>
      </c>
      <c r="G642" s="5">
        <v>64.03</v>
      </c>
      <c r="H642" s="5">
        <v>792</v>
      </c>
      <c r="I642" s="5" t="str">
        <f>HYPERLINK("https://www.ncbi.nlm.nih.gov/protein/WP_015228523.1?report=genbank&amp;log$=prottop&amp;blast_rank=216&amp;RID=7U875CNM013","WP_015228523.1")</f>
        <v>WP_015228523.1</v>
      </c>
      <c r="J642" s="5" t="s">
        <v>2</v>
      </c>
    </row>
    <row r="643" spans="1:10" s="7" customFormat="1" x14ac:dyDescent="0.2">
      <c r="A643" s="5" t="s">
        <v>292</v>
      </c>
      <c r="B643" s="5" t="s">
        <v>293</v>
      </c>
      <c r="C643" s="5">
        <v>1097</v>
      </c>
      <c r="D643" s="5">
        <v>1097</v>
      </c>
      <c r="E643" s="6">
        <v>0.98</v>
      </c>
      <c r="F643" s="5">
        <v>0</v>
      </c>
      <c r="G643" s="5">
        <v>64.03</v>
      </c>
      <c r="H643" s="5">
        <v>825</v>
      </c>
      <c r="I643" s="5" t="str">
        <f>HYPERLINK("https://www.ncbi.nlm.nih.gov/protein/WP_069969262.1?report=genbank&amp;log$=prottop&amp;blast_rank=217&amp;RID=7U875CNM013","WP_069969262.1")</f>
        <v>WP_069969262.1</v>
      </c>
      <c r="J643" s="5" t="s">
        <v>2</v>
      </c>
    </row>
    <row r="644" spans="1:10" s="7" customFormat="1" x14ac:dyDescent="0.2">
      <c r="A644" s="5" t="s">
        <v>1108</v>
      </c>
      <c r="B644" s="5" t="s">
        <v>1109</v>
      </c>
      <c r="C644" s="5">
        <v>1051</v>
      </c>
      <c r="D644" s="5">
        <v>1051</v>
      </c>
      <c r="E644" s="6">
        <v>0.98</v>
      </c>
      <c r="F644" s="5">
        <v>0</v>
      </c>
      <c r="G644" s="5">
        <v>64.02</v>
      </c>
      <c r="H644" s="5">
        <v>808</v>
      </c>
      <c r="I644" s="5" t="str">
        <f>HYPERLINK("https://www.ncbi.nlm.nih.gov/protein/MYG63194.1?report=genbank&amp;log$=prottop&amp;blast_rank=234&amp;RID=7U875CNM013","MYG63194.1")</f>
        <v>MYG63194.1</v>
      </c>
      <c r="J644" s="5" t="s">
        <v>2</v>
      </c>
    </row>
    <row r="645" spans="1:10" s="7" customFormat="1" x14ac:dyDescent="0.2">
      <c r="A645" s="5" t="s">
        <v>1110</v>
      </c>
      <c r="B645" s="5" t="s">
        <v>1111</v>
      </c>
      <c r="C645" s="5">
        <v>1083</v>
      </c>
      <c r="D645" s="5">
        <v>1083</v>
      </c>
      <c r="E645" s="6">
        <v>0.98</v>
      </c>
      <c r="F645" s="5">
        <v>0</v>
      </c>
      <c r="G645" s="5">
        <v>64.010000000000005</v>
      </c>
      <c r="H645" s="5">
        <v>793</v>
      </c>
      <c r="I645" s="5" t="str">
        <f>HYPERLINK("https://www.ncbi.nlm.nih.gov/protein/QSX68257.1?report=genbank&amp;log$=prottop&amp;blast_rank=241&amp;RID=7U875CNM013","QSX68257.1")</f>
        <v>QSX68257.1</v>
      </c>
      <c r="J645" s="5" t="s">
        <v>2</v>
      </c>
    </row>
    <row r="646" spans="1:10" s="7" customFormat="1" x14ac:dyDescent="0.2">
      <c r="A646" s="5" t="s">
        <v>1112</v>
      </c>
      <c r="B646" s="5" t="s">
        <v>1113</v>
      </c>
      <c r="C646" s="5">
        <v>1087</v>
      </c>
      <c r="D646" s="5">
        <v>1087</v>
      </c>
      <c r="E646" s="6">
        <v>0.98</v>
      </c>
      <c r="F646" s="5">
        <v>0</v>
      </c>
      <c r="G646" s="5">
        <v>63.99</v>
      </c>
      <c r="H646" s="5">
        <v>828</v>
      </c>
      <c r="I646" s="5" t="str">
        <f>HYPERLINK("https://www.ncbi.nlm.nih.gov/protein/NJL40809.1?report=genbank&amp;log$=prottop&amp;blast_rank=1&amp;RID=7U875CNM013","NJL40809.1")</f>
        <v>NJL40809.1</v>
      </c>
      <c r="J646" s="5" t="s">
        <v>2</v>
      </c>
    </row>
    <row r="647" spans="1:10" s="7" customFormat="1" x14ac:dyDescent="0.2">
      <c r="A647" s="5" t="s">
        <v>1114</v>
      </c>
      <c r="B647" s="5" t="s">
        <v>1115</v>
      </c>
      <c r="C647" s="5">
        <v>1083</v>
      </c>
      <c r="D647" s="5">
        <v>1083</v>
      </c>
      <c r="E647" s="6">
        <v>0.98</v>
      </c>
      <c r="F647" s="5">
        <v>0</v>
      </c>
      <c r="G647" s="5">
        <v>63.99</v>
      </c>
      <c r="H647" s="5">
        <v>793</v>
      </c>
      <c r="I647" s="5" t="str">
        <f>HYPERLINK("https://www.ncbi.nlm.nih.gov/protein/MBI1241648.1?report=genbank&amp;log$=prottop&amp;blast_rank=2&amp;RID=7U875CNM013","MBI1241648.1")</f>
        <v>MBI1241648.1</v>
      </c>
      <c r="J647" s="5" t="s">
        <v>2</v>
      </c>
    </row>
    <row r="648" spans="1:10" s="7" customFormat="1" x14ac:dyDescent="0.2">
      <c r="A648" s="5" t="s">
        <v>750</v>
      </c>
      <c r="B648" s="5" t="s">
        <v>751</v>
      </c>
      <c r="C648" s="5">
        <v>1083</v>
      </c>
      <c r="D648" s="5">
        <v>1083</v>
      </c>
      <c r="E648" s="6">
        <v>0.98</v>
      </c>
      <c r="F648" s="5">
        <v>0</v>
      </c>
      <c r="G648" s="5">
        <v>63.99</v>
      </c>
      <c r="H648" s="5">
        <v>793</v>
      </c>
      <c r="I648" s="5" t="str">
        <f>HYPERLINK("https://www.ncbi.nlm.nih.gov/protein/WP_015079103.1?report=genbank&amp;log$=prottop&amp;blast_rank=3&amp;RID=7U875CNM013","WP_015079103.1")</f>
        <v>WP_015079103.1</v>
      </c>
      <c r="J648" s="5" t="s">
        <v>2</v>
      </c>
    </row>
    <row r="649" spans="1:10" s="7" customFormat="1" x14ac:dyDescent="0.2">
      <c r="A649" s="5" t="s">
        <v>1116</v>
      </c>
      <c r="B649" s="5" t="s">
        <v>1117</v>
      </c>
      <c r="C649" s="5">
        <v>1082</v>
      </c>
      <c r="D649" s="5">
        <v>1082</v>
      </c>
      <c r="E649" s="6">
        <v>0.98</v>
      </c>
      <c r="F649" s="5">
        <v>0</v>
      </c>
      <c r="G649" s="5">
        <v>63.99</v>
      </c>
      <c r="H649" s="5">
        <v>793</v>
      </c>
      <c r="I649" s="5" t="str">
        <f>HYPERLINK("https://www.ncbi.nlm.nih.gov/protein/MBO1054867.1?report=genbank&amp;log$=prottop&amp;blast_rank=4&amp;RID=7U875CNM013","MBO1054867.1")</f>
        <v>MBO1054867.1</v>
      </c>
      <c r="J649" s="5" t="s">
        <v>2</v>
      </c>
    </row>
    <row r="650" spans="1:10" s="7" customFormat="1" x14ac:dyDescent="0.2">
      <c r="A650" s="5" t="s">
        <v>961</v>
      </c>
      <c r="B650" s="5" t="s">
        <v>962</v>
      </c>
      <c r="C650" s="5">
        <v>1082</v>
      </c>
      <c r="D650" s="5">
        <v>1082</v>
      </c>
      <c r="E650" s="6">
        <v>0.98</v>
      </c>
      <c r="F650" s="5">
        <v>0</v>
      </c>
      <c r="G650" s="5">
        <v>63.99</v>
      </c>
      <c r="H650" s="5">
        <v>793</v>
      </c>
      <c r="I650" s="5" t="str">
        <f>HYPERLINK("https://www.ncbi.nlm.nih.gov/protein/WP_168694986.1?report=genbank&amp;log$=prottop&amp;blast_rank=5&amp;RID=7U875CNM013","WP_168694986.1")</f>
        <v>WP_168694986.1</v>
      </c>
      <c r="J650" s="5" t="s">
        <v>2</v>
      </c>
    </row>
    <row r="651" spans="1:10" s="7" customFormat="1" x14ac:dyDescent="0.2">
      <c r="A651" s="5" t="s">
        <v>1118</v>
      </c>
      <c r="B651" s="5" t="s">
        <v>1119</v>
      </c>
      <c r="C651" s="5">
        <v>1082</v>
      </c>
      <c r="D651" s="5">
        <v>1082</v>
      </c>
      <c r="E651" s="6">
        <v>0.98</v>
      </c>
      <c r="F651" s="5">
        <v>0</v>
      </c>
      <c r="G651" s="5">
        <v>63.99</v>
      </c>
      <c r="H651" s="5">
        <v>793</v>
      </c>
      <c r="I651" s="5" t="str">
        <f>HYPERLINK("https://www.ncbi.nlm.nih.gov/protein/QSV53620.1?report=genbank&amp;log$=prottop&amp;blast_rank=6&amp;RID=7U875CNM013","QSV53620.1")</f>
        <v>QSV53620.1</v>
      </c>
      <c r="J651" s="5" t="s">
        <v>2</v>
      </c>
    </row>
    <row r="652" spans="1:10" s="7" customFormat="1" x14ac:dyDescent="0.2">
      <c r="A652" s="5" t="s">
        <v>1120</v>
      </c>
      <c r="B652" s="5" t="s">
        <v>1121</v>
      </c>
      <c r="C652" s="5">
        <v>1076</v>
      </c>
      <c r="D652" s="5">
        <v>1076</v>
      </c>
      <c r="E652" s="6">
        <v>0.98</v>
      </c>
      <c r="F652" s="5">
        <v>0</v>
      </c>
      <c r="G652" s="5">
        <v>63.99</v>
      </c>
      <c r="H652" s="5">
        <v>793</v>
      </c>
      <c r="I652" s="5" t="str">
        <f>HYPERLINK("https://www.ncbi.nlm.nih.gov/protein/RCJ32674.1?report=genbank&amp;log$=prottop&amp;blast_rank=9&amp;RID=7U875CNM013","RCJ32674.1")</f>
        <v>RCJ32674.1</v>
      </c>
      <c r="J652" s="5" t="s">
        <v>2</v>
      </c>
    </row>
    <row r="653" spans="1:10" s="7" customFormat="1" x14ac:dyDescent="0.2">
      <c r="A653" s="5" t="s">
        <v>1122</v>
      </c>
      <c r="B653" s="5" t="s">
        <v>1123</v>
      </c>
      <c r="C653" s="5">
        <v>1075</v>
      </c>
      <c r="D653" s="5">
        <v>1075</v>
      </c>
      <c r="E653" s="6">
        <v>0.98</v>
      </c>
      <c r="F653" s="5">
        <v>0</v>
      </c>
      <c r="G653" s="5">
        <v>63.99</v>
      </c>
      <c r="H653" s="5">
        <v>793</v>
      </c>
      <c r="I653" s="5" t="str">
        <f>HYPERLINK("https://www.ncbi.nlm.nih.gov/protein/WP_104905303.1?report=genbank&amp;log$=prottop&amp;blast_rank=10&amp;RID=7U875CNM013","WP_104905303.1")</f>
        <v>WP_104905303.1</v>
      </c>
      <c r="J653" s="5" t="s">
        <v>2</v>
      </c>
    </row>
    <row r="654" spans="1:10" s="7" customFormat="1" x14ac:dyDescent="0.2">
      <c r="A654" s="5" t="s">
        <v>710</v>
      </c>
      <c r="B654" s="5" t="s">
        <v>711</v>
      </c>
      <c r="C654" s="5">
        <v>1075</v>
      </c>
      <c r="D654" s="5">
        <v>1075</v>
      </c>
      <c r="E654" s="6">
        <v>0.98</v>
      </c>
      <c r="F654" s="5">
        <v>0</v>
      </c>
      <c r="G654" s="5">
        <v>63.99</v>
      </c>
      <c r="H654" s="5">
        <v>793</v>
      </c>
      <c r="I654" s="5" t="str">
        <f>HYPERLINK("https://www.ncbi.nlm.nih.gov/protein/WP_185580318.1?report=genbank&amp;log$=prottop&amp;blast_rank=11&amp;RID=7U875CNM013","WP_185580318.1")</f>
        <v>WP_185580318.1</v>
      </c>
      <c r="J654" s="5" t="s">
        <v>2</v>
      </c>
    </row>
    <row r="655" spans="1:10" s="7" customFormat="1" x14ac:dyDescent="0.2">
      <c r="A655" s="5" t="s">
        <v>1124</v>
      </c>
      <c r="B655" s="5" t="s">
        <v>1125</v>
      </c>
      <c r="C655" s="5">
        <v>1073</v>
      </c>
      <c r="D655" s="5">
        <v>1073</v>
      </c>
      <c r="E655" s="6">
        <v>0.98</v>
      </c>
      <c r="F655" s="5">
        <v>0</v>
      </c>
      <c r="G655" s="5">
        <v>63.99</v>
      </c>
      <c r="H655" s="5">
        <v>793</v>
      </c>
      <c r="I655" s="5" t="str">
        <f>HYPERLINK("https://www.ncbi.nlm.nih.gov/protein/MBE8971038.1?report=genbank&amp;log$=prottop&amp;blast_rank=14&amp;RID=7U875CNM013","MBE8971038.1")</f>
        <v>MBE8971038.1</v>
      </c>
      <c r="J655" s="5" t="s">
        <v>2</v>
      </c>
    </row>
    <row r="656" spans="1:10" s="7" customFormat="1" x14ac:dyDescent="0.2">
      <c r="A656" s="5" t="s">
        <v>1126</v>
      </c>
      <c r="B656" s="5" t="s">
        <v>1127</v>
      </c>
      <c r="C656" s="5">
        <v>1056</v>
      </c>
      <c r="D656" s="5">
        <v>1056</v>
      </c>
      <c r="E656" s="6">
        <v>0.98</v>
      </c>
      <c r="F656" s="5">
        <v>0</v>
      </c>
      <c r="G656" s="5">
        <v>63.99</v>
      </c>
      <c r="H656" s="5">
        <v>800</v>
      </c>
      <c r="I656" s="5" t="str">
        <f>HYPERLINK("https://www.ncbi.nlm.nih.gov/protein/WP_040673823.1?report=genbank&amp;log$=prottop&amp;blast_rank=18&amp;RID=7U875CNM013","WP_040673823.1")</f>
        <v>WP_040673823.1</v>
      </c>
      <c r="J656" s="5" t="s">
        <v>2</v>
      </c>
    </row>
    <row r="657" spans="1:10" s="7" customFormat="1" x14ac:dyDescent="0.2">
      <c r="A657" s="5" t="s">
        <v>1128</v>
      </c>
      <c r="B657" s="5" t="s">
        <v>1129</v>
      </c>
      <c r="C657" s="5">
        <v>1088</v>
      </c>
      <c r="D657" s="5">
        <v>1088</v>
      </c>
      <c r="E657" s="6">
        <v>0.99</v>
      </c>
      <c r="F657" s="5">
        <v>0</v>
      </c>
      <c r="G657" s="5">
        <v>63.99</v>
      </c>
      <c r="H657" s="5">
        <v>824</v>
      </c>
      <c r="I657" s="5" t="str">
        <f>HYPERLINK("https://www.ncbi.nlm.nih.gov/protein/WP_172185957.1?report=genbank&amp;log$=prottop&amp;blast_rank=25&amp;RID=7U875CNM013","WP_172185957.1")</f>
        <v>WP_172185957.1</v>
      </c>
      <c r="J657" s="5" t="s">
        <v>2</v>
      </c>
    </row>
    <row r="658" spans="1:10" s="7" customFormat="1" x14ac:dyDescent="0.2">
      <c r="A658" s="5" t="s">
        <v>1130</v>
      </c>
      <c r="B658" s="5" t="s">
        <v>1131</v>
      </c>
      <c r="C658" s="5">
        <v>1077</v>
      </c>
      <c r="D658" s="5">
        <v>1077</v>
      </c>
      <c r="E658" s="6">
        <v>0.98</v>
      </c>
      <c r="F658" s="5">
        <v>0</v>
      </c>
      <c r="G658" s="5">
        <v>63.91</v>
      </c>
      <c r="H658" s="5">
        <v>796</v>
      </c>
      <c r="I658" s="5" t="str">
        <f>HYPERLINK("https://www.ncbi.nlm.nih.gov/protein/WP_190635887.1?report=genbank&amp;log$=prottop&amp;blast_rank=99&amp;RID=7U875CNM013","WP_190635887.1")</f>
        <v>WP_190635887.1</v>
      </c>
      <c r="J658" s="5" t="s">
        <v>2</v>
      </c>
    </row>
    <row r="659" spans="1:10" s="7" customFormat="1" x14ac:dyDescent="0.2">
      <c r="A659" s="5" t="s">
        <v>1132</v>
      </c>
      <c r="B659" s="5" t="s">
        <v>1133</v>
      </c>
      <c r="C659" s="5">
        <v>1075</v>
      </c>
      <c r="D659" s="5">
        <v>1075</v>
      </c>
      <c r="E659" s="6">
        <v>0.98</v>
      </c>
      <c r="F659" s="5">
        <v>0</v>
      </c>
      <c r="G659" s="5">
        <v>63.91</v>
      </c>
      <c r="H659" s="5">
        <v>796</v>
      </c>
      <c r="I659" s="5" t="str">
        <f>HYPERLINK("https://www.ncbi.nlm.nih.gov/protein/MBD1832255.1?report=genbank&amp;log$=prottop&amp;blast_rank=101&amp;RID=7U875CNM013","MBD1832255.1")</f>
        <v>MBD1832255.1</v>
      </c>
      <c r="J659" s="5" t="s">
        <v>2</v>
      </c>
    </row>
    <row r="660" spans="1:10" s="7" customFormat="1" x14ac:dyDescent="0.2">
      <c r="A660" s="5" t="s">
        <v>1134</v>
      </c>
      <c r="B660" s="5" t="s">
        <v>1135</v>
      </c>
      <c r="C660" s="5">
        <v>1055</v>
      </c>
      <c r="D660" s="5">
        <v>1055</v>
      </c>
      <c r="E660" s="6">
        <v>0.99</v>
      </c>
      <c r="F660" s="5">
        <v>0</v>
      </c>
      <c r="G660" s="5">
        <v>63.91</v>
      </c>
      <c r="H660" s="5">
        <v>803</v>
      </c>
      <c r="I660" s="5" t="str">
        <f>HYPERLINK("https://www.ncbi.nlm.nih.gov/protein/MYF35992.1?report=genbank&amp;log$=prottop&amp;blast_rank=115&amp;RID=7U875CNM013","MYF35992.1")</f>
        <v>MYF35992.1</v>
      </c>
      <c r="J660" s="5" t="s">
        <v>2</v>
      </c>
    </row>
    <row r="661" spans="1:10" s="7" customFormat="1" x14ac:dyDescent="0.2">
      <c r="A661" s="5" t="s">
        <v>1136</v>
      </c>
      <c r="B661" s="5" t="s">
        <v>1137</v>
      </c>
      <c r="C661" s="5">
        <v>1100</v>
      </c>
      <c r="D661" s="5">
        <v>1100</v>
      </c>
      <c r="E661" s="6">
        <v>0.98</v>
      </c>
      <c r="F661" s="5">
        <v>0</v>
      </c>
      <c r="G661" s="5">
        <v>63.9</v>
      </c>
      <c r="H661" s="5">
        <v>792</v>
      </c>
      <c r="I661" s="5" t="str">
        <f>HYPERLINK("https://www.ncbi.nlm.nih.gov/protein/PNW54742.1?report=genbank&amp;log$=prottop&amp;blast_rank=116&amp;RID=7U875CNM013","PNW54742.1")</f>
        <v>PNW54742.1</v>
      </c>
      <c r="J661" s="5" t="s">
        <v>2</v>
      </c>
    </row>
    <row r="662" spans="1:10" s="7" customFormat="1" x14ac:dyDescent="0.2">
      <c r="A662" s="5" t="s">
        <v>1138</v>
      </c>
      <c r="B662" s="5" t="s">
        <v>1139</v>
      </c>
      <c r="C662" s="5">
        <v>1098</v>
      </c>
      <c r="D662" s="5">
        <v>1098</v>
      </c>
      <c r="E662" s="6">
        <v>0.98</v>
      </c>
      <c r="F662" s="5">
        <v>0</v>
      </c>
      <c r="G662" s="5">
        <v>63.9</v>
      </c>
      <c r="H662" s="5">
        <v>792</v>
      </c>
      <c r="I662" s="5" t="str">
        <f>HYPERLINK("https://www.ncbi.nlm.nih.gov/protein/WP_146294572.1?report=genbank&amp;log$=prottop&amp;blast_rank=117&amp;RID=7U875CNM013","WP_146294572.1")</f>
        <v>WP_146294572.1</v>
      </c>
      <c r="J662" s="5" t="s">
        <v>2</v>
      </c>
    </row>
    <row r="663" spans="1:10" s="7" customFormat="1" x14ac:dyDescent="0.2">
      <c r="A663" s="5" t="s">
        <v>1140</v>
      </c>
      <c r="B663" s="5" t="s">
        <v>1141</v>
      </c>
      <c r="C663" s="5">
        <v>1088</v>
      </c>
      <c r="D663" s="5">
        <v>1088</v>
      </c>
      <c r="E663" s="6">
        <v>0.98</v>
      </c>
      <c r="F663" s="5">
        <v>0</v>
      </c>
      <c r="G663" s="5">
        <v>63.87</v>
      </c>
      <c r="H663" s="5">
        <v>802</v>
      </c>
      <c r="I663" s="5" t="str">
        <f>HYPERLINK("https://www.ncbi.nlm.nih.gov/protein/WP_193878251.1?report=genbank&amp;log$=prottop&amp;blast_rank=172&amp;RID=7U875CNM013","WP_193878251.1")</f>
        <v>WP_193878251.1</v>
      </c>
      <c r="J663" s="5" t="s">
        <v>2</v>
      </c>
    </row>
    <row r="664" spans="1:10" s="7" customFormat="1" x14ac:dyDescent="0.2">
      <c r="A664" s="5" t="s">
        <v>1142</v>
      </c>
      <c r="B664" s="5" t="s">
        <v>1143</v>
      </c>
      <c r="C664" s="5">
        <v>1082</v>
      </c>
      <c r="D664" s="5">
        <v>1082</v>
      </c>
      <c r="E664" s="6">
        <v>0.98</v>
      </c>
      <c r="F664" s="5">
        <v>0</v>
      </c>
      <c r="G664" s="5">
        <v>63.87</v>
      </c>
      <c r="H664" s="5">
        <v>793</v>
      </c>
      <c r="I664" s="5" t="str">
        <f>HYPERLINK("https://www.ncbi.nlm.nih.gov/protein/CEJ44436.1?report=genbank&amp;log$=prottop&amp;blast_rank=173&amp;RID=7U875CNM013","CEJ44436.1")</f>
        <v>CEJ44436.1</v>
      </c>
      <c r="J664" s="5" t="s">
        <v>2</v>
      </c>
    </row>
    <row r="665" spans="1:10" s="7" customFormat="1" x14ac:dyDescent="0.2">
      <c r="A665" s="5" t="s">
        <v>1144</v>
      </c>
      <c r="B665" s="5" t="s">
        <v>1145</v>
      </c>
      <c r="C665" s="5">
        <v>1080</v>
      </c>
      <c r="D665" s="5">
        <v>1080</v>
      </c>
      <c r="E665" s="6">
        <v>0.98</v>
      </c>
      <c r="F665" s="5">
        <v>0</v>
      </c>
      <c r="G665" s="5">
        <v>63.87</v>
      </c>
      <c r="H665" s="5">
        <v>793</v>
      </c>
      <c r="I665" s="5" t="str">
        <f>HYPERLINK("https://www.ncbi.nlm.nih.gov/protein/WP_168634283.1?report=genbank&amp;log$=prottop&amp;blast_rank=174&amp;RID=7U875CNM013","WP_168634283.1")</f>
        <v>WP_168634283.1</v>
      </c>
      <c r="J665" s="5" t="s">
        <v>2</v>
      </c>
    </row>
    <row r="666" spans="1:10" s="7" customFormat="1" x14ac:dyDescent="0.2">
      <c r="A666" s="5" t="s">
        <v>1146</v>
      </c>
      <c r="B666" s="5" t="s">
        <v>1147</v>
      </c>
      <c r="C666" s="5">
        <v>1076</v>
      </c>
      <c r="D666" s="5">
        <v>1076</v>
      </c>
      <c r="E666" s="6">
        <v>0.98</v>
      </c>
      <c r="F666" s="5">
        <v>0</v>
      </c>
      <c r="G666" s="5">
        <v>63.87</v>
      </c>
      <c r="H666" s="5">
        <v>793</v>
      </c>
      <c r="I666" s="5" t="str">
        <f>HYPERLINK("https://www.ncbi.nlm.nih.gov/protein/MBN3888038.1?report=genbank&amp;log$=prottop&amp;blast_rank=175&amp;RID=7U875CNM013","MBN3888038.1")</f>
        <v>MBN3888038.1</v>
      </c>
      <c r="J666" s="5" t="s">
        <v>2</v>
      </c>
    </row>
    <row r="667" spans="1:10" s="7" customFormat="1" x14ac:dyDescent="0.2">
      <c r="A667" s="5" t="s">
        <v>1148</v>
      </c>
      <c r="B667" s="5" t="s">
        <v>1149</v>
      </c>
      <c r="C667" s="5">
        <v>1097</v>
      </c>
      <c r="D667" s="5">
        <v>1097</v>
      </c>
      <c r="E667" s="6">
        <v>0.99</v>
      </c>
      <c r="F667" s="5">
        <v>0</v>
      </c>
      <c r="G667" s="5">
        <v>63.86</v>
      </c>
      <c r="H667" s="5">
        <v>827</v>
      </c>
      <c r="I667" s="5" t="str">
        <f>HYPERLINK("https://www.ncbi.nlm.nih.gov/protein/WP_192217845.1?report=genbank&amp;log$=prottop&amp;blast_rank=188&amp;RID=7U875CNM013","WP_192217845.1")</f>
        <v>WP_192217845.1</v>
      </c>
      <c r="J667" s="5" t="s">
        <v>2</v>
      </c>
    </row>
    <row r="668" spans="1:10" s="7" customFormat="1" x14ac:dyDescent="0.2">
      <c r="A668" s="5" t="s">
        <v>945</v>
      </c>
      <c r="B668" s="5" t="s">
        <v>946</v>
      </c>
      <c r="C668" s="5">
        <v>1093</v>
      </c>
      <c r="D668" s="5">
        <v>1093</v>
      </c>
      <c r="E668" s="6">
        <v>0.99</v>
      </c>
      <c r="F668" s="5">
        <v>0</v>
      </c>
      <c r="G668" s="5">
        <v>63.86</v>
      </c>
      <c r="H668" s="5">
        <v>823</v>
      </c>
      <c r="I668" s="5" t="str">
        <f>HYPERLINK("https://www.ncbi.nlm.nih.gov/protein/TAE85529.1?report=genbank&amp;log$=prottop&amp;blast_rank=189&amp;RID=7U875CNM013","TAE85529.1")</f>
        <v>TAE85529.1</v>
      </c>
      <c r="J668" s="5" t="s">
        <v>2</v>
      </c>
    </row>
    <row r="669" spans="1:10" s="7" customFormat="1" x14ac:dyDescent="0.2">
      <c r="A669" s="5" t="s">
        <v>1152</v>
      </c>
      <c r="B669" s="5" t="s">
        <v>1153</v>
      </c>
      <c r="C669" s="5">
        <v>1051</v>
      </c>
      <c r="D669" s="5">
        <v>1051</v>
      </c>
      <c r="E669" s="6">
        <v>0.99</v>
      </c>
      <c r="F669" s="5">
        <v>0</v>
      </c>
      <c r="G669" s="5">
        <v>63.86</v>
      </c>
      <c r="H669" s="5">
        <v>801</v>
      </c>
      <c r="I669" s="5" t="str">
        <f>HYPERLINK("https://www.ncbi.nlm.nih.gov/protein/MBM5790722.1?report=genbank&amp;log$=prottop&amp;blast_rank=191&amp;RID=7U875CNM013","MBM5790722.1")</f>
        <v>MBM5790722.1</v>
      </c>
      <c r="J669" s="5" t="s">
        <v>2</v>
      </c>
    </row>
    <row r="670" spans="1:10" s="7" customFormat="1" x14ac:dyDescent="0.2">
      <c r="A670" s="5" t="s">
        <v>1154</v>
      </c>
      <c r="B670" s="5" t="s">
        <v>1155</v>
      </c>
      <c r="C670" s="5">
        <v>1048</v>
      </c>
      <c r="D670" s="5">
        <v>1048</v>
      </c>
      <c r="E670" s="6">
        <v>0.97</v>
      </c>
      <c r="F670" s="5">
        <v>0</v>
      </c>
      <c r="G670" s="5">
        <v>63.86</v>
      </c>
      <c r="H670" s="5">
        <v>805</v>
      </c>
      <c r="I670" s="5" t="str">
        <f>HYPERLINK("https://www.ncbi.nlm.nih.gov/protein/MBM5822156.1?report=genbank&amp;log$=prottop&amp;blast_rank=192&amp;RID=7U875CNM013","MBM5822156.1")</f>
        <v>MBM5822156.1</v>
      </c>
      <c r="J670" s="5" t="s">
        <v>2</v>
      </c>
    </row>
    <row r="671" spans="1:10" s="7" customFormat="1" x14ac:dyDescent="0.2">
      <c r="A671" s="5" t="s">
        <v>1158</v>
      </c>
      <c r="B671" s="5" t="s">
        <v>1159</v>
      </c>
      <c r="C671" s="5">
        <v>1075</v>
      </c>
      <c r="D671" s="5">
        <v>1075</v>
      </c>
      <c r="E671" s="6">
        <v>0.98</v>
      </c>
      <c r="F671" s="5">
        <v>0</v>
      </c>
      <c r="G671" s="5">
        <v>63.79</v>
      </c>
      <c r="H671" s="5">
        <v>796</v>
      </c>
      <c r="I671" s="5" t="str">
        <f>HYPERLINK("https://www.ncbi.nlm.nih.gov/protein/WP_190456540.1?report=genbank&amp;log$=prottop&amp;blast_rank=73&amp;RID=7U875CNM013","WP_190456540.1")</f>
        <v>WP_190456540.1</v>
      </c>
      <c r="J671" s="5" t="s">
        <v>2</v>
      </c>
    </row>
    <row r="672" spans="1:10" s="7" customFormat="1" x14ac:dyDescent="0.2">
      <c r="A672" s="5" t="s">
        <v>1160</v>
      </c>
      <c r="B672" s="5" t="s">
        <v>1161</v>
      </c>
      <c r="C672" s="5">
        <v>1072</v>
      </c>
      <c r="D672" s="5">
        <v>1072</v>
      </c>
      <c r="E672" s="6">
        <v>0.98</v>
      </c>
      <c r="F672" s="5">
        <v>0</v>
      </c>
      <c r="G672" s="5">
        <v>63.79</v>
      </c>
      <c r="H672" s="5">
        <v>796</v>
      </c>
      <c r="I672" s="5" t="str">
        <f>HYPERLINK("https://www.ncbi.nlm.nih.gov/protein/WP_190417818.1?report=genbank&amp;log$=prottop&amp;blast_rank=74&amp;RID=7U875CNM013","WP_190417818.1")</f>
        <v>WP_190417818.1</v>
      </c>
      <c r="J672" s="5" t="s">
        <v>2</v>
      </c>
    </row>
    <row r="673" spans="1:10" s="7" customFormat="1" x14ac:dyDescent="0.2">
      <c r="A673" s="5" t="s">
        <v>1162</v>
      </c>
      <c r="B673" s="5" t="s">
        <v>1163</v>
      </c>
      <c r="C673" s="5">
        <v>1087</v>
      </c>
      <c r="D673" s="5">
        <v>1087</v>
      </c>
      <c r="E673" s="6">
        <v>0.99</v>
      </c>
      <c r="F673" s="5">
        <v>0</v>
      </c>
      <c r="G673" s="5">
        <v>63.76</v>
      </c>
      <c r="H673" s="5">
        <v>829</v>
      </c>
      <c r="I673" s="5" t="str">
        <f>HYPERLINK("https://www.ncbi.nlm.nih.gov/protein/WP_208348779.1?report=genbank&amp;log$=prottop&amp;blast_rank=108&amp;RID=7U875CNM013","WP_208348779.1")</f>
        <v>WP_208348779.1</v>
      </c>
      <c r="J673" s="5" t="s">
        <v>2</v>
      </c>
    </row>
    <row r="674" spans="1:10" s="7" customFormat="1" x14ac:dyDescent="0.2">
      <c r="A674" s="5" t="s">
        <v>336</v>
      </c>
      <c r="B674" s="5" t="s">
        <v>337</v>
      </c>
      <c r="C674" s="5">
        <v>1078</v>
      </c>
      <c r="D674" s="5">
        <v>1078</v>
      </c>
      <c r="E674" s="6">
        <v>0.99</v>
      </c>
      <c r="F674" s="5">
        <v>0</v>
      </c>
      <c r="G674" s="5">
        <v>63.76</v>
      </c>
      <c r="H674" s="5">
        <v>829</v>
      </c>
      <c r="I674" s="5" t="str">
        <f>HYPERLINK("https://www.ncbi.nlm.nih.gov/protein/WP_206815106.1?report=genbank&amp;log$=prottop&amp;blast_rank=109&amp;RID=7U875CNM013","WP_206815106.1")</f>
        <v>WP_206815106.1</v>
      </c>
      <c r="J674" s="5" t="s">
        <v>2</v>
      </c>
    </row>
    <row r="675" spans="1:10" s="7" customFormat="1" x14ac:dyDescent="0.2">
      <c r="A675" s="5" t="s">
        <v>1164</v>
      </c>
      <c r="B675" s="5" t="s">
        <v>1165</v>
      </c>
      <c r="C675" s="5">
        <v>1075</v>
      </c>
      <c r="D675" s="5">
        <v>1075</v>
      </c>
      <c r="E675" s="6">
        <v>0.98</v>
      </c>
      <c r="F675" s="5">
        <v>0</v>
      </c>
      <c r="G675" s="5">
        <v>63.74</v>
      </c>
      <c r="H675" s="5">
        <v>793</v>
      </c>
      <c r="I675" s="5" t="str">
        <f>HYPERLINK("https://www.ncbi.nlm.nih.gov/protein/MBN3883987.1?report=genbank&amp;log$=prottop&amp;blast_rank=129&amp;RID=7U875CNM013","MBN3883987.1")</f>
        <v>MBN3883987.1</v>
      </c>
      <c r="J675" s="5" t="s">
        <v>2</v>
      </c>
    </row>
    <row r="676" spans="1:10" s="7" customFormat="1" x14ac:dyDescent="0.2">
      <c r="A676" s="5" t="s">
        <v>1166</v>
      </c>
      <c r="B676" s="5" t="s">
        <v>271</v>
      </c>
      <c r="C676" s="5">
        <v>1067</v>
      </c>
      <c r="D676" s="5">
        <v>1067</v>
      </c>
      <c r="E676" s="6">
        <v>0.98</v>
      </c>
      <c r="F676" s="5">
        <v>0</v>
      </c>
      <c r="G676" s="5">
        <v>63.74</v>
      </c>
      <c r="H676" s="5">
        <v>832</v>
      </c>
      <c r="I676" s="5" t="str">
        <f>HYPERLINK("https://www.ncbi.nlm.nih.gov/protein/WP_191131905.1?report=genbank&amp;log$=prottop&amp;blast_rank=131&amp;RID=7U875CNM013","WP_191131905.1")</f>
        <v>WP_191131905.1</v>
      </c>
      <c r="J676" s="5" t="s">
        <v>2</v>
      </c>
    </row>
    <row r="677" spans="1:10" s="7" customFormat="1" x14ac:dyDescent="0.2">
      <c r="A677" s="5" t="s">
        <v>237</v>
      </c>
      <c r="B677" s="5" t="s">
        <v>238</v>
      </c>
      <c r="C677" s="5">
        <v>1039</v>
      </c>
      <c r="D677" s="5">
        <v>1039</v>
      </c>
      <c r="E677" s="6">
        <v>0.98</v>
      </c>
      <c r="F677" s="5">
        <v>0</v>
      </c>
      <c r="G677" s="5">
        <v>63.71</v>
      </c>
      <c r="H677" s="5">
        <v>806</v>
      </c>
      <c r="I677" s="5" t="str">
        <f>HYPERLINK("https://www.ncbi.nlm.nih.gov/protein/PZO42259.1?report=genbank&amp;log$=prottop&amp;blast_rank=159&amp;RID=7U875CNM013","PZO42259.1")</f>
        <v>PZO42259.1</v>
      </c>
      <c r="J677" s="5" t="s">
        <v>2</v>
      </c>
    </row>
    <row r="678" spans="1:10" s="7" customFormat="1" x14ac:dyDescent="0.2">
      <c r="A678" s="5" t="s">
        <v>836</v>
      </c>
      <c r="B678" s="5" t="s">
        <v>837</v>
      </c>
      <c r="C678" s="5">
        <v>1086</v>
      </c>
      <c r="D678" s="5">
        <v>1086</v>
      </c>
      <c r="E678" s="6">
        <v>0.99</v>
      </c>
      <c r="F678" s="5">
        <v>0</v>
      </c>
      <c r="G678" s="5">
        <v>63.69</v>
      </c>
      <c r="H678" s="5">
        <v>793</v>
      </c>
      <c r="I678" s="5" t="str">
        <f>HYPERLINK("https://www.ncbi.nlm.nih.gov/protein/WP_200323641.1?report=genbank&amp;log$=prottop&amp;blast_rank=168&amp;RID=7U875CNM013","WP_200323641.1")</f>
        <v>WP_200323641.1</v>
      </c>
      <c r="J678" s="5" t="s">
        <v>2</v>
      </c>
    </row>
    <row r="679" spans="1:10" s="7" customFormat="1" x14ac:dyDescent="0.2">
      <c r="A679" s="5" t="s">
        <v>1167</v>
      </c>
      <c r="B679" s="5" t="s">
        <v>1064</v>
      </c>
      <c r="C679" s="5">
        <v>1084</v>
      </c>
      <c r="D679" s="5">
        <v>1084</v>
      </c>
      <c r="E679" s="6">
        <v>0.99</v>
      </c>
      <c r="F679" s="5">
        <v>0</v>
      </c>
      <c r="G679" s="5">
        <v>63.69</v>
      </c>
      <c r="H679" s="5">
        <v>793</v>
      </c>
      <c r="I679" s="5" t="str">
        <f>HYPERLINK("https://www.ncbi.nlm.nih.gov/protein/WP_104388612.1?report=genbank&amp;log$=prottop&amp;blast_rank=169&amp;RID=7U875CNM013","WP_104388612.1")</f>
        <v>WP_104388612.1</v>
      </c>
      <c r="J679" s="5" t="s">
        <v>2</v>
      </c>
    </row>
    <row r="680" spans="1:10" s="7" customFormat="1" x14ac:dyDescent="0.2">
      <c r="A680" s="5" t="s">
        <v>1168</v>
      </c>
      <c r="B680" s="5" t="s">
        <v>858</v>
      </c>
      <c r="C680" s="5">
        <v>1085</v>
      </c>
      <c r="D680" s="5">
        <v>1085</v>
      </c>
      <c r="E680" s="6">
        <v>0.98</v>
      </c>
      <c r="F680" s="5">
        <v>0</v>
      </c>
      <c r="G680" s="5">
        <v>63.67</v>
      </c>
      <c r="H680" s="5">
        <v>805</v>
      </c>
      <c r="I680" s="5" t="str">
        <f>HYPERLINK("https://www.ncbi.nlm.nih.gov/protein/WP_096688771.1?report=genbank&amp;log$=prottop&amp;blast_rank=206&amp;RID=7U875CNM013","WP_096688771.1")</f>
        <v>WP_096688771.1</v>
      </c>
      <c r="J680" s="5" t="s">
        <v>2</v>
      </c>
    </row>
    <row r="681" spans="1:10" s="7" customFormat="1" x14ac:dyDescent="0.2">
      <c r="A681" s="5" t="s">
        <v>1169</v>
      </c>
      <c r="B681" s="5" t="s">
        <v>1170</v>
      </c>
      <c r="C681" s="5">
        <v>1097</v>
      </c>
      <c r="D681" s="5">
        <v>1097</v>
      </c>
      <c r="E681" s="6">
        <v>1</v>
      </c>
      <c r="F681" s="5">
        <v>0</v>
      </c>
      <c r="G681" s="5">
        <v>63.66</v>
      </c>
      <c r="H681" s="5">
        <v>828</v>
      </c>
      <c r="I681" s="5" t="str">
        <f>HYPERLINK("https://www.ncbi.nlm.nih.gov/protein/WP_190642592.1?report=genbank&amp;log$=prottop&amp;blast_rank=218&amp;RID=7U875CNM013","WP_190642592.1")</f>
        <v>WP_190642592.1</v>
      </c>
      <c r="J681" s="5" t="s">
        <v>2</v>
      </c>
    </row>
    <row r="682" spans="1:10" s="7" customFormat="1" x14ac:dyDescent="0.2">
      <c r="A682" s="5" t="s">
        <v>1171</v>
      </c>
      <c r="B682" s="5" t="s">
        <v>1172</v>
      </c>
      <c r="C682" s="5">
        <v>1083</v>
      </c>
      <c r="D682" s="5">
        <v>1083</v>
      </c>
      <c r="E682" s="6">
        <v>0.98</v>
      </c>
      <c r="F682" s="5">
        <v>0</v>
      </c>
      <c r="G682" s="5">
        <v>63.62</v>
      </c>
      <c r="H682" s="5">
        <v>793</v>
      </c>
      <c r="I682" s="5" t="str">
        <f>HYPERLINK("https://www.ncbi.nlm.nih.gov/protein/OBQ30318.1?report=genbank&amp;log$=prottop&amp;blast_rank=19&amp;RID=7U875CNM013","OBQ30318.1")</f>
        <v>OBQ30318.1</v>
      </c>
      <c r="J682" s="5" t="s">
        <v>2</v>
      </c>
    </row>
    <row r="683" spans="1:10" s="7" customFormat="1" x14ac:dyDescent="0.2">
      <c r="A683" s="5" t="s">
        <v>1173</v>
      </c>
      <c r="B683" s="5" t="s">
        <v>1174</v>
      </c>
      <c r="C683" s="5">
        <v>1024</v>
      </c>
      <c r="D683" s="5">
        <v>1024</v>
      </c>
      <c r="E683" s="6">
        <v>0.97</v>
      </c>
      <c r="F683" s="5">
        <v>0</v>
      </c>
      <c r="G683" s="5">
        <v>63.62</v>
      </c>
      <c r="H683" s="5">
        <v>806</v>
      </c>
      <c r="I683" s="5" t="str">
        <f>HYPERLINK("https://www.ncbi.nlm.nih.gov/protein/MBD1194227.1?report=genbank&amp;log$=prottop&amp;blast_rank=26&amp;RID=7U875CNM013","MBD1194227.1")</f>
        <v>MBD1194227.1</v>
      </c>
      <c r="J683" s="5" t="s">
        <v>2</v>
      </c>
    </row>
    <row r="684" spans="1:10" s="7" customFormat="1" x14ac:dyDescent="0.2">
      <c r="A684" s="5" t="s">
        <v>1175</v>
      </c>
      <c r="B684" s="5" t="s">
        <v>1176</v>
      </c>
      <c r="C684" s="5">
        <v>1085</v>
      </c>
      <c r="D684" s="5">
        <v>1085</v>
      </c>
      <c r="E684" s="6">
        <v>0.99</v>
      </c>
      <c r="F684" s="5">
        <v>0</v>
      </c>
      <c r="G684" s="5">
        <v>63.61</v>
      </c>
      <c r="H684" s="5">
        <v>824</v>
      </c>
      <c r="I684" s="5" t="str">
        <f>HYPERLINK("https://www.ncbi.nlm.nih.gov/protein/WP_190742149.1?report=genbank&amp;log$=prottop&amp;blast_rank=27&amp;RID=7U875CNM013","WP_190742149.1")</f>
        <v>WP_190742149.1</v>
      </c>
      <c r="J684" s="5" t="s">
        <v>2</v>
      </c>
    </row>
    <row r="685" spans="1:10" s="7" customFormat="1" x14ac:dyDescent="0.2">
      <c r="A685" s="5" t="s">
        <v>1075</v>
      </c>
      <c r="B685" s="5" t="s">
        <v>1076</v>
      </c>
      <c r="C685" s="5">
        <v>1087</v>
      </c>
      <c r="D685" s="5">
        <v>1087</v>
      </c>
      <c r="E685" s="6">
        <v>0.98</v>
      </c>
      <c r="F685" s="5">
        <v>0</v>
      </c>
      <c r="G685" s="5">
        <v>63.61</v>
      </c>
      <c r="H685" s="5">
        <v>796</v>
      </c>
      <c r="I685" s="5" t="str">
        <f>HYPERLINK("https://www.ncbi.nlm.nih.gov/protein/WP_027845374.1?report=genbank&amp;log$=prottop&amp;blast_rank=31&amp;RID=7U875CNM013","WP_027845374.1")</f>
        <v>WP_027845374.1</v>
      </c>
      <c r="J685" s="5" t="s">
        <v>2</v>
      </c>
    </row>
    <row r="686" spans="1:10" s="7" customFormat="1" x14ac:dyDescent="0.2">
      <c r="A686" s="5" t="s">
        <v>1177</v>
      </c>
      <c r="B686" s="5" t="s">
        <v>1178</v>
      </c>
      <c r="C686" s="5">
        <v>1076</v>
      </c>
      <c r="D686" s="5">
        <v>1076</v>
      </c>
      <c r="E686" s="6">
        <v>0.98</v>
      </c>
      <c r="F686" s="5">
        <v>0</v>
      </c>
      <c r="G686" s="5">
        <v>63.61</v>
      </c>
      <c r="H686" s="5">
        <v>793</v>
      </c>
      <c r="I686" s="5" t="str">
        <f>HYPERLINK("https://www.ncbi.nlm.nih.gov/protein/WP_190391100.1?report=genbank&amp;log$=prottop&amp;blast_rank=33&amp;RID=7U875CNM013","WP_190391100.1")</f>
        <v>WP_190391100.1</v>
      </c>
      <c r="J686" s="5" t="s">
        <v>2</v>
      </c>
    </row>
    <row r="687" spans="1:10" s="7" customFormat="1" x14ac:dyDescent="0.2">
      <c r="A687" s="5" t="s">
        <v>1179</v>
      </c>
      <c r="B687" s="5" t="s">
        <v>1180</v>
      </c>
      <c r="C687" s="5">
        <v>1068</v>
      </c>
      <c r="D687" s="5">
        <v>1068</v>
      </c>
      <c r="E687" s="6">
        <v>0.98</v>
      </c>
      <c r="F687" s="5">
        <v>0</v>
      </c>
      <c r="G687" s="5">
        <v>63.61</v>
      </c>
      <c r="H687" s="5">
        <v>793</v>
      </c>
      <c r="I687" s="5" t="str">
        <f>HYPERLINK("https://www.ncbi.nlm.nih.gov/protein/WP_193950346.1?report=genbank&amp;log$=prottop&amp;blast_rank=35&amp;RID=7U875CNM013","WP_193950346.1")</f>
        <v>WP_193950346.1</v>
      </c>
      <c r="J687" s="5" t="s">
        <v>2</v>
      </c>
    </row>
    <row r="688" spans="1:10" s="7" customFormat="1" x14ac:dyDescent="0.2">
      <c r="A688" s="5" t="s">
        <v>1181</v>
      </c>
      <c r="B688" s="5" t="s">
        <v>1182</v>
      </c>
      <c r="C688" s="5">
        <v>1032</v>
      </c>
      <c r="D688" s="5">
        <v>1032</v>
      </c>
      <c r="E688" s="6">
        <v>0.97</v>
      </c>
      <c r="F688" s="5">
        <v>0</v>
      </c>
      <c r="G688" s="5">
        <v>63.6</v>
      </c>
      <c r="H688" s="5">
        <v>794</v>
      </c>
      <c r="I688" s="5" t="str">
        <f>HYPERLINK("https://www.ncbi.nlm.nih.gov/protein/NDG23953.1?report=genbank&amp;log$=prottop&amp;blast_rank=47&amp;RID=7U875CNM013","NDG23953.1")</f>
        <v>NDG23953.1</v>
      </c>
      <c r="J688" s="5" t="s">
        <v>2</v>
      </c>
    </row>
    <row r="689" spans="1:10" s="7" customFormat="1" x14ac:dyDescent="0.2">
      <c r="A689" s="5" t="s">
        <v>1183</v>
      </c>
      <c r="B689" s="5" t="s">
        <v>1184</v>
      </c>
      <c r="C689" s="5">
        <v>1080</v>
      </c>
      <c r="D689" s="5">
        <v>1080</v>
      </c>
      <c r="E689" s="6">
        <v>0.98</v>
      </c>
      <c r="F689" s="5">
        <v>0</v>
      </c>
      <c r="G689" s="5">
        <v>63.58</v>
      </c>
      <c r="H689" s="5">
        <v>832</v>
      </c>
      <c r="I689" s="5" t="str">
        <f>HYPERLINK("https://www.ncbi.nlm.nih.gov/protein/MBC7822365.1?report=genbank&amp;log$=prottop&amp;blast_rank=60&amp;RID=7U875CNM013","MBC7822365.1")</f>
        <v>MBC7822365.1</v>
      </c>
      <c r="J689" s="5" t="s">
        <v>2</v>
      </c>
    </row>
    <row r="690" spans="1:10" s="7" customFormat="1" x14ac:dyDescent="0.2">
      <c r="A690" s="5" t="s">
        <v>957</v>
      </c>
      <c r="B690" s="5" t="s">
        <v>958</v>
      </c>
      <c r="C690" s="5">
        <v>1087</v>
      </c>
      <c r="D690" s="5">
        <v>1087</v>
      </c>
      <c r="E690" s="6">
        <v>0.99</v>
      </c>
      <c r="F690" s="5">
        <v>0</v>
      </c>
      <c r="G690" s="5">
        <v>63.57</v>
      </c>
      <c r="H690" s="5">
        <v>793</v>
      </c>
      <c r="I690" s="5" t="str">
        <f>HYPERLINK("https://www.ncbi.nlm.nih.gov/protein/WP_019492263.1?report=genbank&amp;log$=prottop&amp;blast_rank=69&amp;RID=7U875CNM013","WP_019492263.1")</f>
        <v>WP_019492263.1</v>
      </c>
      <c r="J690" s="5" t="s">
        <v>2</v>
      </c>
    </row>
    <row r="691" spans="1:10" s="7" customFormat="1" x14ac:dyDescent="0.2">
      <c r="A691" s="5" t="s">
        <v>1185</v>
      </c>
      <c r="B691" s="5" t="s">
        <v>1186</v>
      </c>
      <c r="C691" s="5">
        <v>1037</v>
      </c>
      <c r="D691" s="5">
        <v>1037</v>
      </c>
      <c r="E691" s="6">
        <v>0.99</v>
      </c>
      <c r="F691" s="5">
        <v>0</v>
      </c>
      <c r="G691" s="5">
        <v>63.57</v>
      </c>
      <c r="H691" s="5">
        <v>806</v>
      </c>
      <c r="I691" s="5" t="str">
        <f>HYPERLINK("https://www.ncbi.nlm.nih.gov/protein/WP_010312298.1?report=genbank&amp;log$=prottop&amp;blast_rank=71&amp;RID=7U875CNM013","WP_010312298.1")</f>
        <v>WP_010312298.1</v>
      </c>
      <c r="J691" s="5" t="s">
        <v>2</v>
      </c>
    </row>
    <row r="692" spans="1:10" s="7" customFormat="1" x14ac:dyDescent="0.2">
      <c r="A692" s="5" t="s">
        <v>1187</v>
      </c>
      <c r="B692" s="5" t="s">
        <v>1188</v>
      </c>
      <c r="C692" s="5">
        <v>1039</v>
      </c>
      <c r="D692" s="5">
        <v>1039</v>
      </c>
      <c r="E692" s="6">
        <v>0.97</v>
      </c>
      <c r="F692" s="5">
        <v>0</v>
      </c>
      <c r="G692" s="5">
        <v>63.55</v>
      </c>
      <c r="H692" s="5">
        <v>810</v>
      </c>
      <c r="I692" s="5" t="str">
        <f>HYPERLINK("https://www.ncbi.nlm.nih.gov/protein/GDX77314.1?report=genbank&amp;log$=prottop&amp;blast_rank=91&amp;RID=7U875CNM013","GDX77314.1")</f>
        <v>GDX77314.1</v>
      </c>
      <c r="J692" s="5" t="s">
        <v>2</v>
      </c>
    </row>
    <row r="693" spans="1:10" s="7" customFormat="1" ht="17" customHeight="1" x14ac:dyDescent="0.2">
      <c r="A693" s="5" t="s">
        <v>1189</v>
      </c>
      <c r="B693" s="5" t="s">
        <v>1190</v>
      </c>
      <c r="C693" s="5">
        <v>1097</v>
      </c>
      <c r="D693" s="5">
        <v>1097</v>
      </c>
      <c r="E693" s="6">
        <v>1</v>
      </c>
      <c r="F693" s="5">
        <v>0</v>
      </c>
      <c r="G693" s="5">
        <v>63.53</v>
      </c>
      <c r="H693" s="5">
        <v>827</v>
      </c>
      <c r="I693" s="5" t="str">
        <f>HYPERLINK("https://www.ncbi.nlm.nih.gov/protein/WP_007357139.1?report=genbank&amp;log$=prottop&amp;blast_rank=127&amp;RID=7U875CNM013","WP_007357139.1")</f>
        <v>WP_007357139.1</v>
      </c>
      <c r="J693" s="5" t="s">
        <v>2</v>
      </c>
    </row>
    <row r="694" spans="1:10" s="7" customFormat="1" x14ac:dyDescent="0.2">
      <c r="A694" s="5" t="s">
        <v>1191</v>
      </c>
      <c r="B694" s="5" t="s">
        <v>1192</v>
      </c>
      <c r="C694" s="5">
        <v>1085</v>
      </c>
      <c r="D694" s="5">
        <v>1085</v>
      </c>
      <c r="E694" s="6">
        <v>0.99</v>
      </c>
      <c r="F694" s="5">
        <v>0</v>
      </c>
      <c r="G694" s="5">
        <v>63.53</v>
      </c>
      <c r="H694" s="5">
        <v>825</v>
      </c>
      <c r="I694" s="5" t="str">
        <f>HYPERLINK("https://www.ncbi.nlm.nih.gov/protein/PSB41739.1?report=genbank&amp;log$=prottop&amp;blast_rank=128&amp;RID=7U875CNM013","PSB41739.1")</f>
        <v>PSB41739.1</v>
      </c>
      <c r="J694" s="5" t="s">
        <v>2</v>
      </c>
    </row>
    <row r="695" spans="1:10" s="7" customFormat="1" x14ac:dyDescent="0.2">
      <c r="A695" s="5" t="s">
        <v>1193</v>
      </c>
      <c r="B695" s="5" t="s">
        <v>1194</v>
      </c>
      <c r="C695" s="5">
        <v>1051</v>
      </c>
      <c r="D695" s="5">
        <v>1051</v>
      </c>
      <c r="E695" s="6">
        <v>0.99</v>
      </c>
      <c r="F695" s="5">
        <v>0</v>
      </c>
      <c r="G695" s="5">
        <v>63.53</v>
      </c>
      <c r="H695" s="5">
        <v>803</v>
      </c>
      <c r="I695" s="5" t="str">
        <f>HYPERLINK("https://www.ncbi.nlm.nih.gov/protein/MXY63251.1?report=genbank&amp;log$=prottop&amp;blast_rank=130&amp;RID=7U875CNM013","MXY63251.1")</f>
        <v>MXY63251.1</v>
      </c>
      <c r="J695" s="5" t="s">
        <v>2</v>
      </c>
    </row>
    <row r="696" spans="1:10" s="7" customFormat="1" x14ac:dyDescent="0.2">
      <c r="A696" s="5" t="s">
        <v>328</v>
      </c>
      <c r="B696" s="5" t="s">
        <v>329</v>
      </c>
      <c r="C696" s="5">
        <v>1066</v>
      </c>
      <c r="D696" s="5">
        <v>1066</v>
      </c>
      <c r="E696" s="6">
        <v>0.98</v>
      </c>
      <c r="F696" s="5">
        <v>0</v>
      </c>
      <c r="G696" s="5">
        <v>63.53</v>
      </c>
      <c r="H696" s="5">
        <v>830</v>
      </c>
      <c r="I696" s="5" t="str">
        <f>HYPERLINK("https://www.ncbi.nlm.nih.gov/protein/HFN00992.1?report=genbank&amp;log$=prottop&amp;blast_rank=132&amp;RID=7U875CNM013","HFN00992.1")</f>
        <v>HFN00992.1</v>
      </c>
      <c r="J696" s="5" t="s">
        <v>2</v>
      </c>
    </row>
    <row r="697" spans="1:10" s="7" customFormat="1" x14ac:dyDescent="0.2">
      <c r="A697" s="5" t="s">
        <v>1195</v>
      </c>
      <c r="B697" s="5" t="s">
        <v>1196</v>
      </c>
      <c r="C697" s="5">
        <v>1071</v>
      </c>
      <c r="D697" s="5">
        <v>1071</v>
      </c>
      <c r="E697" s="6">
        <v>0.98</v>
      </c>
      <c r="F697" s="5">
        <v>0</v>
      </c>
      <c r="G697" s="5">
        <v>63.51</v>
      </c>
      <c r="H697" s="5">
        <v>812</v>
      </c>
      <c r="I697" s="5" t="str">
        <f>HYPERLINK("https://www.ncbi.nlm.nih.gov/protein/WP_150883705.1?report=genbank&amp;log$=prottop&amp;blast_rank=176&amp;RID=7U875CNM013","WP_150883705.1")</f>
        <v>WP_150883705.1</v>
      </c>
      <c r="J697" s="5" t="s">
        <v>2</v>
      </c>
    </row>
    <row r="698" spans="1:10" s="7" customFormat="1" x14ac:dyDescent="0.2">
      <c r="A698" s="5" t="s">
        <v>1197</v>
      </c>
      <c r="B698" s="5" t="s">
        <v>1198</v>
      </c>
      <c r="C698" s="5">
        <v>1082</v>
      </c>
      <c r="D698" s="5">
        <v>1082</v>
      </c>
      <c r="E698" s="6">
        <v>0.98</v>
      </c>
      <c r="F698" s="5">
        <v>0</v>
      </c>
      <c r="G698" s="5">
        <v>63.5</v>
      </c>
      <c r="H698" s="5">
        <v>793</v>
      </c>
      <c r="I698" s="5" t="str">
        <f>HYPERLINK("https://www.ncbi.nlm.nih.gov/protein/WP_190385325.1?report=genbank&amp;log$=prottop&amp;blast_rank=181&amp;RID=7U875CNM013","WP_190385325.1")</f>
        <v>WP_190385325.1</v>
      </c>
      <c r="J698" s="5" t="s">
        <v>2</v>
      </c>
    </row>
    <row r="699" spans="1:10" s="7" customFormat="1" ht="15" customHeight="1" x14ac:dyDescent="0.2">
      <c r="A699" s="5" t="s">
        <v>1199</v>
      </c>
      <c r="B699" s="5" t="s">
        <v>1200</v>
      </c>
      <c r="C699" s="5">
        <v>1083</v>
      </c>
      <c r="D699" s="5">
        <v>1083</v>
      </c>
      <c r="E699" s="6">
        <v>0.99</v>
      </c>
      <c r="F699" s="5">
        <v>0</v>
      </c>
      <c r="G699" s="5">
        <v>63.49</v>
      </c>
      <c r="H699" s="5">
        <v>824</v>
      </c>
      <c r="I699" s="5" t="str">
        <f>HYPERLINK("https://www.ncbi.nlm.nih.gov/protein/WP_006634747.1?report=genbank&amp;log$=prottop&amp;blast_rank=195&amp;RID=7U875CNM013","WP_006634747.1")</f>
        <v>WP_006634747.1</v>
      </c>
      <c r="J699" s="5" t="s">
        <v>2</v>
      </c>
    </row>
    <row r="700" spans="1:10" s="7" customFormat="1" x14ac:dyDescent="0.2">
      <c r="A700" s="5" t="s">
        <v>207</v>
      </c>
      <c r="B700" s="5" t="s">
        <v>208</v>
      </c>
      <c r="C700" s="5">
        <v>1064</v>
      </c>
      <c r="D700" s="5">
        <v>1064</v>
      </c>
      <c r="E700" s="6">
        <v>0.98</v>
      </c>
      <c r="F700" s="5">
        <v>0</v>
      </c>
      <c r="G700" s="5">
        <v>63.49</v>
      </c>
      <c r="H700" s="5">
        <v>833</v>
      </c>
      <c r="I700" s="5" t="str">
        <f>HYPERLINK("https://www.ncbi.nlm.nih.gov/protein/PSR19069.1?report=genbank&amp;log$=prottop&amp;blast_rank=201&amp;RID=7U875CNM013","PSR19069.1")</f>
        <v>PSR19069.1</v>
      </c>
      <c r="J700" s="5" t="s">
        <v>2</v>
      </c>
    </row>
    <row r="701" spans="1:10" s="7" customFormat="1" x14ac:dyDescent="0.2">
      <c r="A701" s="5" t="s">
        <v>1201</v>
      </c>
      <c r="B701" s="5" t="s">
        <v>1202</v>
      </c>
      <c r="C701" s="5">
        <v>1031</v>
      </c>
      <c r="D701" s="5">
        <v>1031</v>
      </c>
      <c r="E701" s="6">
        <v>0.97</v>
      </c>
      <c r="F701" s="5">
        <v>0</v>
      </c>
      <c r="G701" s="5">
        <v>63.49</v>
      </c>
      <c r="H701" s="5">
        <v>805</v>
      </c>
      <c r="I701" s="5" t="str">
        <f>HYPERLINK("https://www.ncbi.nlm.nih.gov/protein/MBM5793601.1?report=genbank&amp;log$=prottop&amp;blast_rank=212&amp;RID=7U875CNM013","MBM5793601.1")</f>
        <v>MBM5793601.1</v>
      </c>
      <c r="J701" s="5" t="s">
        <v>2</v>
      </c>
    </row>
    <row r="702" spans="1:10" s="7" customFormat="1" x14ac:dyDescent="0.2">
      <c r="A702" s="5" t="s">
        <v>1205</v>
      </c>
      <c r="B702" s="5" t="s">
        <v>1206</v>
      </c>
      <c r="C702" s="5">
        <v>1034</v>
      </c>
      <c r="D702" s="5">
        <v>1034</v>
      </c>
      <c r="E702" s="6">
        <v>0.97</v>
      </c>
      <c r="F702" s="5">
        <v>0</v>
      </c>
      <c r="G702" s="5">
        <v>63.46</v>
      </c>
      <c r="H702" s="5">
        <v>806</v>
      </c>
      <c r="I702" s="5" t="str">
        <f>HYPERLINK("https://www.ncbi.nlm.nih.gov/protein/NDC13957.1?report=genbank&amp;log$=prottop&amp;blast_rank=2&amp;RID=7U875CNM013","NDC13957.1")</f>
        <v>NDC13957.1</v>
      </c>
      <c r="J702" s="5" t="s">
        <v>2</v>
      </c>
    </row>
    <row r="703" spans="1:10" s="7" customFormat="1" x14ac:dyDescent="0.2">
      <c r="A703" s="5" t="s">
        <v>1207</v>
      </c>
      <c r="B703" s="5" t="s">
        <v>1208</v>
      </c>
      <c r="C703" s="5">
        <v>1093</v>
      </c>
      <c r="D703" s="5">
        <v>1093</v>
      </c>
      <c r="E703" s="6">
        <v>1</v>
      </c>
      <c r="F703" s="5">
        <v>0</v>
      </c>
      <c r="G703" s="5">
        <v>63.45</v>
      </c>
      <c r="H703" s="5">
        <v>796</v>
      </c>
      <c r="I703" s="5" t="str">
        <f>HYPERLINK("https://www.ncbi.nlm.nih.gov/protein/NJK34383.1?report=genbank&amp;log$=prottop&amp;blast_rank=8&amp;RID=7U875CNM013","NJK34383.1")</f>
        <v>NJK34383.1</v>
      </c>
      <c r="J703" s="5" t="s">
        <v>2</v>
      </c>
    </row>
    <row r="704" spans="1:10" s="7" customFormat="1" x14ac:dyDescent="0.2">
      <c r="A704" s="5" t="s">
        <v>1209</v>
      </c>
      <c r="B704" s="5" t="s">
        <v>1210</v>
      </c>
      <c r="C704" s="5">
        <v>1048</v>
      </c>
      <c r="D704" s="5">
        <v>1048</v>
      </c>
      <c r="E704" s="6">
        <v>0.99</v>
      </c>
      <c r="F704" s="5">
        <v>0</v>
      </c>
      <c r="G704" s="5">
        <v>63.45</v>
      </c>
      <c r="H704" s="5">
        <v>806</v>
      </c>
      <c r="I704" s="5" t="str">
        <f>HYPERLINK("https://www.ncbi.nlm.nih.gov/protein/WP_197211867.1?report=genbank&amp;log$=prottop&amp;blast_rank=9&amp;RID=7U875CNM013","WP_197211867.1")</f>
        <v>WP_197211867.1</v>
      </c>
      <c r="J704" s="5" t="s">
        <v>2</v>
      </c>
    </row>
    <row r="705" spans="1:10" s="7" customFormat="1" x14ac:dyDescent="0.2">
      <c r="A705" s="5" t="s">
        <v>1211</v>
      </c>
      <c r="B705" s="5" t="s">
        <v>1212</v>
      </c>
      <c r="C705" s="5">
        <v>1095</v>
      </c>
      <c r="D705" s="5">
        <v>1095</v>
      </c>
      <c r="E705" s="6">
        <v>1</v>
      </c>
      <c r="F705" s="5">
        <v>0</v>
      </c>
      <c r="G705" s="5">
        <v>63.41</v>
      </c>
      <c r="H705" s="5">
        <v>828</v>
      </c>
      <c r="I705" s="5" t="str">
        <f>HYPERLINK("https://www.ncbi.nlm.nih.gov/protein/WP_190799850.1?report=genbank&amp;log$=prottop&amp;blast_rank=49&amp;RID=7U875CNM013","WP_190799850.1")</f>
        <v>WP_190799850.1</v>
      </c>
      <c r="J705" s="5" t="s">
        <v>2</v>
      </c>
    </row>
    <row r="706" spans="1:10" s="7" customFormat="1" x14ac:dyDescent="0.2">
      <c r="A706" s="5" t="s">
        <v>1213</v>
      </c>
      <c r="B706" s="5" t="s">
        <v>1214</v>
      </c>
      <c r="C706" s="5">
        <v>1094</v>
      </c>
      <c r="D706" s="5">
        <v>1094</v>
      </c>
      <c r="E706" s="6">
        <v>1</v>
      </c>
      <c r="F706" s="5">
        <v>0</v>
      </c>
      <c r="G706" s="5">
        <v>63.41</v>
      </c>
      <c r="H706" s="5">
        <v>828</v>
      </c>
      <c r="I706" s="5" t="str">
        <f>HYPERLINK("https://www.ncbi.nlm.nih.gov/protein/WP_190686742.1?report=genbank&amp;log$=prottop&amp;blast_rank=50&amp;RID=7U875CNM013","WP_190686742.1")</f>
        <v>WP_190686742.1</v>
      </c>
      <c r="J706" s="5" t="s">
        <v>2</v>
      </c>
    </row>
    <row r="707" spans="1:10" s="7" customFormat="1" x14ac:dyDescent="0.2">
      <c r="A707" s="5" t="s">
        <v>1215</v>
      </c>
      <c r="B707" s="5" t="s">
        <v>1216</v>
      </c>
      <c r="C707" s="5">
        <v>1094</v>
      </c>
      <c r="D707" s="5">
        <v>1094</v>
      </c>
      <c r="E707" s="6">
        <v>1</v>
      </c>
      <c r="F707" s="5">
        <v>0</v>
      </c>
      <c r="G707" s="5">
        <v>63.41</v>
      </c>
      <c r="H707" s="5">
        <v>828</v>
      </c>
      <c r="I707" s="5" t="str">
        <f>HYPERLINK("https://www.ncbi.nlm.nih.gov/protein/MBD1866234.1?report=genbank&amp;log$=prottop&amp;blast_rank=51&amp;RID=7U875CNM013","MBD1866234.1")</f>
        <v>MBD1866234.1</v>
      </c>
      <c r="J707" s="5" t="s">
        <v>2</v>
      </c>
    </row>
    <row r="708" spans="1:10" s="7" customFormat="1" x14ac:dyDescent="0.2">
      <c r="A708" s="5" t="s">
        <v>1217</v>
      </c>
      <c r="B708" s="5" t="s">
        <v>1218</v>
      </c>
      <c r="C708" s="5">
        <v>1078</v>
      </c>
      <c r="D708" s="5">
        <v>1078</v>
      </c>
      <c r="E708" s="6">
        <v>1</v>
      </c>
      <c r="F708" s="5">
        <v>0</v>
      </c>
      <c r="G708" s="5">
        <v>63.41</v>
      </c>
      <c r="H708" s="5">
        <v>793</v>
      </c>
      <c r="I708" s="5" t="str">
        <f>HYPERLINK("https://www.ncbi.nlm.nih.gov/protein/WP_190907665.1?report=genbank&amp;log$=prottop&amp;blast_rank=53&amp;RID=7U875CNM013","WP_190907665.1")</f>
        <v>WP_190907665.1</v>
      </c>
      <c r="J708" s="5" t="s">
        <v>2</v>
      </c>
    </row>
    <row r="709" spans="1:10" s="7" customFormat="1" x14ac:dyDescent="0.2">
      <c r="A709" s="5" t="s">
        <v>372</v>
      </c>
      <c r="B709" s="5" t="s">
        <v>373</v>
      </c>
      <c r="C709" s="5">
        <v>1044</v>
      </c>
      <c r="D709" s="5">
        <v>1044</v>
      </c>
      <c r="E709" s="6">
        <v>0.99</v>
      </c>
      <c r="F709" s="5">
        <v>0</v>
      </c>
      <c r="G709" s="5">
        <v>63.38</v>
      </c>
      <c r="H709" s="5">
        <v>805</v>
      </c>
      <c r="I709" s="5" t="str">
        <f>HYPERLINK("https://www.ncbi.nlm.nih.gov/protein/WP_194019296.1?report=genbank&amp;log$=prottop&amp;blast_rank=87&amp;RID=7U875CNM013","WP_194019296.1")</f>
        <v>WP_194019296.1</v>
      </c>
      <c r="J709" s="5" t="s">
        <v>2</v>
      </c>
    </row>
    <row r="710" spans="1:10" s="7" customFormat="1" x14ac:dyDescent="0.2">
      <c r="A710" s="5" t="s">
        <v>1219</v>
      </c>
      <c r="B710" s="5" t="s">
        <v>1220</v>
      </c>
      <c r="C710" s="5">
        <v>1028</v>
      </c>
      <c r="D710" s="5">
        <v>1028</v>
      </c>
      <c r="E710" s="6">
        <v>0.97</v>
      </c>
      <c r="F710" s="5">
        <v>0</v>
      </c>
      <c r="G710" s="5">
        <v>63.38</v>
      </c>
      <c r="H710" s="5">
        <v>802</v>
      </c>
      <c r="I710" s="5" t="str">
        <f>HYPERLINK("https://www.ncbi.nlm.nih.gov/protein/WP_190388617.1?report=genbank&amp;log$=prottop&amp;blast_rank=90&amp;RID=7U875CNM013","WP_190388617.1")</f>
        <v>WP_190388617.1</v>
      </c>
      <c r="J710" s="5" t="s">
        <v>2</v>
      </c>
    </row>
    <row r="711" spans="1:10" s="7" customFormat="1" x14ac:dyDescent="0.2">
      <c r="A711" s="5" t="s">
        <v>1221</v>
      </c>
      <c r="B711" s="5" t="s">
        <v>1222</v>
      </c>
      <c r="C711" s="5">
        <v>1082</v>
      </c>
      <c r="D711" s="5">
        <v>1082</v>
      </c>
      <c r="E711" s="6">
        <v>0.98</v>
      </c>
      <c r="F711" s="5">
        <v>0</v>
      </c>
      <c r="G711" s="5">
        <v>63.37</v>
      </c>
      <c r="H711" s="5">
        <v>793</v>
      </c>
      <c r="I711" s="5" t="str">
        <f>HYPERLINK("https://www.ncbi.nlm.nih.gov/protein/MBD1216368.1?report=genbank&amp;log$=prottop&amp;blast_rank=92&amp;RID=7U875CNM013","MBD1216368.1")</f>
        <v>MBD1216368.1</v>
      </c>
      <c r="J711" s="5" t="s">
        <v>2</v>
      </c>
    </row>
    <row r="712" spans="1:10" s="7" customFormat="1" x14ac:dyDescent="0.2">
      <c r="A712" s="5" t="s">
        <v>1223</v>
      </c>
      <c r="B712" s="5" t="s">
        <v>1224</v>
      </c>
      <c r="C712" s="5">
        <v>1029</v>
      </c>
      <c r="D712" s="5">
        <v>1029</v>
      </c>
      <c r="E712" s="6">
        <v>0.97</v>
      </c>
      <c r="F712" s="5">
        <v>0</v>
      </c>
      <c r="G712" s="5">
        <v>63.35</v>
      </c>
      <c r="H712" s="5">
        <v>795</v>
      </c>
      <c r="I712" s="5" t="str">
        <f>HYPERLINK("https://www.ncbi.nlm.nih.gov/protein/WP_094554286.1?report=genbank&amp;log$=prottop&amp;blast_rank=121&amp;RID=7U875CNM013","WP_094554286.1")</f>
        <v>WP_094554286.1</v>
      </c>
      <c r="J712" s="5" t="s">
        <v>2</v>
      </c>
    </row>
    <row r="713" spans="1:10" s="7" customFormat="1" x14ac:dyDescent="0.2">
      <c r="A713" s="5" t="s">
        <v>1225</v>
      </c>
      <c r="B713" s="5" t="s">
        <v>317</v>
      </c>
      <c r="C713" s="5">
        <v>1079</v>
      </c>
      <c r="D713" s="5">
        <v>1079</v>
      </c>
      <c r="E713" s="6">
        <v>0.98</v>
      </c>
      <c r="F713" s="5">
        <v>0</v>
      </c>
      <c r="G713" s="5">
        <v>63.32</v>
      </c>
      <c r="H713" s="5">
        <v>832</v>
      </c>
      <c r="I713" s="5" t="str">
        <f>HYPERLINK("https://www.ncbi.nlm.nih.gov/protein/WP_082906422.1?report=genbank&amp;log$=prottop&amp;blast_rank=124&amp;RID=7U875CNM013","WP_082906422.1")</f>
        <v>WP_082906422.1</v>
      </c>
      <c r="J713" s="5" t="s">
        <v>2</v>
      </c>
    </row>
    <row r="714" spans="1:10" s="7" customFormat="1" x14ac:dyDescent="0.2">
      <c r="A714" s="5" t="s">
        <v>1228</v>
      </c>
      <c r="B714" s="5" t="s">
        <v>1229</v>
      </c>
      <c r="C714" s="5">
        <v>1079</v>
      </c>
      <c r="D714" s="5">
        <v>1079</v>
      </c>
      <c r="E714" s="6">
        <v>0.99</v>
      </c>
      <c r="F714" s="5">
        <v>0</v>
      </c>
      <c r="G714" s="5">
        <v>63.32</v>
      </c>
      <c r="H714" s="5">
        <v>793</v>
      </c>
      <c r="I714" s="5" t="str">
        <f>HYPERLINK("https://www.ncbi.nlm.nih.gov/protein/MBD1215470.1?report=genbank&amp;log$=prottop&amp;blast_rank=131&amp;RID=7U875CNM013","MBD1215470.1")</f>
        <v>MBD1215470.1</v>
      </c>
      <c r="J714" s="5" t="s">
        <v>2</v>
      </c>
    </row>
    <row r="715" spans="1:10" s="7" customFormat="1" x14ac:dyDescent="0.2">
      <c r="A715" s="5" t="s">
        <v>1230</v>
      </c>
      <c r="B715" s="5" t="s">
        <v>1231</v>
      </c>
      <c r="C715" s="5">
        <v>1075</v>
      </c>
      <c r="D715" s="5">
        <v>1075</v>
      </c>
      <c r="E715" s="6">
        <v>0.99</v>
      </c>
      <c r="F715" s="5">
        <v>0</v>
      </c>
      <c r="G715" s="5">
        <v>63.32</v>
      </c>
      <c r="H715" s="5">
        <v>823</v>
      </c>
      <c r="I715" s="5" t="str">
        <f>HYPERLINK("https://www.ncbi.nlm.nih.gov/protein/WP_193972212.1?report=genbank&amp;log$=prottop&amp;blast_rank=132&amp;RID=7U875CNM013","WP_193972212.1")</f>
        <v>WP_193972212.1</v>
      </c>
      <c r="J715" s="5" t="s">
        <v>2</v>
      </c>
    </row>
    <row r="716" spans="1:10" s="7" customFormat="1" x14ac:dyDescent="0.2">
      <c r="A716" s="5" t="s">
        <v>1232</v>
      </c>
      <c r="B716" s="5" t="s">
        <v>1233</v>
      </c>
      <c r="C716" s="5">
        <v>1067</v>
      </c>
      <c r="D716" s="5">
        <v>1067</v>
      </c>
      <c r="E716" s="6">
        <v>0.97</v>
      </c>
      <c r="F716" s="5">
        <v>0</v>
      </c>
      <c r="G716" s="5">
        <v>63.3</v>
      </c>
      <c r="H716" s="5">
        <v>835</v>
      </c>
      <c r="I716" s="5" t="str">
        <f>HYPERLINK("https://www.ncbi.nlm.nih.gov/protein/WP_017287208.1?report=genbank&amp;log$=prottop&amp;blast_rank=150&amp;RID=7U875CNM013","WP_017287208.1")</f>
        <v>WP_017287208.1</v>
      </c>
      <c r="J716" s="5" t="s">
        <v>2</v>
      </c>
    </row>
    <row r="717" spans="1:10" s="7" customFormat="1" x14ac:dyDescent="0.2">
      <c r="A717" s="5" t="s">
        <v>170</v>
      </c>
      <c r="B717" s="5" t="s">
        <v>171</v>
      </c>
      <c r="C717" s="5">
        <v>1066</v>
      </c>
      <c r="D717" s="5">
        <v>1066</v>
      </c>
      <c r="E717" s="6">
        <v>0.97</v>
      </c>
      <c r="F717" s="5">
        <v>0</v>
      </c>
      <c r="G717" s="5">
        <v>63.3</v>
      </c>
      <c r="H717" s="5">
        <v>825</v>
      </c>
      <c r="I717" s="5" t="str">
        <f>HYPERLINK("https://www.ncbi.nlm.nih.gov/protein/WP_081614790.1?report=genbank&amp;log$=prottop&amp;blast_rank=151&amp;RID=7U875CNM013","WP_081614790.1")</f>
        <v>WP_081614790.1</v>
      </c>
      <c r="J717" s="5" t="s">
        <v>2</v>
      </c>
    </row>
    <row r="718" spans="1:10" s="7" customFormat="1" x14ac:dyDescent="0.2">
      <c r="A718" s="5" t="s">
        <v>1234</v>
      </c>
      <c r="B718" s="5" t="s">
        <v>1235</v>
      </c>
      <c r="C718" s="5">
        <v>1073</v>
      </c>
      <c r="D718" s="5">
        <v>1073</v>
      </c>
      <c r="E718" s="6">
        <v>0.99</v>
      </c>
      <c r="F718" s="5">
        <v>0</v>
      </c>
      <c r="G718" s="5">
        <v>63.28</v>
      </c>
      <c r="H718" s="5">
        <v>825</v>
      </c>
      <c r="I718" s="5" t="str">
        <f>HYPERLINK("https://www.ncbi.nlm.nih.gov/protein/WP_194069390.1?report=genbank&amp;log$=prottop&amp;blast_rank=184&amp;RID=7U875CNM013","WP_194069390.1")</f>
        <v>WP_194069390.1</v>
      </c>
      <c r="J718" s="5" t="s">
        <v>2</v>
      </c>
    </row>
    <row r="719" spans="1:10" s="7" customFormat="1" x14ac:dyDescent="0.2">
      <c r="A719" s="5" t="s">
        <v>247</v>
      </c>
      <c r="B719" s="5" t="s">
        <v>248</v>
      </c>
      <c r="C719" s="5">
        <v>1064</v>
      </c>
      <c r="D719" s="5">
        <v>1064</v>
      </c>
      <c r="E719" s="6">
        <v>0.98</v>
      </c>
      <c r="F719" s="5">
        <v>0</v>
      </c>
      <c r="G719" s="5">
        <v>63.23</v>
      </c>
      <c r="H719" s="5">
        <v>824</v>
      </c>
      <c r="I719" s="5" t="str">
        <f>HYPERLINK("https://www.ncbi.nlm.nih.gov/protein/WP_035985346.1?report=genbank&amp;log$=prottop&amp;blast_rank=16&amp;RID=7U875CNM013","WP_035985346.1")</f>
        <v>WP_035985346.1</v>
      </c>
      <c r="J719" s="5" t="s">
        <v>2</v>
      </c>
    </row>
    <row r="720" spans="1:10" s="7" customFormat="1" x14ac:dyDescent="0.2">
      <c r="A720" s="5" t="s">
        <v>264</v>
      </c>
      <c r="B720" s="5" t="s">
        <v>265</v>
      </c>
      <c r="C720" s="5">
        <v>1064</v>
      </c>
      <c r="D720" s="5">
        <v>1064</v>
      </c>
      <c r="E720" s="6">
        <v>0.98</v>
      </c>
      <c r="F720" s="5">
        <v>0</v>
      </c>
      <c r="G720" s="5">
        <v>63.23</v>
      </c>
      <c r="H720" s="5">
        <v>827</v>
      </c>
      <c r="I720" s="5" t="str">
        <f>HYPERLINK("https://www.ncbi.nlm.nih.gov/protein/PSN13386.1?report=genbank&amp;log$=prottop&amp;blast_rank=17&amp;RID=7U875CNM013","PSN13386.1")</f>
        <v>PSN13386.1</v>
      </c>
      <c r="J720" s="5" t="s">
        <v>2</v>
      </c>
    </row>
    <row r="721" spans="1:10" s="7" customFormat="1" x14ac:dyDescent="0.2">
      <c r="A721" s="5" t="s">
        <v>1239</v>
      </c>
      <c r="B721" s="5" t="s">
        <v>1240</v>
      </c>
      <c r="C721" s="5">
        <v>1048</v>
      </c>
      <c r="D721" s="5">
        <v>1048</v>
      </c>
      <c r="E721" s="6">
        <v>0.99</v>
      </c>
      <c r="F721" s="5">
        <v>0</v>
      </c>
      <c r="G721" s="5">
        <v>63.2</v>
      </c>
      <c r="H721" s="5">
        <v>810</v>
      </c>
      <c r="I721" s="5" t="str">
        <f>HYPERLINK("https://www.ncbi.nlm.nih.gov/protein/WP_181279975.1?report=genbank&amp;log$=prottop&amp;blast_rank=41&amp;RID=7U875CNM013","WP_181279975.1")</f>
        <v>WP_181279975.1</v>
      </c>
      <c r="J721" s="5" t="s">
        <v>2</v>
      </c>
    </row>
    <row r="722" spans="1:10" s="7" customFormat="1" ht="12" customHeight="1" x14ac:dyDescent="0.2">
      <c r="A722" s="5" t="s">
        <v>1241</v>
      </c>
      <c r="B722" s="5" t="s">
        <v>1242</v>
      </c>
      <c r="C722" s="5">
        <v>1080</v>
      </c>
      <c r="D722" s="5">
        <v>1080</v>
      </c>
      <c r="E722" s="6">
        <v>0.99</v>
      </c>
      <c r="F722" s="5">
        <v>0</v>
      </c>
      <c r="G722" s="5">
        <v>63.19</v>
      </c>
      <c r="H722" s="5">
        <v>793</v>
      </c>
      <c r="I722" s="5" t="str">
        <f>HYPERLINK("https://www.ncbi.nlm.nih.gov/protein/WP_168357674.1?report=genbank&amp;log$=prottop&amp;blast_rank=52&amp;RID=7U875CNM013","WP_168357674.1")</f>
        <v>WP_168357674.1</v>
      </c>
      <c r="J722" s="5" t="s">
        <v>2</v>
      </c>
    </row>
    <row r="723" spans="1:10" s="7" customFormat="1" x14ac:dyDescent="0.2">
      <c r="A723" s="5" t="s">
        <v>1243</v>
      </c>
      <c r="B723" s="5" t="s">
        <v>1244</v>
      </c>
      <c r="C723" s="5">
        <v>1072</v>
      </c>
      <c r="D723" s="5">
        <v>1072</v>
      </c>
      <c r="E723" s="6">
        <v>0.99</v>
      </c>
      <c r="F723" s="5">
        <v>0</v>
      </c>
      <c r="G723" s="5">
        <v>63.19</v>
      </c>
      <c r="H723" s="5">
        <v>824</v>
      </c>
      <c r="I723" s="5" t="str">
        <f>HYPERLINK("https://www.ncbi.nlm.nih.gov/protein/WP_194012542.1?report=genbank&amp;log$=prottop&amp;blast_rank=53&amp;RID=7U875CNM013","WP_194012542.1")</f>
        <v>WP_194012542.1</v>
      </c>
      <c r="J723" s="5" t="s">
        <v>2</v>
      </c>
    </row>
    <row r="724" spans="1:10" s="7" customFormat="1" x14ac:dyDescent="0.2">
      <c r="A724" s="5" t="s">
        <v>209</v>
      </c>
      <c r="B724" s="5" t="s">
        <v>210</v>
      </c>
      <c r="C724" s="5">
        <v>1079</v>
      </c>
      <c r="D724" s="5">
        <v>1079</v>
      </c>
      <c r="E724" s="6">
        <v>1</v>
      </c>
      <c r="F724" s="5">
        <v>0</v>
      </c>
      <c r="G724" s="5">
        <v>63.16</v>
      </c>
      <c r="H724" s="5">
        <v>825</v>
      </c>
      <c r="I724" s="5" t="str">
        <f>HYPERLINK("https://www.ncbi.nlm.nih.gov/protein/MBD1842932.1?report=genbank&amp;log$=prottop&amp;blast_rank=84&amp;RID=7U875CNM013","MBD1842932.1")</f>
        <v>MBD1842932.1</v>
      </c>
      <c r="J724" s="5" t="s">
        <v>2</v>
      </c>
    </row>
    <row r="725" spans="1:10" s="7" customFormat="1" x14ac:dyDescent="0.2">
      <c r="A725" s="5" t="s">
        <v>1245</v>
      </c>
      <c r="B725" s="5" t="s">
        <v>1246</v>
      </c>
      <c r="C725" s="5">
        <v>1073</v>
      </c>
      <c r="D725" s="5">
        <v>1073</v>
      </c>
      <c r="E725" s="6">
        <v>0.98</v>
      </c>
      <c r="F725" s="5">
        <v>0</v>
      </c>
      <c r="G725" s="5">
        <v>63.15</v>
      </c>
      <c r="H725" s="5">
        <v>794</v>
      </c>
      <c r="I725" s="5" t="str">
        <f>HYPERLINK("https://www.ncbi.nlm.nih.gov/protein/NJL09225.1?report=genbank&amp;log$=prottop&amp;blast_rank=89&amp;RID=7U875CNM013","NJL09225.1")</f>
        <v>NJL09225.1</v>
      </c>
      <c r="J725" s="5" t="s">
        <v>2</v>
      </c>
    </row>
    <row r="726" spans="1:10" s="7" customFormat="1" x14ac:dyDescent="0.2">
      <c r="A726" s="5" t="s">
        <v>410</v>
      </c>
      <c r="B726" s="5" t="s">
        <v>411</v>
      </c>
      <c r="C726" s="5">
        <v>1041</v>
      </c>
      <c r="D726" s="5">
        <v>1041</v>
      </c>
      <c r="E726" s="6">
        <v>0.99</v>
      </c>
      <c r="F726" s="5">
        <v>0</v>
      </c>
      <c r="G726" s="5">
        <v>63.13</v>
      </c>
      <c r="H726" s="5">
        <v>805</v>
      </c>
      <c r="I726" s="5" t="str">
        <f>HYPERLINK("https://www.ncbi.nlm.nih.gov/protein/WP_190599892.1?report=genbank&amp;log$=prottop&amp;blast_rank=129&amp;RID=7U875CNM013","WP_190599892.1")</f>
        <v>WP_190599892.1</v>
      </c>
      <c r="J726" s="5" t="s">
        <v>2</v>
      </c>
    </row>
    <row r="727" spans="1:10" s="7" customFormat="1" x14ac:dyDescent="0.2">
      <c r="A727" s="5" t="s">
        <v>1247</v>
      </c>
      <c r="B727" s="5" t="s">
        <v>1248</v>
      </c>
      <c r="C727" s="5">
        <v>1072</v>
      </c>
      <c r="D727" s="5">
        <v>1072</v>
      </c>
      <c r="E727" s="6">
        <v>0.99</v>
      </c>
      <c r="F727" s="5">
        <v>0</v>
      </c>
      <c r="G727" s="5">
        <v>63.11</v>
      </c>
      <c r="H727" s="5">
        <v>823</v>
      </c>
      <c r="I727" s="5" t="str">
        <f>HYPERLINK("https://www.ncbi.nlm.nih.gov/protein/WP_194064312.1?report=genbank&amp;log$=prottop&amp;blast_rank=138&amp;RID=7U875CNM013","WP_194064312.1")</f>
        <v>WP_194064312.1</v>
      </c>
      <c r="J727" s="5" t="s">
        <v>2</v>
      </c>
    </row>
    <row r="728" spans="1:10" s="7" customFormat="1" x14ac:dyDescent="0.2">
      <c r="A728" s="5" t="s">
        <v>1249</v>
      </c>
      <c r="B728" s="5" t="s">
        <v>1250</v>
      </c>
      <c r="C728" s="5">
        <v>1038</v>
      </c>
      <c r="D728" s="5">
        <v>1038</v>
      </c>
      <c r="E728" s="6">
        <v>0.98</v>
      </c>
      <c r="F728" s="5">
        <v>0</v>
      </c>
      <c r="G728" s="5">
        <v>63.11</v>
      </c>
      <c r="H728" s="5">
        <v>807</v>
      </c>
      <c r="I728" s="5" t="str">
        <f>HYPERLINK("https://www.ncbi.nlm.nih.gov/protein/KKZ13638.1?report=genbank&amp;log$=prottop&amp;blast_rank=140&amp;RID=7U875CNM013","KKZ13638.1")</f>
        <v>KKZ13638.1</v>
      </c>
      <c r="J728" s="5" t="s">
        <v>2</v>
      </c>
    </row>
    <row r="729" spans="1:10" s="7" customFormat="1" x14ac:dyDescent="0.2">
      <c r="A729" s="5" t="s">
        <v>1251</v>
      </c>
      <c r="B729" s="5" t="s">
        <v>1252</v>
      </c>
      <c r="C729" s="5">
        <v>1037</v>
      </c>
      <c r="D729" s="5">
        <v>1037</v>
      </c>
      <c r="E729" s="6">
        <v>0.98</v>
      </c>
      <c r="F729" s="5">
        <v>0</v>
      </c>
      <c r="G729" s="5">
        <v>63.11</v>
      </c>
      <c r="H729" s="5">
        <v>807</v>
      </c>
      <c r="I729" s="5" t="str">
        <f>HYPERLINK("https://www.ncbi.nlm.nih.gov/protein/WP_078232554.1?report=genbank&amp;log$=prottop&amp;blast_rank=142&amp;RID=7U875CNM013","WP_078232554.1")</f>
        <v>WP_078232554.1</v>
      </c>
      <c r="J729" s="5" t="s">
        <v>2</v>
      </c>
    </row>
    <row r="730" spans="1:10" s="7" customFormat="1" x14ac:dyDescent="0.2">
      <c r="A730" s="5" t="s">
        <v>1253</v>
      </c>
      <c r="B730" s="5" t="s">
        <v>637</v>
      </c>
      <c r="C730" s="5">
        <v>1040</v>
      </c>
      <c r="D730" s="5">
        <v>1040</v>
      </c>
      <c r="E730" s="6">
        <v>0.97</v>
      </c>
      <c r="F730" s="5">
        <v>0</v>
      </c>
      <c r="G730" s="5">
        <v>63.11</v>
      </c>
      <c r="H730" s="5">
        <v>795</v>
      </c>
      <c r="I730" s="5" t="str">
        <f>HYPERLINK("https://www.ncbi.nlm.nih.gov/protein/WP_185465970.1?report=genbank&amp;log$=prottop&amp;blast_rank=143&amp;RID=7U875CNM013","WP_185465970.1")</f>
        <v>WP_185465970.1</v>
      </c>
      <c r="J730" s="5" t="s">
        <v>2</v>
      </c>
    </row>
    <row r="731" spans="1:10" s="7" customFormat="1" x14ac:dyDescent="0.2">
      <c r="A731" s="5" t="s">
        <v>1254</v>
      </c>
      <c r="B731" s="5" t="s">
        <v>1255</v>
      </c>
      <c r="C731" s="5">
        <v>1068</v>
      </c>
      <c r="D731" s="5">
        <v>1068</v>
      </c>
      <c r="E731" s="6">
        <v>0.98</v>
      </c>
      <c r="F731" s="5">
        <v>0</v>
      </c>
      <c r="G731" s="5">
        <v>63.1</v>
      </c>
      <c r="H731" s="5">
        <v>828</v>
      </c>
      <c r="I731" s="5" t="str">
        <f>HYPERLINK("https://www.ncbi.nlm.nih.gov/protein/WP_194050763.1?report=genbank&amp;log$=prottop&amp;blast_rank=149&amp;RID=7U875CNM013","WP_194050763.1")</f>
        <v>WP_194050763.1</v>
      </c>
      <c r="J731" s="5" t="s">
        <v>2</v>
      </c>
    </row>
    <row r="732" spans="1:10" s="7" customFormat="1" x14ac:dyDescent="0.2">
      <c r="A732" s="5" t="s">
        <v>1256</v>
      </c>
      <c r="B732" s="5" t="s">
        <v>1257</v>
      </c>
      <c r="C732" s="5">
        <v>1024</v>
      </c>
      <c r="D732" s="5">
        <v>1024</v>
      </c>
      <c r="E732" s="6">
        <v>0.97</v>
      </c>
      <c r="F732" s="5">
        <v>0</v>
      </c>
      <c r="G732" s="5">
        <v>63.1</v>
      </c>
      <c r="H732" s="5">
        <v>813</v>
      </c>
      <c r="I732" s="5" t="str">
        <f>HYPERLINK("https://www.ncbi.nlm.nih.gov/protein/SBO43960.1?report=genbank&amp;log$=prottop&amp;blast_rank=158&amp;RID=7U875CNM013","SBO43960.1")</f>
        <v>SBO43960.1</v>
      </c>
      <c r="J732" s="5" t="s">
        <v>2</v>
      </c>
    </row>
    <row r="733" spans="1:10" s="7" customFormat="1" x14ac:dyDescent="0.2">
      <c r="A733" s="5" t="s">
        <v>1258</v>
      </c>
      <c r="B733" s="5" t="s">
        <v>1257</v>
      </c>
      <c r="C733" s="5">
        <v>1023</v>
      </c>
      <c r="D733" s="5">
        <v>1023</v>
      </c>
      <c r="E733" s="6">
        <v>0.97</v>
      </c>
      <c r="F733" s="5">
        <v>0</v>
      </c>
      <c r="G733" s="5">
        <v>63.1</v>
      </c>
      <c r="H733" s="5">
        <v>795</v>
      </c>
      <c r="I733" s="5" t="str">
        <f>HYPERLINK("https://www.ncbi.nlm.nih.gov/protein/WP_087069351.1?report=genbank&amp;log$=prottop&amp;blast_rank=159&amp;RID=7U875CNM013","WP_087069351.1")</f>
        <v>WP_087069351.1</v>
      </c>
      <c r="J733" s="5" t="s">
        <v>2</v>
      </c>
    </row>
    <row r="734" spans="1:10" s="10" customFormat="1" x14ac:dyDescent="0.2">
      <c r="A734" s="5" t="s">
        <v>1259</v>
      </c>
      <c r="B734" s="5" t="s">
        <v>1260</v>
      </c>
      <c r="C734" s="5">
        <v>1053</v>
      </c>
      <c r="D734" s="5">
        <v>1053</v>
      </c>
      <c r="E734" s="6">
        <v>0.99</v>
      </c>
      <c r="F734" s="5">
        <v>0</v>
      </c>
      <c r="G734" s="5">
        <v>63.08</v>
      </c>
      <c r="H734" s="5">
        <v>810</v>
      </c>
      <c r="I734" s="5" t="str">
        <f>HYPERLINK("https://www.ncbi.nlm.nih.gov/protein/WP_094586397.1?report=genbank&amp;log$=prottop&amp;blast_rank=9&amp;RID=7U875CNM013","WP_094586397.1")</f>
        <v>WP_094586397.1</v>
      </c>
      <c r="J734" s="5" t="s">
        <v>2</v>
      </c>
    </row>
    <row r="735" spans="1:10" s="7" customFormat="1" x14ac:dyDescent="0.2">
      <c r="A735" s="5" t="s">
        <v>1263</v>
      </c>
      <c r="B735" s="5" t="s">
        <v>1264</v>
      </c>
      <c r="C735" s="5">
        <v>1045</v>
      </c>
      <c r="D735" s="5">
        <v>1045</v>
      </c>
      <c r="E735" s="6">
        <v>0.99</v>
      </c>
      <c r="F735" s="5">
        <v>0</v>
      </c>
      <c r="G735" s="5">
        <v>63.08</v>
      </c>
      <c r="H735" s="5">
        <v>810</v>
      </c>
      <c r="I735" s="5" t="str">
        <f>HYPERLINK("https://www.ncbi.nlm.nih.gov/protein/WP_190609975.1?report=genbank&amp;log$=prottop&amp;blast_rank=11&amp;RID=7U875CNM013","WP_190609975.1")</f>
        <v>WP_190609975.1</v>
      </c>
      <c r="J735" s="5" t="s">
        <v>2</v>
      </c>
    </row>
    <row r="736" spans="1:10" s="7" customFormat="1" x14ac:dyDescent="0.2">
      <c r="A736" s="5" t="s">
        <v>1265</v>
      </c>
      <c r="B736" s="5" t="s">
        <v>1266</v>
      </c>
      <c r="C736" s="5">
        <v>1045</v>
      </c>
      <c r="D736" s="5">
        <v>1045</v>
      </c>
      <c r="E736" s="6">
        <v>0.99</v>
      </c>
      <c r="F736" s="5">
        <v>0</v>
      </c>
      <c r="G736" s="5">
        <v>63.08</v>
      </c>
      <c r="H736" s="5">
        <v>810</v>
      </c>
      <c r="I736" s="5" t="str">
        <f>HYPERLINK("https://www.ncbi.nlm.nih.gov/protein/WP_201295843.1?report=genbank&amp;log$=prottop&amp;blast_rank=12&amp;RID=7U875CNM013","WP_201295843.1")</f>
        <v>WP_201295843.1</v>
      </c>
      <c r="J736" s="5" t="s">
        <v>2</v>
      </c>
    </row>
    <row r="737" spans="1:10" s="10" customFormat="1" x14ac:dyDescent="0.2">
      <c r="A737" s="5" t="s">
        <v>869</v>
      </c>
      <c r="B737" s="5" t="s">
        <v>870</v>
      </c>
      <c r="C737" s="5">
        <v>1084</v>
      </c>
      <c r="D737" s="5">
        <v>1084</v>
      </c>
      <c r="E737" s="6">
        <v>0.99</v>
      </c>
      <c r="F737" s="5">
        <v>0</v>
      </c>
      <c r="G737" s="5">
        <v>63.07</v>
      </c>
      <c r="H737" s="5">
        <v>793</v>
      </c>
      <c r="I737" s="5" t="str">
        <f>HYPERLINK("https://www.ncbi.nlm.nih.gov/protein/MBF2064053.1?report=genbank&amp;log$=prottop&amp;blast_rank=22&amp;RID=7U875CNM013","MBF2064053.1")</f>
        <v>MBF2064053.1</v>
      </c>
      <c r="J737" s="5" t="s">
        <v>2</v>
      </c>
    </row>
    <row r="738" spans="1:10" s="7" customFormat="1" x14ac:dyDescent="0.2">
      <c r="A738" s="5" t="s">
        <v>1267</v>
      </c>
      <c r="B738" s="5" t="s">
        <v>1268</v>
      </c>
      <c r="C738" s="5">
        <v>1079</v>
      </c>
      <c r="D738" s="5">
        <v>1079</v>
      </c>
      <c r="E738" s="6">
        <v>1</v>
      </c>
      <c r="F738" s="5">
        <v>0</v>
      </c>
      <c r="G738" s="5">
        <v>63.03</v>
      </c>
      <c r="H738" s="5">
        <v>824</v>
      </c>
      <c r="I738" s="5" t="str">
        <f>HYPERLINK("https://www.ncbi.nlm.nih.gov/protein/NJR23965.1?report=genbank&amp;log$=prottop&amp;blast_rank=58&amp;RID=7U875CNM013","NJR23965.1")</f>
        <v>NJR23965.1</v>
      </c>
      <c r="J738" s="5" t="s">
        <v>2</v>
      </c>
    </row>
    <row r="739" spans="1:10" s="7" customFormat="1" x14ac:dyDescent="0.2">
      <c r="A739" s="5" t="s">
        <v>1269</v>
      </c>
      <c r="B739" s="5" t="s">
        <v>1270</v>
      </c>
      <c r="C739" s="5">
        <v>1078</v>
      </c>
      <c r="D739" s="5">
        <v>1078</v>
      </c>
      <c r="E739" s="6">
        <v>1</v>
      </c>
      <c r="F739" s="5">
        <v>0</v>
      </c>
      <c r="G739" s="5">
        <v>63.03</v>
      </c>
      <c r="H739" s="5">
        <v>825</v>
      </c>
      <c r="I739" s="5" t="str">
        <f>HYPERLINK("https://www.ncbi.nlm.nih.gov/protein/MBD1821051.1?report=genbank&amp;log$=prottop&amp;blast_rank=59&amp;RID=7U875CNM013","MBD1821051.1")</f>
        <v>MBD1821051.1</v>
      </c>
      <c r="J739" s="5" t="s">
        <v>2</v>
      </c>
    </row>
    <row r="740" spans="1:10" s="7" customFormat="1" x14ac:dyDescent="0.2">
      <c r="A740" s="5" t="s">
        <v>1271</v>
      </c>
      <c r="B740" s="5" t="s">
        <v>1272</v>
      </c>
      <c r="C740" s="5">
        <v>1078</v>
      </c>
      <c r="D740" s="5">
        <v>1078</v>
      </c>
      <c r="E740" s="6">
        <v>1</v>
      </c>
      <c r="F740" s="5">
        <v>0</v>
      </c>
      <c r="G740" s="5">
        <v>63.03</v>
      </c>
      <c r="H740" s="5">
        <v>825</v>
      </c>
      <c r="I740" s="5" t="str">
        <f>HYPERLINK("https://www.ncbi.nlm.nih.gov/protein/WP_190376143.1?report=genbank&amp;log$=prottop&amp;blast_rank=60&amp;RID=7U875CNM013","WP_190376143.1")</f>
        <v>WP_190376143.1</v>
      </c>
      <c r="J740" s="5" t="s">
        <v>2</v>
      </c>
    </row>
    <row r="741" spans="1:10" s="7" customFormat="1" x14ac:dyDescent="0.2">
      <c r="A741" s="5" t="s">
        <v>1273</v>
      </c>
      <c r="B741" s="5" t="s">
        <v>1252</v>
      </c>
      <c r="C741" s="5">
        <v>1041</v>
      </c>
      <c r="D741" s="5">
        <v>1041</v>
      </c>
      <c r="E741" s="6">
        <v>0.99</v>
      </c>
      <c r="F741" s="5">
        <v>0</v>
      </c>
      <c r="G741" s="5">
        <v>63.03</v>
      </c>
      <c r="H741" s="5">
        <v>815</v>
      </c>
      <c r="I741" s="5" t="str">
        <f>HYPERLINK("https://www.ncbi.nlm.nih.gov/protein/WP_201768407.1?report=genbank&amp;log$=prottop&amp;blast_rank=63&amp;RID=7U875CNM013","WP_201768407.1")</f>
        <v>WP_201768407.1</v>
      </c>
      <c r="J741" s="5" t="s">
        <v>2</v>
      </c>
    </row>
    <row r="742" spans="1:10" s="7" customFormat="1" x14ac:dyDescent="0.2">
      <c r="A742" s="5" t="s">
        <v>1274</v>
      </c>
      <c r="B742" s="5" t="s">
        <v>1275</v>
      </c>
      <c r="C742" s="5">
        <v>1041</v>
      </c>
      <c r="D742" s="5">
        <v>1041</v>
      </c>
      <c r="E742" s="6">
        <v>0.99</v>
      </c>
      <c r="F742" s="5">
        <v>0</v>
      </c>
      <c r="G742" s="5">
        <v>63.03</v>
      </c>
      <c r="H742" s="5">
        <v>803</v>
      </c>
      <c r="I742" s="5" t="str">
        <f>HYPERLINK("https://www.ncbi.nlm.nih.gov/protein/HBP53063.1?report=genbank&amp;log$=prottop&amp;blast_rank=64&amp;RID=7U875CNM013","HBP53063.1")</f>
        <v>HBP53063.1</v>
      </c>
      <c r="J742" s="5" t="s">
        <v>2</v>
      </c>
    </row>
    <row r="743" spans="1:10" s="7" customFormat="1" x14ac:dyDescent="0.2">
      <c r="A743" s="5" t="s">
        <v>1276</v>
      </c>
      <c r="B743" s="5" t="s">
        <v>1277</v>
      </c>
      <c r="C743" s="5">
        <v>1043</v>
      </c>
      <c r="D743" s="5">
        <v>1043</v>
      </c>
      <c r="E743" s="6">
        <v>0.98</v>
      </c>
      <c r="F743" s="5">
        <v>0</v>
      </c>
      <c r="G743" s="5">
        <v>63.02</v>
      </c>
      <c r="H743" s="5">
        <v>810</v>
      </c>
      <c r="I743" s="5" t="str">
        <f>HYPERLINK("https://www.ncbi.nlm.nih.gov/protein/WP_052378220.1?report=genbank&amp;log$=prottop&amp;blast_rank=77&amp;RID=7U875CNM013","WP_052378220.1")</f>
        <v>WP_052378220.1</v>
      </c>
      <c r="J743" s="5" t="s">
        <v>2</v>
      </c>
    </row>
    <row r="744" spans="1:10" s="7" customFormat="1" x14ac:dyDescent="0.2">
      <c r="A744" s="5" t="s">
        <v>1278</v>
      </c>
      <c r="B744" s="5" t="s">
        <v>1279</v>
      </c>
      <c r="C744" s="5">
        <v>1041</v>
      </c>
      <c r="D744" s="5">
        <v>1041</v>
      </c>
      <c r="E744" s="6">
        <v>0.98</v>
      </c>
      <c r="F744" s="5">
        <v>0</v>
      </c>
      <c r="G744" s="5">
        <v>63.02</v>
      </c>
      <c r="H744" s="5">
        <v>810</v>
      </c>
      <c r="I744" s="5" t="str">
        <f>HYPERLINK("https://www.ncbi.nlm.nih.gov/protein/MBL6739598.1?report=genbank&amp;log$=prottop&amp;blast_rank=78&amp;RID=7U875CNM013","MBL6739598.1")</f>
        <v>MBL6739598.1</v>
      </c>
      <c r="J744" s="5" t="s">
        <v>2</v>
      </c>
    </row>
    <row r="745" spans="1:10" s="7" customFormat="1" x14ac:dyDescent="0.2">
      <c r="A745" s="5" t="s">
        <v>266</v>
      </c>
      <c r="B745" s="5" t="s">
        <v>267</v>
      </c>
      <c r="C745" s="5">
        <v>1066</v>
      </c>
      <c r="D745" s="5">
        <v>1066</v>
      </c>
      <c r="E745" s="6">
        <v>0.98</v>
      </c>
      <c r="F745" s="5">
        <v>0</v>
      </c>
      <c r="G745" s="5">
        <v>62.98</v>
      </c>
      <c r="H745" s="5">
        <v>829</v>
      </c>
      <c r="I745" s="5" t="str">
        <f>HYPERLINK("https://www.ncbi.nlm.nih.gov/protein/WP_194022325.1?report=genbank&amp;log$=prottop&amp;blast_rank=139&amp;RID=7U875CNM013","WP_194022325.1")</f>
        <v>WP_194022325.1</v>
      </c>
      <c r="J745" s="5" t="s">
        <v>2</v>
      </c>
    </row>
    <row r="746" spans="1:10" s="7" customFormat="1" x14ac:dyDescent="0.2">
      <c r="A746" s="5" t="s">
        <v>1280</v>
      </c>
      <c r="B746" s="5" t="s">
        <v>1281</v>
      </c>
      <c r="C746" s="5">
        <v>1023</v>
      </c>
      <c r="D746" s="5">
        <v>1023</v>
      </c>
      <c r="E746" s="6">
        <v>0.97</v>
      </c>
      <c r="F746" s="5">
        <v>0</v>
      </c>
      <c r="G746" s="5">
        <v>62.98</v>
      </c>
      <c r="H746" s="5">
        <v>803</v>
      </c>
      <c r="I746" s="5" t="str">
        <f>HYPERLINK("https://www.ncbi.nlm.nih.gov/protein/MBM5799502.1?report=genbank&amp;log$=prottop&amp;blast_rank=146&amp;RID=7U875CNM013","MBM5799502.1")</f>
        <v>MBM5799502.1</v>
      </c>
      <c r="J746" s="5" t="s">
        <v>2</v>
      </c>
    </row>
    <row r="747" spans="1:10" s="7" customFormat="1" x14ac:dyDescent="0.2">
      <c r="A747" s="5" t="s">
        <v>170</v>
      </c>
      <c r="B747" s="5" t="s">
        <v>171</v>
      </c>
      <c r="C747" s="5">
        <v>1053</v>
      </c>
      <c r="D747" s="5">
        <v>1053</v>
      </c>
      <c r="E747" s="6">
        <v>0.99</v>
      </c>
      <c r="F747" s="5">
        <v>0</v>
      </c>
      <c r="G747" s="5">
        <v>62.97</v>
      </c>
      <c r="H747" s="5">
        <v>793</v>
      </c>
      <c r="I747" s="5" t="str">
        <f>HYPERLINK("https://www.ncbi.nlm.nih.gov/protein/WP_017292205.1?report=genbank&amp;log$=prottop&amp;blast_rank=150&amp;RID=7U875CNM013","WP_017292205.1")</f>
        <v>WP_017292205.1</v>
      </c>
      <c r="J747" s="5" t="s">
        <v>2</v>
      </c>
    </row>
    <row r="748" spans="1:10" s="7" customFormat="1" x14ac:dyDescent="0.2">
      <c r="A748" s="5" t="s">
        <v>1282</v>
      </c>
      <c r="B748" s="5" t="s">
        <v>1283</v>
      </c>
      <c r="C748" s="5">
        <v>1040</v>
      </c>
      <c r="D748" s="5">
        <v>1040</v>
      </c>
      <c r="E748" s="6">
        <v>0.97</v>
      </c>
      <c r="F748" s="5">
        <v>0</v>
      </c>
      <c r="G748" s="5">
        <v>62.96</v>
      </c>
      <c r="H748" s="5">
        <v>811</v>
      </c>
      <c r="I748" s="26" t="str">
        <f>HYPERLINK("https://www.ncbi.nlm.nih.gov/protein/WP_186472382.1?report=genbank&amp;log$=prottop&amp;blast_rank=163&amp;RID=7U875CNM013","WP_186472382.1")</f>
        <v>WP_186472382.1</v>
      </c>
      <c r="J748" s="5" t="s">
        <v>2</v>
      </c>
    </row>
    <row r="749" spans="1:10" s="7" customFormat="1" x14ac:dyDescent="0.2">
      <c r="A749" s="5" t="s">
        <v>636</v>
      </c>
      <c r="B749" s="5" t="s">
        <v>637</v>
      </c>
      <c r="C749" s="5">
        <v>1043</v>
      </c>
      <c r="D749" s="5">
        <v>1043</v>
      </c>
      <c r="E749" s="6">
        <v>0.99</v>
      </c>
      <c r="F749" s="5">
        <v>0</v>
      </c>
      <c r="G749" s="5">
        <v>62.92</v>
      </c>
      <c r="H749" s="5">
        <v>811</v>
      </c>
      <c r="I749" s="5" t="str">
        <f>HYPERLINK("https://www.ncbi.nlm.nih.gov/protein/WP_071800635.1?report=genbank&amp;log$=prottop&amp;blast_rank=203&amp;RID=7U875CNM013","WP_071800635.1")</f>
        <v>WP_071800635.1</v>
      </c>
      <c r="J749" s="5" t="s">
        <v>2</v>
      </c>
    </row>
    <row r="750" spans="1:10" s="7" customFormat="1" x14ac:dyDescent="0.2">
      <c r="A750" s="5" t="s">
        <v>1284</v>
      </c>
      <c r="B750" s="5" t="s">
        <v>1285</v>
      </c>
      <c r="C750" s="5">
        <v>1090</v>
      </c>
      <c r="D750" s="5">
        <v>1090</v>
      </c>
      <c r="E750" s="6">
        <v>1</v>
      </c>
      <c r="F750" s="5">
        <v>0</v>
      </c>
      <c r="G750" s="5">
        <v>62.91</v>
      </c>
      <c r="H750" s="5">
        <v>799</v>
      </c>
      <c r="I750" s="5" t="str">
        <f>HYPERLINK("https://www.ncbi.nlm.nih.gov/protein/OCQ95313.1?report=genbank&amp;log$=prottop&amp;blast_rank=212&amp;RID=7U875CNM013","OCQ95313.1")</f>
        <v>OCQ95313.1</v>
      </c>
      <c r="J750" s="5" t="s">
        <v>2</v>
      </c>
    </row>
    <row r="751" spans="1:10" s="7" customFormat="1" x14ac:dyDescent="0.2">
      <c r="A751" s="5" t="s">
        <v>443</v>
      </c>
      <c r="B751" s="5" t="s">
        <v>444</v>
      </c>
      <c r="C751" s="5">
        <v>1079</v>
      </c>
      <c r="D751" s="5">
        <v>1079</v>
      </c>
      <c r="E751" s="6">
        <v>1</v>
      </c>
      <c r="F751" s="5">
        <v>0</v>
      </c>
      <c r="G751" s="5">
        <v>62.91</v>
      </c>
      <c r="H751" s="5">
        <v>793</v>
      </c>
      <c r="I751" s="5" t="str">
        <f>HYPERLINK("https://www.ncbi.nlm.nih.gov/protein/RAM49993.1?report=genbank&amp;log$=prottop&amp;blast_rank=213&amp;RID=7U875CNM013","RAM49993.1")</f>
        <v>RAM49993.1</v>
      </c>
      <c r="J751" s="5" t="s">
        <v>2</v>
      </c>
    </row>
    <row r="752" spans="1:10" s="7" customFormat="1" x14ac:dyDescent="0.2">
      <c r="A752" s="5" t="s">
        <v>1286</v>
      </c>
      <c r="B752" s="5" t="s">
        <v>1287</v>
      </c>
      <c r="C752" s="5">
        <v>1077</v>
      </c>
      <c r="D752" s="5">
        <v>1077</v>
      </c>
      <c r="E752" s="6">
        <v>1</v>
      </c>
      <c r="F752" s="5">
        <v>0</v>
      </c>
      <c r="G752" s="5">
        <v>62.91</v>
      </c>
      <c r="H752" s="5">
        <v>824</v>
      </c>
      <c r="I752" s="5" t="str">
        <f>HYPERLINK("https://www.ncbi.nlm.nih.gov/protein/NJK75710.1?report=genbank&amp;log$=prottop&amp;blast_rank=214&amp;RID=7U875CNM013","NJK75710.1")</f>
        <v>NJK75710.1</v>
      </c>
      <c r="J752" s="5" t="s">
        <v>2</v>
      </c>
    </row>
    <row r="753" spans="1:10" s="7" customFormat="1" x14ac:dyDescent="0.2">
      <c r="A753" s="5" t="s">
        <v>1288</v>
      </c>
      <c r="B753" s="5" t="s">
        <v>1289</v>
      </c>
      <c r="C753" s="5">
        <v>1040</v>
      </c>
      <c r="D753" s="5">
        <v>1040</v>
      </c>
      <c r="E753" s="6">
        <v>0.98</v>
      </c>
      <c r="F753" s="5">
        <v>0</v>
      </c>
      <c r="G753" s="5">
        <v>62.9</v>
      </c>
      <c r="H753" s="5">
        <v>807</v>
      </c>
      <c r="I753" s="5" t="str">
        <f>HYPERLINK("https://www.ncbi.nlm.nih.gov/protein/WP_186484634.1?report=genbank&amp;log$=prottop&amp;blast_rank=222&amp;RID=7U875CNM013","WP_186484634.1")</f>
        <v>WP_186484634.1</v>
      </c>
      <c r="J753" s="5" t="s">
        <v>2</v>
      </c>
    </row>
    <row r="754" spans="1:10" s="7" customFormat="1" x14ac:dyDescent="0.2">
      <c r="A754" s="5" t="s">
        <v>1253</v>
      </c>
      <c r="B754" s="5" t="s">
        <v>637</v>
      </c>
      <c r="C754" s="5">
        <v>1032</v>
      </c>
      <c r="D754" s="5">
        <v>1032</v>
      </c>
      <c r="E754" s="6">
        <v>0.97</v>
      </c>
      <c r="F754" s="5">
        <v>0</v>
      </c>
      <c r="G754" s="5">
        <v>62.85</v>
      </c>
      <c r="H754" s="5">
        <v>795</v>
      </c>
      <c r="I754" s="5" t="str">
        <f>HYPERLINK("https://www.ncbi.nlm.nih.gov/protein/WP_197156508.1?report=genbank&amp;log$=prottop&amp;blast_rank=42&amp;RID=7U875CNM013","WP_197156508.1")</f>
        <v>WP_197156508.1</v>
      </c>
      <c r="J754" s="5" t="s">
        <v>2</v>
      </c>
    </row>
    <row r="755" spans="1:10" s="7" customFormat="1" x14ac:dyDescent="0.2">
      <c r="A755" s="5" t="s">
        <v>624</v>
      </c>
      <c r="B755" s="5" t="s">
        <v>625</v>
      </c>
      <c r="C755" s="5">
        <v>1061</v>
      </c>
      <c r="D755" s="5">
        <v>1061</v>
      </c>
      <c r="E755" s="6">
        <v>0.98</v>
      </c>
      <c r="F755" s="5">
        <v>0</v>
      </c>
      <c r="G755" s="5">
        <v>62.85</v>
      </c>
      <c r="H755" s="5">
        <v>824</v>
      </c>
      <c r="I755" s="5" t="str">
        <f>HYPERLINK("https://www.ncbi.nlm.nih.gov/protein/WP_015162827.1?report=genbank&amp;log$=prottop&amp;blast_rank=44&amp;RID=7U875CNM013","WP_015162827.1")</f>
        <v>WP_015162827.1</v>
      </c>
      <c r="J755" s="5" t="s">
        <v>2</v>
      </c>
    </row>
    <row r="756" spans="1:10" s="7" customFormat="1" x14ac:dyDescent="0.2">
      <c r="A756" s="5" t="s">
        <v>1290</v>
      </c>
      <c r="B756" s="5" t="s">
        <v>1291</v>
      </c>
      <c r="C756" s="5">
        <v>1023</v>
      </c>
      <c r="D756" s="5">
        <v>1023</v>
      </c>
      <c r="E756" s="6">
        <v>0.99</v>
      </c>
      <c r="F756" s="5">
        <v>0</v>
      </c>
      <c r="G756" s="5">
        <v>62.83</v>
      </c>
      <c r="H756" s="5">
        <v>810</v>
      </c>
      <c r="I756" s="5" t="str">
        <f>HYPERLINK("https://www.ncbi.nlm.nih.gov/protein/WP_015109986.1?report=genbank&amp;log$=prottop&amp;blast_rank=72&amp;RID=7U875CNM013","WP_015109986.1")</f>
        <v>WP_015109986.1</v>
      </c>
      <c r="J756" s="5" t="s">
        <v>2</v>
      </c>
    </row>
    <row r="757" spans="1:10" s="7" customFormat="1" x14ac:dyDescent="0.2">
      <c r="A757" s="5" t="s">
        <v>961</v>
      </c>
      <c r="B757" s="5" t="s">
        <v>962</v>
      </c>
      <c r="C757" s="5">
        <v>1080</v>
      </c>
      <c r="D757" s="5">
        <v>1080</v>
      </c>
      <c r="E757" s="6">
        <v>0.99</v>
      </c>
      <c r="F757" s="5">
        <v>0</v>
      </c>
      <c r="G757" s="5">
        <v>62.81</v>
      </c>
      <c r="H757" s="5">
        <v>793</v>
      </c>
      <c r="I757" s="5" t="str">
        <f>HYPERLINK("https://www.ncbi.nlm.nih.gov/protein/WP_193849200.1?report=genbank&amp;log$=prottop&amp;blast_rank=76&amp;RID=7U875CNM013","WP_193849200.1")</f>
        <v>WP_193849200.1</v>
      </c>
      <c r="J757" s="5" t="s">
        <v>2</v>
      </c>
    </row>
    <row r="758" spans="1:10" s="7" customFormat="1" x14ac:dyDescent="0.2">
      <c r="A758" s="5" t="s">
        <v>1292</v>
      </c>
      <c r="B758" s="5" t="s">
        <v>1293</v>
      </c>
      <c r="C758" s="5">
        <v>1078</v>
      </c>
      <c r="D758" s="5">
        <v>1078</v>
      </c>
      <c r="E758" s="6">
        <v>0.99</v>
      </c>
      <c r="F758" s="5">
        <v>0</v>
      </c>
      <c r="G758" s="5">
        <v>62.81</v>
      </c>
      <c r="H758" s="5">
        <v>793</v>
      </c>
      <c r="I758" s="5" t="str">
        <f>HYPERLINK("https://www.ncbi.nlm.nih.gov/protein/WP_190372056.1?report=genbank&amp;log$=prottop&amp;blast_rank=77&amp;RID=7U875CNM013","WP_190372056.1")</f>
        <v>WP_190372056.1</v>
      </c>
      <c r="J758" s="5" t="s">
        <v>2</v>
      </c>
    </row>
    <row r="759" spans="1:10" s="7" customFormat="1" x14ac:dyDescent="0.2">
      <c r="A759" s="5" t="s">
        <v>1294</v>
      </c>
      <c r="B759" s="5" t="s">
        <v>1242</v>
      </c>
      <c r="C759" s="5">
        <v>1076</v>
      </c>
      <c r="D759" s="5">
        <v>1076</v>
      </c>
      <c r="E759" s="6">
        <v>0.99</v>
      </c>
      <c r="F759" s="5">
        <v>0</v>
      </c>
      <c r="G759" s="5">
        <v>62.81</v>
      </c>
      <c r="H759" s="5">
        <v>793</v>
      </c>
      <c r="I759" s="5" t="str">
        <f>HYPERLINK("https://www.ncbi.nlm.nih.gov/protein/WP_137908357.1?report=genbank&amp;log$=prottop&amp;blast_rank=78&amp;RID=7U875CNM013","WP_137908357.1")</f>
        <v>WP_137908357.1</v>
      </c>
      <c r="J759" s="5" t="s">
        <v>2</v>
      </c>
    </row>
    <row r="760" spans="1:10" s="7" customFormat="1" x14ac:dyDescent="0.2">
      <c r="A760" s="5" t="s">
        <v>1295</v>
      </c>
      <c r="B760" s="5" t="s">
        <v>1296</v>
      </c>
      <c r="C760" s="5">
        <v>1072</v>
      </c>
      <c r="D760" s="5">
        <v>1072</v>
      </c>
      <c r="E760" s="6">
        <v>0.99</v>
      </c>
      <c r="F760" s="5">
        <v>0</v>
      </c>
      <c r="G760" s="5">
        <v>62.81</v>
      </c>
      <c r="H760" s="5">
        <v>793</v>
      </c>
      <c r="I760" s="5" t="str">
        <f>HYPERLINK("https://www.ncbi.nlm.nih.gov/protein/WP_028091115.1?report=genbank&amp;log$=prottop&amp;blast_rank=79&amp;RID=7U875CNM013","WP_028091115.1")</f>
        <v>WP_028091115.1</v>
      </c>
      <c r="J760" s="5" t="s">
        <v>2</v>
      </c>
    </row>
    <row r="761" spans="1:10" s="7" customFormat="1" x14ac:dyDescent="0.2">
      <c r="A761" s="5" t="s">
        <v>1297</v>
      </c>
      <c r="B761" s="5" t="s">
        <v>1298</v>
      </c>
      <c r="C761" s="5">
        <v>1030</v>
      </c>
      <c r="D761" s="5">
        <v>1030</v>
      </c>
      <c r="E761" s="6">
        <v>0.98</v>
      </c>
      <c r="F761" s="5">
        <v>0</v>
      </c>
      <c r="G761" s="5">
        <v>62.81</v>
      </c>
      <c r="H761" s="5">
        <v>806</v>
      </c>
      <c r="I761" s="5" t="str">
        <f>HYPERLINK("https://www.ncbi.nlm.nih.gov/protein/PWL22521.1?report=genbank&amp;log$=prottop&amp;blast_rank=80&amp;RID=7U875CNM013","PWL22521.1")</f>
        <v>PWL22521.1</v>
      </c>
      <c r="J761" s="5" t="s">
        <v>2</v>
      </c>
    </row>
    <row r="762" spans="1:10" s="7" customFormat="1" x14ac:dyDescent="0.2">
      <c r="A762" s="5" t="s">
        <v>1299</v>
      </c>
      <c r="B762" s="5" t="s">
        <v>1300</v>
      </c>
      <c r="C762" s="5">
        <v>1029</v>
      </c>
      <c r="D762" s="5">
        <v>1029</v>
      </c>
      <c r="E762" s="6">
        <v>0.98</v>
      </c>
      <c r="F762" s="5">
        <v>0</v>
      </c>
      <c r="G762" s="5">
        <v>62.81</v>
      </c>
      <c r="H762" s="5">
        <v>806</v>
      </c>
      <c r="I762" s="5" t="str">
        <f>HYPERLINK("https://www.ncbi.nlm.nih.gov/protein/WP_010314006.1?report=genbank&amp;log$=prottop&amp;blast_rank=81&amp;RID=7U875CNM013","WP_010314006.1")</f>
        <v>WP_010314006.1</v>
      </c>
      <c r="J762" s="5" t="s">
        <v>2</v>
      </c>
    </row>
    <row r="763" spans="1:10" s="7" customFormat="1" x14ac:dyDescent="0.2">
      <c r="A763" s="5" t="s">
        <v>1253</v>
      </c>
      <c r="B763" s="5" t="s">
        <v>637</v>
      </c>
      <c r="C763" s="5">
        <v>1034</v>
      </c>
      <c r="D763" s="5">
        <v>1034</v>
      </c>
      <c r="E763" s="6">
        <v>0.98</v>
      </c>
      <c r="F763" s="5">
        <v>0</v>
      </c>
      <c r="G763" s="5">
        <v>62.77</v>
      </c>
      <c r="H763" s="5">
        <v>795</v>
      </c>
      <c r="I763" s="5" t="str">
        <f>HYPERLINK("https://www.ncbi.nlm.nih.gov/protein/WP_185466476.1?report=genbank&amp;log$=prottop&amp;blast_rank=113&amp;RID=7U875CNM013","WP_185466476.1")</f>
        <v>WP_185466476.1</v>
      </c>
      <c r="J763" s="5" t="s">
        <v>2</v>
      </c>
    </row>
    <row r="764" spans="1:10" s="7" customFormat="1" x14ac:dyDescent="0.2">
      <c r="A764" s="5" t="s">
        <v>1295</v>
      </c>
      <c r="B764" s="5" t="s">
        <v>1296</v>
      </c>
      <c r="C764" s="5">
        <v>1072</v>
      </c>
      <c r="D764" s="5">
        <v>1072</v>
      </c>
      <c r="E764" s="6">
        <v>0.99</v>
      </c>
      <c r="F764" s="5">
        <v>0</v>
      </c>
      <c r="G764" s="5">
        <v>62.69</v>
      </c>
      <c r="H764" s="5">
        <v>793</v>
      </c>
      <c r="I764" s="5" t="str">
        <f>HYPERLINK("https://www.ncbi.nlm.nih.gov/protein/WP_028084092.1?report=genbank&amp;log$=prottop&amp;blast_rank=206&amp;RID=7U875CNM013","WP_028084092.1")</f>
        <v>WP_028084092.1</v>
      </c>
      <c r="J764" s="5" t="s">
        <v>2</v>
      </c>
    </row>
    <row r="765" spans="1:10" x14ac:dyDescent="0.2">
      <c r="A765" s="5" t="s">
        <v>1241</v>
      </c>
      <c r="B765" s="5" t="s">
        <v>1242</v>
      </c>
      <c r="C765" s="5">
        <v>1077</v>
      </c>
      <c r="D765" s="5">
        <v>1077</v>
      </c>
      <c r="E765" s="6">
        <v>1</v>
      </c>
      <c r="F765" s="5">
        <v>0</v>
      </c>
      <c r="G765" s="5">
        <v>62.66</v>
      </c>
      <c r="H765" s="5">
        <v>835</v>
      </c>
      <c r="I765" s="5" t="str">
        <f>HYPERLINK("https://www.ncbi.nlm.nih.gov/protein/GCL42797.1?report=genbank&amp;log$=prottop&amp;blast_rank=18&amp;RID=7U875CNM013","GCL42797.1")</f>
        <v>GCL42797.1</v>
      </c>
      <c r="J765" s="5" t="s">
        <v>2</v>
      </c>
    </row>
    <row r="766" spans="1:10" x14ac:dyDescent="0.2">
      <c r="A766" s="5" t="s">
        <v>788</v>
      </c>
      <c r="B766" s="5" t="s">
        <v>743</v>
      </c>
      <c r="C766" s="5">
        <v>1072</v>
      </c>
      <c r="D766" s="5">
        <v>1072</v>
      </c>
      <c r="E766" s="6">
        <v>1</v>
      </c>
      <c r="F766" s="5">
        <v>0</v>
      </c>
      <c r="G766" s="5">
        <v>62.66</v>
      </c>
      <c r="H766" s="5">
        <v>793</v>
      </c>
      <c r="I766" s="5" t="str">
        <f>HYPERLINK("https://www.ncbi.nlm.nih.gov/protein/WP_099068812.1?report=genbank&amp;log$=prottop&amp;blast_rank=19&amp;RID=7U875CNM013","WP_099068812.1")</f>
        <v>WP_099068812.1</v>
      </c>
      <c r="J766" s="5" t="s">
        <v>2</v>
      </c>
    </row>
    <row r="767" spans="1:10" x14ac:dyDescent="0.2">
      <c r="A767" s="5" t="s">
        <v>1301</v>
      </c>
      <c r="B767" s="5" t="s">
        <v>1302</v>
      </c>
      <c r="C767" s="5">
        <v>1071</v>
      </c>
      <c r="D767" s="5">
        <v>1071</v>
      </c>
      <c r="E767" s="6">
        <v>0.99</v>
      </c>
      <c r="F767" s="5">
        <v>0</v>
      </c>
      <c r="G767" s="5">
        <v>62.61</v>
      </c>
      <c r="H767" s="5">
        <v>824</v>
      </c>
      <c r="I767" s="5" t="str">
        <f>HYPERLINK("https://www.ncbi.nlm.nih.gov/protein/WP_015178572.1?report=genbank&amp;log$=prottop&amp;blast_rank=59&amp;RID=7U875CNM013","WP_015178572.1")</f>
        <v>WP_015178572.1</v>
      </c>
      <c r="J767" s="5" t="s">
        <v>2</v>
      </c>
    </row>
    <row r="768" spans="1:10" s="7" customFormat="1" x14ac:dyDescent="0.2">
      <c r="A768" s="5" t="s">
        <v>1303</v>
      </c>
      <c r="B768" s="5" t="s">
        <v>1304</v>
      </c>
      <c r="C768" s="5">
        <v>1028</v>
      </c>
      <c r="D768" s="5">
        <v>1028</v>
      </c>
      <c r="E768" s="6">
        <v>0.98</v>
      </c>
      <c r="F768" s="5">
        <v>0</v>
      </c>
      <c r="G768" s="5">
        <v>62.59</v>
      </c>
      <c r="H768" s="5">
        <v>809</v>
      </c>
      <c r="I768" s="5" t="str">
        <f>HYPERLINK("https://www.ncbi.nlm.nih.gov/protein/NDC34253.1?report=genbank&amp;log$=prottop&amp;blast_rank=78&amp;RID=7U875CNM013","NDC34253.1")</f>
        <v>NDC34253.1</v>
      </c>
      <c r="J768" s="5" t="s">
        <v>2</v>
      </c>
    </row>
    <row r="769" spans="1:10" x14ac:dyDescent="0.2">
      <c r="A769" s="5" t="s">
        <v>1305</v>
      </c>
      <c r="B769" s="5" t="s">
        <v>1306</v>
      </c>
      <c r="C769" s="5">
        <v>1043</v>
      </c>
      <c r="D769" s="5">
        <v>1043</v>
      </c>
      <c r="E769" s="6">
        <v>0.98</v>
      </c>
      <c r="F769" s="5">
        <v>0</v>
      </c>
      <c r="G769" s="5">
        <v>62.58</v>
      </c>
      <c r="H769" s="5">
        <v>809</v>
      </c>
      <c r="I769" s="5" t="str">
        <f>HYPERLINK("https://www.ncbi.nlm.nih.gov/protein/WP_186571161.1?report=genbank&amp;log$=prottop&amp;blast_rank=86&amp;RID=7U875CNM013","WP_186571161.1")</f>
        <v>WP_186571161.1</v>
      </c>
      <c r="J769" s="5" t="s">
        <v>2</v>
      </c>
    </row>
    <row r="770" spans="1:10" x14ac:dyDescent="0.2">
      <c r="A770" s="5" t="s">
        <v>1307</v>
      </c>
      <c r="B770" s="5" t="s">
        <v>1308</v>
      </c>
      <c r="C770" s="5">
        <v>1045</v>
      </c>
      <c r="D770" s="5">
        <v>1045</v>
      </c>
      <c r="E770" s="6">
        <v>0.98</v>
      </c>
      <c r="F770" s="5">
        <v>0</v>
      </c>
      <c r="G770" s="5">
        <v>62.47</v>
      </c>
      <c r="H770" s="5">
        <v>797</v>
      </c>
      <c r="I770" s="5" t="str">
        <f>HYPERLINK("https://www.ncbi.nlm.nih.gov/protein/MBA4050003.1?report=genbank&amp;log$=prottop&amp;blast_rank=3&amp;RID=7U875CNM013","MBA4050003.1")</f>
        <v>MBA4050003.1</v>
      </c>
      <c r="J770" s="5" t="s">
        <v>2</v>
      </c>
    </row>
    <row r="771" spans="1:10" x14ac:dyDescent="0.2">
      <c r="A771" s="5" t="s">
        <v>1311</v>
      </c>
      <c r="B771" s="5" t="s">
        <v>1312</v>
      </c>
      <c r="C771" s="5">
        <v>1045</v>
      </c>
      <c r="D771" s="5">
        <v>1045</v>
      </c>
      <c r="E771" s="6">
        <v>1</v>
      </c>
      <c r="F771" s="5">
        <v>0</v>
      </c>
      <c r="G771" s="5">
        <v>62.45</v>
      </c>
      <c r="H771" s="5">
        <v>797</v>
      </c>
      <c r="I771" s="5" t="str">
        <f>HYPERLINK("https://www.ncbi.nlm.nih.gov/protein/NJN11498.1?report=genbank&amp;log$=prottop&amp;blast_rank=22&amp;RID=7U875CNM013","NJN11498.1")</f>
        <v>NJN11498.1</v>
      </c>
      <c r="J771" s="5" t="s">
        <v>2</v>
      </c>
    </row>
    <row r="772" spans="1:10" x14ac:dyDescent="0.2">
      <c r="A772" s="5" t="s">
        <v>1313</v>
      </c>
      <c r="B772" s="5" t="s">
        <v>1314</v>
      </c>
      <c r="C772" s="5">
        <v>1073</v>
      </c>
      <c r="D772" s="5">
        <v>1073</v>
      </c>
      <c r="E772" s="6">
        <v>0.99</v>
      </c>
      <c r="F772" s="5">
        <v>0</v>
      </c>
      <c r="G772" s="5">
        <v>62.44</v>
      </c>
      <c r="H772" s="5">
        <v>793</v>
      </c>
      <c r="I772" s="5" t="str">
        <f>HYPERLINK("https://www.ncbi.nlm.nih.gov/protein/WP_013190953.1?report=genbank&amp;log$=prottop&amp;blast_rank=35&amp;RID=7U875CNM013","WP_013190953.1")</f>
        <v>WP_013190953.1</v>
      </c>
      <c r="J772" s="5" t="s">
        <v>2</v>
      </c>
    </row>
    <row r="773" spans="1:10" x14ac:dyDescent="0.2">
      <c r="A773" s="5" t="s">
        <v>1315</v>
      </c>
      <c r="B773" s="5" t="s">
        <v>1316</v>
      </c>
      <c r="C773" s="5">
        <v>1046</v>
      </c>
      <c r="D773" s="5">
        <v>1046</v>
      </c>
      <c r="E773" s="6">
        <v>1</v>
      </c>
      <c r="F773" s="5">
        <v>0</v>
      </c>
      <c r="G773" s="5">
        <v>62.39</v>
      </c>
      <c r="H773" s="5">
        <v>809</v>
      </c>
      <c r="I773" s="5" t="str">
        <f>HYPERLINK("https://www.ncbi.nlm.nih.gov/protein/WP_028953397.1?report=genbank&amp;log$=prottop&amp;blast_rank=68&amp;RID=7U875CNM013","WP_028953397.1")</f>
        <v>WP_028953397.1</v>
      </c>
      <c r="J773" s="5" t="s">
        <v>2</v>
      </c>
    </row>
    <row r="774" spans="1:10" x14ac:dyDescent="0.2">
      <c r="A774" s="5" t="s">
        <v>1317</v>
      </c>
      <c r="B774" s="5" t="s">
        <v>1318</v>
      </c>
      <c r="C774" s="5">
        <v>1056</v>
      </c>
      <c r="D774" s="5">
        <v>1056</v>
      </c>
      <c r="E774" s="6">
        <v>0.98</v>
      </c>
      <c r="F774" s="5">
        <v>0</v>
      </c>
      <c r="G774" s="5">
        <v>62.39</v>
      </c>
      <c r="H774" s="5">
        <v>796</v>
      </c>
      <c r="I774" s="5" t="str">
        <f>HYPERLINK("https://www.ncbi.nlm.nih.gov/protein/AIJ28511.1?report=genbank&amp;log$=prottop&amp;blast_rank=74&amp;RID=7U875CNM013","AIJ28511.1")</f>
        <v>AIJ28511.1</v>
      </c>
      <c r="J774" s="5" t="s">
        <v>2</v>
      </c>
    </row>
    <row r="775" spans="1:10" x14ac:dyDescent="0.2">
      <c r="A775" s="5" t="s">
        <v>443</v>
      </c>
      <c r="B775" s="5" t="s">
        <v>444</v>
      </c>
      <c r="C775" s="5">
        <v>1054</v>
      </c>
      <c r="D775" s="5">
        <v>1054</v>
      </c>
      <c r="E775" s="6">
        <v>0.98</v>
      </c>
      <c r="F775" s="5">
        <v>0</v>
      </c>
      <c r="G775" s="5">
        <v>62.39</v>
      </c>
      <c r="H775" s="5">
        <v>796</v>
      </c>
      <c r="I775" s="5" t="str">
        <f>HYPERLINK("https://www.ncbi.nlm.nih.gov/protein/RAM49030.1?report=genbank&amp;log$=prottop&amp;blast_rank=75&amp;RID=7U875CNM013","RAM49030.1")</f>
        <v>RAM49030.1</v>
      </c>
      <c r="J775" s="5" t="s">
        <v>2</v>
      </c>
    </row>
    <row r="776" spans="1:10" x14ac:dyDescent="0.2">
      <c r="A776" s="5" t="s">
        <v>1319</v>
      </c>
      <c r="B776" s="5" t="s">
        <v>1320</v>
      </c>
      <c r="C776" s="5">
        <v>1030</v>
      </c>
      <c r="D776" s="5">
        <v>1030</v>
      </c>
      <c r="E776" s="6">
        <v>0.99</v>
      </c>
      <c r="F776" s="5">
        <v>0</v>
      </c>
      <c r="G776" s="5">
        <v>62.38</v>
      </c>
      <c r="H776" s="5">
        <v>810</v>
      </c>
      <c r="I776" s="5" t="str">
        <f>HYPERLINK("https://www.ncbi.nlm.nih.gov/protein/WP_190545644.1?report=genbank&amp;log$=prottop&amp;blast_rank=81&amp;RID=7U875CNM013","WP_190545644.1")</f>
        <v>WP_190545644.1</v>
      </c>
      <c r="J776" s="5" t="s">
        <v>2</v>
      </c>
    </row>
    <row r="777" spans="1:10" x14ac:dyDescent="0.2">
      <c r="A777" s="5" t="s">
        <v>1321</v>
      </c>
      <c r="B777" s="5" t="s">
        <v>1188</v>
      </c>
      <c r="C777" s="5">
        <v>1038</v>
      </c>
      <c r="D777" s="5">
        <v>1038</v>
      </c>
      <c r="E777" s="6">
        <v>0.99</v>
      </c>
      <c r="F777" s="5">
        <v>0</v>
      </c>
      <c r="G777" s="5">
        <v>62.36</v>
      </c>
      <c r="H777" s="5">
        <v>818</v>
      </c>
      <c r="I777" s="5" t="str">
        <f>HYPERLINK("https://www.ncbi.nlm.nih.gov/protein/PZU99056.1?report=genbank&amp;log$=prottop&amp;blast_rank=98&amp;RID=7U875CNM013","PZU99056.1")</f>
        <v>PZU99056.1</v>
      </c>
      <c r="J777" s="5" t="s">
        <v>2</v>
      </c>
    </row>
    <row r="778" spans="1:10" x14ac:dyDescent="0.2">
      <c r="A778" s="5" t="s">
        <v>1322</v>
      </c>
      <c r="B778" s="5" t="s">
        <v>1323</v>
      </c>
      <c r="C778" s="5">
        <v>1042</v>
      </c>
      <c r="D778" s="5">
        <v>1042</v>
      </c>
      <c r="E778" s="6">
        <v>0.98</v>
      </c>
      <c r="F778" s="5">
        <v>0</v>
      </c>
      <c r="G778" s="5">
        <v>62.33</v>
      </c>
      <c r="H778" s="5">
        <v>808</v>
      </c>
      <c r="I778" s="5" t="str">
        <f>HYPERLINK("https://www.ncbi.nlm.nih.gov/protein/MAI96584.1?report=genbank&amp;log$=prottop&amp;blast_rank=112&amp;RID=7U875CNM013","MAI96584.1")</f>
        <v>MAI96584.1</v>
      </c>
      <c r="J778" s="5" t="s">
        <v>2</v>
      </c>
    </row>
    <row r="779" spans="1:10" x14ac:dyDescent="0.2">
      <c r="A779" s="5" t="s">
        <v>1324</v>
      </c>
      <c r="B779" s="5" t="s">
        <v>1325</v>
      </c>
      <c r="C779" s="5">
        <v>1073</v>
      </c>
      <c r="D779" s="5">
        <v>1073</v>
      </c>
      <c r="E779" s="6">
        <v>1</v>
      </c>
      <c r="F779" s="5">
        <v>0</v>
      </c>
      <c r="G779" s="5">
        <v>62.28</v>
      </c>
      <c r="H779" s="5">
        <v>825</v>
      </c>
      <c r="I779" s="5" t="str">
        <f>HYPERLINK("https://www.ncbi.nlm.nih.gov/protein/WP_068382681.1?report=genbank&amp;log$=prottop&amp;blast_rank=140&amp;RID=7U875CNM013","WP_068382681.1")</f>
        <v>WP_068382681.1</v>
      </c>
      <c r="J779" s="5" t="s">
        <v>2</v>
      </c>
    </row>
    <row r="780" spans="1:10" x14ac:dyDescent="0.2">
      <c r="A780" s="5" t="s">
        <v>427</v>
      </c>
      <c r="B780" s="5" t="s">
        <v>428</v>
      </c>
      <c r="C780" s="5">
        <v>1052</v>
      </c>
      <c r="D780" s="5">
        <v>1052</v>
      </c>
      <c r="E780" s="6">
        <v>0.98</v>
      </c>
      <c r="F780" s="5">
        <v>0</v>
      </c>
      <c r="G780" s="5">
        <v>62.13</v>
      </c>
      <c r="H780" s="5">
        <v>796</v>
      </c>
      <c r="I780" s="5" t="str">
        <f>HYPERLINK("https://www.ncbi.nlm.nih.gov/protein/WP_044446449.1?report=genbank&amp;log$=prottop&amp;blast_rank=88&amp;RID=7U875CNM013","WP_044446449.1")</f>
        <v>WP_044446449.1</v>
      </c>
      <c r="J780" s="5" t="s">
        <v>2</v>
      </c>
    </row>
    <row r="781" spans="1:10" x14ac:dyDescent="0.2">
      <c r="A781" s="5" t="s">
        <v>439</v>
      </c>
      <c r="B781" s="5" t="s">
        <v>440</v>
      </c>
      <c r="C781" s="5">
        <v>1049</v>
      </c>
      <c r="D781" s="5">
        <v>1049</v>
      </c>
      <c r="E781" s="6">
        <v>0.98</v>
      </c>
      <c r="F781" s="5">
        <v>0</v>
      </c>
      <c r="G781" s="5">
        <v>62.01</v>
      </c>
      <c r="H781" s="5">
        <v>796</v>
      </c>
      <c r="I781" s="5" t="str">
        <f>HYPERLINK("https://www.ncbi.nlm.nih.gov/protein/WP_017308608.1?report=genbank&amp;log$=prottop&amp;blast_rank=155&amp;RID=7U875CNM013","WP_017308608.1")</f>
        <v>WP_017308608.1</v>
      </c>
      <c r="J781" s="5" t="s">
        <v>2</v>
      </c>
    </row>
    <row r="782" spans="1:10" x14ac:dyDescent="0.2">
      <c r="A782" s="5" t="s">
        <v>370</v>
      </c>
      <c r="B782" s="5" t="s">
        <v>371</v>
      </c>
      <c r="C782" s="5">
        <v>1033</v>
      </c>
      <c r="D782" s="5">
        <v>1033</v>
      </c>
      <c r="E782" s="6">
        <v>1</v>
      </c>
      <c r="F782" s="5">
        <v>0</v>
      </c>
      <c r="G782" s="5">
        <v>61.96</v>
      </c>
      <c r="H782" s="5">
        <v>829</v>
      </c>
      <c r="I782" s="5" t="str">
        <f>HYPERLINK("https://www.ncbi.nlm.nih.gov/protein/MBI4782931.1?report=genbank&amp;log$=prottop&amp;blast_rank=22&amp;RID=7U875CNM013","MBI4782931.1")</f>
        <v>MBI4782931.1</v>
      </c>
      <c r="J782" s="5" t="s">
        <v>2</v>
      </c>
    </row>
    <row r="783" spans="1:10" x14ac:dyDescent="0.2">
      <c r="A783" s="5" t="s">
        <v>1326</v>
      </c>
      <c r="B783" s="5" t="s">
        <v>1327</v>
      </c>
      <c r="C783" s="5">
        <v>1037</v>
      </c>
      <c r="D783" s="5">
        <v>1037</v>
      </c>
      <c r="E783" s="6">
        <v>0.99</v>
      </c>
      <c r="F783" s="5">
        <v>0</v>
      </c>
      <c r="G783" s="5">
        <v>61.88</v>
      </c>
      <c r="H783" s="5">
        <v>803</v>
      </c>
      <c r="I783" s="5" t="str">
        <f>HYPERLINK("https://www.ncbi.nlm.nih.gov/protein/WP_115072008.1?report=genbank&amp;log$=prottop&amp;blast_rank=69&amp;RID=7U875CNM013","WP_115072008.1")</f>
        <v>WP_115072008.1</v>
      </c>
      <c r="J783" s="5" t="s">
        <v>2</v>
      </c>
    </row>
    <row r="784" spans="1:10" x14ac:dyDescent="0.2">
      <c r="A784" s="5" t="s">
        <v>1321</v>
      </c>
      <c r="B784" s="5" t="s">
        <v>1188</v>
      </c>
      <c r="C784" s="5">
        <v>1038</v>
      </c>
      <c r="D784" s="5">
        <v>1038</v>
      </c>
      <c r="E784" s="6">
        <v>0.99</v>
      </c>
      <c r="F784" s="5">
        <v>0</v>
      </c>
      <c r="G784" s="5">
        <v>61.8</v>
      </c>
      <c r="H784" s="5">
        <v>818</v>
      </c>
      <c r="I784" s="5" t="str">
        <f>HYPERLINK("https://www.ncbi.nlm.nih.gov/protein/PZV04213.1?report=genbank&amp;log$=prottop&amp;blast_rank=103&amp;RID=7U875CNM013","PZV04213.1")</f>
        <v>PZV04213.1</v>
      </c>
      <c r="J784" s="5" t="s">
        <v>2</v>
      </c>
    </row>
    <row r="785" spans="1:10" x14ac:dyDescent="0.2">
      <c r="A785" s="5" t="s">
        <v>1330</v>
      </c>
      <c r="B785" s="5" t="s">
        <v>1331</v>
      </c>
      <c r="C785" s="5">
        <v>1043</v>
      </c>
      <c r="D785" s="5">
        <v>1043</v>
      </c>
      <c r="E785" s="6">
        <v>1</v>
      </c>
      <c r="F785" s="5">
        <v>0</v>
      </c>
      <c r="G785" s="5">
        <v>61.77</v>
      </c>
      <c r="H785" s="5">
        <v>809</v>
      </c>
      <c r="I785" s="5" t="str">
        <f>HYPERLINK("https://www.ncbi.nlm.nih.gov/protein/MAV11033.1?report=genbank&amp;log$=prottop&amp;blast_rank=135&amp;RID=7U875CNM013","MAV11033.1")</f>
        <v>MAV11033.1</v>
      </c>
      <c r="J785" s="5" t="s">
        <v>2</v>
      </c>
    </row>
    <row r="786" spans="1:10" x14ac:dyDescent="0.2">
      <c r="A786" s="5" t="s">
        <v>1332</v>
      </c>
      <c r="B786" s="5" t="s">
        <v>1333</v>
      </c>
      <c r="C786" s="5">
        <v>1033</v>
      </c>
      <c r="D786" s="5">
        <v>1033</v>
      </c>
      <c r="E786" s="6">
        <v>1</v>
      </c>
      <c r="F786" s="5">
        <v>0</v>
      </c>
      <c r="G786" s="5">
        <v>61.77</v>
      </c>
      <c r="H786" s="5">
        <v>809</v>
      </c>
      <c r="I786" s="5" t="str">
        <f>HYPERLINK("https://www.ncbi.nlm.nih.gov/protein/WP_038542767.1?report=genbank&amp;log$=prottop&amp;blast_rank=136&amp;RID=7U875CNM013","WP_038542767.1")</f>
        <v>WP_038542767.1</v>
      </c>
      <c r="J786" s="5" t="s">
        <v>2</v>
      </c>
    </row>
    <row r="787" spans="1:10" x14ac:dyDescent="0.2">
      <c r="A787" s="5" t="s">
        <v>1334</v>
      </c>
      <c r="B787" s="5" t="s">
        <v>1335</v>
      </c>
      <c r="C787" s="5">
        <v>1038</v>
      </c>
      <c r="D787" s="5">
        <v>1038</v>
      </c>
      <c r="E787" s="6">
        <v>0.99</v>
      </c>
      <c r="F787" s="5">
        <v>0</v>
      </c>
      <c r="G787" s="5">
        <v>61.62</v>
      </c>
      <c r="H787" s="5">
        <v>803</v>
      </c>
      <c r="I787" s="5" t="str">
        <f>HYPERLINK("https://www.ncbi.nlm.nih.gov/protein/WP_006852742.1?report=genbank&amp;log$=prottop&amp;blast_rank=192&amp;RID=7U875CNM013","WP_006852742.1")</f>
        <v>WP_006852742.1</v>
      </c>
      <c r="J787" s="5" t="s">
        <v>2</v>
      </c>
    </row>
    <row r="788" spans="1:10" x14ac:dyDescent="0.2">
      <c r="A788" s="5" t="s">
        <v>1336</v>
      </c>
      <c r="B788" s="5" t="s">
        <v>1337</v>
      </c>
      <c r="C788" s="5">
        <v>1034</v>
      </c>
      <c r="D788" s="5">
        <v>1034</v>
      </c>
      <c r="E788" s="6">
        <v>0.99</v>
      </c>
      <c r="F788" s="5">
        <v>0</v>
      </c>
      <c r="G788" s="5">
        <v>61.62</v>
      </c>
      <c r="H788" s="5">
        <v>803</v>
      </c>
      <c r="I788" s="5" t="str">
        <f>HYPERLINK("https://www.ncbi.nlm.nih.gov/protein/WP_186543569.1?report=genbank&amp;log$=prottop&amp;blast_rank=193&amp;RID=7U875CNM013","WP_186543569.1")</f>
        <v>WP_186543569.1</v>
      </c>
      <c r="J788" s="5" t="s">
        <v>2</v>
      </c>
    </row>
    <row r="789" spans="1:10" s="11" customFormat="1" x14ac:dyDescent="0.2">
      <c r="A789" s="5" t="s">
        <v>1338</v>
      </c>
      <c r="B789" s="5" t="s">
        <v>1339</v>
      </c>
      <c r="C789" s="5">
        <v>1028</v>
      </c>
      <c r="D789" s="5">
        <v>1028</v>
      </c>
      <c r="E789" s="6">
        <v>0.98</v>
      </c>
      <c r="F789" s="5">
        <v>0</v>
      </c>
      <c r="G789" s="5">
        <v>61.06</v>
      </c>
      <c r="H789" s="5">
        <v>808</v>
      </c>
      <c r="I789" s="5" t="str">
        <f>HYPERLINK("https://www.ncbi.nlm.nih.gov/protein/MBL6803447.1?report=genbank&amp;log$=prottop&amp;blast_rank=80&amp;RID=7U875CNM013","MBL6803447.1")</f>
        <v>MBL6803447.1</v>
      </c>
      <c r="J789" s="5" t="s">
        <v>2</v>
      </c>
    </row>
    <row r="790" spans="1:10" s="11" customFormat="1" x14ac:dyDescent="0.2">
      <c r="A790" s="5" t="s">
        <v>1340</v>
      </c>
      <c r="B790" s="5" t="s">
        <v>653</v>
      </c>
      <c r="C790" s="5">
        <v>1035</v>
      </c>
      <c r="D790" s="5">
        <v>1035</v>
      </c>
      <c r="E790" s="6">
        <v>0.99</v>
      </c>
      <c r="F790" s="5">
        <v>0</v>
      </c>
      <c r="G790" s="5">
        <v>61.03</v>
      </c>
      <c r="H790" s="5">
        <v>811</v>
      </c>
      <c r="I790" s="5" t="str">
        <f>HYPERLINK("https://www.ncbi.nlm.nih.gov/protein/NBQ36296.1?report=genbank&amp;log$=prottop&amp;blast_rank=86&amp;RID=7U875CNM013","NBQ36296.1")</f>
        <v>NBQ36296.1</v>
      </c>
      <c r="J790" s="5" t="s">
        <v>2</v>
      </c>
    </row>
    <row r="791" spans="1:10" x14ac:dyDescent="0.2">
      <c r="A791" s="5" t="s">
        <v>2119</v>
      </c>
      <c r="B791" s="5" t="s">
        <v>2120</v>
      </c>
      <c r="C791" s="5">
        <v>1057</v>
      </c>
      <c r="D791" s="5">
        <v>1057</v>
      </c>
      <c r="E791" s="6">
        <v>0.98</v>
      </c>
      <c r="F791" s="5">
        <v>0</v>
      </c>
      <c r="G791" s="5">
        <v>62.52</v>
      </c>
      <c r="H791" s="5">
        <v>796</v>
      </c>
      <c r="I791" s="5" t="str">
        <f>HYPERLINK("https://www.ncbi.nlm.nih.gov/protein/AIJ28543.1?report=genbank&amp;log$=prottop&amp;blast_rank=169&amp;RID=7U875CNM013","AIJ28543.1")</f>
        <v>AIJ28543.1</v>
      </c>
      <c r="J791" s="5" t="s">
        <v>2</v>
      </c>
    </row>
    <row r="792" spans="1:10" s="4" customFormat="1" x14ac:dyDescent="0.2">
      <c r="A792" s="1" t="s">
        <v>1381</v>
      </c>
      <c r="B792" s="1" t="s">
        <v>1382</v>
      </c>
      <c r="C792" s="1">
        <v>1068</v>
      </c>
      <c r="D792" s="1">
        <v>1068</v>
      </c>
      <c r="E792" s="2">
        <v>0.98</v>
      </c>
      <c r="F792" s="1">
        <v>0</v>
      </c>
      <c r="G792" s="1">
        <v>64.63</v>
      </c>
      <c r="H792" s="1">
        <v>826</v>
      </c>
      <c r="I792" s="1" t="str">
        <f>HYPERLINK("https://www.ncbi.nlm.nih.gov/protein/WP_106368626.1?report=genbank&amp;log$=prottop&amp;blast_rank=45&amp;RID=7U875CNM013","WP_106368626.1")</f>
        <v>WP_106368626.1</v>
      </c>
      <c r="J792" s="1" t="s">
        <v>2</v>
      </c>
    </row>
    <row r="793" spans="1:10" s="4" customFormat="1" x14ac:dyDescent="0.2">
      <c r="A793" s="1" t="s">
        <v>2857</v>
      </c>
      <c r="B793" s="1" t="s">
        <v>2858</v>
      </c>
      <c r="C793" s="1">
        <v>1087</v>
      </c>
      <c r="D793" s="1">
        <v>1087</v>
      </c>
      <c r="E793" s="2">
        <v>0.99</v>
      </c>
      <c r="F793" s="1">
        <v>0</v>
      </c>
      <c r="G793" s="1">
        <v>63.74</v>
      </c>
      <c r="H793" s="1">
        <v>824</v>
      </c>
      <c r="I793" s="28" t="str">
        <f>HYPERLINK("https://www.ncbi.nlm.nih.gov/protein/WP_190659172.1?report=genbank&amp;log$=prottop&amp;blast_rank=138&amp;RID=7U875CNM013","WP_190659172.1")</f>
        <v>WP_190659172.1</v>
      </c>
      <c r="J793" s="1" t="s">
        <v>2</v>
      </c>
    </row>
    <row r="794" spans="1:10" s="4" customFormat="1" x14ac:dyDescent="0.2">
      <c r="A794" s="1" t="s">
        <v>2859</v>
      </c>
      <c r="B794" s="1" t="s">
        <v>2860</v>
      </c>
      <c r="C794" s="1">
        <v>1085</v>
      </c>
      <c r="D794" s="1">
        <v>1085</v>
      </c>
      <c r="E794" s="2">
        <v>0.99</v>
      </c>
      <c r="F794" s="1">
        <v>0</v>
      </c>
      <c r="G794" s="1">
        <v>63.74</v>
      </c>
      <c r="H794" s="1">
        <v>824</v>
      </c>
      <c r="I794" s="1" t="str">
        <f>HYPERLINK("https://www.ncbi.nlm.nih.gov/protein/WP_190738390.1?report=genbank&amp;log$=prottop&amp;blast_rank=139&amp;RID=7U875CNM013","WP_190738390.1")</f>
        <v>WP_190738390.1</v>
      </c>
      <c r="J794" s="1" t="s">
        <v>2</v>
      </c>
    </row>
    <row r="795" spans="1:10" s="4" customFormat="1" x14ac:dyDescent="0.2">
      <c r="A795" s="1" t="s">
        <v>2861</v>
      </c>
      <c r="B795" s="1" t="s">
        <v>2862</v>
      </c>
      <c r="C795" s="1">
        <v>1083</v>
      </c>
      <c r="D795" s="1">
        <v>1083</v>
      </c>
      <c r="E795" s="2">
        <v>0.99</v>
      </c>
      <c r="F795" s="1">
        <v>0</v>
      </c>
      <c r="G795" s="1">
        <v>63.74</v>
      </c>
      <c r="H795" s="1">
        <v>824</v>
      </c>
      <c r="I795" s="1" t="str">
        <f>HYPERLINK("https://www.ncbi.nlm.nih.gov/protein/MBD0307455.1?report=genbank&amp;log$=prottop&amp;blast_rank=140&amp;RID=7U875CNM013","MBD0307455.1")</f>
        <v>MBD0307455.1</v>
      </c>
      <c r="J795" s="1" t="s">
        <v>2</v>
      </c>
    </row>
    <row r="796" spans="1:10" s="4" customFormat="1" x14ac:dyDescent="0.2">
      <c r="A796" s="1" t="s">
        <v>366</v>
      </c>
      <c r="B796" s="1" t="s">
        <v>367</v>
      </c>
      <c r="C796" s="1">
        <v>1041</v>
      </c>
      <c r="D796" s="1">
        <v>1041</v>
      </c>
      <c r="E796" s="2">
        <v>0.98</v>
      </c>
      <c r="F796" s="1">
        <v>0</v>
      </c>
      <c r="G796" s="1">
        <v>63.57</v>
      </c>
      <c r="H796" s="1">
        <v>804</v>
      </c>
      <c r="I796" s="1" t="str">
        <f>HYPERLINK("https://www.ncbi.nlm.nih.gov/protein/WP_006512682.1?report=genbank&amp;log$=prottop&amp;blast_rank=77&amp;RID=7U875CNM013","WP_006512682.1")</f>
        <v>WP_006512682.1</v>
      </c>
      <c r="J796" s="1" t="s">
        <v>2</v>
      </c>
    </row>
    <row r="797" spans="1:10" s="4" customFormat="1" x14ac:dyDescent="0.2">
      <c r="A797" s="1" t="s">
        <v>310</v>
      </c>
      <c r="B797" s="1" t="s">
        <v>311</v>
      </c>
      <c r="C797" s="1">
        <v>1070</v>
      </c>
      <c r="D797" s="1">
        <v>1070</v>
      </c>
      <c r="E797" s="2">
        <v>0.97</v>
      </c>
      <c r="F797" s="1">
        <v>0</v>
      </c>
      <c r="G797" s="1">
        <v>63.55</v>
      </c>
      <c r="H797" s="1">
        <v>825</v>
      </c>
      <c r="I797" s="1" t="str">
        <f>HYPERLINK("https://www.ncbi.nlm.nih.gov/protein/WP_190647718.1?report=genbank&amp;log$=prottop&amp;blast_rank=86&amp;RID=7U875CNM013","WP_190647718.1")</f>
        <v>WP_190647718.1</v>
      </c>
      <c r="J797" s="1" t="s">
        <v>2</v>
      </c>
    </row>
    <row r="798" spans="1:10" s="7" customFormat="1" x14ac:dyDescent="0.2">
      <c r="A798" s="5" t="s">
        <v>3808</v>
      </c>
      <c r="B798" s="5" t="s">
        <v>3381</v>
      </c>
      <c r="C798" s="5">
        <v>1115</v>
      </c>
      <c r="D798" s="5">
        <v>1115</v>
      </c>
      <c r="E798" s="6">
        <v>0.98</v>
      </c>
      <c r="F798" s="5">
        <v>0</v>
      </c>
      <c r="G798" s="5">
        <v>65.010000000000005</v>
      </c>
      <c r="H798" s="5">
        <v>792</v>
      </c>
      <c r="I798" s="35" t="str">
        <f>HYPERLINK("https://www.ncbi.nlm.nih.gov/protein/NBD32929.1?report=genbank&amp;log$=prottop&amp;blast_rank=102&amp;RID=7U875CNM013","NBD32929.1")</f>
        <v>NBD32929.1</v>
      </c>
      <c r="J798" s="5" t="s">
        <v>2</v>
      </c>
    </row>
    <row r="799" spans="1:10" s="7" customFormat="1" x14ac:dyDescent="0.2">
      <c r="A799" s="5" t="s">
        <v>3808</v>
      </c>
      <c r="B799" s="5" t="s">
        <v>3381</v>
      </c>
      <c r="C799" s="5">
        <v>1117</v>
      </c>
      <c r="D799" s="5">
        <v>1117</v>
      </c>
      <c r="E799" s="6">
        <v>0.98</v>
      </c>
      <c r="F799" s="5">
        <v>0</v>
      </c>
      <c r="G799" s="5">
        <v>64.8</v>
      </c>
      <c r="H799" s="5">
        <v>792</v>
      </c>
      <c r="I799" s="5" t="str">
        <f>HYPERLINK("https://www.ncbi.nlm.nih.gov/protein/NBD16630.1?report=genbank&amp;log$=prottop&amp;blast_rank=71&amp;RID=7U875CNM013","NBD16630.1")</f>
        <v>NBD16630.1</v>
      </c>
      <c r="J799" s="5" t="s">
        <v>2</v>
      </c>
    </row>
    <row r="800" spans="1:10" s="7" customFormat="1" x14ac:dyDescent="0.2">
      <c r="A800" s="5" t="s">
        <v>3380</v>
      </c>
      <c r="B800" s="5" t="s">
        <v>3381</v>
      </c>
      <c r="C800" s="5">
        <v>1045</v>
      </c>
      <c r="D800" s="5">
        <v>1045</v>
      </c>
      <c r="E800" s="6">
        <v>0.99</v>
      </c>
      <c r="F800" s="5">
        <v>0</v>
      </c>
      <c r="G800" s="5">
        <v>63.32</v>
      </c>
      <c r="H800" s="5">
        <v>811</v>
      </c>
      <c r="I800" s="5" t="str">
        <f>HYPERLINK("https://www.ncbi.nlm.nih.gov/protein/NQV09792.1?report=genbank&amp;log$=prottop&amp;blast_rank=135&amp;RID=7U875CNM013","NQV09792.1")</f>
        <v>NQV09792.1</v>
      </c>
      <c r="J800" s="5" t="s">
        <v>2</v>
      </c>
    </row>
    <row r="801" spans="1:10" s="4" customFormat="1" x14ac:dyDescent="0.2">
      <c r="A801" s="1" t="s">
        <v>3380</v>
      </c>
      <c r="B801" s="1" t="s">
        <v>4528</v>
      </c>
      <c r="C801" s="1">
        <v>1199</v>
      </c>
      <c r="D801" s="1">
        <v>1199</v>
      </c>
      <c r="E801" s="2">
        <v>0.99</v>
      </c>
      <c r="F801" s="1">
        <v>0</v>
      </c>
      <c r="G801" s="1">
        <v>70.5</v>
      </c>
      <c r="H801" s="1">
        <v>802</v>
      </c>
      <c r="I801" s="1" t="str">
        <f>HYPERLINK("https://www.ncbi.nlm.nih.gov/protein/NCO75623.1?report=genbank&amp;log$=prottop&amp;blast_rank=77&amp;RID=7U875CNM013","NCO75623.1")</f>
        <v>NCO75623.1</v>
      </c>
      <c r="J801" s="1" t="s">
        <v>2</v>
      </c>
    </row>
  </sheetData>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sqref="A1:C2"/>
    </sheetView>
  </sheetViews>
  <sheetFormatPr baseColWidth="10" defaultRowHeight="16" x14ac:dyDescent="0.2"/>
  <cols>
    <col min="1" max="1" width="22.5" customWidth="1"/>
  </cols>
  <sheetData>
    <row r="1" spans="1:10" s="3" customFormat="1" x14ac:dyDescent="0.2">
      <c r="A1" s="3" t="s">
        <v>5</v>
      </c>
      <c r="B1" s="3" t="s">
        <v>6</v>
      </c>
      <c r="C1" s="3" t="s">
        <v>7</v>
      </c>
      <c r="D1" s="3" t="s">
        <v>8</v>
      </c>
      <c r="E1" s="3" t="s">
        <v>9</v>
      </c>
      <c r="F1" s="3" t="s">
        <v>10</v>
      </c>
      <c r="G1" s="3" t="s">
        <v>11</v>
      </c>
      <c r="H1" s="3" t="s">
        <v>12</v>
      </c>
      <c r="I1" s="3" t="s">
        <v>13</v>
      </c>
      <c r="J1" s="1"/>
    </row>
    <row r="2" spans="1:10" s="4" customFormat="1" x14ac:dyDescent="0.2">
      <c r="A2" s="1" t="s">
        <v>1692</v>
      </c>
      <c r="B2" s="1" t="s">
        <v>1693</v>
      </c>
      <c r="C2" s="1">
        <v>1139</v>
      </c>
      <c r="D2" s="1">
        <v>1139</v>
      </c>
      <c r="E2" s="2">
        <v>0.99</v>
      </c>
      <c r="F2" s="1">
        <v>0</v>
      </c>
      <c r="G2" s="1">
        <v>68.98</v>
      </c>
      <c r="H2" s="1">
        <v>799</v>
      </c>
      <c r="I2" s="1" t="str">
        <f>HYPERLINK("https://www.ncbi.nlm.nih.gov/protein/TMA00651.1?report=genbank&amp;log$=prottop&amp;blast_rank=60&amp;RID=7U875CNM013","TMA00651.1")</f>
        <v>TMA00651.1</v>
      </c>
      <c r="J2" s="1" t="s">
        <v>1694</v>
      </c>
    </row>
  </sheetData>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E1" workbookViewId="0">
      <selection activeCell="J4" sqref="J4"/>
    </sheetView>
  </sheetViews>
  <sheetFormatPr baseColWidth="10" defaultRowHeight="16" x14ac:dyDescent="0.2"/>
  <cols>
    <col min="2" max="2" width="35.33203125" customWidth="1"/>
    <col min="9" max="9" width="26.5" customWidth="1"/>
  </cols>
  <sheetData>
    <row r="1" spans="1:10" s="3" customFormat="1" x14ac:dyDescent="0.2">
      <c r="A1" s="3" t="s">
        <v>5</v>
      </c>
      <c r="B1" s="3" t="s">
        <v>6</v>
      </c>
      <c r="C1" s="3" t="s">
        <v>7</v>
      </c>
      <c r="D1" s="3" t="s">
        <v>8</v>
      </c>
      <c r="E1" s="3" t="s">
        <v>9</v>
      </c>
      <c r="F1" s="3" t="s">
        <v>10</v>
      </c>
      <c r="G1" s="3" t="s">
        <v>11</v>
      </c>
      <c r="H1" s="3" t="s">
        <v>12</v>
      </c>
      <c r="I1" s="3" t="s">
        <v>13</v>
      </c>
      <c r="J1" s="1"/>
    </row>
    <row r="2" spans="1:10" s="5" customFormat="1" x14ac:dyDescent="0.2">
      <c r="A2" s="5" t="s">
        <v>1706</v>
      </c>
      <c r="B2" s="5" t="s">
        <v>1707</v>
      </c>
      <c r="C2" s="5">
        <v>1124</v>
      </c>
      <c r="D2" s="5">
        <v>1124</v>
      </c>
      <c r="E2" s="6">
        <v>0.98</v>
      </c>
      <c r="F2" s="5">
        <v>0</v>
      </c>
      <c r="G2" s="5">
        <v>66.75</v>
      </c>
      <c r="H2" s="5">
        <v>813</v>
      </c>
      <c r="I2" s="5" t="str">
        <f>HYPERLINK("https://www.ncbi.nlm.nih.gov/protein/NNM66796.1?report=genbank&amp;log$=prottop&amp;blast_rank=49&amp;RID=7U875CNM013","NNM66796.1")</f>
        <v>NNM66796.1</v>
      </c>
      <c r="J2" s="5" t="s">
        <v>1708</v>
      </c>
    </row>
    <row r="3" spans="1:10" s="4" customFormat="1" x14ac:dyDescent="0.2">
      <c r="A3" s="1" t="s">
        <v>1714</v>
      </c>
      <c r="B3" s="1" t="s">
        <v>1715</v>
      </c>
      <c r="C3" s="1">
        <v>1114</v>
      </c>
      <c r="D3" s="1">
        <v>1114</v>
      </c>
      <c r="E3" s="2">
        <v>0.98</v>
      </c>
      <c r="F3" s="1">
        <v>0</v>
      </c>
      <c r="G3" s="1">
        <v>65.819999999999993</v>
      </c>
      <c r="H3" s="1">
        <v>798</v>
      </c>
      <c r="I3" s="1" t="str">
        <f>HYPERLINK("https://www.ncbi.nlm.nih.gov/protein/KPJ84980.1?report=genbank&amp;log$=prottop&amp;blast_rank=27&amp;RID=7U875CNM013","KPJ84980.1")</f>
        <v>KPJ84980.1</v>
      </c>
      <c r="J3" s="5" t="s">
        <v>1708</v>
      </c>
    </row>
    <row r="4" spans="1:10" s="7" customFormat="1" x14ac:dyDescent="0.2">
      <c r="A4" s="5" t="s">
        <v>1745</v>
      </c>
      <c r="B4" s="5" t="s">
        <v>1746</v>
      </c>
      <c r="C4" s="5">
        <v>1106</v>
      </c>
      <c r="D4" s="5">
        <v>1106</v>
      </c>
      <c r="E4" s="6">
        <v>0.98</v>
      </c>
      <c r="F4" s="5">
        <v>0</v>
      </c>
      <c r="G4" s="5">
        <v>65.05</v>
      </c>
      <c r="H4" s="5">
        <v>798</v>
      </c>
      <c r="I4" s="5" t="str">
        <f>HYPERLINK("https://www.ncbi.nlm.nih.gov/protein/WP_166157679.1?report=genbank&amp;log$=prottop&amp;blast_rank=68&amp;RID=7U875CNM013","WP_166157679.1")</f>
        <v>WP_166157679.1</v>
      </c>
      <c r="J4" s="5" t="s">
        <v>1747</v>
      </c>
    </row>
    <row r="5" spans="1:10" s="8" customFormat="1" x14ac:dyDescent="0.2">
      <c r="A5" s="5" t="s">
        <v>1764</v>
      </c>
      <c r="B5" s="5" t="s">
        <v>1765</v>
      </c>
      <c r="C5" s="5">
        <v>1101</v>
      </c>
      <c r="D5" s="5">
        <v>1101</v>
      </c>
      <c r="E5" s="6">
        <v>0.98</v>
      </c>
      <c r="F5" s="5">
        <v>0</v>
      </c>
      <c r="G5" s="5">
        <v>64.67</v>
      </c>
      <c r="H5" s="5">
        <v>798</v>
      </c>
      <c r="I5" s="5" t="str">
        <f>HYPERLINK("https://www.ncbi.nlm.nih.gov/protein/WP_042240585.1?report=genbank&amp;log$=prottop&amp;blast_rank=10&amp;RID=7U875CNM013","WP_042240585.1")</f>
        <v>WP_042240585.1</v>
      </c>
      <c r="J5" s="5" t="s">
        <v>1747</v>
      </c>
    </row>
    <row r="6" spans="1:10" s="7" customFormat="1" x14ac:dyDescent="0.2">
      <c r="A6" s="5" t="s">
        <v>1785</v>
      </c>
      <c r="B6" s="5" t="s">
        <v>1786</v>
      </c>
      <c r="C6" s="5">
        <v>1100</v>
      </c>
      <c r="D6" s="5">
        <v>1100</v>
      </c>
      <c r="E6" s="6">
        <v>0.98</v>
      </c>
      <c r="F6" s="5">
        <v>0</v>
      </c>
      <c r="G6" s="5">
        <v>64.540000000000006</v>
      </c>
      <c r="H6" s="5">
        <v>798</v>
      </c>
      <c r="I6" s="5" t="str">
        <f>HYPERLINK("https://www.ncbi.nlm.nih.gov/protein/WP_044881708.1?report=genbank&amp;log$=prottop&amp;blast_rank=94&amp;RID=7U875CNM013","WP_044881708.1")</f>
        <v>WP_044881708.1</v>
      </c>
      <c r="J6" s="5" t="s">
        <v>1747</v>
      </c>
    </row>
    <row r="7" spans="1:10" s="7" customFormat="1" x14ac:dyDescent="0.2">
      <c r="A7" s="5" t="s">
        <v>1794</v>
      </c>
      <c r="B7" s="5" t="s">
        <v>1795</v>
      </c>
      <c r="C7" s="5">
        <v>1078</v>
      </c>
      <c r="D7" s="5">
        <v>1078</v>
      </c>
      <c r="E7" s="6">
        <v>1</v>
      </c>
      <c r="F7" s="5">
        <v>0</v>
      </c>
      <c r="G7" s="5">
        <v>64.489999999999995</v>
      </c>
      <c r="H7" s="5">
        <v>795</v>
      </c>
      <c r="I7" s="5" t="str">
        <f>HYPERLINK("https://www.ncbi.nlm.nih.gov/protein/WP_068471495.1?report=genbank&amp;log$=prottop&amp;blast_rank=137&amp;RID=7U875CNM013","WP_068471495.1")</f>
        <v>WP_068471495.1</v>
      </c>
      <c r="J7" s="5" t="s">
        <v>1747</v>
      </c>
    </row>
    <row r="8" spans="1:10" s="4" customFormat="1" x14ac:dyDescent="0.2">
      <c r="A8" s="1" t="s">
        <v>1807</v>
      </c>
      <c r="B8" s="1" t="s">
        <v>1808</v>
      </c>
      <c r="C8" s="1">
        <v>1062</v>
      </c>
      <c r="D8" s="1">
        <v>1062</v>
      </c>
      <c r="E8" s="2">
        <v>0.98</v>
      </c>
      <c r="F8" s="1">
        <v>0</v>
      </c>
      <c r="G8" s="1">
        <v>64.33</v>
      </c>
      <c r="H8" s="1">
        <v>798</v>
      </c>
      <c r="I8" s="1" t="str">
        <f>HYPERLINK("https://www.ncbi.nlm.nih.gov/protein/WP_011174555.1?report=genbank&amp;log$=prottop&amp;blast_rank=100&amp;RID=7U875CNM013","WP_011174555.1")</f>
        <v>WP_011174555.1</v>
      </c>
      <c r="J8" s="5" t="s">
        <v>1747</v>
      </c>
    </row>
    <row r="9" spans="1:10" s="7" customFormat="1" x14ac:dyDescent="0.2">
      <c r="A9" s="5" t="s">
        <v>1831</v>
      </c>
      <c r="B9" s="5" t="s">
        <v>1832</v>
      </c>
      <c r="C9" s="5">
        <v>1060</v>
      </c>
      <c r="D9" s="5">
        <v>1060</v>
      </c>
      <c r="E9" s="6">
        <v>0.97</v>
      </c>
      <c r="F9" s="5">
        <v>0</v>
      </c>
      <c r="G9" s="5">
        <v>64.180000000000007</v>
      </c>
      <c r="H9" s="5">
        <v>799</v>
      </c>
      <c r="I9" s="5" t="str">
        <f>HYPERLINK("https://www.ncbi.nlm.nih.gov/protein/WP_059062264.1?report=genbank&amp;log$=prottop&amp;blast_rank=49&amp;RID=7U875CNM013","WP_059062264.1")</f>
        <v>WP_059062264.1</v>
      </c>
      <c r="J9" s="5" t="s">
        <v>1747</v>
      </c>
    </row>
    <row r="10" spans="1:10" s="7" customFormat="1" x14ac:dyDescent="0.2">
      <c r="A10" s="5" t="s">
        <v>1848</v>
      </c>
      <c r="B10" s="5" t="s">
        <v>1849</v>
      </c>
      <c r="C10" s="5">
        <v>1060</v>
      </c>
      <c r="D10" s="5">
        <v>1060</v>
      </c>
      <c r="E10" s="6">
        <v>0.98</v>
      </c>
      <c r="F10" s="5">
        <v>0</v>
      </c>
      <c r="G10" s="5">
        <v>64.08</v>
      </c>
      <c r="H10" s="5">
        <v>798</v>
      </c>
      <c r="I10" s="5" t="str">
        <f>HYPERLINK("https://www.ncbi.nlm.nih.gov/protein/WP_042280716.1?report=genbank&amp;log$=prottop&amp;blast_rank=147&amp;RID=7U875CNM013","WP_042280716.1")</f>
        <v>WP_042280716.1</v>
      </c>
      <c r="J10" s="5" t="s">
        <v>1747</v>
      </c>
    </row>
    <row r="11" spans="1:10" s="7" customFormat="1" x14ac:dyDescent="0.2">
      <c r="A11" s="5" t="s">
        <v>1912</v>
      </c>
      <c r="B11" s="5" t="s">
        <v>1913</v>
      </c>
      <c r="C11" s="5">
        <v>1074</v>
      </c>
      <c r="D11" s="5">
        <v>1074</v>
      </c>
      <c r="E11" s="6">
        <v>0.97</v>
      </c>
      <c r="F11" s="5">
        <v>0</v>
      </c>
      <c r="G11" s="5">
        <v>63.79</v>
      </c>
      <c r="H11" s="5">
        <v>795</v>
      </c>
      <c r="I11" s="5" t="str">
        <f>HYPERLINK("https://www.ncbi.nlm.nih.gov/protein/MBA2368386.1?report=genbank&amp;log$=prottop&amp;blast_rank=71&amp;RID=7U875CNM013","MBA2368386.1")</f>
        <v>MBA2368386.1</v>
      </c>
      <c r="J11" s="5" t="s">
        <v>1747</v>
      </c>
    </row>
    <row r="12" spans="1:10" s="7" customFormat="1" x14ac:dyDescent="0.2">
      <c r="A12" s="5" t="s">
        <v>1920</v>
      </c>
      <c r="B12" s="5" t="s">
        <v>1921</v>
      </c>
      <c r="C12" s="5">
        <v>1058</v>
      </c>
      <c r="D12" s="5">
        <v>1058</v>
      </c>
      <c r="E12" s="6">
        <v>0.97</v>
      </c>
      <c r="F12" s="5">
        <v>0</v>
      </c>
      <c r="G12" s="5">
        <v>63.75</v>
      </c>
      <c r="H12" s="5">
        <v>798</v>
      </c>
      <c r="I12" s="5" t="str">
        <f>HYPERLINK("https://www.ncbi.nlm.nih.gov/protein/MBI4977260.1?report=genbank&amp;log$=prottop&amp;blast_rank=113&amp;RID=7U875CNM013","MBI4977260.1")</f>
        <v>MBI4977260.1</v>
      </c>
      <c r="J12" s="5" t="s">
        <v>1708</v>
      </c>
    </row>
    <row r="13" spans="1:10" s="7" customFormat="1" x14ac:dyDescent="0.2">
      <c r="A13" s="5" t="s">
        <v>1927</v>
      </c>
      <c r="B13" s="5" t="s">
        <v>1928</v>
      </c>
      <c r="C13" s="5">
        <v>1096</v>
      </c>
      <c r="D13" s="5">
        <v>1096</v>
      </c>
      <c r="E13" s="6">
        <v>0.98</v>
      </c>
      <c r="F13" s="5">
        <v>0</v>
      </c>
      <c r="G13" s="5">
        <v>63.68</v>
      </c>
      <c r="H13" s="5">
        <v>818</v>
      </c>
      <c r="I13" s="5" t="str">
        <f>HYPERLINK("https://www.ncbi.nlm.nih.gov/protein/QLH36578.1?report=genbank&amp;log$=prottop&amp;blast_rank=173&amp;RID=7U875CNM013","QLH36578.1")</f>
        <v>QLH36578.1</v>
      </c>
      <c r="J13" s="5" t="s">
        <v>1747</v>
      </c>
    </row>
    <row r="14" spans="1:10" s="7" customFormat="1" x14ac:dyDescent="0.2">
      <c r="A14" s="5" t="s">
        <v>1934</v>
      </c>
      <c r="B14" s="5" t="s">
        <v>1935</v>
      </c>
      <c r="C14" s="5">
        <v>1064</v>
      </c>
      <c r="D14" s="5">
        <v>1064</v>
      </c>
      <c r="E14" s="6">
        <v>0.98</v>
      </c>
      <c r="F14" s="5">
        <v>0</v>
      </c>
      <c r="G14" s="5">
        <v>63.61</v>
      </c>
      <c r="H14" s="5">
        <v>798</v>
      </c>
      <c r="I14" s="5" t="str">
        <f>HYPERLINK("https://www.ncbi.nlm.nih.gov/protein/WP_075883670.1?report=genbank&amp;log$=prottop&amp;blast_rank=29&amp;RID=7U875CNM013","WP_075883670.1")</f>
        <v>WP_075883670.1</v>
      </c>
      <c r="J14" s="5" t="s">
        <v>1747</v>
      </c>
    </row>
    <row r="15" spans="1:10" s="7" customFormat="1" x14ac:dyDescent="0.2">
      <c r="A15" s="5" t="s">
        <v>1982</v>
      </c>
      <c r="B15" s="5" t="s">
        <v>1983</v>
      </c>
      <c r="C15" s="5">
        <v>1069</v>
      </c>
      <c r="D15" s="5">
        <v>1069</v>
      </c>
      <c r="E15" s="6">
        <v>0.98</v>
      </c>
      <c r="F15" s="5">
        <v>0</v>
      </c>
      <c r="G15" s="5">
        <v>63.39</v>
      </c>
      <c r="H15" s="5">
        <v>789</v>
      </c>
      <c r="I15" s="35" t="str">
        <f>HYPERLINK("https://www.ncbi.nlm.nih.gov/protein/OHD71390.1?report=genbank&amp;log$=prottop&amp;blast_rank=72&amp;RID=7U875CNM013","OHD71390.1")</f>
        <v>OHD71390.1</v>
      </c>
      <c r="J15" s="5" t="s">
        <v>1984</v>
      </c>
    </row>
    <row r="16" spans="1:10" s="7" customFormat="1" x14ac:dyDescent="0.2">
      <c r="A16" s="5" t="s">
        <v>1985</v>
      </c>
      <c r="B16" s="5" t="s">
        <v>1986</v>
      </c>
      <c r="C16" s="5">
        <v>1059</v>
      </c>
      <c r="D16" s="5">
        <v>1059</v>
      </c>
      <c r="E16" s="6">
        <v>0.98</v>
      </c>
      <c r="F16" s="5">
        <v>0</v>
      </c>
      <c r="G16" s="5">
        <v>63.39</v>
      </c>
      <c r="H16" s="5">
        <v>795</v>
      </c>
      <c r="I16" s="5" t="str">
        <f>HYPERLINK("https://www.ncbi.nlm.nih.gov/protein/HFD12715.1?report=genbank&amp;log$=prottop&amp;blast_rank=73&amp;RID=7U875CNM013","HFD12715.1")</f>
        <v>HFD12715.1</v>
      </c>
      <c r="J16" s="5" t="s">
        <v>1987</v>
      </c>
    </row>
    <row r="17" spans="1:10" s="7" customFormat="1" x14ac:dyDescent="0.2">
      <c r="A17" s="5" t="s">
        <v>1997</v>
      </c>
      <c r="B17" s="5" t="s">
        <v>1998</v>
      </c>
      <c r="C17" s="5">
        <v>1046</v>
      </c>
      <c r="D17" s="5">
        <v>1046</v>
      </c>
      <c r="E17" s="6">
        <v>0.98</v>
      </c>
      <c r="F17" s="5">
        <v>0</v>
      </c>
      <c r="G17" s="5">
        <v>63.35</v>
      </c>
      <c r="H17" s="5">
        <v>800</v>
      </c>
      <c r="I17" s="5" t="str">
        <f>HYPERLINK("https://www.ncbi.nlm.nih.gov/protein/OGV44812.1?report=genbank&amp;log$=prottop&amp;blast_rank=119&amp;RID=7U875CNM013","OGV44812.1")</f>
        <v>OGV44812.1</v>
      </c>
      <c r="J17" s="5" t="s">
        <v>1999</v>
      </c>
    </row>
    <row r="18" spans="1:10" s="7" customFormat="1" x14ac:dyDescent="0.2">
      <c r="A18" s="5" t="s">
        <v>2018</v>
      </c>
      <c r="B18" s="5" t="s">
        <v>2019</v>
      </c>
      <c r="C18" s="5">
        <v>1070</v>
      </c>
      <c r="D18" s="5">
        <v>1070</v>
      </c>
      <c r="E18" s="6">
        <v>0.98</v>
      </c>
      <c r="F18" s="5">
        <v>0</v>
      </c>
      <c r="G18" s="5">
        <v>63.18</v>
      </c>
      <c r="H18" s="5">
        <v>796</v>
      </c>
      <c r="I18" s="5" t="str">
        <f>HYPERLINK("https://www.ncbi.nlm.nih.gov/protein/KAF3362929.1?report=genbank&amp;log$=prottop&amp;blast_rank=56&amp;RID=7U875CNM013","KAF3362929.1")</f>
        <v>KAF3362929.1</v>
      </c>
      <c r="J18" s="5" t="s">
        <v>2020</v>
      </c>
    </row>
    <row r="19" spans="1:10" s="7" customFormat="1" x14ac:dyDescent="0.2">
      <c r="A19" s="5" t="s">
        <v>2021</v>
      </c>
      <c r="B19" s="5" t="s">
        <v>2022</v>
      </c>
      <c r="C19" s="5">
        <v>1066</v>
      </c>
      <c r="D19" s="5">
        <v>1066</v>
      </c>
      <c r="E19" s="6">
        <v>0.98</v>
      </c>
      <c r="F19" s="5">
        <v>0</v>
      </c>
      <c r="G19" s="5">
        <v>63.15</v>
      </c>
      <c r="H19" s="5">
        <v>803</v>
      </c>
      <c r="I19" s="35" t="str">
        <f>HYPERLINK("https://www.ncbi.nlm.nih.gov/protein/PJD96434.1?report=genbank&amp;log$=prottop&amp;blast_rank=90&amp;RID=7U875CNM013","PJD96434.1")</f>
        <v>PJD96434.1</v>
      </c>
      <c r="J19" s="5" t="s">
        <v>2023</v>
      </c>
    </row>
    <row r="20" spans="1:10" s="7" customFormat="1" x14ac:dyDescent="0.2">
      <c r="A20" s="5" t="s">
        <v>1927</v>
      </c>
      <c r="B20" s="5" t="s">
        <v>1928</v>
      </c>
      <c r="C20" s="5">
        <v>1067</v>
      </c>
      <c r="D20" s="5">
        <v>1067</v>
      </c>
      <c r="E20" s="6">
        <v>0.99</v>
      </c>
      <c r="F20" s="5">
        <v>0</v>
      </c>
      <c r="G20" s="5">
        <v>62.93</v>
      </c>
      <c r="H20" s="5">
        <v>801</v>
      </c>
      <c r="I20" s="5" t="str">
        <f>HYPERLINK("https://www.ncbi.nlm.nih.gov/protein/MBA3722190.1?report=genbank&amp;log$=prottop&amp;blast_rank=198&amp;RID=7U875CNM013","MBA3722190.1")</f>
        <v>MBA3722190.1</v>
      </c>
      <c r="J20" s="5" t="s">
        <v>2069</v>
      </c>
    </row>
    <row r="21" spans="1:10" x14ac:dyDescent="0.2">
      <c r="A21" s="5" t="s">
        <v>2091</v>
      </c>
      <c r="B21" s="5" t="s">
        <v>2092</v>
      </c>
      <c r="C21" s="5">
        <v>1058</v>
      </c>
      <c r="D21" s="5">
        <v>1058</v>
      </c>
      <c r="E21" s="6">
        <v>0.98</v>
      </c>
      <c r="F21" s="5">
        <v>0</v>
      </c>
      <c r="G21" s="5">
        <v>62.6</v>
      </c>
      <c r="H21" s="5">
        <v>811</v>
      </c>
      <c r="I21" s="5" t="str">
        <f>HYPERLINK("https://www.ncbi.nlm.nih.gov/protein/WP_006341288.1?report=genbank&amp;log$=prottop&amp;blast_rank=62&amp;RID=7U875CNM013","WP_006341288.1")</f>
        <v>WP_006341288.1</v>
      </c>
      <c r="J21" s="5" t="s">
        <v>2093</v>
      </c>
    </row>
    <row r="22" spans="1:10" x14ac:dyDescent="0.2">
      <c r="A22" s="5" t="s">
        <v>2091</v>
      </c>
      <c r="B22" s="5" t="s">
        <v>2092</v>
      </c>
      <c r="C22" s="5">
        <v>1058</v>
      </c>
      <c r="D22" s="5">
        <v>1058</v>
      </c>
      <c r="E22" s="6">
        <v>0.98</v>
      </c>
      <c r="F22" s="5">
        <v>0</v>
      </c>
      <c r="G22" s="5">
        <v>62.6</v>
      </c>
      <c r="H22" s="5">
        <v>811</v>
      </c>
      <c r="I22" s="5" t="str">
        <f>HYPERLINK("https://www.ncbi.nlm.nih.gov/protein/WP_059359648.1?report=genbank&amp;log$=prottop&amp;blast_rank=63&amp;RID=7U875CNM013","WP_059359648.1")</f>
        <v>WP_059359648.1</v>
      </c>
      <c r="J22" s="5" t="s">
        <v>2093</v>
      </c>
    </row>
    <row r="23" spans="1:10" x14ac:dyDescent="0.2">
      <c r="A23" s="5" t="s">
        <v>2129</v>
      </c>
      <c r="B23" s="5" t="s">
        <v>2130</v>
      </c>
      <c r="C23" s="5">
        <v>1037</v>
      </c>
      <c r="D23" s="5">
        <v>1037</v>
      </c>
      <c r="E23" s="6">
        <v>0.97</v>
      </c>
      <c r="F23" s="5">
        <v>0</v>
      </c>
      <c r="G23" s="5">
        <v>62.5</v>
      </c>
      <c r="H23" s="5">
        <v>773</v>
      </c>
      <c r="I23" s="5" t="str">
        <f>HYPERLINK("https://www.ncbi.nlm.nih.gov/protein/PIS02242.1?report=genbank&amp;log$=prottop&amp;blast_rank=193&amp;RID=7U875CNM013","PIS02242.1")</f>
        <v>PIS02242.1</v>
      </c>
      <c r="J23" s="5" t="s">
        <v>2131</v>
      </c>
    </row>
    <row r="24" spans="1:10" s="7" customFormat="1" x14ac:dyDescent="0.2">
      <c r="A24" s="5" t="s">
        <v>1927</v>
      </c>
      <c r="B24" s="5" t="s">
        <v>1928</v>
      </c>
      <c r="C24" s="5">
        <v>1045</v>
      </c>
      <c r="D24" s="5">
        <v>1045</v>
      </c>
      <c r="E24" s="6">
        <v>0.98</v>
      </c>
      <c r="F24" s="5">
        <v>0</v>
      </c>
      <c r="G24" s="5">
        <v>61.98</v>
      </c>
      <c r="H24" s="5">
        <v>794</v>
      </c>
      <c r="I24" s="35" t="str">
        <f>HYPERLINK("https://www.ncbi.nlm.nih.gov/protein/MBA3956855.1?report=genbank&amp;log$=prottop&amp;blast_rank=12&amp;RID=7U875CNM013","MBA3956855.1")</f>
        <v>MBA3956855.1</v>
      </c>
      <c r="J24" s="5" t="s">
        <v>2160</v>
      </c>
    </row>
    <row r="25" spans="1:10" ht="18" x14ac:dyDescent="0.2">
      <c r="A25" s="5" t="s">
        <v>2190</v>
      </c>
      <c r="B25" s="5" t="s">
        <v>2191</v>
      </c>
      <c r="C25" s="5">
        <v>1043</v>
      </c>
      <c r="D25" s="5">
        <v>1043</v>
      </c>
      <c r="E25" s="6">
        <v>0.98</v>
      </c>
      <c r="F25" s="5">
        <v>0</v>
      </c>
      <c r="G25" s="5">
        <v>61.78</v>
      </c>
      <c r="H25" s="5">
        <v>798</v>
      </c>
      <c r="I25" s="5" t="str">
        <f>HYPERLINK("https://www.ncbi.nlm.nih.gov/protein/MBF8262801.1?report=genbank&amp;log$=prottop&amp;blast_rank=122&amp;RID=7U875CNM013","MBF8262801.1")</f>
        <v>MBF8262801.1</v>
      </c>
      <c r="J25" s="5" t="s">
        <v>2192</v>
      </c>
    </row>
    <row r="26" spans="1:10" s="7" customFormat="1" x14ac:dyDescent="0.2">
      <c r="A26" s="5" t="s">
        <v>1734</v>
      </c>
      <c r="B26" s="5" t="s">
        <v>1735</v>
      </c>
      <c r="C26" s="5">
        <v>1113</v>
      </c>
      <c r="D26" s="5">
        <v>1113</v>
      </c>
      <c r="E26" s="6">
        <v>0.98</v>
      </c>
      <c r="F26" s="5">
        <v>0</v>
      </c>
      <c r="G26" s="5">
        <v>65.099999999999994</v>
      </c>
      <c r="H26" s="5">
        <v>790</v>
      </c>
      <c r="I26" s="5" t="str">
        <f>HYPERLINK("https://www.ncbi.nlm.nih.gov/protein/OGV57865.1?report=genbank&amp;log$=prottop&amp;blast_rank=45&amp;RID=7U875CNM013","OGV57865.1")</f>
        <v>OGV57865.1</v>
      </c>
      <c r="J26" s="5" t="s">
        <v>1736</v>
      </c>
    </row>
    <row r="27" spans="1:10" s="4" customFormat="1" x14ac:dyDescent="0.2">
      <c r="A27" s="1" t="s">
        <v>2947</v>
      </c>
      <c r="B27" s="1" t="s">
        <v>2948</v>
      </c>
      <c r="C27" s="1">
        <v>1100</v>
      </c>
      <c r="D27" s="1">
        <v>1100</v>
      </c>
      <c r="E27" s="2">
        <v>0.98</v>
      </c>
      <c r="F27" s="1">
        <v>0</v>
      </c>
      <c r="G27" s="1">
        <v>63.53</v>
      </c>
      <c r="H27" s="1">
        <v>804</v>
      </c>
      <c r="I27" s="1" t="str">
        <f>HYPERLINK("https://www.ncbi.nlm.nih.gov/protein/MBN9377446.1?report=genbank&amp;log$=prottop&amp;blast_rank=131&amp;RID=7U875CNM013","MBN9377446.1")</f>
        <v>MBN9377446.1</v>
      </c>
      <c r="J27" s="1" t="s">
        <v>1747</v>
      </c>
    </row>
  </sheetData>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
  <sheetViews>
    <sheetView topLeftCell="A76" workbookViewId="0">
      <selection activeCell="A92" sqref="A92:XFD92"/>
    </sheetView>
  </sheetViews>
  <sheetFormatPr baseColWidth="10" defaultRowHeight="16" x14ac:dyDescent="0.2"/>
  <cols>
    <col min="1" max="1" width="22.33203125" customWidth="1"/>
    <col min="2" max="2" width="28.1640625" customWidth="1"/>
    <col min="9" max="9" width="28.33203125" customWidth="1"/>
  </cols>
  <sheetData>
    <row r="1" spans="1:10" s="3" customFormat="1" x14ac:dyDescent="0.2">
      <c r="A1" s="3" t="s">
        <v>5</v>
      </c>
      <c r="B1" s="3" t="s">
        <v>6</v>
      </c>
      <c r="C1" s="3" t="s">
        <v>7</v>
      </c>
      <c r="D1" s="3" t="s">
        <v>8</v>
      </c>
      <c r="E1" s="3" t="s">
        <v>9</v>
      </c>
      <c r="F1" s="3" t="s">
        <v>10</v>
      </c>
      <c r="G1" s="3" t="s">
        <v>11</v>
      </c>
      <c r="H1" s="3" t="s">
        <v>12</v>
      </c>
      <c r="I1" s="3" t="s">
        <v>13</v>
      </c>
      <c r="J1" s="1"/>
    </row>
    <row r="2" spans="1:10" s="4" customFormat="1" x14ac:dyDescent="0.2">
      <c r="A2" s="1" t="s">
        <v>2204</v>
      </c>
      <c r="B2" s="1" t="s">
        <v>2205</v>
      </c>
      <c r="C2" s="1">
        <v>1186</v>
      </c>
      <c r="D2" s="1">
        <v>1186</v>
      </c>
      <c r="E2" s="2">
        <v>0.98</v>
      </c>
      <c r="F2" s="1">
        <v>0</v>
      </c>
      <c r="G2" s="1">
        <v>70.790000000000006</v>
      </c>
      <c r="H2" s="1">
        <v>808</v>
      </c>
      <c r="I2" s="1" t="str">
        <f>HYPERLINK("https://www.ncbi.nlm.nih.gov/protein/MBI1915363.1?report=genbank&amp;log$=prottop&amp;blast_rank=32&amp;RID=7U875CNM013","MBI1915363.1")</f>
        <v>MBI1915363.1</v>
      </c>
      <c r="J2" s="5" t="s">
        <v>2206</v>
      </c>
    </row>
    <row r="3" spans="1:10" s="4" customFormat="1" x14ac:dyDescent="0.2">
      <c r="A3" s="1" t="s">
        <v>2207</v>
      </c>
      <c r="B3" s="1" t="s">
        <v>2208</v>
      </c>
      <c r="C3" s="1">
        <v>1176</v>
      </c>
      <c r="D3" s="1">
        <v>1176</v>
      </c>
      <c r="E3" s="2">
        <v>0.98</v>
      </c>
      <c r="F3" s="1">
        <v>0</v>
      </c>
      <c r="G3" s="1">
        <v>70.41</v>
      </c>
      <c r="H3" s="1">
        <v>788</v>
      </c>
      <c r="I3" s="1" t="str">
        <f>HYPERLINK("https://www.ncbi.nlm.nih.gov/protein/BBO15811.1?report=genbank&amp;log$=prottop&amp;blast_rank=100&amp;RID=7U875CNM013","BBO15811.1")</f>
        <v>BBO15811.1</v>
      </c>
      <c r="J3" s="1" t="s">
        <v>2206</v>
      </c>
    </row>
    <row r="4" spans="1:10" s="4" customFormat="1" x14ac:dyDescent="0.2">
      <c r="A4" s="1" t="s">
        <v>2209</v>
      </c>
      <c r="B4" s="1" t="s">
        <v>2210</v>
      </c>
      <c r="C4" s="1">
        <v>1175</v>
      </c>
      <c r="D4" s="1">
        <v>1175</v>
      </c>
      <c r="E4" s="2">
        <v>0.98</v>
      </c>
      <c r="F4" s="1">
        <v>0</v>
      </c>
      <c r="G4" s="1">
        <v>70.28</v>
      </c>
      <c r="H4" s="1">
        <v>788</v>
      </c>
      <c r="I4" s="1" t="str">
        <f>HYPERLINK("https://www.ncbi.nlm.nih.gov/protein/OOP56350.1?report=genbank&amp;log$=prottop&amp;blast_rank=127&amp;RID=7U875CNM013","OOP56350.1")</f>
        <v>OOP56350.1</v>
      </c>
      <c r="J4" s="1" t="s">
        <v>2206</v>
      </c>
    </row>
    <row r="5" spans="1:10" s="4" customFormat="1" x14ac:dyDescent="0.2">
      <c r="A5" s="1" t="s">
        <v>2211</v>
      </c>
      <c r="B5" s="1" t="s">
        <v>2212</v>
      </c>
      <c r="C5" s="1">
        <v>1174</v>
      </c>
      <c r="D5" s="1">
        <v>1174</v>
      </c>
      <c r="E5" s="2">
        <v>0.98</v>
      </c>
      <c r="F5" s="1">
        <v>0</v>
      </c>
      <c r="G5" s="1">
        <v>70.150000000000006</v>
      </c>
      <c r="H5" s="1">
        <v>788</v>
      </c>
      <c r="I5" s="1" t="str">
        <f>HYPERLINK("https://www.ncbi.nlm.nih.gov/protein/WP_052563093.1?report=genbank&amp;log$=prottop&amp;blast_rank=155&amp;RID=7U875CNM013","WP_052563093.1")</f>
        <v>WP_052563093.1</v>
      </c>
      <c r="J5" s="5" t="s">
        <v>2206</v>
      </c>
    </row>
    <row r="6" spans="1:10" s="4" customFormat="1" x14ac:dyDescent="0.2">
      <c r="A6" s="1" t="s">
        <v>2213</v>
      </c>
      <c r="B6" s="1" t="s">
        <v>2214</v>
      </c>
      <c r="C6" s="1">
        <v>1170</v>
      </c>
      <c r="D6" s="1">
        <v>1170</v>
      </c>
      <c r="E6" s="2">
        <v>0.98</v>
      </c>
      <c r="F6" s="1">
        <v>0</v>
      </c>
      <c r="G6" s="1">
        <v>70.03</v>
      </c>
      <c r="H6" s="1">
        <v>788</v>
      </c>
      <c r="I6" s="1" t="str">
        <f>HYPERLINK("https://www.ncbi.nlm.nih.gov/protein/OQZ00909.1?report=genbank&amp;log$=prottop&amp;blast_rank=185&amp;RID=7U875CNM013","OQZ00909.1")</f>
        <v>OQZ00909.1</v>
      </c>
      <c r="J6" s="5" t="s">
        <v>2206</v>
      </c>
    </row>
    <row r="7" spans="1:10" s="7" customFormat="1" x14ac:dyDescent="0.2">
      <c r="A7" s="5" t="s">
        <v>2215</v>
      </c>
      <c r="B7" s="5" t="s">
        <v>2212</v>
      </c>
      <c r="C7" s="5">
        <v>1181</v>
      </c>
      <c r="D7" s="5">
        <v>1181</v>
      </c>
      <c r="E7" s="6">
        <v>0.98</v>
      </c>
      <c r="F7" s="5">
        <v>0</v>
      </c>
      <c r="G7" s="5">
        <v>69.900000000000006</v>
      </c>
      <c r="H7" s="5">
        <v>788</v>
      </c>
      <c r="I7" s="5" t="str">
        <f>HYPERLINK("https://www.ncbi.nlm.nih.gov/protein/KXK29670.1?report=genbank&amp;log$=prottop&amp;blast_rank=23&amp;RID=7U875CNM013","KXK29670.1")</f>
        <v>KXK29670.1</v>
      </c>
      <c r="J7" s="5" t="s">
        <v>2206</v>
      </c>
    </row>
    <row r="8" spans="1:10" s="7" customFormat="1" x14ac:dyDescent="0.2">
      <c r="A8" s="5" t="s">
        <v>2216</v>
      </c>
      <c r="B8" s="5" t="s">
        <v>2217</v>
      </c>
      <c r="C8" s="5">
        <v>1179</v>
      </c>
      <c r="D8" s="5">
        <v>1179</v>
      </c>
      <c r="E8" s="6">
        <v>0.98</v>
      </c>
      <c r="F8" s="5">
        <v>0</v>
      </c>
      <c r="G8" s="5">
        <v>69.900000000000006</v>
      </c>
      <c r="H8" s="5">
        <v>801</v>
      </c>
      <c r="I8" s="5" t="str">
        <f>HYPERLINK("https://www.ncbi.nlm.nih.gov/protein/TLD43627.1?report=genbank&amp;log$=prottop&amp;blast_rank=24&amp;RID=7U875CNM013","TLD43627.1")</f>
        <v>TLD43627.1</v>
      </c>
      <c r="J8" s="5" t="s">
        <v>2206</v>
      </c>
    </row>
    <row r="9" spans="1:10" s="7" customFormat="1" x14ac:dyDescent="0.2">
      <c r="A9" s="5" t="s">
        <v>2218</v>
      </c>
      <c r="B9" s="5" t="s">
        <v>2219</v>
      </c>
      <c r="C9" s="5">
        <v>1163</v>
      </c>
      <c r="D9" s="5">
        <v>1163</v>
      </c>
      <c r="E9" s="6">
        <v>0.98</v>
      </c>
      <c r="F9" s="5">
        <v>0</v>
      </c>
      <c r="G9" s="5">
        <v>69.64</v>
      </c>
      <c r="H9" s="5">
        <v>788</v>
      </c>
      <c r="I9" s="5" t="str">
        <f>HYPERLINK("https://www.ncbi.nlm.nih.gov/protein/QOJ07668.1?report=genbank&amp;log$=prottop&amp;blast_rank=100&amp;RID=7U875CNM013","QOJ07668.1")</f>
        <v>QOJ07668.1</v>
      </c>
      <c r="J9" s="5" t="s">
        <v>2206</v>
      </c>
    </row>
    <row r="10" spans="1:10" s="7" customFormat="1" x14ac:dyDescent="0.2">
      <c r="A10" s="5" t="s">
        <v>2218</v>
      </c>
      <c r="B10" s="5" t="s">
        <v>2219</v>
      </c>
      <c r="C10" s="5">
        <v>1161</v>
      </c>
      <c r="D10" s="5">
        <v>1161</v>
      </c>
      <c r="E10" s="6">
        <v>0.98</v>
      </c>
      <c r="F10" s="5">
        <v>0</v>
      </c>
      <c r="G10" s="5">
        <v>69.52</v>
      </c>
      <c r="H10" s="5">
        <v>788</v>
      </c>
      <c r="I10" s="5" t="str">
        <f>HYPERLINK("https://www.ncbi.nlm.nih.gov/protein/MBE7445448.1?report=genbank&amp;log$=prottop&amp;blast_rank=130&amp;RID=7U875CNM013","MBE7445448.1")</f>
        <v>MBE7445448.1</v>
      </c>
      <c r="J10" s="5" t="s">
        <v>2206</v>
      </c>
    </row>
    <row r="11" spans="1:10" s="7" customFormat="1" x14ac:dyDescent="0.2">
      <c r="A11" s="5" t="s">
        <v>2220</v>
      </c>
      <c r="B11" s="5" t="s">
        <v>2221</v>
      </c>
      <c r="C11" s="5">
        <v>1161</v>
      </c>
      <c r="D11" s="5">
        <v>1161</v>
      </c>
      <c r="E11" s="6">
        <v>0.98</v>
      </c>
      <c r="F11" s="5">
        <v>0</v>
      </c>
      <c r="G11" s="5">
        <v>69.52</v>
      </c>
      <c r="H11" s="5">
        <v>788</v>
      </c>
      <c r="I11" s="5" t="str">
        <f>HYPERLINK("https://www.ncbi.nlm.nih.gov/protein/WP_070066615.1?report=genbank&amp;log$=prottop&amp;blast_rank=131&amp;RID=7U875CNM013","WP_070066615.1")</f>
        <v>WP_070066615.1</v>
      </c>
      <c r="J11" s="5" t="s">
        <v>2206</v>
      </c>
    </row>
    <row r="12" spans="1:10" s="7" customFormat="1" x14ac:dyDescent="0.2">
      <c r="A12" s="5" t="s">
        <v>2222</v>
      </c>
      <c r="B12" s="5" t="s">
        <v>2223</v>
      </c>
      <c r="C12" s="5">
        <v>1158</v>
      </c>
      <c r="D12" s="5">
        <v>1158</v>
      </c>
      <c r="E12" s="6">
        <v>0.98</v>
      </c>
      <c r="F12" s="5">
        <v>0</v>
      </c>
      <c r="G12" s="5">
        <v>69.12</v>
      </c>
      <c r="H12" s="5">
        <v>788</v>
      </c>
      <c r="I12" s="5" t="str">
        <f>HYPERLINK("https://www.ncbi.nlm.nih.gov/protein/QQR66228.1?report=genbank&amp;log$=prottop&amp;blast_rank=16&amp;RID=7U875CNM013","QQR66228.1")</f>
        <v>QQR66228.1</v>
      </c>
      <c r="J12" s="5" t="s">
        <v>2206</v>
      </c>
    </row>
    <row r="13" spans="1:10" s="7" customFormat="1" x14ac:dyDescent="0.2">
      <c r="A13" s="5" t="s">
        <v>2224</v>
      </c>
      <c r="B13" s="5" t="s">
        <v>2225</v>
      </c>
      <c r="C13" s="5">
        <v>1155</v>
      </c>
      <c r="D13" s="5">
        <v>1155</v>
      </c>
      <c r="E13" s="6">
        <v>0.98</v>
      </c>
      <c r="F13" s="5">
        <v>0</v>
      </c>
      <c r="G13" s="5">
        <v>69</v>
      </c>
      <c r="H13" s="5">
        <v>788</v>
      </c>
      <c r="I13" s="5" t="str">
        <f>HYPERLINK("https://www.ncbi.nlm.nih.gov/protein/OQZ01380.1?report=genbank&amp;log$=prottop&amp;blast_rank=56&amp;RID=7U875CNM013","OQZ01380.1")</f>
        <v>OQZ01380.1</v>
      </c>
      <c r="J13" s="5" t="s">
        <v>2206</v>
      </c>
    </row>
    <row r="14" spans="1:10" s="7" customFormat="1" x14ac:dyDescent="0.2">
      <c r="A14" s="5" t="s">
        <v>2226</v>
      </c>
      <c r="B14" s="5" t="s">
        <v>2227</v>
      </c>
      <c r="C14" s="5">
        <v>1139</v>
      </c>
      <c r="D14" s="5">
        <v>1139</v>
      </c>
      <c r="E14" s="6">
        <v>0.98</v>
      </c>
      <c r="F14" s="5">
        <v>0</v>
      </c>
      <c r="G14" s="5">
        <v>67.86</v>
      </c>
      <c r="H14" s="5">
        <v>819</v>
      </c>
      <c r="I14" s="5" t="str">
        <f>HYPERLINK("https://www.ncbi.nlm.nih.gov/protein/WP_015246228.1?report=genbank&amp;log$=prottop&amp;blast_rank=180&amp;RID=7U875CNM013","WP_015246228.1")</f>
        <v>WP_015246228.1</v>
      </c>
      <c r="J14" s="5" t="s">
        <v>2206</v>
      </c>
    </row>
    <row r="15" spans="1:10" s="7" customFormat="1" x14ac:dyDescent="0.2">
      <c r="A15" s="5" t="s">
        <v>2226</v>
      </c>
      <c r="B15" s="5" t="s">
        <v>2227</v>
      </c>
      <c r="C15" s="5">
        <v>1136</v>
      </c>
      <c r="D15" s="5">
        <v>1136</v>
      </c>
      <c r="E15" s="6">
        <v>0.98</v>
      </c>
      <c r="F15" s="5">
        <v>0</v>
      </c>
      <c r="G15" s="5">
        <v>67.86</v>
      </c>
      <c r="H15" s="5">
        <v>799</v>
      </c>
      <c r="I15" s="5" t="str">
        <f>HYPERLINK("https://www.ncbi.nlm.nih.gov/protein/WP_086018148.1?report=genbank&amp;log$=prottop&amp;blast_rank=181&amp;RID=7U875CNM013","WP_086018148.1")</f>
        <v>WP_086018148.1</v>
      </c>
      <c r="J15" s="5" t="s">
        <v>2206</v>
      </c>
    </row>
    <row r="16" spans="1:10" s="5" customFormat="1" x14ac:dyDescent="0.2">
      <c r="A16" s="5" t="s">
        <v>2228</v>
      </c>
      <c r="B16" s="5" t="s">
        <v>2229</v>
      </c>
      <c r="C16" s="5">
        <v>1169</v>
      </c>
      <c r="D16" s="5">
        <v>1169</v>
      </c>
      <c r="E16" s="6">
        <v>0.99</v>
      </c>
      <c r="F16" s="5">
        <v>0</v>
      </c>
      <c r="G16" s="5">
        <v>67.72</v>
      </c>
      <c r="H16" s="5">
        <v>800</v>
      </c>
      <c r="I16" s="5" t="str">
        <f>HYPERLINK("https://www.ncbi.nlm.nih.gov/protein/OQA01474.1?report=genbank&amp;log$=prottop&amp;blast_rank=23&amp;RID=7U875CNM013","OQA01474.1")</f>
        <v>OQA01474.1</v>
      </c>
      <c r="J16" s="5" t="s">
        <v>2206</v>
      </c>
    </row>
    <row r="17" spans="1:10" s="5" customFormat="1" x14ac:dyDescent="0.2">
      <c r="A17" s="5" t="s">
        <v>2230</v>
      </c>
      <c r="B17" s="5" t="s">
        <v>2231</v>
      </c>
      <c r="C17" s="5">
        <v>1130</v>
      </c>
      <c r="D17" s="5">
        <v>1130</v>
      </c>
      <c r="E17" s="6">
        <v>0.98</v>
      </c>
      <c r="F17" s="5">
        <v>0</v>
      </c>
      <c r="G17" s="5">
        <v>67.180000000000007</v>
      </c>
      <c r="H17" s="5">
        <v>817</v>
      </c>
      <c r="I17" s="5" t="str">
        <f>HYPERLINK("https://www.ncbi.nlm.nih.gov/protein/WP_162671066.1?report=genbank&amp;log$=prottop&amp;blast_rank=182&amp;RID=7U875CNM013","WP_162671066.1")</f>
        <v>WP_162671066.1</v>
      </c>
      <c r="J17" s="5" t="s">
        <v>2206</v>
      </c>
    </row>
    <row r="18" spans="1:10" s="5" customFormat="1" x14ac:dyDescent="0.2">
      <c r="A18" s="5" t="s">
        <v>2232</v>
      </c>
      <c r="B18" s="5" t="s">
        <v>2233</v>
      </c>
      <c r="C18" s="5">
        <v>1129</v>
      </c>
      <c r="D18" s="5">
        <v>1129</v>
      </c>
      <c r="E18" s="6">
        <v>0.98</v>
      </c>
      <c r="F18" s="5">
        <v>0</v>
      </c>
      <c r="G18" s="5">
        <v>66.959999999999994</v>
      </c>
      <c r="H18" s="5">
        <v>819</v>
      </c>
      <c r="I18" s="5" t="str">
        <f>HYPERLINK("https://www.ncbi.nlm.nih.gov/protein/SIO60437.1?report=genbank&amp;log$=prottop&amp;blast_rank=10&amp;RID=7U875CNM013","SIO60437.1")</f>
        <v>SIO60437.1</v>
      </c>
      <c r="J18" s="5" t="s">
        <v>2206</v>
      </c>
    </row>
    <row r="19" spans="1:10" s="5" customFormat="1" x14ac:dyDescent="0.2">
      <c r="A19" s="5" t="s">
        <v>2234</v>
      </c>
      <c r="B19" s="5" t="s">
        <v>2233</v>
      </c>
      <c r="C19" s="5">
        <v>1129</v>
      </c>
      <c r="D19" s="5">
        <v>1129</v>
      </c>
      <c r="E19" s="6">
        <v>0.98</v>
      </c>
      <c r="F19" s="5">
        <v>0</v>
      </c>
      <c r="G19" s="5">
        <v>66.959999999999994</v>
      </c>
      <c r="H19" s="5">
        <v>810</v>
      </c>
      <c r="I19" s="5" t="str">
        <f>HYPERLINK("https://www.ncbi.nlm.nih.gov/protein/WP_143206637.1?report=genbank&amp;log$=prottop&amp;blast_rank=11&amp;RID=7U875CNM013","WP_143206637.1")</f>
        <v>WP_143206637.1</v>
      </c>
      <c r="J19" s="5" t="s">
        <v>2206</v>
      </c>
    </row>
    <row r="20" spans="1:10" s="5" customFormat="1" x14ac:dyDescent="0.2">
      <c r="A20" s="5" t="s">
        <v>2235</v>
      </c>
      <c r="B20" s="5" t="s">
        <v>2236</v>
      </c>
      <c r="C20" s="5">
        <v>1120</v>
      </c>
      <c r="D20" s="5">
        <v>1120</v>
      </c>
      <c r="E20" s="6">
        <v>0.98</v>
      </c>
      <c r="F20" s="5">
        <v>0</v>
      </c>
      <c r="G20" s="5">
        <v>66.92</v>
      </c>
      <c r="H20" s="5">
        <v>798</v>
      </c>
      <c r="I20" s="5" t="str">
        <f>HYPERLINK("https://www.ncbi.nlm.nih.gov/protein/MBO0700249.1?report=genbank&amp;log$=prottop&amp;blast_rank=23&amp;RID=7U875CNM013","MBO0700249.1")</f>
        <v>MBO0700249.1</v>
      </c>
      <c r="J20" s="5" t="s">
        <v>2206</v>
      </c>
    </row>
    <row r="21" spans="1:10" s="5" customFormat="1" x14ac:dyDescent="0.2">
      <c r="A21" s="5" t="s">
        <v>2237</v>
      </c>
      <c r="B21" s="5" t="s">
        <v>2238</v>
      </c>
      <c r="C21" s="5">
        <v>1136</v>
      </c>
      <c r="D21" s="5">
        <v>1136</v>
      </c>
      <c r="E21" s="6">
        <v>0.98</v>
      </c>
      <c r="F21" s="5">
        <v>0</v>
      </c>
      <c r="G21" s="5">
        <v>66.67</v>
      </c>
      <c r="H21" s="5">
        <v>807</v>
      </c>
      <c r="I21" s="5" t="str">
        <f>HYPERLINK("https://www.ncbi.nlm.nih.gov/protein/VTU01933.1?report=genbank&amp;log$=prottop&amp;blast_rank=64&amp;RID=7U875CNM013","VTU01933.1")</f>
        <v>VTU01933.1</v>
      </c>
      <c r="J21" s="5" t="s">
        <v>2206</v>
      </c>
    </row>
    <row r="22" spans="1:10" s="5" customFormat="1" x14ac:dyDescent="0.2">
      <c r="A22" s="5" t="s">
        <v>2239</v>
      </c>
      <c r="B22" s="5" t="s">
        <v>2240</v>
      </c>
      <c r="C22" s="5">
        <v>1123</v>
      </c>
      <c r="D22" s="5">
        <v>1123</v>
      </c>
      <c r="E22" s="6">
        <v>0.98</v>
      </c>
      <c r="F22" s="5">
        <v>0</v>
      </c>
      <c r="G22" s="5">
        <v>66.67</v>
      </c>
      <c r="H22" s="5">
        <v>817</v>
      </c>
      <c r="I22" s="5" t="str">
        <f>HYPERLINK("https://www.ncbi.nlm.nih.gov/protein/WP_082841365.1?report=genbank&amp;log$=prottop&amp;blast_rank=66&amp;RID=7U875CNM013","WP_082841365.1")</f>
        <v>WP_082841365.1</v>
      </c>
      <c r="J22" s="5" t="s">
        <v>2206</v>
      </c>
    </row>
    <row r="23" spans="1:10" s="5" customFormat="1" x14ac:dyDescent="0.2">
      <c r="A23" s="5" t="s">
        <v>2241</v>
      </c>
      <c r="B23" s="5" t="s">
        <v>2242</v>
      </c>
      <c r="C23" s="5">
        <v>1140</v>
      </c>
      <c r="D23" s="5">
        <v>1140</v>
      </c>
      <c r="E23" s="6">
        <v>0.98</v>
      </c>
      <c r="F23" s="5">
        <v>0</v>
      </c>
      <c r="G23" s="5">
        <v>66.58</v>
      </c>
      <c r="H23" s="5">
        <v>806</v>
      </c>
      <c r="I23" s="5" t="str">
        <f>HYPERLINK("https://www.ncbi.nlm.nih.gov/protein/MBA4187813.1?report=genbank&amp;log$=prottop&amp;blast_rank=78&amp;RID=7U875CNM013","MBA4187813.1")</f>
        <v>MBA4187813.1</v>
      </c>
      <c r="J23" s="5" t="s">
        <v>2206</v>
      </c>
    </row>
    <row r="24" spans="1:10" s="5" customFormat="1" x14ac:dyDescent="0.2">
      <c r="A24" s="5" t="s">
        <v>2204</v>
      </c>
      <c r="B24" s="5" t="s">
        <v>2205</v>
      </c>
      <c r="C24" s="5">
        <v>1103</v>
      </c>
      <c r="D24" s="5">
        <v>1103</v>
      </c>
      <c r="E24" s="6">
        <v>0.98</v>
      </c>
      <c r="F24" s="5">
        <v>0</v>
      </c>
      <c r="G24" s="5">
        <v>66.58</v>
      </c>
      <c r="H24" s="5">
        <v>818</v>
      </c>
      <c r="I24" s="5" t="str">
        <f>HYPERLINK("https://www.ncbi.nlm.nih.gov/protein/MBN9118685.1?report=genbank&amp;log$=prottop&amp;blast_rank=80&amp;RID=7U875CNM013","MBN9118685.1")</f>
        <v>MBN9118685.1</v>
      </c>
      <c r="J24" s="5" t="s">
        <v>2206</v>
      </c>
    </row>
    <row r="25" spans="1:10" s="5" customFormat="1" x14ac:dyDescent="0.2">
      <c r="A25" s="5" t="s">
        <v>2243</v>
      </c>
      <c r="B25" s="5" t="s">
        <v>2244</v>
      </c>
      <c r="C25" s="5">
        <v>1122</v>
      </c>
      <c r="D25" s="5">
        <v>1122</v>
      </c>
      <c r="E25" s="6">
        <v>0.98</v>
      </c>
      <c r="F25" s="5">
        <v>0</v>
      </c>
      <c r="G25" s="5">
        <v>66.069999999999993</v>
      </c>
      <c r="H25" s="5">
        <v>818</v>
      </c>
      <c r="I25" s="5" t="str">
        <f>HYPERLINK("https://www.ncbi.nlm.nih.gov/protein/AMV32451.1?report=genbank&amp;log$=prottop&amp;blast_rank=133&amp;RID=7U875CNM013","AMV32451.1")</f>
        <v>AMV32451.1</v>
      </c>
      <c r="J25" s="5" t="s">
        <v>2206</v>
      </c>
    </row>
    <row r="26" spans="1:10" s="5" customFormat="1" x14ac:dyDescent="0.2">
      <c r="A26" s="5" t="s">
        <v>2245</v>
      </c>
      <c r="B26" s="5" t="s">
        <v>2244</v>
      </c>
      <c r="C26" s="5">
        <v>1120</v>
      </c>
      <c r="D26" s="5">
        <v>1120</v>
      </c>
      <c r="E26" s="6">
        <v>0.98</v>
      </c>
      <c r="F26" s="5">
        <v>0</v>
      </c>
      <c r="G26" s="5">
        <v>66.069999999999993</v>
      </c>
      <c r="H26" s="5">
        <v>809</v>
      </c>
      <c r="I26" s="5" t="str">
        <f>HYPERLINK("https://www.ncbi.nlm.nih.gov/protein/WP_146679860.1?report=genbank&amp;log$=prottop&amp;blast_rank=134&amp;RID=7U875CNM013","WP_146679860.1")</f>
        <v>WP_146679860.1</v>
      </c>
      <c r="J26" s="5" t="s">
        <v>2206</v>
      </c>
    </row>
    <row r="27" spans="1:10" s="7" customFormat="1" x14ac:dyDescent="0.2">
      <c r="A27" s="5" t="s">
        <v>2218</v>
      </c>
      <c r="B27" s="5" t="s">
        <v>2219</v>
      </c>
      <c r="C27" s="5">
        <v>1039</v>
      </c>
      <c r="D27" s="5">
        <v>1039</v>
      </c>
      <c r="E27" s="6">
        <v>0.96</v>
      </c>
      <c r="F27" s="5">
        <v>0</v>
      </c>
      <c r="G27" s="5">
        <v>65.38</v>
      </c>
      <c r="H27" s="5">
        <v>817</v>
      </c>
      <c r="I27" s="5" t="str">
        <f>HYPERLINK("https://www.ncbi.nlm.nih.gov/protein/MBI2825028.1?report=genbank&amp;log$=prottop&amp;blast_rank=47&amp;RID=7U875CNM013","MBI2825028.1")</f>
        <v>MBI2825028.1</v>
      </c>
      <c r="J27" s="5" t="s">
        <v>2206</v>
      </c>
    </row>
    <row r="28" spans="1:10" s="7" customFormat="1" x14ac:dyDescent="0.2">
      <c r="A28" s="5" t="s">
        <v>2246</v>
      </c>
      <c r="B28" s="5" t="s">
        <v>2247</v>
      </c>
      <c r="C28" s="5">
        <v>1108</v>
      </c>
      <c r="D28" s="5">
        <v>1108</v>
      </c>
      <c r="E28" s="6">
        <v>0.98</v>
      </c>
      <c r="F28" s="5">
        <v>0</v>
      </c>
      <c r="G28" s="5">
        <v>65.31</v>
      </c>
      <c r="H28" s="5">
        <v>818</v>
      </c>
      <c r="I28" s="5" t="str">
        <f>HYPERLINK("https://www.ncbi.nlm.nih.gov/protein/MBA4065522.1?report=genbank&amp;log$=prottop&amp;blast_rank=63&amp;RID=7U875CNM013","MBA4065522.1")</f>
        <v>MBA4065522.1</v>
      </c>
      <c r="J28" s="5" t="s">
        <v>2206</v>
      </c>
    </row>
    <row r="29" spans="1:10" s="7" customFormat="1" x14ac:dyDescent="0.2">
      <c r="A29" s="5" t="s">
        <v>816</v>
      </c>
      <c r="B29" s="5" t="s">
        <v>817</v>
      </c>
      <c r="C29" s="5">
        <v>1028</v>
      </c>
      <c r="D29" s="5">
        <v>1028</v>
      </c>
      <c r="E29" s="6">
        <v>0.93</v>
      </c>
      <c r="F29" s="5">
        <v>0</v>
      </c>
      <c r="G29" s="5">
        <v>64.97</v>
      </c>
      <c r="H29" s="5">
        <v>747</v>
      </c>
      <c r="I29" s="5" t="str">
        <f>HYPERLINK("https://www.ncbi.nlm.nih.gov/protein/MBC8109052.1?report=genbank&amp;log$=prottop&amp;blast_rank=114&amp;RID=7U875CNM013","MBC8109052.1")</f>
        <v>MBC8109052.1</v>
      </c>
      <c r="J29" s="5" t="s">
        <v>2206</v>
      </c>
    </row>
    <row r="30" spans="1:10" s="7" customFormat="1" x14ac:dyDescent="0.2">
      <c r="A30" s="5" t="s">
        <v>2248</v>
      </c>
      <c r="B30" s="5" t="s">
        <v>2249</v>
      </c>
      <c r="C30" s="5">
        <v>1067</v>
      </c>
      <c r="D30" s="5">
        <v>1067</v>
      </c>
      <c r="E30" s="6">
        <v>0.97</v>
      </c>
      <c r="F30" s="5">
        <v>0</v>
      </c>
      <c r="G30" s="5">
        <v>64.95</v>
      </c>
      <c r="H30" s="5">
        <v>788</v>
      </c>
      <c r="I30" s="5" t="str">
        <f>HYPERLINK("https://www.ncbi.nlm.nih.gov/protein/WP_152099204.1?report=genbank&amp;log$=prottop&amp;blast_rank=137&amp;RID=7U875CNM013","WP_152099204.1")</f>
        <v>WP_152099204.1</v>
      </c>
      <c r="J30" s="5" t="s">
        <v>2206</v>
      </c>
    </row>
    <row r="31" spans="1:10" s="8" customFormat="1" x14ac:dyDescent="0.2">
      <c r="A31" s="5" t="s">
        <v>2250</v>
      </c>
      <c r="B31" s="5" t="s">
        <v>2251</v>
      </c>
      <c r="C31" s="5">
        <v>1077</v>
      </c>
      <c r="D31" s="5">
        <v>1077</v>
      </c>
      <c r="E31" s="6">
        <v>0.99</v>
      </c>
      <c r="F31" s="5">
        <v>0</v>
      </c>
      <c r="G31" s="5">
        <v>64.69</v>
      </c>
      <c r="H31" s="5">
        <v>809</v>
      </c>
      <c r="I31" s="5" t="str">
        <f>HYPERLINK("https://www.ncbi.nlm.nih.gov/protein/WP_149114662.1?report=genbank&amp;log$=prottop&amp;blast_rank=3&amp;RID=7U875CNM013","WP_149114662.1")</f>
        <v>WP_149114662.1</v>
      </c>
      <c r="J31" s="5" t="s">
        <v>2206</v>
      </c>
    </row>
    <row r="32" spans="1:10" s="8" customFormat="1" x14ac:dyDescent="0.2">
      <c r="A32" s="5" t="s">
        <v>2248</v>
      </c>
      <c r="B32" s="5" t="s">
        <v>2249</v>
      </c>
      <c r="C32" s="5">
        <v>1060</v>
      </c>
      <c r="D32" s="5">
        <v>1060</v>
      </c>
      <c r="E32" s="6">
        <v>0.97</v>
      </c>
      <c r="F32" s="5">
        <v>0</v>
      </c>
      <c r="G32" s="5">
        <v>64.69</v>
      </c>
      <c r="H32" s="5">
        <v>788</v>
      </c>
      <c r="I32" s="5" t="str">
        <f>HYPERLINK("https://www.ncbi.nlm.nih.gov/protein/WP_152101910.1?report=genbank&amp;log$=prottop&amp;blast_rank=5&amp;RID=7U875CNM013","WP_152101910.1")</f>
        <v>WP_152101910.1</v>
      </c>
      <c r="J32" s="5" t="s">
        <v>2206</v>
      </c>
    </row>
    <row r="33" spans="1:10" s="8" customFormat="1" x14ac:dyDescent="0.2">
      <c r="A33" s="5" t="s">
        <v>2252</v>
      </c>
      <c r="B33" s="5" t="s">
        <v>2253</v>
      </c>
      <c r="C33" s="5">
        <v>1092</v>
      </c>
      <c r="D33" s="5">
        <v>1092</v>
      </c>
      <c r="E33" s="6">
        <v>0.98</v>
      </c>
      <c r="F33" s="5">
        <v>0</v>
      </c>
      <c r="G33" s="5">
        <v>64.67</v>
      </c>
      <c r="H33" s="5">
        <v>791</v>
      </c>
      <c r="I33" s="5" t="str">
        <f>HYPERLINK("https://www.ncbi.nlm.nih.gov/protein/WP_096896430.1?report=genbank&amp;log$=prottop&amp;blast_rank=12&amp;RID=7U875CNM013","WP_096896430.1")</f>
        <v>WP_096896430.1</v>
      </c>
      <c r="J33" s="5" t="s">
        <v>2206</v>
      </c>
    </row>
    <row r="34" spans="1:10" s="7" customFormat="1" x14ac:dyDescent="0.2">
      <c r="A34" s="5" t="s">
        <v>2254</v>
      </c>
      <c r="B34" s="5" t="s">
        <v>2255</v>
      </c>
      <c r="C34" s="5">
        <v>1060</v>
      </c>
      <c r="D34" s="5">
        <v>1060</v>
      </c>
      <c r="E34" s="6">
        <v>0.98</v>
      </c>
      <c r="F34" s="5">
        <v>0</v>
      </c>
      <c r="G34" s="5">
        <v>64.62</v>
      </c>
      <c r="H34" s="5">
        <v>806</v>
      </c>
      <c r="I34" s="5" t="str">
        <f>HYPERLINK("https://www.ncbi.nlm.nih.gov/protein/WP_020468825.1?report=genbank&amp;log$=prottop&amp;blast_rank=51&amp;RID=7U875CNM013","WP_020468825.1")</f>
        <v>WP_020468825.1</v>
      </c>
      <c r="J34" s="5" t="s">
        <v>2206</v>
      </c>
    </row>
    <row r="35" spans="1:10" s="7" customFormat="1" x14ac:dyDescent="0.2">
      <c r="A35" s="5" t="s">
        <v>2256</v>
      </c>
      <c r="B35" s="5" t="s">
        <v>2257</v>
      </c>
      <c r="C35" s="5">
        <v>1058</v>
      </c>
      <c r="D35" s="5">
        <v>1058</v>
      </c>
      <c r="E35" s="6">
        <v>0.97</v>
      </c>
      <c r="F35" s="5">
        <v>0</v>
      </c>
      <c r="G35" s="5">
        <v>64.56</v>
      </c>
      <c r="H35" s="5">
        <v>801</v>
      </c>
      <c r="I35" s="5" t="str">
        <f>HYPERLINK("https://www.ncbi.nlm.nih.gov/protein/WP_171469605.1?report=genbank&amp;log$=prottop&amp;blast_rank=90&amp;RID=7U875CNM013","WP_171469605.1")</f>
        <v>WP_171469605.1</v>
      </c>
      <c r="J35" s="5" t="s">
        <v>2206</v>
      </c>
    </row>
    <row r="36" spans="1:10" s="7" customFormat="1" x14ac:dyDescent="0.2">
      <c r="A36" s="5" t="s">
        <v>2204</v>
      </c>
      <c r="B36" s="5" t="s">
        <v>2205</v>
      </c>
      <c r="C36" s="5">
        <v>1089</v>
      </c>
      <c r="D36" s="5">
        <v>1089</v>
      </c>
      <c r="E36" s="6">
        <v>0.99</v>
      </c>
      <c r="F36" s="5">
        <v>0</v>
      </c>
      <c r="G36" s="5">
        <v>64.52</v>
      </c>
      <c r="H36" s="5">
        <v>803</v>
      </c>
      <c r="I36" s="5" t="str">
        <f>HYPERLINK("https://www.ncbi.nlm.nih.gov/protein/MBI4878822.1?report=genbank&amp;log$=prottop&amp;blast_rank=113&amp;RID=7U875CNM013","MBI4878822.1")</f>
        <v>MBI4878822.1</v>
      </c>
      <c r="J36" s="5" t="s">
        <v>2206</v>
      </c>
    </row>
    <row r="37" spans="1:10" s="4" customFormat="1" x14ac:dyDescent="0.2">
      <c r="A37" s="1" t="s">
        <v>2258</v>
      </c>
      <c r="B37" s="1" t="s">
        <v>2259</v>
      </c>
      <c r="C37" s="1">
        <v>1056</v>
      </c>
      <c r="D37" s="1">
        <v>1056</v>
      </c>
      <c r="E37" s="2">
        <v>0.97</v>
      </c>
      <c r="F37" s="1">
        <v>0</v>
      </c>
      <c r="G37" s="1">
        <v>64.430000000000007</v>
      </c>
      <c r="H37" s="1">
        <v>816</v>
      </c>
      <c r="I37" s="1" t="str">
        <f>HYPERLINK("https://www.ncbi.nlm.nih.gov/protein/WP_008695185.1?report=genbank&amp;log$=prottop&amp;blast_rank=5&amp;RID=7U875CNM013","WP_008695185.1")</f>
        <v>WP_008695185.1</v>
      </c>
      <c r="J37" s="5" t="s">
        <v>2206</v>
      </c>
    </row>
    <row r="38" spans="1:10" s="4" customFormat="1" x14ac:dyDescent="0.2">
      <c r="A38" s="1" t="s">
        <v>2260</v>
      </c>
      <c r="B38" s="1" t="s">
        <v>2261</v>
      </c>
      <c r="C38" s="1">
        <v>1053</v>
      </c>
      <c r="D38" s="1">
        <v>1053</v>
      </c>
      <c r="E38" s="2">
        <v>0.97</v>
      </c>
      <c r="F38" s="1">
        <v>0</v>
      </c>
      <c r="G38" s="1">
        <v>64.430000000000007</v>
      </c>
      <c r="H38" s="1">
        <v>787</v>
      </c>
      <c r="I38" s="1" t="str">
        <f>HYPERLINK("https://www.ncbi.nlm.nih.gov/protein/OAI41359.1?report=genbank&amp;log$=prottop&amp;blast_rank=6&amp;RID=7U875CNM013","OAI41359.1")</f>
        <v>OAI41359.1</v>
      </c>
      <c r="J38" s="5" t="s">
        <v>2206</v>
      </c>
    </row>
    <row r="39" spans="1:10" s="4" customFormat="1" x14ac:dyDescent="0.2">
      <c r="A39" s="1" t="s">
        <v>2262</v>
      </c>
      <c r="B39" s="1" t="s">
        <v>2263</v>
      </c>
      <c r="C39" s="1">
        <v>1088</v>
      </c>
      <c r="D39" s="1">
        <v>1088</v>
      </c>
      <c r="E39" s="2">
        <v>0.98</v>
      </c>
      <c r="F39" s="1">
        <v>0</v>
      </c>
      <c r="G39" s="1">
        <v>64.33</v>
      </c>
      <c r="H39" s="1">
        <v>790</v>
      </c>
      <c r="I39" s="1" t="str">
        <f>HYPERLINK("https://www.ncbi.nlm.nih.gov/protein/KAA3592828.1?report=genbank&amp;log$=prottop&amp;blast_rank=95&amp;RID=7U875CNM013","KAA3592828.1")</f>
        <v>KAA3592828.1</v>
      </c>
      <c r="J39" s="5" t="s">
        <v>2206</v>
      </c>
    </row>
    <row r="40" spans="1:10" s="7" customFormat="1" ht="17" x14ac:dyDescent="0.2">
      <c r="A40" s="5" t="s">
        <v>2264</v>
      </c>
      <c r="B40" s="5" t="s">
        <v>2249</v>
      </c>
      <c r="C40" s="5">
        <v>1062</v>
      </c>
      <c r="D40" s="5">
        <v>1062</v>
      </c>
      <c r="E40" s="6">
        <v>0.98</v>
      </c>
      <c r="F40" s="5">
        <v>0</v>
      </c>
      <c r="G40" s="5">
        <v>64.239999999999995</v>
      </c>
      <c r="H40" s="5">
        <v>788</v>
      </c>
      <c r="I40" s="5" t="str">
        <f>HYPERLINK("https://www.ncbi.nlm.nih.gov/protein/BBO32295.1?report=genbank&amp;log$=prottop&amp;blast_rank=5&amp;RID=7U875CNM013","BBO32295.1")</f>
        <v>BBO32295.1</v>
      </c>
      <c r="J40" s="27" t="s">
        <v>2206</v>
      </c>
    </row>
    <row r="41" spans="1:10" s="7" customFormat="1" ht="17" x14ac:dyDescent="0.2">
      <c r="A41" s="5" t="s">
        <v>2265</v>
      </c>
      <c r="B41" s="5" t="s">
        <v>2249</v>
      </c>
      <c r="C41" s="5">
        <v>1062</v>
      </c>
      <c r="D41" s="5">
        <v>1062</v>
      </c>
      <c r="E41" s="6">
        <v>0.98</v>
      </c>
      <c r="F41" s="5">
        <v>0</v>
      </c>
      <c r="G41" s="5">
        <v>64.239999999999995</v>
      </c>
      <c r="H41" s="5">
        <v>790</v>
      </c>
      <c r="I41" s="5" t="str">
        <f>HYPERLINK("https://www.ncbi.nlm.nih.gov/protein/WP_198421859.1?report=genbank&amp;log$=prottop&amp;blast_rank=6&amp;RID=7U875CNM013","WP_198421859.1")</f>
        <v>WP_198421859.1</v>
      </c>
      <c r="J41" s="27" t="s">
        <v>2206</v>
      </c>
    </row>
    <row r="42" spans="1:10" s="7" customFormat="1" x14ac:dyDescent="0.2">
      <c r="A42" s="5" t="s">
        <v>2266</v>
      </c>
      <c r="B42" s="5" t="s">
        <v>2267</v>
      </c>
      <c r="C42" s="5">
        <v>1091</v>
      </c>
      <c r="D42" s="5">
        <v>1091</v>
      </c>
      <c r="E42" s="6">
        <v>0.98</v>
      </c>
      <c r="F42" s="5">
        <v>0</v>
      </c>
      <c r="G42" s="5">
        <v>64.2</v>
      </c>
      <c r="H42" s="5">
        <v>790</v>
      </c>
      <c r="I42" s="5" t="str">
        <f>HYPERLINK("https://www.ncbi.nlm.nih.gov/protein/KHE92598.1?report=genbank&amp;log$=prottop&amp;blast_rank=27&amp;RID=7U875CNM013","KHE92598.1")</f>
        <v>KHE92598.1</v>
      </c>
      <c r="J42" s="5" t="s">
        <v>2206</v>
      </c>
    </row>
    <row r="43" spans="1:10" s="7" customFormat="1" x14ac:dyDescent="0.2">
      <c r="A43" s="5" t="s">
        <v>2268</v>
      </c>
      <c r="B43" s="5" t="s">
        <v>2238</v>
      </c>
      <c r="C43" s="5">
        <v>1051</v>
      </c>
      <c r="D43" s="5">
        <v>1051</v>
      </c>
      <c r="E43" s="6">
        <v>0.97</v>
      </c>
      <c r="F43" s="5">
        <v>0</v>
      </c>
      <c r="G43" s="5">
        <v>64.180000000000007</v>
      </c>
      <c r="H43" s="5">
        <v>802</v>
      </c>
      <c r="I43" s="5" t="str">
        <f>HYPERLINK("https://www.ncbi.nlm.nih.gov/protein/HEG83241.1?report=genbank&amp;log$=prottop&amp;blast_rank=50&amp;RID=7U875CNM013","HEG83241.1")</f>
        <v>HEG83241.1</v>
      </c>
      <c r="J43" s="5" t="s">
        <v>2206</v>
      </c>
    </row>
    <row r="44" spans="1:10" s="7" customFormat="1" x14ac:dyDescent="0.2">
      <c r="A44" s="5" t="s">
        <v>2269</v>
      </c>
      <c r="B44" s="5" t="s">
        <v>2270</v>
      </c>
      <c r="C44" s="5">
        <v>1050</v>
      </c>
      <c r="D44" s="5">
        <v>1050</v>
      </c>
      <c r="E44" s="6">
        <v>0.97</v>
      </c>
      <c r="F44" s="5">
        <v>0</v>
      </c>
      <c r="G44" s="5">
        <v>64.180000000000007</v>
      </c>
      <c r="H44" s="5">
        <v>843</v>
      </c>
      <c r="I44" s="5" t="str">
        <f>HYPERLINK("https://www.ncbi.nlm.nih.gov/protein/OWK43204.1?report=genbank&amp;log$=prottop&amp;blast_rank=51&amp;RID=7U875CNM013","OWK43204.1")</f>
        <v>OWK43204.1</v>
      </c>
      <c r="J44" s="5" t="s">
        <v>2206</v>
      </c>
    </row>
    <row r="45" spans="1:10" s="7" customFormat="1" x14ac:dyDescent="0.2">
      <c r="A45" s="5" t="s">
        <v>2271</v>
      </c>
      <c r="B45" s="5" t="s">
        <v>2270</v>
      </c>
      <c r="C45" s="5">
        <v>1049</v>
      </c>
      <c r="D45" s="5">
        <v>1049</v>
      </c>
      <c r="E45" s="6">
        <v>0.97</v>
      </c>
      <c r="F45" s="5">
        <v>0</v>
      </c>
      <c r="G45" s="5">
        <v>64.180000000000007</v>
      </c>
      <c r="H45" s="5">
        <v>808</v>
      </c>
      <c r="I45" s="5" t="str">
        <f>HYPERLINK("https://www.ncbi.nlm.nih.gov/protein/WP_088254090.1?report=genbank&amp;log$=prottop&amp;blast_rank=52&amp;RID=7U875CNM013","WP_088254090.1")</f>
        <v>WP_088254090.1</v>
      </c>
      <c r="J45" s="5" t="s">
        <v>2206</v>
      </c>
    </row>
    <row r="46" spans="1:10" s="7" customFormat="1" x14ac:dyDescent="0.2">
      <c r="A46" s="5" t="s">
        <v>2272</v>
      </c>
      <c r="B46" s="5" t="s">
        <v>2273</v>
      </c>
      <c r="C46" s="5">
        <v>1045</v>
      </c>
      <c r="D46" s="5">
        <v>1045</v>
      </c>
      <c r="E46" s="6">
        <v>0.97</v>
      </c>
      <c r="F46" s="5">
        <v>0</v>
      </c>
      <c r="G46" s="5">
        <v>64.180000000000007</v>
      </c>
      <c r="H46" s="5">
        <v>801</v>
      </c>
      <c r="I46" s="5" t="str">
        <f>HYPERLINK("https://www.ncbi.nlm.nih.gov/protein/WP_010048854.1?report=genbank&amp;log$=prottop&amp;blast_rank=53&amp;RID=7U875CNM013","WP_010048854.1")</f>
        <v>WP_010048854.1</v>
      </c>
      <c r="J46" s="5" t="s">
        <v>2206</v>
      </c>
    </row>
    <row r="47" spans="1:10" s="7" customFormat="1" x14ac:dyDescent="0.2">
      <c r="A47" s="5" t="s">
        <v>2274</v>
      </c>
      <c r="B47" s="5" t="s">
        <v>2275</v>
      </c>
      <c r="C47" s="5">
        <v>1064</v>
      </c>
      <c r="D47" s="5">
        <v>1064</v>
      </c>
      <c r="E47" s="6">
        <v>0.99</v>
      </c>
      <c r="F47" s="5">
        <v>0</v>
      </c>
      <c r="G47" s="5">
        <v>64.14</v>
      </c>
      <c r="H47" s="5">
        <v>791</v>
      </c>
      <c r="I47" s="5" t="str">
        <f>HYPERLINK("https://www.ncbi.nlm.nih.gov/protein/WP_092047125.1?report=genbank&amp;log$=prottop&amp;blast_rank=85&amp;RID=7U875CNM013","WP_092047125.1")</f>
        <v>WP_092047125.1</v>
      </c>
      <c r="J47" s="5" t="s">
        <v>2206</v>
      </c>
    </row>
    <row r="48" spans="1:10" s="7" customFormat="1" x14ac:dyDescent="0.2">
      <c r="A48" s="5" t="s">
        <v>2204</v>
      </c>
      <c r="B48" s="5" t="s">
        <v>2205</v>
      </c>
      <c r="C48" s="5">
        <v>1056</v>
      </c>
      <c r="D48" s="5">
        <v>1056</v>
      </c>
      <c r="E48" s="6">
        <v>0.96</v>
      </c>
      <c r="F48" s="5">
        <v>0</v>
      </c>
      <c r="G48" s="5">
        <v>64.12</v>
      </c>
      <c r="H48" s="5">
        <v>789</v>
      </c>
      <c r="I48" s="5" t="str">
        <f>HYPERLINK("https://www.ncbi.nlm.nih.gov/protein/REJ65744.1?report=genbank&amp;log$=prottop&amp;blast_rank=125&amp;RID=7U875CNM013","REJ65744.1")</f>
        <v>REJ65744.1</v>
      </c>
      <c r="J48" s="5" t="s">
        <v>2206</v>
      </c>
    </row>
    <row r="49" spans="1:10" s="7" customFormat="1" x14ac:dyDescent="0.2">
      <c r="A49" s="5" t="s">
        <v>2276</v>
      </c>
      <c r="B49" s="5" t="s">
        <v>2277</v>
      </c>
      <c r="C49" s="5">
        <v>1066</v>
      </c>
      <c r="D49" s="5">
        <v>1066</v>
      </c>
      <c r="E49" s="6">
        <v>0.99</v>
      </c>
      <c r="F49" s="5">
        <v>0</v>
      </c>
      <c r="G49" s="5">
        <v>64.12</v>
      </c>
      <c r="H49" s="5">
        <v>824</v>
      </c>
      <c r="I49" s="5" t="str">
        <f>HYPERLINK("https://www.ncbi.nlm.nih.gov/protein/WP_146462205.1?report=genbank&amp;log$=prottop&amp;blast_rank=127&amp;RID=7U875CNM013","WP_146462205.1")</f>
        <v>WP_146462205.1</v>
      </c>
      <c r="J49" s="5" t="s">
        <v>2206</v>
      </c>
    </row>
    <row r="50" spans="1:10" s="7" customFormat="1" x14ac:dyDescent="0.2">
      <c r="A50" s="5" t="s">
        <v>2278</v>
      </c>
      <c r="B50" s="5" t="s">
        <v>2277</v>
      </c>
      <c r="C50" s="5">
        <v>1066</v>
      </c>
      <c r="D50" s="5">
        <v>1066</v>
      </c>
      <c r="E50" s="6">
        <v>0.99</v>
      </c>
      <c r="F50" s="5">
        <v>0</v>
      </c>
      <c r="G50" s="5">
        <v>64.12</v>
      </c>
      <c r="H50" s="5">
        <v>846</v>
      </c>
      <c r="I50" s="5" t="str">
        <f>HYPERLINK("https://www.ncbi.nlm.nih.gov/protein/TWU46150.1?report=genbank&amp;log$=prottop&amp;blast_rank=128&amp;RID=7U875CNM013","TWU46150.1")</f>
        <v>TWU46150.1</v>
      </c>
      <c r="J50" s="5" t="s">
        <v>2206</v>
      </c>
    </row>
    <row r="51" spans="1:10" s="7" customFormat="1" x14ac:dyDescent="0.2">
      <c r="A51" s="5" t="s">
        <v>2218</v>
      </c>
      <c r="B51" s="5" t="s">
        <v>2219</v>
      </c>
      <c r="C51" s="5">
        <v>1058</v>
      </c>
      <c r="D51" s="5">
        <v>1058</v>
      </c>
      <c r="E51" s="6">
        <v>0.99</v>
      </c>
      <c r="F51" s="5">
        <v>0</v>
      </c>
      <c r="G51" s="5">
        <v>64.08</v>
      </c>
      <c r="H51" s="5">
        <v>811</v>
      </c>
      <c r="I51" s="5" t="str">
        <f>HYPERLINK("https://www.ncbi.nlm.nih.gov/protein/MBL8793557.1?report=genbank&amp;log$=prottop&amp;blast_rank=141&amp;RID=7U875CNM013","MBL8793557.1")</f>
        <v>MBL8793557.1</v>
      </c>
      <c r="J51" s="5" t="s">
        <v>2206</v>
      </c>
    </row>
    <row r="52" spans="1:10" s="7" customFormat="1" x14ac:dyDescent="0.2">
      <c r="A52" s="5" t="s">
        <v>2279</v>
      </c>
      <c r="B52" s="5" t="s">
        <v>2280</v>
      </c>
      <c r="C52" s="5">
        <v>1066</v>
      </c>
      <c r="D52" s="5">
        <v>1066</v>
      </c>
      <c r="E52" s="6">
        <v>0.98</v>
      </c>
      <c r="F52" s="5">
        <v>0</v>
      </c>
      <c r="G52" s="5">
        <v>64.08</v>
      </c>
      <c r="H52" s="5">
        <v>793</v>
      </c>
      <c r="I52" s="5" t="str">
        <f>HYPERLINK("https://www.ncbi.nlm.nih.gov/protein/WP_146579458.1?report=genbank&amp;log$=prottop&amp;blast_rank=145&amp;RID=7U875CNM013","WP_146579458.1")</f>
        <v>WP_146579458.1</v>
      </c>
      <c r="J52" s="5" t="s">
        <v>2206</v>
      </c>
    </row>
    <row r="53" spans="1:10" s="7" customFormat="1" x14ac:dyDescent="0.2">
      <c r="A53" s="5" t="s">
        <v>2281</v>
      </c>
      <c r="B53" s="5" t="s">
        <v>2282</v>
      </c>
      <c r="C53" s="5">
        <v>1041</v>
      </c>
      <c r="D53" s="5">
        <v>1041</v>
      </c>
      <c r="E53" s="6">
        <v>0.97</v>
      </c>
      <c r="F53" s="5">
        <v>0</v>
      </c>
      <c r="G53" s="5">
        <v>64.05</v>
      </c>
      <c r="H53" s="5">
        <v>774</v>
      </c>
      <c r="I53" s="5" t="str">
        <f>HYPERLINK("https://www.ncbi.nlm.nih.gov/protein/EMI24714.1?report=genbank&amp;log$=prottop&amp;blast_rank=195&amp;RID=7U875CNM013","EMI24714.1")</f>
        <v>EMI24714.1</v>
      </c>
      <c r="J53" s="5" t="s">
        <v>2206</v>
      </c>
    </row>
    <row r="54" spans="1:10" s="7" customFormat="1" x14ac:dyDescent="0.2">
      <c r="A54" s="5" t="s">
        <v>2230</v>
      </c>
      <c r="B54" s="5" t="s">
        <v>2231</v>
      </c>
      <c r="C54" s="5">
        <v>1033</v>
      </c>
      <c r="D54" s="5">
        <v>1033</v>
      </c>
      <c r="E54" s="6">
        <v>0.97</v>
      </c>
      <c r="F54" s="5">
        <v>0</v>
      </c>
      <c r="G54" s="5">
        <v>64.05</v>
      </c>
      <c r="H54" s="5">
        <v>801</v>
      </c>
      <c r="I54" s="5" t="str">
        <f>HYPERLINK("https://www.ncbi.nlm.nih.gov/protein/WP_162671173.1?report=genbank&amp;log$=prottop&amp;blast_rank=198&amp;RID=7U875CNM013","WP_162671173.1")</f>
        <v>WP_162671173.1</v>
      </c>
      <c r="J54" s="5" t="s">
        <v>2206</v>
      </c>
    </row>
    <row r="55" spans="1:10" s="7" customFormat="1" x14ac:dyDescent="0.2">
      <c r="A55" s="5" t="s">
        <v>2283</v>
      </c>
      <c r="B55" s="5" t="s">
        <v>2284</v>
      </c>
      <c r="C55" s="5">
        <v>1055</v>
      </c>
      <c r="D55" s="5">
        <v>1055</v>
      </c>
      <c r="E55" s="6">
        <v>0.98</v>
      </c>
      <c r="F55" s="5">
        <v>0</v>
      </c>
      <c r="G55" s="5">
        <v>63.9</v>
      </c>
      <c r="H55" s="5">
        <v>812</v>
      </c>
      <c r="I55" s="5" t="str">
        <f>HYPERLINK("https://www.ncbi.nlm.nih.gov/protein/WP_084427457.1?report=genbank&amp;log$=prottop&amp;blast_rank=136&amp;RID=7U875CNM013","WP_084427457.1")</f>
        <v>WP_084427457.1</v>
      </c>
      <c r="J55" s="5" t="s">
        <v>2206</v>
      </c>
    </row>
    <row r="56" spans="1:10" s="7" customFormat="1" x14ac:dyDescent="0.2">
      <c r="A56" s="5" t="s">
        <v>2285</v>
      </c>
      <c r="B56" s="5" t="s">
        <v>2286</v>
      </c>
      <c r="C56" s="5">
        <v>1052</v>
      </c>
      <c r="D56" s="5">
        <v>1052</v>
      </c>
      <c r="E56" s="6">
        <v>0.98</v>
      </c>
      <c r="F56" s="5">
        <v>0</v>
      </c>
      <c r="G56" s="5">
        <v>63.78</v>
      </c>
      <c r="H56" s="5">
        <v>792</v>
      </c>
      <c r="I56" s="5" t="str">
        <f>HYPERLINK("https://www.ncbi.nlm.nih.gov/protein/WP_039961934.1?report=genbank&amp;log$=prottop&amp;blast_rank=95&amp;RID=7U875CNM013","WP_039961934.1")</f>
        <v>WP_039961934.1</v>
      </c>
      <c r="J56" s="5" t="s">
        <v>2206</v>
      </c>
    </row>
    <row r="57" spans="1:10" s="7" customFormat="1" x14ac:dyDescent="0.2">
      <c r="A57" s="5" t="s">
        <v>2287</v>
      </c>
      <c r="B57" s="5" t="s">
        <v>2288</v>
      </c>
      <c r="C57" s="5">
        <v>1059</v>
      </c>
      <c r="D57" s="5">
        <v>1059</v>
      </c>
      <c r="E57" s="6">
        <v>0.99</v>
      </c>
      <c r="F57" s="5">
        <v>0</v>
      </c>
      <c r="G57" s="5">
        <v>63.76</v>
      </c>
      <c r="H57" s="5">
        <v>803</v>
      </c>
      <c r="I57" s="5" t="str">
        <f>HYPERLINK("https://www.ncbi.nlm.nih.gov/protein/QDT57053.1?report=genbank&amp;log$=prottop&amp;blast_rank=112&amp;RID=7U875CNM013","QDT57053.1")</f>
        <v>QDT57053.1</v>
      </c>
      <c r="J57" s="5" t="s">
        <v>2206</v>
      </c>
    </row>
    <row r="58" spans="1:10" s="7" customFormat="1" x14ac:dyDescent="0.2">
      <c r="A58" s="5" t="s">
        <v>2292</v>
      </c>
      <c r="B58" s="5" t="s">
        <v>2288</v>
      </c>
      <c r="C58" s="5">
        <v>1060</v>
      </c>
      <c r="D58" s="5">
        <v>1060</v>
      </c>
      <c r="E58" s="6">
        <v>0.99</v>
      </c>
      <c r="F58" s="5">
        <v>0</v>
      </c>
      <c r="G58" s="5">
        <v>63.73</v>
      </c>
      <c r="H58" s="5">
        <v>814</v>
      </c>
      <c r="I58" s="5" t="str">
        <f>HYPERLINK("https://www.ncbi.nlm.nih.gov/protein/WP_145034445.1?report=genbank&amp;log$=prottop&amp;blast_rank=150&amp;RID=7U875CNM013","WP_145034445.1")</f>
        <v>WP_145034445.1</v>
      </c>
      <c r="J58" s="5" t="s">
        <v>2206</v>
      </c>
    </row>
    <row r="59" spans="1:10" s="7" customFormat="1" x14ac:dyDescent="0.2">
      <c r="A59" s="5" t="s">
        <v>2295</v>
      </c>
      <c r="B59" s="5" t="s">
        <v>2296</v>
      </c>
      <c r="C59" s="5">
        <v>1043</v>
      </c>
      <c r="D59" s="5">
        <v>1043</v>
      </c>
      <c r="E59" s="6">
        <v>0.98</v>
      </c>
      <c r="F59" s="5">
        <v>0</v>
      </c>
      <c r="G59" s="5">
        <v>63.53</v>
      </c>
      <c r="H59" s="5">
        <v>789</v>
      </c>
      <c r="I59" s="5" t="str">
        <f>HYPERLINK("https://www.ncbi.nlm.nih.gov/protein/NNM87037.1?report=genbank&amp;log$=prottop&amp;blast_rank=135&amp;RID=7U875CNM013","NNM87037.1")</f>
        <v>NNM87037.1</v>
      </c>
      <c r="J59" s="5" t="s">
        <v>2291</v>
      </c>
    </row>
    <row r="60" spans="1:10" s="7" customFormat="1" x14ac:dyDescent="0.2">
      <c r="A60" s="5" t="s">
        <v>2297</v>
      </c>
      <c r="B60" s="5" t="s">
        <v>2298</v>
      </c>
      <c r="C60" s="5">
        <v>1060</v>
      </c>
      <c r="D60" s="5">
        <v>1060</v>
      </c>
      <c r="E60" s="6">
        <v>0.99</v>
      </c>
      <c r="F60" s="5">
        <v>0</v>
      </c>
      <c r="G60" s="5">
        <v>63.51</v>
      </c>
      <c r="H60" s="5">
        <v>821</v>
      </c>
      <c r="I60" s="5" t="str">
        <f>HYPERLINK("https://www.ncbi.nlm.nih.gov/protein/WP_010582110.1?report=genbank&amp;log$=prottop&amp;blast_rank=177&amp;RID=7U875CNM013","WP_010582110.1")</f>
        <v>WP_010582110.1</v>
      </c>
      <c r="J60" s="5" t="s">
        <v>2206</v>
      </c>
    </row>
    <row r="61" spans="1:10" s="7" customFormat="1" ht="15" customHeight="1" x14ac:dyDescent="0.2">
      <c r="A61" s="5" t="s">
        <v>2299</v>
      </c>
      <c r="B61" s="5" t="s">
        <v>2300</v>
      </c>
      <c r="C61" s="5">
        <v>1055</v>
      </c>
      <c r="D61" s="5">
        <v>1055</v>
      </c>
      <c r="E61" s="6">
        <v>0.99</v>
      </c>
      <c r="F61" s="5">
        <v>0</v>
      </c>
      <c r="G61" s="5">
        <v>63.49</v>
      </c>
      <c r="H61" s="5">
        <v>795</v>
      </c>
      <c r="I61" s="5" t="str">
        <f>HYPERLINK("https://www.ncbi.nlm.nih.gov/protein/WP_145058576.1?report=genbank&amp;log$=prottop&amp;blast_rank=196&amp;RID=7U875CNM013","WP_145058576.1")</f>
        <v>WP_145058576.1</v>
      </c>
      <c r="J61" s="5" t="s">
        <v>2206</v>
      </c>
    </row>
    <row r="62" spans="1:10" s="7" customFormat="1" x14ac:dyDescent="0.2">
      <c r="A62" s="5" t="s">
        <v>2301</v>
      </c>
      <c r="B62" s="5" t="s">
        <v>2302</v>
      </c>
      <c r="C62" s="5">
        <v>1059</v>
      </c>
      <c r="D62" s="5">
        <v>1059</v>
      </c>
      <c r="E62" s="6">
        <v>0.98</v>
      </c>
      <c r="F62" s="5">
        <v>0</v>
      </c>
      <c r="G62" s="5">
        <v>63.41</v>
      </c>
      <c r="H62" s="5">
        <v>789</v>
      </c>
      <c r="I62" s="5" t="str">
        <f>HYPERLINK("https://www.ncbi.nlm.nih.gov/protein/WP_155366743.1?report=genbank&amp;log$=prottop&amp;blast_rank=55&amp;RID=7U875CNM013","WP_155366743.1")</f>
        <v>WP_155366743.1</v>
      </c>
      <c r="J62" s="5" t="s">
        <v>2206</v>
      </c>
    </row>
    <row r="63" spans="1:10" s="7" customFormat="1" x14ac:dyDescent="0.2">
      <c r="A63" s="5" t="s">
        <v>2204</v>
      </c>
      <c r="B63" s="5" t="s">
        <v>2205</v>
      </c>
      <c r="C63" s="5">
        <v>1039</v>
      </c>
      <c r="D63" s="5">
        <v>1039</v>
      </c>
      <c r="E63" s="6">
        <v>0.97</v>
      </c>
      <c r="F63" s="5">
        <v>0</v>
      </c>
      <c r="G63" s="5">
        <v>63.4</v>
      </c>
      <c r="H63" s="5">
        <v>783</v>
      </c>
      <c r="I63" s="5" t="str">
        <f>HYPERLINK("https://www.ncbi.nlm.nih.gov/protein/NQU74862.1?report=genbank&amp;log$=prottop&amp;blast_rank=64&amp;RID=7U875CNM013","NQU74862.1")</f>
        <v>NQU74862.1</v>
      </c>
      <c r="J63" s="5" t="s">
        <v>2206</v>
      </c>
    </row>
    <row r="64" spans="1:10" s="7" customFormat="1" x14ac:dyDescent="0.2">
      <c r="A64" s="5" t="s">
        <v>2303</v>
      </c>
      <c r="B64" s="5" t="s">
        <v>2304</v>
      </c>
      <c r="C64" s="5">
        <v>1050</v>
      </c>
      <c r="D64" s="5">
        <v>1050</v>
      </c>
      <c r="E64" s="6">
        <v>0.99</v>
      </c>
      <c r="F64" s="5">
        <v>0</v>
      </c>
      <c r="G64" s="5">
        <v>63.35</v>
      </c>
      <c r="H64" s="5">
        <v>791</v>
      </c>
      <c r="I64" s="5" t="str">
        <f>HYPERLINK("https://www.ncbi.nlm.nih.gov/protein/WP_146595781.1?report=genbank&amp;log$=prottop&amp;blast_rank=115&amp;RID=7U875CNM013","WP_146595781.1")</f>
        <v>WP_146595781.1</v>
      </c>
      <c r="J64" s="5" t="s">
        <v>2206</v>
      </c>
    </row>
    <row r="65" spans="1:10" s="7" customFormat="1" x14ac:dyDescent="0.2">
      <c r="A65" s="5" t="s">
        <v>2305</v>
      </c>
      <c r="B65" s="5" t="s">
        <v>2306</v>
      </c>
      <c r="C65" s="5">
        <v>1058</v>
      </c>
      <c r="D65" s="5">
        <v>1058</v>
      </c>
      <c r="E65" s="6">
        <v>0.98</v>
      </c>
      <c r="F65" s="5">
        <v>0</v>
      </c>
      <c r="G65" s="5">
        <v>63.31</v>
      </c>
      <c r="H65" s="5">
        <v>792</v>
      </c>
      <c r="I65" s="5" t="str">
        <f>HYPERLINK("https://www.ncbi.nlm.nih.gov/protein/QDT02146.1?report=genbank&amp;log$=prottop&amp;blast_rank=140&amp;RID=7U875CNM013","QDT02146.1")</f>
        <v>QDT02146.1</v>
      </c>
      <c r="J65" s="5" t="s">
        <v>2206</v>
      </c>
    </row>
    <row r="66" spans="1:10" s="7" customFormat="1" x14ac:dyDescent="0.2">
      <c r="A66" s="5" t="s">
        <v>2307</v>
      </c>
      <c r="B66" s="5" t="s">
        <v>2242</v>
      </c>
      <c r="C66" s="5">
        <v>1056</v>
      </c>
      <c r="D66" s="5">
        <v>1056</v>
      </c>
      <c r="E66" s="6">
        <v>0.98</v>
      </c>
      <c r="F66" s="5">
        <v>0</v>
      </c>
      <c r="G66" s="5">
        <v>63.28</v>
      </c>
      <c r="H66" s="5">
        <v>789</v>
      </c>
      <c r="I66" s="5" t="str">
        <f>HYPERLINK("https://www.ncbi.nlm.nih.gov/protein/HAW32129.1?report=genbank&amp;log$=prottop&amp;blast_rank=188&amp;RID=7U875CNM013","HAW32129.1")</f>
        <v>HAW32129.1</v>
      </c>
      <c r="J66" s="5" t="s">
        <v>2206</v>
      </c>
    </row>
    <row r="67" spans="1:10" s="7" customFormat="1" x14ac:dyDescent="0.2">
      <c r="A67" s="5" t="s">
        <v>2308</v>
      </c>
      <c r="B67" s="5" t="s">
        <v>2309</v>
      </c>
      <c r="C67" s="5">
        <v>1049</v>
      </c>
      <c r="D67" s="5">
        <v>1049</v>
      </c>
      <c r="E67" s="6">
        <v>0.98</v>
      </c>
      <c r="F67" s="5">
        <v>0</v>
      </c>
      <c r="G67" s="5">
        <v>63.18</v>
      </c>
      <c r="H67" s="5">
        <v>789</v>
      </c>
      <c r="I67" s="5" t="str">
        <f>HYPERLINK("https://www.ncbi.nlm.nih.gov/protein/WP_145305528.1?report=genbank&amp;log$=prottop&amp;blast_rank=58&amp;RID=7U875CNM013","WP_145305528.1")</f>
        <v>WP_145305528.1</v>
      </c>
      <c r="J67" s="5" t="s">
        <v>2206</v>
      </c>
    </row>
    <row r="68" spans="1:10" s="7" customFormat="1" x14ac:dyDescent="0.2">
      <c r="A68" s="5" t="s">
        <v>2310</v>
      </c>
      <c r="B68" s="5" t="s">
        <v>2311</v>
      </c>
      <c r="C68" s="5">
        <v>1041</v>
      </c>
      <c r="D68" s="5">
        <v>1041</v>
      </c>
      <c r="E68" s="6">
        <v>0.98</v>
      </c>
      <c r="F68" s="5">
        <v>0</v>
      </c>
      <c r="G68" s="5">
        <v>63.18</v>
      </c>
      <c r="H68" s="5">
        <v>793</v>
      </c>
      <c r="I68" s="5" t="str">
        <f>HYPERLINK("https://www.ncbi.nlm.nih.gov/protein/WP_009099662.1?report=genbank&amp;log$=prottop&amp;blast_rank=61&amp;RID=7U875CNM013","WP_009099662.1")</f>
        <v>WP_009099662.1</v>
      </c>
      <c r="J68" s="5" t="s">
        <v>2206</v>
      </c>
    </row>
    <row r="69" spans="1:10" s="7" customFormat="1" x14ac:dyDescent="0.2">
      <c r="A69" s="5" t="s">
        <v>2218</v>
      </c>
      <c r="B69" s="5" t="s">
        <v>2219</v>
      </c>
      <c r="C69" s="5">
        <v>1030</v>
      </c>
      <c r="D69" s="5">
        <v>1030</v>
      </c>
      <c r="E69" s="6">
        <v>0.98</v>
      </c>
      <c r="F69" s="5">
        <v>0</v>
      </c>
      <c r="G69" s="5">
        <v>63.14</v>
      </c>
      <c r="H69" s="5">
        <v>784</v>
      </c>
      <c r="I69" s="5" t="str">
        <f>HYPERLINK("https://www.ncbi.nlm.nih.gov/protein/MBL8866920.1?report=genbank&amp;log$=prottop&amp;blast_rank=122&amp;RID=7U875CNM013","MBL8866920.1")</f>
        <v>MBL8866920.1</v>
      </c>
      <c r="J69" s="5" t="s">
        <v>2206</v>
      </c>
    </row>
    <row r="70" spans="1:10" s="7" customFormat="1" x14ac:dyDescent="0.2">
      <c r="A70" s="5" t="s">
        <v>2312</v>
      </c>
      <c r="B70" s="5" t="s">
        <v>2313</v>
      </c>
      <c r="C70" s="5">
        <v>1051</v>
      </c>
      <c r="D70" s="5">
        <v>1051</v>
      </c>
      <c r="E70" s="6">
        <v>0.99</v>
      </c>
      <c r="F70" s="5">
        <v>0</v>
      </c>
      <c r="G70" s="5">
        <v>63.13</v>
      </c>
      <c r="H70" s="5">
        <v>814</v>
      </c>
      <c r="I70" s="5" t="str">
        <f>HYPERLINK("https://www.ncbi.nlm.nih.gov/protein/OAI53278.1?report=genbank&amp;log$=prottop&amp;blast_rank=127&amp;RID=7U875CNM013","OAI53278.1")</f>
        <v>OAI53278.1</v>
      </c>
      <c r="J70" s="5" t="s">
        <v>2206</v>
      </c>
    </row>
    <row r="71" spans="1:10" s="7" customFormat="1" x14ac:dyDescent="0.2">
      <c r="A71" s="5" t="s">
        <v>2295</v>
      </c>
      <c r="B71" s="5" t="s">
        <v>2296</v>
      </c>
      <c r="C71" s="5">
        <v>1043</v>
      </c>
      <c r="D71" s="5">
        <v>1043</v>
      </c>
      <c r="E71" s="6">
        <v>0.98</v>
      </c>
      <c r="F71" s="5">
        <v>0</v>
      </c>
      <c r="G71" s="5">
        <v>63.1</v>
      </c>
      <c r="H71" s="5">
        <v>799</v>
      </c>
      <c r="I71" s="5" t="str">
        <f>HYPERLINK("https://www.ncbi.nlm.nih.gov/protein/NLE29353.1?report=genbank&amp;log$=prottop&amp;blast_rank=156&amp;RID=7U875CNM013","NLE29353.1")</f>
        <v>NLE29353.1</v>
      </c>
      <c r="J71" s="5" t="s">
        <v>2206</v>
      </c>
    </row>
    <row r="72" spans="1:10" s="7" customFormat="1" x14ac:dyDescent="0.2">
      <c r="A72" s="5" t="s">
        <v>2314</v>
      </c>
      <c r="B72" s="5" t="s">
        <v>2315</v>
      </c>
      <c r="C72" s="5">
        <v>1037</v>
      </c>
      <c r="D72" s="5">
        <v>1037</v>
      </c>
      <c r="E72" s="6">
        <v>0.98</v>
      </c>
      <c r="F72" s="5">
        <v>0</v>
      </c>
      <c r="G72" s="5">
        <v>63.07</v>
      </c>
      <c r="H72" s="5">
        <v>819</v>
      </c>
      <c r="I72" s="5" t="str">
        <f>HYPERLINK("https://www.ncbi.nlm.nih.gov/protein/EMI58258.1?report=genbank&amp;log$=prottop&amp;blast_rank=18&amp;RID=7U875CNM013","EMI58258.1")</f>
        <v>EMI58258.1</v>
      </c>
      <c r="J72" s="5" t="s">
        <v>2206</v>
      </c>
    </row>
    <row r="73" spans="1:10" s="7" customFormat="1" x14ac:dyDescent="0.2">
      <c r="A73" s="5" t="s">
        <v>2316</v>
      </c>
      <c r="B73" s="5" t="s">
        <v>2317</v>
      </c>
      <c r="C73" s="5">
        <v>1037</v>
      </c>
      <c r="D73" s="5">
        <v>1037</v>
      </c>
      <c r="E73" s="6">
        <v>0.98</v>
      </c>
      <c r="F73" s="5">
        <v>0</v>
      </c>
      <c r="G73" s="5">
        <v>63.07</v>
      </c>
      <c r="H73" s="5">
        <v>793</v>
      </c>
      <c r="I73" s="5" t="str">
        <f>HYPERLINK("https://www.ncbi.nlm.nih.gov/protein/WP_044300504.1?report=genbank&amp;log$=prottop&amp;blast_rank=19&amp;RID=7U875CNM013","WP_044300504.1")</f>
        <v>WP_044300504.1</v>
      </c>
      <c r="J73" s="5" t="s">
        <v>2206</v>
      </c>
    </row>
    <row r="74" spans="1:10" s="7" customFormat="1" x14ac:dyDescent="0.2">
      <c r="A74" s="5" t="s">
        <v>2318</v>
      </c>
      <c r="B74" s="5" t="s">
        <v>2319</v>
      </c>
      <c r="C74" s="5">
        <v>1045</v>
      </c>
      <c r="D74" s="5">
        <v>1045</v>
      </c>
      <c r="E74" s="6">
        <v>0.98</v>
      </c>
      <c r="F74" s="5">
        <v>0</v>
      </c>
      <c r="G74" s="5">
        <v>63.01</v>
      </c>
      <c r="H74" s="5">
        <v>789</v>
      </c>
      <c r="I74" s="5" t="str">
        <f>HYPERLINK("https://www.ncbi.nlm.nih.gov/protein/WP_145177998.1?report=genbank&amp;log$=prottop&amp;blast_rank=106&amp;RID=7U875CNM013","WP_145177998.1")</f>
        <v>WP_145177998.1</v>
      </c>
      <c r="J74" s="5" t="s">
        <v>2206</v>
      </c>
    </row>
    <row r="75" spans="1:10" s="7" customFormat="1" x14ac:dyDescent="0.2">
      <c r="A75" s="5" t="s">
        <v>2320</v>
      </c>
      <c r="B75" s="5" t="s">
        <v>2321</v>
      </c>
      <c r="C75" s="5">
        <v>1048</v>
      </c>
      <c r="D75" s="5">
        <v>1048</v>
      </c>
      <c r="E75" s="6">
        <v>0.99</v>
      </c>
      <c r="F75" s="5">
        <v>0</v>
      </c>
      <c r="G75" s="5">
        <v>62.96</v>
      </c>
      <c r="H75" s="5">
        <v>819</v>
      </c>
      <c r="I75" s="5" t="str">
        <f>HYPERLINK("https://www.ncbi.nlm.nih.gov/protein/WP_153556864.1?report=genbank&amp;log$=prottop&amp;blast_rank=168&amp;RID=7U875CNM013","WP_153556864.1")</f>
        <v>WP_153556864.1</v>
      </c>
      <c r="J75" s="5" t="s">
        <v>2206</v>
      </c>
    </row>
    <row r="76" spans="1:10" s="7" customFormat="1" x14ac:dyDescent="0.2">
      <c r="A76" s="5" t="s">
        <v>2322</v>
      </c>
      <c r="B76" s="5" t="s">
        <v>2323</v>
      </c>
      <c r="C76" s="5">
        <v>1049</v>
      </c>
      <c r="D76" s="5">
        <v>1049</v>
      </c>
      <c r="E76" s="6">
        <v>0.97</v>
      </c>
      <c r="F76" s="5">
        <v>0</v>
      </c>
      <c r="G76" s="5">
        <v>62.87</v>
      </c>
      <c r="H76" s="5">
        <v>791</v>
      </c>
      <c r="I76" s="5" t="str">
        <f>HYPERLINK("https://www.ncbi.nlm.nih.gov/protein/WP_149345411.1?report=genbank&amp;log$=prottop&amp;blast_rank=34&amp;RID=7U875CNM013","WP_149345411.1")</f>
        <v>WP_149345411.1</v>
      </c>
      <c r="J76" s="5" t="s">
        <v>2291</v>
      </c>
    </row>
    <row r="77" spans="1:10" s="7" customFormat="1" x14ac:dyDescent="0.2">
      <c r="A77" s="5" t="s">
        <v>2204</v>
      </c>
      <c r="B77" s="5" t="s">
        <v>2205</v>
      </c>
      <c r="C77" s="5">
        <v>1040</v>
      </c>
      <c r="D77" s="5">
        <v>1040</v>
      </c>
      <c r="E77" s="6">
        <v>0.98</v>
      </c>
      <c r="F77" s="5">
        <v>0</v>
      </c>
      <c r="G77" s="5">
        <v>62.8</v>
      </c>
      <c r="H77" s="5">
        <v>789</v>
      </c>
      <c r="I77" s="5" t="str">
        <f>HYPERLINK("https://www.ncbi.nlm.nih.gov/protein/MBN8598451.1?report=genbank&amp;log$=prottop&amp;blast_rank=89&amp;RID=7U875CNM013","MBN8598451.1")</f>
        <v>MBN8598451.1</v>
      </c>
      <c r="J77" s="5" t="s">
        <v>2291</v>
      </c>
    </row>
    <row r="78" spans="1:10" s="7" customFormat="1" x14ac:dyDescent="0.2">
      <c r="A78" s="5" t="s">
        <v>2324</v>
      </c>
      <c r="B78" s="5" t="s">
        <v>2325</v>
      </c>
      <c r="C78" s="5">
        <v>1045</v>
      </c>
      <c r="D78" s="5">
        <v>1045</v>
      </c>
      <c r="E78" s="6">
        <v>0.98</v>
      </c>
      <c r="F78" s="5">
        <v>0</v>
      </c>
      <c r="G78" s="5">
        <v>62.77</v>
      </c>
      <c r="H78" s="5">
        <v>788</v>
      </c>
      <c r="I78" s="5" t="str">
        <f>HYPERLINK("https://www.ncbi.nlm.nih.gov/protein/MBL8887104.1?report=genbank&amp;log$=prottop&amp;blast_rank=111&amp;RID=7U875CNM013","MBL8887104.1")</f>
        <v>MBL8887104.1</v>
      </c>
      <c r="J78" s="5" t="s">
        <v>2206</v>
      </c>
    </row>
    <row r="79" spans="1:10" s="7" customFormat="1" x14ac:dyDescent="0.2">
      <c r="A79" s="5" t="s">
        <v>2326</v>
      </c>
      <c r="B79" s="5" t="s">
        <v>2327</v>
      </c>
      <c r="C79" s="5">
        <v>1042</v>
      </c>
      <c r="D79" s="5">
        <v>1042</v>
      </c>
      <c r="E79" s="6">
        <v>0.98</v>
      </c>
      <c r="F79" s="5">
        <v>0</v>
      </c>
      <c r="G79" s="5">
        <v>62.77</v>
      </c>
      <c r="H79" s="5">
        <v>810</v>
      </c>
      <c r="I79" s="5" t="str">
        <f>HYPERLINK("https://www.ncbi.nlm.nih.gov/protein/RPG07812.1?report=genbank&amp;log$=prottop&amp;blast_rank=112&amp;RID=7U875CNM013","RPG07812.1")</f>
        <v>RPG07812.1</v>
      </c>
      <c r="J79" s="5" t="s">
        <v>2206</v>
      </c>
    </row>
    <row r="80" spans="1:10" s="7" customFormat="1" x14ac:dyDescent="0.2">
      <c r="A80" s="5" t="s">
        <v>2328</v>
      </c>
      <c r="B80" s="5" t="s">
        <v>2329</v>
      </c>
      <c r="C80" s="5">
        <v>1043</v>
      </c>
      <c r="D80" s="5">
        <v>1043</v>
      </c>
      <c r="E80" s="6">
        <v>0.98</v>
      </c>
      <c r="F80" s="5">
        <v>0</v>
      </c>
      <c r="G80" s="5">
        <v>62.76</v>
      </c>
      <c r="H80" s="5">
        <v>807</v>
      </c>
      <c r="I80" s="5" t="str">
        <f>HYPERLINK("https://www.ncbi.nlm.nih.gov/protein/WP_084417126.1?report=genbank&amp;log$=prottop&amp;blast_rank=137&amp;RID=7U875CNM013","WP_084417126.1")</f>
        <v>WP_084417126.1</v>
      </c>
      <c r="J80" s="5" t="s">
        <v>2206</v>
      </c>
    </row>
    <row r="81" spans="1:10" s="7" customFormat="1" x14ac:dyDescent="0.2">
      <c r="A81" s="5" t="s">
        <v>2318</v>
      </c>
      <c r="B81" s="5" t="s">
        <v>2319</v>
      </c>
      <c r="C81" s="5">
        <v>1042</v>
      </c>
      <c r="D81" s="5">
        <v>1042</v>
      </c>
      <c r="E81" s="6">
        <v>0.98</v>
      </c>
      <c r="F81" s="5">
        <v>0</v>
      </c>
      <c r="G81" s="5">
        <v>62.76</v>
      </c>
      <c r="H81" s="5">
        <v>789</v>
      </c>
      <c r="I81" s="5" t="str">
        <f>HYPERLINK("https://www.ncbi.nlm.nih.gov/protein/WP_144985213.1?report=genbank&amp;log$=prottop&amp;blast_rank=138&amp;RID=7U875CNM013","WP_144985213.1")</f>
        <v>WP_144985213.1</v>
      </c>
      <c r="J81" s="5" t="s">
        <v>2206</v>
      </c>
    </row>
    <row r="82" spans="1:10" x14ac:dyDescent="0.2">
      <c r="A82" s="5" t="s">
        <v>2322</v>
      </c>
      <c r="B82" s="5" t="s">
        <v>2323</v>
      </c>
      <c r="C82" s="5">
        <v>1052</v>
      </c>
      <c r="D82" s="5">
        <v>1052</v>
      </c>
      <c r="E82" s="6">
        <v>0.98</v>
      </c>
      <c r="F82" s="5">
        <v>0</v>
      </c>
      <c r="G82" s="5">
        <v>62.68</v>
      </c>
      <c r="H82" s="5">
        <v>789</v>
      </c>
      <c r="I82" s="5" t="str">
        <f>HYPERLINK("https://www.ncbi.nlm.nih.gov/protein/WP_145187120.1?report=genbank&amp;log$=prottop&amp;blast_rank=1&amp;RID=7U875CNM013","WP_145187120.1")</f>
        <v>WP_145187120.1</v>
      </c>
      <c r="J82" s="5" t="s">
        <v>2206</v>
      </c>
    </row>
    <row r="83" spans="1:10" x14ac:dyDescent="0.2">
      <c r="A83" s="5" t="s">
        <v>2330</v>
      </c>
      <c r="B83" s="5" t="s">
        <v>2205</v>
      </c>
      <c r="C83" s="5">
        <v>1040</v>
      </c>
      <c r="D83" s="5">
        <v>1040</v>
      </c>
      <c r="E83" s="6">
        <v>0.98</v>
      </c>
      <c r="F83" s="5">
        <v>0</v>
      </c>
      <c r="G83" s="5">
        <v>62.55</v>
      </c>
      <c r="H83" s="5">
        <v>791</v>
      </c>
      <c r="I83" s="5" t="str">
        <f>HYPERLINK("https://www.ncbi.nlm.nih.gov/protein/MBI1370113.1?report=genbank&amp;log$=prottop&amp;blast_rank=141&amp;RID=7U875CNM013","MBI1370113.1")</f>
        <v>MBI1370113.1</v>
      </c>
      <c r="J83" s="5" t="s">
        <v>2206</v>
      </c>
    </row>
    <row r="84" spans="1:10" x14ac:dyDescent="0.2">
      <c r="A84" s="5" t="s">
        <v>2331</v>
      </c>
      <c r="B84" s="5" t="s">
        <v>2242</v>
      </c>
      <c r="C84" s="5">
        <v>1027</v>
      </c>
      <c r="D84" s="5">
        <v>1027</v>
      </c>
      <c r="E84" s="6">
        <v>0.98</v>
      </c>
      <c r="F84" s="5">
        <v>0</v>
      </c>
      <c r="G84" s="5">
        <v>62.42</v>
      </c>
      <c r="H84" s="5">
        <v>801</v>
      </c>
      <c r="I84" s="5" t="str">
        <f>HYPERLINK("https://www.ncbi.nlm.nih.gov/protein/MBL8854290.1?report=genbank&amp;log$=prottop&amp;blast_rank=61&amp;RID=7U875CNM013","MBL8854290.1")</f>
        <v>MBL8854290.1</v>
      </c>
      <c r="J84" s="5" t="s">
        <v>2332</v>
      </c>
    </row>
    <row r="85" spans="1:10" x14ac:dyDescent="0.2">
      <c r="A85" s="5" t="s">
        <v>2204</v>
      </c>
      <c r="B85" s="5" t="s">
        <v>2205</v>
      </c>
      <c r="C85" s="5">
        <v>1039</v>
      </c>
      <c r="D85" s="5">
        <v>1039</v>
      </c>
      <c r="E85" s="6">
        <v>0.99</v>
      </c>
      <c r="F85" s="5">
        <v>0</v>
      </c>
      <c r="G85" s="5">
        <v>62.39</v>
      </c>
      <c r="H85" s="5">
        <v>816</v>
      </c>
      <c r="I85" s="5" t="str">
        <f>HYPERLINK("https://www.ncbi.nlm.nih.gov/protein/MBI3408124.1?report=genbank&amp;log$=prottop&amp;blast_rank=69&amp;RID=7U875CNM013","MBI3408124.1")</f>
        <v>MBI3408124.1</v>
      </c>
      <c r="J85" s="5" t="s">
        <v>2332</v>
      </c>
    </row>
    <row r="86" spans="1:10" x14ac:dyDescent="0.2">
      <c r="A86" s="5" t="s">
        <v>2333</v>
      </c>
      <c r="B86" s="5" t="s">
        <v>2334</v>
      </c>
      <c r="C86" s="5">
        <v>1040</v>
      </c>
      <c r="D86" s="5">
        <v>1040</v>
      </c>
      <c r="E86" s="6">
        <v>0.99</v>
      </c>
      <c r="F86" s="5">
        <v>0</v>
      </c>
      <c r="G86" s="5">
        <v>62.31</v>
      </c>
      <c r="H86" s="5">
        <v>809</v>
      </c>
      <c r="I86" s="5" t="str">
        <f>HYPERLINK("https://www.ncbi.nlm.nih.gov/protein/WP_146508463.1?report=genbank&amp;log$=prottop&amp;blast_rank=118&amp;RID=7U875CNM013","WP_146508463.1")</f>
        <v>WP_146508463.1</v>
      </c>
      <c r="J86" s="5" t="s">
        <v>2206</v>
      </c>
    </row>
    <row r="87" spans="1:10" x14ac:dyDescent="0.2">
      <c r="A87" s="5" t="s">
        <v>2335</v>
      </c>
      <c r="B87" s="5" t="s">
        <v>2336</v>
      </c>
      <c r="C87" s="5">
        <v>1039</v>
      </c>
      <c r="D87" s="5">
        <v>1039</v>
      </c>
      <c r="E87" s="6">
        <v>0.98</v>
      </c>
      <c r="F87" s="5">
        <v>0</v>
      </c>
      <c r="G87" s="5">
        <v>62.31</v>
      </c>
      <c r="H87" s="5">
        <v>789</v>
      </c>
      <c r="I87" s="5" t="str">
        <f>HYPERLINK("https://www.ncbi.nlm.nih.gov/protein/WP_145223900.1?report=genbank&amp;log$=prottop&amp;blast_rank=120&amp;RID=7U875CNM013","WP_145223900.1")</f>
        <v>WP_145223900.1</v>
      </c>
      <c r="J87" s="5" t="s">
        <v>2206</v>
      </c>
    </row>
    <row r="88" spans="1:10" x14ac:dyDescent="0.2">
      <c r="A88" s="5" t="s">
        <v>2226</v>
      </c>
      <c r="B88" s="5" t="s">
        <v>2227</v>
      </c>
      <c r="C88" s="5">
        <v>1030</v>
      </c>
      <c r="D88" s="5">
        <v>1030</v>
      </c>
      <c r="E88" s="6">
        <v>0.98</v>
      </c>
      <c r="F88" s="5">
        <v>0</v>
      </c>
      <c r="G88" s="5">
        <v>62.17</v>
      </c>
      <c r="H88" s="5">
        <v>815</v>
      </c>
      <c r="I88" s="5" t="str">
        <f>HYPERLINK("https://www.ncbi.nlm.nih.gov/protein/WP_015245547.1?report=genbank&amp;log$=prottop&amp;blast_rank=59&amp;RID=7U875CNM013","WP_015245547.1")</f>
        <v>WP_015245547.1</v>
      </c>
      <c r="J88" s="5" t="s">
        <v>2206</v>
      </c>
    </row>
    <row r="89" spans="1:10" x14ac:dyDescent="0.2">
      <c r="A89" s="5" t="s">
        <v>2204</v>
      </c>
      <c r="B89" s="5" t="s">
        <v>2205</v>
      </c>
      <c r="C89" s="5">
        <v>1026</v>
      </c>
      <c r="D89" s="5">
        <v>1026</v>
      </c>
      <c r="E89" s="6">
        <v>0.98</v>
      </c>
      <c r="F89" s="5">
        <v>0</v>
      </c>
      <c r="G89" s="5">
        <v>61.75</v>
      </c>
      <c r="H89" s="5">
        <v>801</v>
      </c>
      <c r="I89" s="5" t="str">
        <f>HYPERLINK("https://www.ncbi.nlm.nih.gov/protein/MBE3096553.1?report=genbank&amp;log$=prottop&amp;blast_rank=143&amp;RID=7U875CNM013","MBE3096553.1")</f>
        <v>MBE3096553.1</v>
      </c>
      <c r="J89" s="5" t="s">
        <v>2332</v>
      </c>
    </row>
    <row r="90" spans="1:10" s="11" customFormat="1" x14ac:dyDescent="0.2">
      <c r="A90" s="5" t="s">
        <v>2337</v>
      </c>
      <c r="B90" s="1" t="s">
        <v>2338</v>
      </c>
      <c r="C90" s="1">
        <v>1038</v>
      </c>
      <c r="D90" s="1">
        <v>1038</v>
      </c>
      <c r="E90" s="2">
        <v>0.99</v>
      </c>
      <c r="F90" s="1">
        <v>0</v>
      </c>
      <c r="G90" s="1">
        <v>61.59</v>
      </c>
      <c r="H90" s="1">
        <v>794</v>
      </c>
      <c r="I90" s="1" t="str">
        <f>HYPERLINK("https://www.ncbi.nlm.nih.gov/protein/QDS93972.1?report=genbank&amp;log$=prottop&amp;blast_rank=2&amp;RID=7U875CNM013","QDS93972.1")</f>
        <v>QDS93972.1</v>
      </c>
      <c r="J90" s="5" t="s">
        <v>2332</v>
      </c>
    </row>
    <row r="91" spans="1:10" s="11" customFormat="1" x14ac:dyDescent="0.2">
      <c r="A91" s="5" t="s">
        <v>2339</v>
      </c>
      <c r="B91" s="5" t="s">
        <v>2340</v>
      </c>
      <c r="C91" s="5">
        <v>1029</v>
      </c>
      <c r="D91" s="5">
        <v>1029</v>
      </c>
      <c r="E91" s="6">
        <v>0.98</v>
      </c>
      <c r="F91" s="5">
        <v>0</v>
      </c>
      <c r="G91" s="5">
        <v>61.53</v>
      </c>
      <c r="H91" s="5">
        <v>792</v>
      </c>
      <c r="I91" s="5" t="str">
        <f>HYPERLINK("https://www.ncbi.nlm.nih.gov/protein/WP_146514790.1?report=genbank&amp;log$=prottop&amp;blast_rank=23&amp;RID=7U875CNM013","WP_146514790.1")</f>
        <v>WP_146514790.1</v>
      </c>
      <c r="J91" s="5" t="s">
        <v>2206</v>
      </c>
    </row>
    <row r="92" spans="1:10" s="5" customFormat="1" x14ac:dyDescent="0.2">
      <c r="A92" s="5" t="s">
        <v>2341</v>
      </c>
      <c r="B92" s="5" t="s">
        <v>2342</v>
      </c>
      <c r="C92" s="5">
        <v>1031</v>
      </c>
      <c r="D92" s="5">
        <v>1031</v>
      </c>
      <c r="E92" s="6">
        <v>0.99</v>
      </c>
      <c r="F92" s="5">
        <v>0</v>
      </c>
      <c r="G92" s="5">
        <v>61.31</v>
      </c>
      <c r="H92" s="5">
        <v>817</v>
      </c>
      <c r="I92" s="35" t="str">
        <f>HYPERLINK("https://www.ncbi.nlm.nih.gov/protein/WP_146374278.1?report=genbank&amp;log$=prottop&amp;blast_rank=111&amp;RID=7U875CNM013","WP_146374278.1")</f>
        <v>WP_146374278.1</v>
      </c>
      <c r="J92" s="5" t="s">
        <v>2206</v>
      </c>
    </row>
    <row r="93" spans="1:10" s="7" customFormat="1" x14ac:dyDescent="0.2">
      <c r="A93" s="5" t="s">
        <v>2335</v>
      </c>
      <c r="B93" s="5" t="s">
        <v>2336</v>
      </c>
      <c r="C93" s="5">
        <v>1043</v>
      </c>
      <c r="D93" s="5">
        <v>1043</v>
      </c>
      <c r="E93" s="6">
        <v>0.98</v>
      </c>
      <c r="F93" s="5">
        <v>0</v>
      </c>
      <c r="G93" s="5">
        <v>62.69</v>
      </c>
      <c r="H93" s="5">
        <v>789</v>
      </c>
      <c r="I93" s="5" t="str">
        <f>HYPERLINK("https://www.ncbi.nlm.nih.gov/protein/WP_145223921.1?report=genbank&amp;log$=prottop&amp;blast_rank=188&amp;RID=7U875CNM013","WP_145223921.1")</f>
        <v>WP_145223921.1</v>
      </c>
      <c r="J93" s="5" t="s">
        <v>2206</v>
      </c>
    </row>
    <row r="94" spans="1:10" s="4" customFormat="1" x14ac:dyDescent="0.2">
      <c r="A94" s="1" t="s">
        <v>2301</v>
      </c>
      <c r="B94" s="1" t="s">
        <v>2302</v>
      </c>
      <c r="C94" s="1">
        <v>1058</v>
      </c>
      <c r="D94" s="1">
        <v>1058</v>
      </c>
      <c r="E94" s="2">
        <v>0.98</v>
      </c>
      <c r="F94" s="1">
        <v>0</v>
      </c>
      <c r="G94" s="1">
        <v>63.82</v>
      </c>
      <c r="H94" s="1">
        <v>789</v>
      </c>
      <c r="I94" s="1" t="str">
        <f>HYPERLINK("https://www.ncbi.nlm.nih.gov/protein/WP_155363111.1?report=genbank&amp;log$=prottop&amp;blast_rank=9&amp;RID=7U875CNM013","WP_155363111.1")</f>
        <v>WP_155363111.1</v>
      </c>
      <c r="J94" s="1" t="s">
        <v>2206</v>
      </c>
    </row>
    <row r="95" spans="1:10" s="4" customFormat="1" x14ac:dyDescent="0.2">
      <c r="A95" s="1" t="s">
        <v>2951</v>
      </c>
      <c r="B95" s="1" t="s">
        <v>2952</v>
      </c>
      <c r="C95" s="1">
        <v>1041</v>
      </c>
      <c r="D95" s="1">
        <v>1041</v>
      </c>
      <c r="E95" s="2">
        <v>0.98</v>
      </c>
      <c r="F95" s="1">
        <v>0</v>
      </c>
      <c r="G95" s="1">
        <v>63.52</v>
      </c>
      <c r="H95" s="1">
        <v>792</v>
      </c>
      <c r="I95" s="1" t="str">
        <f>HYPERLINK("https://www.ncbi.nlm.nih.gov/protein/WP_037253044.1?report=genbank&amp;log$=prottop&amp;blast_rank=171&amp;RID=7U875CNM013","WP_037253044.1")</f>
        <v>WP_037253044.1</v>
      </c>
      <c r="J95" s="1" t="s">
        <v>2206</v>
      </c>
    </row>
    <row r="96" spans="1:10" s="11" customFormat="1" x14ac:dyDescent="0.2">
      <c r="A96" s="5" t="s">
        <v>4507</v>
      </c>
      <c r="B96" s="5" t="s">
        <v>4508</v>
      </c>
      <c r="C96" s="5">
        <v>1028</v>
      </c>
      <c r="D96" s="5">
        <v>1028</v>
      </c>
      <c r="E96" s="6">
        <v>0.99</v>
      </c>
      <c r="F96" s="5">
        <v>0</v>
      </c>
      <c r="G96" s="5">
        <v>61.06</v>
      </c>
      <c r="H96" s="5">
        <v>793</v>
      </c>
      <c r="I96" s="5" t="str">
        <f>HYPERLINK("https://www.ncbi.nlm.nih.gov/protein/WP_047814168.1?report=genbank&amp;log$=prottop&amp;blast_rank=82&amp;RID=7U875CNM013","WP_047814168.1")</f>
        <v>WP_047814168.1</v>
      </c>
      <c r="J96" s="5" t="s">
        <v>4509</v>
      </c>
    </row>
    <row r="97" spans="1:10" s="11" customFormat="1" x14ac:dyDescent="0.2">
      <c r="A97" s="5" t="s">
        <v>4510</v>
      </c>
      <c r="B97" s="5" t="s">
        <v>4508</v>
      </c>
      <c r="C97" s="5">
        <v>1027</v>
      </c>
      <c r="D97" s="5">
        <v>1027</v>
      </c>
      <c r="E97" s="6">
        <v>0.99</v>
      </c>
      <c r="F97" s="5">
        <v>0</v>
      </c>
      <c r="G97" s="5">
        <v>61.06</v>
      </c>
      <c r="H97" s="5">
        <v>826</v>
      </c>
      <c r="I97" s="5" t="str">
        <f>HYPERLINK("https://www.ncbi.nlm.nih.gov/protein/KLU05575.1?report=genbank&amp;log$=prottop&amp;blast_rank=83&amp;RID=7U875CNM013","KLU05575.1")</f>
        <v>KLU05575.1</v>
      </c>
      <c r="J97" s="5" t="s">
        <v>4509</v>
      </c>
    </row>
    <row r="98" spans="1:10" s="11" customFormat="1" x14ac:dyDescent="0.2">
      <c r="A98" s="5" t="s">
        <v>4518</v>
      </c>
      <c r="B98" s="5" t="s">
        <v>4519</v>
      </c>
      <c r="C98" s="5">
        <v>1030</v>
      </c>
      <c r="D98" s="5">
        <v>1030</v>
      </c>
      <c r="E98" s="6">
        <v>0.99</v>
      </c>
      <c r="F98" s="5">
        <v>0</v>
      </c>
      <c r="G98" s="5">
        <v>60.8</v>
      </c>
      <c r="H98" s="5">
        <v>793</v>
      </c>
      <c r="I98" s="5" t="str">
        <f>HYPERLINK("https://www.ncbi.nlm.nih.gov/protein/WP_007340309.1?report=genbank&amp;log$=prottop&amp;blast_rank=143&amp;RID=7U875CNM013","WP_007340309.1")</f>
        <v>WP_007340309.1</v>
      </c>
      <c r="J98" s="5" t="s">
        <v>4520</v>
      </c>
    </row>
    <row r="99" spans="1:10" s="11" customFormat="1" x14ac:dyDescent="0.2">
      <c r="A99" s="5" t="s">
        <v>4518</v>
      </c>
      <c r="B99" s="5" t="s">
        <v>4519</v>
      </c>
      <c r="C99" s="5">
        <v>1024</v>
      </c>
      <c r="D99" s="5">
        <v>1024</v>
      </c>
      <c r="E99" s="6">
        <v>0.99</v>
      </c>
      <c r="F99" s="5">
        <v>0</v>
      </c>
      <c r="G99" s="5">
        <v>60.43</v>
      </c>
      <c r="H99" s="5">
        <v>793</v>
      </c>
      <c r="I99" s="5" t="str">
        <f>HYPERLINK("https://www.ncbi.nlm.nih.gov/protein/WP_007335141.1?report=genbank&amp;log$=prottop&amp;blast_rank=210&amp;RID=7U875CNM013","WP_007335141.1")</f>
        <v>WP_007335141.1</v>
      </c>
      <c r="J99" s="5" t="s">
        <v>3277</v>
      </c>
    </row>
  </sheetData>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8"/>
  <sheetViews>
    <sheetView topLeftCell="C1" workbookViewId="0">
      <selection activeCell="C608" sqref="A608:XFD608"/>
    </sheetView>
  </sheetViews>
  <sheetFormatPr baseColWidth="10" defaultRowHeight="16" x14ac:dyDescent="0.2"/>
  <cols>
    <col min="9" max="9" width="28.83203125" customWidth="1"/>
  </cols>
  <sheetData>
    <row r="1" spans="1:10" s="3" customFormat="1" x14ac:dyDescent="0.2">
      <c r="A1" s="3" t="s">
        <v>5</v>
      </c>
      <c r="B1" s="3" t="s">
        <v>6</v>
      </c>
      <c r="C1" s="3" t="s">
        <v>7</v>
      </c>
      <c r="D1" s="3" t="s">
        <v>8</v>
      </c>
      <c r="E1" s="3" t="s">
        <v>9</v>
      </c>
      <c r="F1" s="3" t="s">
        <v>10</v>
      </c>
      <c r="G1" s="3" t="s">
        <v>11</v>
      </c>
      <c r="H1" s="3" t="s">
        <v>12</v>
      </c>
      <c r="I1" s="3" t="s">
        <v>13</v>
      </c>
      <c r="J1" s="1"/>
    </row>
    <row r="2" spans="1:10" s="5" customFormat="1" x14ac:dyDescent="0.2">
      <c r="A2" s="5" t="s">
        <v>2343</v>
      </c>
      <c r="B2" s="5" t="s">
        <v>2344</v>
      </c>
      <c r="C2" s="5">
        <v>1063</v>
      </c>
      <c r="D2" s="5">
        <v>1063</v>
      </c>
      <c r="E2" s="6">
        <v>0.97</v>
      </c>
      <c r="F2" s="5">
        <v>0</v>
      </c>
      <c r="G2" s="5">
        <v>66.41</v>
      </c>
      <c r="H2" s="5">
        <v>805</v>
      </c>
      <c r="I2" s="5" t="str">
        <f>HYPERLINK("https://www.ncbi.nlm.nih.gov/protein/WP_179723566.1?report=genbank&amp;log$=prottop&amp;blast_rank=93&amp;RID=7U875CNM013","WP_179723566.1")</f>
        <v>WP_179723566.1</v>
      </c>
      <c r="J2" s="5" t="s">
        <v>1087</v>
      </c>
    </row>
    <row r="3" spans="1:10" s="5" customFormat="1" x14ac:dyDescent="0.2">
      <c r="A3" s="5" t="s">
        <v>1085</v>
      </c>
      <c r="B3" s="5" t="s">
        <v>1086</v>
      </c>
      <c r="C3" s="5">
        <v>1083</v>
      </c>
      <c r="D3" s="5">
        <v>1083</v>
      </c>
      <c r="E3" s="6">
        <v>0.98</v>
      </c>
      <c r="F3" s="5">
        <v>0</v>
      </c>
      <c r="G3" s="5">
        <v>66.11</v>
      </c>
      <c r="H3" s="5">
        <v>794</v>
      </c>
      <c r="I3" s="5" t="str">
        <f>HYPERLINK("https://www.ncbi.nlm.nih.gov/protein/TML99733.1?report=genbank&amp;log$=prottop&amp;blast_rank=126&amp;RID=7U875CNM013","TML99733.1")</f>
        <v>TML99733.1</v>
      </c>
      <c r="J3" s="5" t="s">
        <v>1087</v>
      </c>
    </row>
    <row r="4" spans="1:10" s="5" customFormat="1" x14ac:dyDescent="0.2">
      <c r="A4" s="5" t="s">
        <v>2345</v>
      </c>
      <c r="B4" s="5" t="s">
        <v>2346</v>
      </c>
      <c r="C4" s="5">
        <v>1056</v>
      </c>
      <c r="D4" s="5">
        <v>1056</v>
      </c>
      <c r="E4" s="6">
        <v>0.97</v>
      </c>
      <c r="F4" s="5">
        <v>0</v>
      </c>
      <c r="G4" s="5">
        <v>66.11</v>
      </c>
      <c r="H4" s="5">
        <v>802</v>
      </c>
      <c r="I4" s="5" t="str">
        <f>HYPERLINK("https://www.ncbi.nlm.nih.gov/protein/MBL8775511.1?report=genbank&amp;log$=prottop&amp;blast_rank=129&amp;RID=7U875CNM013","MBL8775511.1")</f>
        <v>MBL8775511.1</v>
      </c>
      <c r="J4" s="5" t="s">
        <v>1087</v>
      </c>
    </row>
    <row r="5" spans="1:10" s="5" customFormat="1" x14ac:dyDescent="0.2">
      <c r="A5" s="5" t="s">
        <v>2347</v>
      </c>
      <c r="B5" s="5" t="s">
        <v>2348</v>
      </c>
      <c r="C5" s="5">
        <v>1068</v>
      </c>
      <c r="D5" s="5">
        <v>1068</v>
      </c>
      <c r="E5" s="6">
        <v>0.98</v>
      </c>
      <c r="F5" s="5">
        <v>0</v>
      </c>
      <c r="G5" s="5">
        <v>66.069999999999993</v>
      </c>
      <c r="H5" s="5">
        <v>805</v>
      </c>
      <c r="I5" s="5" t="str">
        <f>HYPERLINK("https://www.ncbi.nlm.nih.gov/protein/WP_132494503.1?report=genbank&amp;log$=prottop&amp;blast_rank=140&amp;RID=7U875CNM013","WP_132494503.1")</f>
        <v>WP_132494503.1</v>
      </c>
      <c r="J5" s="5" t="s">
        <v>1087</v>
      </c>
    </row>
    <row r="6" spans="1:10" s="5" customFormat="1" x14ac:dyDescent="0.2">
      <c r="A6" s="5" t="s">
        <v>2349</v>
      </c>
      <c r="B6" s="5" t="s">
        <v>2350</v>
      </c>
      <c r="C6" s="5">
        <v>1033</v>
      </c>
      <c r="D6" s="5">
        <v>1033</v>
      </c>
      <c r="E6" s="6">
        <v>0.97</v>
      </c>
      <c r="F6" s="5">
        <v>0</v>
      </c>
      <c r="G6" s="5">
        <v>66.06</v>
      </c>
      <c r="H6" s="5">
        <v>784</v>
      </c>
      <c r="I6" s="5" t="str">
        <f>HYPERLINK("https://www.ncbi.nlm.nih.gov/protein/WP_183099006.1?report=genbank&amp;log$=prottop&amp;blast_rank=141&amp;RID=7U875CNM013","WP_183099006.1")</f>
        <v>WP_183099006.1</v>
      </c>
      <c r="J6" s="5" t="s">
        <v>1087</v>
      </c>
    </row>
    <row r="7" spans="1:10" s="4" customFormat="1" x14ac:dyDescent="0.2">
      <c r="A7" s="1" t="s">
        <v>2351</v>
      </c>
      <c r="B7" s="1" t="s">
        <v>2352</v>
      </c>
      <c r="C7" s="1">
        <v>1042</v>
      </c>
      <c r="D7" s="1">
        <v>1042</v>
      </c>
      <c r="E7" s="2">
        <v>0.97</v>
      </c>
      <c r="F7" s="1">
        <v>0</v>
      </c>
      <c r="G7" s="1">
        <v>66.03</v>
      </c>
      <c r="H7" s="1">
        <v>806</v>
      </c>
      <c r="I7" s="1" t="str">
        <f>HYPERLINK("https://www.ncbi.nlm.nih.gov/protein/WP_150068914.1?report=genbank&amp;log$=prottop&amp;blast_rank=2&amp;RID=7U875CNM013","WP_150068914.1")</f>
        <v>WP_150068914.1</v>
      </c>
      <c r="J7" s="1" t="s">
        <v>1087</v>
      </c>
    </row>
    <row r="8" spans="1:10" s="4" customFormat="1" x14ac:dyDescent="0.2">
      <c r="A8" s="1" t="s">
        <v>2353</v>
      </c>
      <c r="B8" s="1" t="s">
        <v>2354</v>
      </c>
      <c r="C8" s="1">
        <v>1071</v>
      </c>
      <c r="D8" s="1">
        <v>1071</v>
      </c>
      <c r="E8" s="2">
        <v>0.98</v>
      </c>
      <c r="F8" s="1">
        <v>0</v>
      </c>
      <c r="G8" s="1">
        <v>65.94</v>
      </c>
      <c r="H8" s="1">
        <v>792</v>
      </c>
      <c r="I8" s="1" t="str">
        <f>HYPERLINK("https://www.ncbi.nlm.nih.gov/protein/WP_202867794.1?report=genbank&amp;log$=prottop&amp;blast_rank=13&amp;RID=7U875CNM013","WP_202867794.1")</f>
        <v>WP_202867794.1</v>
      </c>
      <c r="J8" s="1" t="s">
        <v>1087</v>
      </c>
    </row>
    <row r="9" spans="1:10" s="4" customFormat="1" x14ac:dyDescent="0.2">
      <c r="A9" s="1" t="s">
        <v>2355</v>
      </c>
      <c r="B9" s="1" t="s">
        <v>2356</v>
      </c>
      <c r="C9" s="1">
        <v>1054</v>
      </c>
      <c r="D9" s="1">
        <v>1054</v>
      </c>
      <c r="E9" s="2">
        <v>0.97</v>
      </c>
      <c r="F9" s="1">
        <v>0</v>
      </c>
      <c r="G9" s="1">
        <v>65.77</v>
      </c>
      <c r="H9" s="1">
        <v>804</v>
      </c>
      <c r="I9" s="1" t="str">
        <f>HYPERLINK("https://www.ncbi.nlm.nih.gov/protein/WP_093354941.1?report=genbank&amp;log$=prottop&amp;blast_rank=42&amp;RID=7U875CNM013","WP_093354941.1")</f>
        <v>WP_093354941.1</v>
      </c>
      <c r="J9" s="1" t="s">
        <v>1087</v>
      </c>
    </row>
    <row r="10" spans="1:10" s="4" customFormat="1" x14ac:dyDescent="0.2">
      <c r="A10" s="1" t="s">
        <v>2357</v>
      </c>
      <c r="B10" s="1" t="s">
        <v>2358</v>
      </c>
      <c r="C10" s="1">
        <v>1040</v>
      </c>
      <c r="D10" s="1">
        <v>1040</v>
      </c>
      <c r="E10" s="2">
        <v>0.97</v>
      </c>
      <c r="F10" s="1">
        <v>0</v>
      </c>
      <c r="G10" s="1">
        <v>65.77</v>
      </c>
      <c r="H10" s="1">
        <v>806</v>
      </c>
      <c r="I10" s="1" t="str">
        <f>HYPERLINK("https://www.ncbi.nlm.nih.gov/protein/MBF6507500.1?report=genbank&amp;log$=prottop&amp;blast_rank=43&amp;RID=7U875CNM013","MBF6507500.1")</f>
        <v>MBF6507500.1</v>
      </c>
      <c r="J10" s="1" t="s">
        <v>1087</v>
      </c>
    </row>
    <row r="11" spans="1:10" s="4" customFormat="1" x14ac:dyDescent="0.2">
      <c r="A11" s="1" t="s">
        <v>2359</v>
      </c>
      <c r="B11" s="1" t="s">
        <v>2360</v>
      </c>
      <c r="C11" s="1">
        <v>1061</v>
      </c>
      <c r="D11" s="1">
        <v>1061</v>
      </c>
      <c r="E11" s="2">
        <v>0.98</v>
      </c>
      <c r="F11" s="1">
        <v>0</v>
      </c>
      <c r="G11" s="1">
        <v>65.73</v>
      </c>
      <c r="H11" s="1">
        <v>801</v>
      </c>
      <c r="I11" s="1" t="str">
        <f>HYPERLINK("https://www.ncbi.nlm.nih.gov/protein/WP_199584452.1?report=genbank&amp;log$=prottop&amp;blast_rank=48&amp;RID=7U875CNM013","WP_199584452.1")</f>
        <v>WP_199584452.1</v>
      </c>
      <c r="J11" s="1" t="s">
        <v>1087</v>
      </c>
    </row>
    <row r="12" spans="1:10" s="4" customFormat="1" x14ac:dyDescent="0.2">
      <c r="A12" s="1" t="s">
        <v>2361</v>
      </c>
      <c r="B12" s="1" t="s">
        <v>2362</v>
      </c>
      <c r="C12" s="1">
        <v>1044</v>
      </c>
      <c r="D12" s="1">
        <v>1044</v>
      </c>
      <c r="E12" s="2">
        <v>0.98</v>
      </c>
      <c r="F12" s="1">
        <v>0</v>
      </c>
      <c r="G12" s="1">
        <v>65.73</v>
      </c>
      <c r="H12" s="1">
        <v>816</v>
      </c>
      <c r="I12" s="1" t="str">
        <f>HYPERLINK("https://www.ncbi.nlm.nih.gov/protein/WP_123222590.1?report=genbank&amp;log$=prottop&amp;blast_rank=49&amp;RID=7U875CNM013","WP_123222590.1")</f>
        <v>WP_123222590.1</v>
      </c>
      <c r="J12" s="1" t="s">
        <v>1087</v>
      </c>
    </row>
    <row r="13" spans="1:10" s="4" customFormat="1" x14ac:dyDescent="0.2">
      <c r="A13" s="1" t="s">
        <v>2363</v>
      </c>
      <c r="B13" s="1" t="s">
        <v>2364</v>
      </c>
      <c r="C13" s="1">
        <v>1072</v>
      </c>
      <c r="D13" s="1">
        <v>1072</v>
      </c>
      <c r="E13" s="2">
        <v>0.98</v>
      </c>
      <c r="F13" s="1">
        <v>0</v>
      </c>
      <c r="G13" s="1">
        <v>65.69</v>
      </c>
      <c r="H13" s="1">
        <v>793</v>
      </c>
      <c r="I13" s="1" t="str">
        <f>HYPERLINK("https://www.ncbi.nlm.nih.gov/protein/WP_173163127.1?report=genbank&amp;log$=prottop&amp;blast_rank=52&amp;RID=7U875CNM013","WP_173163127.1")</f>
        <v>WP_173163127.1</v>
      </c>
      <c r="J13" s="1" t="s">
        <v>1087</v>
      </c>
    </row>
    <row r="14" spans="1:10" s="4" customFormat="1" x14ac:dyDescent="0.2">
      <c r="A14" s="1" t="s">
        <v>2365</v>
      </c>
      <c r="B14" s="1" t="s">
        <v>2366</v>
      </c>
      <c r="C14" s="1">
        <v>1060</v>
      </c>
      <c r="D14" s="1">
        <v>1060</v>
      </c>
      <c r="E14" s="2">
        <v>0.98</v>
      </c>
      <c r="F14" s="1">
        <v>0</v>
      </c>
      <c r="G14" s="1">
        <v>65.69</v>
      </c>
      <c r="H14" s="1">
        <v>790</v>
      </c>
      <c r="I14" s="1" t="str">
        <f>HYPERLINK("https://www.ncbi.nlm.nih.gov/protein/WP_131499574.1?report=genbank&amp;log$=prottop&amp;blast_rank=53&amp;RID=7U875CNM013","WP_131499574.1")</f>
        <v>WP_131499574.1</v>
      </c>
      <c r="J14" s="1" t="s">
        <v>1087</v>
      </c>
    </row>
    <row r="15" spans="1:10" s="4" customFormat="1" x14ac:dyDescent="0.2">
      <c r="A15" s="1" t="s">
        <v>2367</v>
      </c>
      <c r="B15" s="1" t="s">
        <v>2368</v>
      </c>
      <c r="C15" s="1">
        <v>1075</v>
      </c>
      <c r="D15" s="1">
        <v>1075</v>
      </c>
      <c r="E15" s="2">
        <v>0.98</v>
      </c>
      <c r="F15" s="1">
        <v>0</v>
      </c>
      <c r="G15" s="1">
        <v>65.61</v>
      </c>
      <c r="H15" s="1">
        <v>791</v>
      </c>
      <c r="I15" s="1" t="str">
        <f>HYPERLINK("https://www.ncbi.nlm.nih.gov/protein/WP_125092045.1?report=genbank&amp;log$=prottop&amp;blast_rank=75&amp;RID=7U875CNM013","WP_125092045.1")</f>
        <v>WP_125092045.1</v>
      </c>
      <c r="J15" s="1" t="s">
        <v>1087</v>
      </c>
    </row>
    <row r="16" spans="1:10" s="4" customFormat="1" x14ac:dyDescent="0.2">
      <c r="A16" s="1" t="s">
        <v>2369</v>
      </c>
      <c r="B16" s="1" t="s">
        <v>2370</v>
      </c>
      <c r="C16" s="1">
        <v>1061</v>
      </c>
      <c r="D16" s="1">
        <v>1061</v>
      </c>
      <c r="E16" s="2">
        <v>0.98</v>
      </c>
      <c r="F16" s="1">
        <v>0</v>
      </c>
      <c r="G16" s="1">
        <v>65.61</v>
      </c>
      <c r="H16" s="1">
        <v>797</v>
      </c>
      <c r="I16" s="1" t="str">
        <f>HYPERLINK("https://www.ncbi.nlm.nih.gov/protein/WP_209695321.1?report=genbank&amp;log$=prottop&amp;blast_rank=76&amp;RID=7U875CNM013","WP_209695321.1")</f>
        <v>WP_209695321.1</v>
      </c>
      <c r="J16" s="1" t="s">
        <v>1087</v>
      </c>
    </row>
    <row r="17" spans="1:10" s="4" customFormat="1" x14ac:dyDescent="0.2">
      <c r="A17" s="1" t="s">
        <v>1085</v>
      </c>
      <c r="B17" s="1" t="s">
        <v>1086</v>
      </c>
      <c r="C17" s="1">
        <v>1048</v>
      </c>
      <c r="D17" s="1">
        <v>1048</v>
      </c>
      <c r="E17" s="2">
        <v>0.97</v>
      </c>
      <c r="F17" s="1">
        <v>0</v>
      </c>
      <c r="G17" s="1">
        <v>65.59</v>
      </c>
      <c r="H17" s="1">
        <v>788</v>
      </c>
      <c r="I17" s="1" t="str">
        <f>HYPERLINK("https://www.ncbi.nlm.nih.gov/protein/TML70860.1?report=genbank&amp;log$=prottop&amp;blast_rank=78&amp;RID=7U875CNM013","TML70860.1")</f>
        <v>TML70860.1</v>
      </c>
      <c r="J17" s="1" t="s">
        <v>1087</v>
      </c>
    </row>
    <row r="18" spans="1:10" s="4" customFormat="1" x14ac:dyDescent="0.2">
      <c r="A18" s="1" t="s">
        <v>2371</v>
      </c>
      <c r="B18" s="1" t="s">
        <v>2372</v>
      </c>
      <c r="C18" s="1">
        <v>1062</v>
      </c>
      <c r="D18" s="1">
        <v>1062</v>
      </c>
      <c r="E18" s="2">
        <v>0.98</v>
      </c>
      <c r="F18" s="1">
        <v>0</v>
      </c>
      <c r="G18" s="1">
        <v>65.56</v>
      </c>
      <c r="H18" s="1">
        <v>809</v>
      </c>
      <c r="I18" s="1" t="str">
        <f>HYPERLINK("https://www.ncbi.nlm.nih.gov/protein/WP_109045771.1?report=genbank&amp;log$=prottop&amp;blast_rank=92&amp;RID=7U875CNM013","WP_109045771.1")</f>
        <v>WP_109045771.1</v>
      </c>
      <c r="J18" s="1" t="s">
        <v>1087</v>
      </c>
    </row>
    <row r="19" spans="1:10" s="7" customFormat="1" x14ac:dyDescent="0.2">
      <c r="A19" s="5" t="s">
        <v>2373</v>
      </c>
      <c r="B19" s="5" t="s">
        <v>2374</v>
      </c>
      <c r="C19" s="5">
        <v>1043</v>
      </c>
      <c r="D19" s="5">
        <v>1043</v>
      </c>
      <c r="E19" s="6">
        <v>0.98</v>
      </c>
      <c r="F19" s="5">
        <v>0</v>
      </c>
      <c r="G19" s="5">
        <v>65.48</v>
      </c>
      <c r="H19" s="5">
        <v>802</v>
      </c>
      <c r="I19" s="5" t="str">
        <f>HYPERLINK("https://www.ncbi.nlm.nih.gov/protein/WP_070982195.1?report=genbank&amp;log$=prottop&amp;blast_rank=7&amp;RID=7U875CNM013","WP_070982195.1")</f>
        <v>WP_070982195.1</v>
      </c>
      <c r="J19" s="5" t="s">
        <v>1087</v>
      </c>
    </row>
    <row r="20" spans="1:10" s="7" customFormat="1" x14ac:dyDescent="0.2">
      <c r="A20" s="5" t="s">
        <v>2375</v>
      </c>
      <c r="B20" s="5" t="s">
        <v>2376</v>
      </c>
      <c r="C20" s="5">
        <v>1042</v>
      </c>
      <c r="D20" s="5">
        <v>1042</v>
      </c>
      <c r="E20" s="6">
        <v>0.98</v>
      </c>
      <c r="F20" s="5">
        <v>0</v>
      </c>
      <c r="G20" s="5">
        <v>65.48</v>
      </c>
      <c r="H20" s="5">
        <v>802</v>
      </c>
      <c r="I20" s="5" t="str">
        <f>HYPERLINK("https://www.ncbi.nlm.nih.gov/protein/WP_011437922.1?report=genbank&amp;log$=prottop&amp;blast_rank=8&amp;RID=7U875CNM013","WP_011437922.1")</f>
        <v>WP_011437922.1</v>
      </c>
      <c r="J20" s="5" t="s">
        <v>1087</v>
      </c>
    </row>
    <row r="21" spans="1:10" s="7" customFormat="1" x14ac:dyDescent="0.2">
      <c r="A21" s="5" t="s">
        <v>2377</v>
      </c>
      <c r="B21" s="5" t="s">
        <v>2378</v>
      </c>
      <c r="C21" s="5">
        <v>1064</v>
      </c>
      <c r="D21" s="5">
        <v>1064</v>
      </c>
      <c r="E21" s="6">
        <v>0.98</v>
      </c>
      <c r="F21" s="5">
        <v>0</v>
      </c>
      <c r="G21" s="5">
        <v>65.48</v>
      </c>
      <c r="H21" s="5">
        <v>809</v>
      </c>
      <c r="I21" s="5" t="str">
        <f>HYPERLINK("https://www.ncbi.nlm.nih.gov/protein/WP_069694905.1?report=genbank&amp;log$=prottop&amp;blast_rank=10&amp;RID=7U875CNM013","WP_069694905.1")</f>
        <v>WP_069694905.1</v>
      </c>
      <c r="J21" s="5" t="s">
        <v>1087</v>
      </c>
    </row>
    <row r="22" spans="1:10" s="7" customFormat="1" x14ac:dyDescent="0.2">
      <c r="A22" s="5" t="s">
        <v>2379</v>
      </c>
      <c r="B22" s="5" t="s">
        <v>2380</v>
      </c>
      <c r="C22" s="5">
        <v>1049</v>
      </c>
      <c r="D22" s="5">
        <v>1049</v>
      </c>
      <c r="E22" s="6">
        <v>0.98</v>
      </c>
      <c r="F22" s="5">
        <v>0</v>
      </c>
      <c r="G22" s="5">
        <v>65.47</v>
      </c>
      <c r="H22" s="5">
        <v>809</v>
      </c>
      <c r="I22" s="5" t="str">
        <f>HYPERLINK("https://www.ncbi.nlm.nih.gov/protein/WP_115156031.1?report=genbank&amp;log$=prottop&amp;blast_rank=14&amp;RID=7U875CNM013","WP_115156031.1")</f>
        <v>WP_115156031.1</v>
      </c>
      <c r="J22" s="5" t="s">
        <v>1087</v>
      </c>
    </row>
    <row r="23" spans="1:10" s="7" customFormat="1" x14ac:dyDescent="0.2">
      <c r="A23" s="5" t="s">
        <v>2381</v>
      </c>
      <c r="B23" s="5" t="s">
        <v>2382</v>
      </c>
      <c r="C23" s="5">
        <v>1052</v>
      </c>
      <c r="D23" s="5">
        <v>1052</v>
      </c>
      <c r="E23" s="6">
        <v>0.98</v>
      </c>
      <c r="F23" s="5">
        <v>0</v>
      </c>
      <c r="G23" s="5">
        <v>65.430000000000007</v>
      </c>
      <c r="H23" s="5">
        <v>788</v>
      </c>
      <c r="I23" s="5" t="str">
        <f>HYPERLINK("https://www.ncbi.nlm.nih.gov/protein/NUR94509.1?report=genbank&amp;log$=prottop&amp;blast_rank=26&amp;RID=7U875CNM013","NUR94509.1")</f>
        <v>NUR94509.1</v>
      </c>
      <c r="J23" s="5" t="s">
        <v>1087</v>
      </c>
    </row>
    <row r="24" spans="1:10" s="7" customFormat="1" x14ac:dyDescent="0.2">
      <c r="A24" s="5" t="s">
        <v>2383</v>
      </c>
      <c r="B24" s="5" t="s">
        <v>2384</v>
      </c>
      <c r="C24" s="5">
        <v>1046</v>
      </c>
      <c r="D24" s="5">
        <v>1046</v>
      </c>
      <c r="E24" s="6">
        <v>0.98</v>
      </c>
      <c r="F24" s="5">
        <v>0</v>
      </c>
      <c r="G24" s="5">
        <v>65.39</v>
      </c>
      <c r="H24" s="5">
        <v>786</v>
      </c>
      <c r="I24" s="5" t="str">
        <f>HYPERLINK("https://www.ncbi.nlm.nih.gov/protein/WP_182484022.1?report=genbank&amp;log$=prottop&amp;blast_rank=45&amp;RID=7U875CNM013","WP_182484022.1")</f>
        <v>WP_182484022.1</v>
      </c>
      <c r="J24" s="5" t="s">
        <v>1087</v>
      </c>
    </row>
    <row r="25" spans="1:10" s="7" customFormat="1" x14ac:dyDescent="0.2">
      <c r="A25" s="5" t="s">
        <v>2385</v>
      </c>
      <c r="B25" s="5" t="s">
        <v>2386</v>
      </c>
      <c r="C25" s="5">
        <v>1044</v>
      </c>
      <c r="D25" s="5">
        <v>1044</v>
      </c>
      <c r="E25" s="6">
        <v>0.97</v>
      </c>
      <c r="F25" s="5">
        <v>0</v>
      </c>
      <c r="G25" s="5">
        <v>65.38</v>
      </c>
      <c r="H25" s="5">
        <v>804</v>
      </c>
      <c r="I25" s="5" t="str">
        <f>HYPERLINK("https://www.ncbi.nlm.nih.gov/protein/WP_093156276.1?report=genbank&amp;log$=prottop&amp;blast_rank=46&amp;RID=7U875CNM013","WP_093156276.1")</f>
        <v>WP_093156276.1</v>
      </c>
      <c r="J25" s="5" t="s">
        <v>1087</v>
      </c>
    </row>
    <row r="26" spans="1:10" s="7" customFormat="1" x14ac:dyDescent="0.2">
      <c r="A26" s="5" t="s">
        <v>2387</v>
      </c>
      <c r="B26" s="5" t="s">
        <v>2354</v>
      </c>
      <c r="C26" s="5">
        <v>1075</v>
      </c>
      <c r="D26" s="5">
        <v>1075</v>
      </c>
      <c r="E26" s="6">
        <v>0.99</v>
      </c>
      <c r="F26" s="5">
        <v>0</v>
      </c>
      <c r="G26" s="5">
        <v>65.37</v>
      </c>
      <c r="H26" s="5">
        <v>874</v>
      </c>
      <c r="I26" s="5" t="str">
        <f>HYPERLINK("https://www.ncbi.nlm.nih.gov/protein/TCC54282.1?report=genbank&amp;log$=prottop&amp;blast_rank=49&amp;RID=7U875CNM013","TCC54282.1")</f>
        <v>TCC54282.1</v>
      </c>
      <c r="J26" s="5" t="s">
        <v>1087</v>
      </c>
    </row>
    <row r="27" spans="1:10" s="7" customFormat="1" x14ac:dyDescent="0.2">
      <c r="A27" s="5" t="s">
        <v>2388</v>
      </c>
      <c r="B27" s="5" t="s">
        <v>2389</v>
      </c>
      <c r="C27" s="5">
        <v>1040</v>
      </c>
      <c r="D27" s="5">
        <v>1040</v>
      </c>
      <c r="E27" s="6">
        <v>0.98</v>
      </c>
      <c r="F27" s="5">
        <v>0</v>
      </c>
      <c r="G27" s="5">
        <v>65.36</v>
      </c>
      <c r="H27" s="5">
        <v>802</v>
      </c>
      <c r="I27" s="5" t="str">
        <f>HYPERLINK("https://www.ncbi.nlm.nih.gov/protein/WP_076805408.1?report=genbank&amp;log$=prottop&amp;blast_rank=50&amp;RID=7U875CNM013","WP_076805408.1")</f>
        <v>WP_076805408.1</v>
      </c>
      <c r="J27" s="5" t="s">
        <v>1087</v>
      </c>
    </row>
    <row r="28" spans="1:10" s="7" customFormat="1" x14ac:dyDescent="0.2">
      <c r="A28" s="5" t="s">
        <v>2390</v>
      </c>
      <c r="B28" s="5" t="s">
        <v>2391</v>
      </c>
      <c r="C28" s="5">
        <v>1040</v>
      </c>
      <c r="D28" s="5">
        <v>1040</v>
      </c>
      <c r="E28" s="6">
        <v>0.98</v>
      </c>
      <c r="F28" s="5">
        <v>0</v>
      </c>
      <c r="G28" s="5">
        <v>65.36</v>
      </c>
      <c r="H28" s="5">
        <v>802</v>
      </c>
      <c r="I28" s="5" t="str">
        <f>HYPERLINK("https://www.ncbi.nlm.nih.gov/protein/WP_063578713.1?report=genbank&amp;log$=prottop&amp;blast_rank=51&amp;RID=7U875CNM013","WP_063578713.1")</f>
        <v>WP_063578713.1</v>
      </c>
      <c r="J28" s="5" t="s">
        <v>1087</v>
      </c>
    </row>
    <row r="29" spans="1:10" s="7" customFormat="1" x14ac:dyDescent="0.2">
      <c r="A29" s="5" t="s">
        <v>2392</v>
      </c>
      <c r="B29" s="5" t="s">
        <v>2393</v>
      </c>
      <c r="C29" s="5">
        <v>1040</v>
      </c>
      <c r="D29" s="5">
        <v>1040</v>
      </c>
      <c r="E29" s="6">
        <v>0.98</v>
      </c>
      <c r="F29" s="5">
        <v>0</v>
      </c>
      <c r="G29" s="5">
        <v>65.36</v>
      </c>
      <c r="H29" s="5">
        <v>802</v>
      </c>
      <c r="I29" s="5" t="str">
        <f>HYPERLINK("https://www.ncbi.nlm.nih.gov/protein/WP_035731354.1?report=genbank&amp;log$=prottop&amp;blast_rank=52&amp;RID=7U875CNM013","WP_035731354.1")</f>
        <v>WP_035731354.1</v>
      </c>
      <c r="J29" s="5" t="s">
        <v>1087</v>
      </c>
    </row>
    <row r="30" spans="1:10" s="7" customFormat="1" x14ac:dyDescent="0.2">
      <c r="A30" s="5" t="s">
        <v>2394</v>
      </c>
      <c r="B30" s="5" t="s">
        <v>2395</v>
      </c>
      <c r="C30" s="5">
        <v>1070</v>
      </c>
      <c r="D30" s="5">
        <v>1070</v>
      </c>
      <c r="E30" s="6">
        <v>0.98</v>
      </c>
      <c r="F30" s="5">
        <v>0</v>
      </c>
      <c r="G30" s="5">
        <v>65.349999999999994</v>
      </c>
      <c r="H30" s="5">
        <v>798</v>
      </c>
      <c r="I30" s="5" t="str">
        <f>HYPERLINK("https://www.ncbi.nlm.nih.gov/protein/WP_009942594.1?report=genbank&amp;log$=prottop&amp;blast_rank=57&amp;RID=7U875CNM013","WP_009942594.1")</f>
        <v>WP_009942594.1</v>
      </c>
      <c r="J30" s="5" t="s">
        <v>1087</v>
      </c>
    </row>
    <row r="31" spans="1:10" s="7" customFormat="1" x14ac:dyDescent="0.2">
      <c r="A31" s="5" t="s">
        <v>2396</v>
      </c>
      <c r="B31" s="5" t="s">
        <v>2397</v>
      </c>
      <c r="C31" s="5">
        <v>1035</v>
      </c>
      <c r="D31" s="5">
        <v>1035</v>
      </c>
      <c r="E31" s="6">
        <v>0.98</v>
      </c>
      <c r="F31" s="5">
        <v>0</v>
      </c>
      <c r="G31" s="5">
        <v>65.31</v>
      </c>
      <c r="H31" s="5">
        <v>809</v>
      </c>
      <c r="I31" s="5" t="str">
        <f>HYPERLINK("https://www.ncbi.nlm.nih.gov/protein/WP_104062027.1?report=genbank&amp;log$=prottop&amp;blast_rank=62&amp;RID=7U875CNM013","WP_104062027.1")</f>
        <v>WP_104062027.1</v>
      </c>
      <c r="J31" s="5" t="s">
        <v>1087</v>
      </c>
    </row>
    <row r="32" spans="1:10" s="7" customFormat="1" x14ac:dyDescent="0.2">
      <c r="A32" s="5" t="s">
        <v>2398</v>
      </c>
      <c r="B32" s="5" t="s">
        <v>2399</v>
      </c>
      <c r="C32" s="5">
        <v>1061</v>
      </c>
      <c r="D32" s="5">
        <v>1061</v>
      </c>
      <c r="E32" s="6">
        <v>0.98</v>
      </c>
      <c r="F32" s="5">
        <v>0</v>
      </c>
      <c r="G32" s="5">
        <v>65.31</v>
      </c>
      <c r="H32" s="5">
        <v>804</v>
      </c>
      <c r="I32" s="5" t="str">
        <f>HYPERLINK("https://www.ncbi.nlm.nih.gov/protein/WP_184727553.1?report=genbank&amp;log$=prottop&amp;blast_rank=72&amp;RID=7U875CNM013","WP_184727553.1")</f>
        <v>WP_184727553.1</v>
      </c>
      <c r="J32" s="5" t="s">
        <v>1087</v>
      </c>
    </row>
    <row r="33" spans="1:10" s="7" customFormat="1" x14ac:dyDescent="0.2">
      <c r="A33" s="5" t="s">
        <v>2400</v>
      </c>
      <c r="B33" s="5" t="s">
        <v>2401</v>
      </c>
      <c r="C33" s="5">
        <v>1060</v>
      </c>
      <c r="D33" s="5">
        <v>1060</v>
      </c>
      <c r="E33" s="6">
        <v>0.98</v>
      </c>
      <c r="F33" s="5">
        <v>0</v>
      </c>
      <c r="G33" s="5">
        <v>65.31</v>
      </c>
      <c r="H33" s="5">
        <v>805</v>
      </c>
      <c r="I33" s="5" t="str">
        <f>HYPERLINK("https://www.ncbi.nlm.nih.gov/protein/WP_093264907.1?report=genbank&amp;log$=prottop&amp;blast_rank=73&amp;RID=7U875CNM013","WP_093264907.1")</f>
        <v>WP_093264907.1</v>
      </c>
      <c r="J33" s="5" t="s">
        <v>1087</v>
      </c>
    </row>
    <row r="34" spans="1:10" s="7" customFormat="1" x14ac:dyDescent="0.2">
      <c r="A34" s="5" t="s">
        <v>2402</v>
      </c>
      <c r="B34" s="5" t="s">
        <v>2403</v>
      </c>
      <c r="C34" s="5">
        <v>1054</v>
      </c>
      <c r="D34" s="5">
        <v>1054</v>
      </c>
      <c r="E34" s="6">
        <v>0.98</v>
      </c>
      <c r="F34" s="5">
        <v>0</v>
      </c>
      <c r="G34" s="5">
        <v>65.31</v>
      </c>
      <c r="H34" s="5">
        <v>792</v>
      </c>
      <c r="I34" s="5" t="str">
        <f>HYPERLINK("https://www.ncbi.nlm.nih.gov/protein/WP_167210599.1?report=genbank&amp;log$=prottop&amp;blast_rank=75&amp;RID=7U875CNM013","WP_167210599.1")</f>
        <v>WP_167210599.1</v>
      </c>
      <c r="J34" s="5" t="s">
        <v>1087</v>
      </c>
    </row>
    <row r="35" spans="1:10" s="7" customFormat="1" x14ac:dyDescent="0.2">
      <c r="A35" s="5" t="s">
        <v>2404</v>
      </c>
      <c r="B35" s="5" t="s">
        <v>2405</v>
      </c>
      <c r="C35" s="5">
        <v>1057</v>
      </c>
      <c r="D35" s="5">
        <v>1057</v>
      </c>
      <c r="E35" s="6">
        <v>0.98</v>
      </c>
      <c r="F35" s="5">
        <v>0</v>
      </c>
      <c r="G35" s="5">
        <v>65.260000000000005</v>
      </c>
      <c r="H35" s="5">
        <v>806</v>
      </c>
      <c r="I35" s="5" t="str">
        <f>HYPERLINK("https://www.ncbi.nlm.nih.gov/protein/WP_168152833.1?report=genbank&amp;log$=prottop&amp;blast_rank=89&amp;RID=7U875CNM013","WP_168152833.1")</f>
        <v>WP_168152833.1</v>
      </c>
      <c r="J35" s="5" t="s">
        <v>1087</v>
      </c>
    </row>
    <row r="36" spans="1:10" s="7" customFormat="1" x14ac:dyDescent="0.2">
      <c r="A36" s="5" t="s">
        <v>2406</v>
      </c>
      <c r="B36" s="5" t="s">
        <v>2407</v>
      </c>
      <c r="C36" s="5">
        <v>1040</v>
      </c>
      <c r="D36" s="5">
        <v>1040</v>
      </c>
      <c r="E36" s="6">
        <v>0.98</v>
      </c>
      <c r="F36" s="5">
        <v>0</v>
      </c>
      <c r="G36" s="5">
        <v>65.23</v>
      </c>
      <c r="H36" s="5">
        <v>802</v>
      </c>
      <c r="I36" s="5" t="str">
        <f>HYPERLINK("https://www.ncbi.nlm.nih.gov/protein/WP_070131851.1?report=genbank&amp;log$=prottop&amp;blast_rank=98&amp;RID=7U875CNM013","WP_070131851.1")</f>
        <v>WP_070131851.1</v>
      </c>
      <c r="J36" s="5" t="s">
        <v>1087</v>
      </c>
    </row>
    <row r="37" spans="1:10" s="8" customFormat="1" x14ac:dyDescent="0.2">
      <c r="A37" s="5" t="s">
        <v>2408</v>
      </c>
      <c r="B37" s="5" t="s">
        <v>2409</v>
      </c>
      <c r="C37" s="5">
        <v>1054</v>
      </c>
      <c r="D37" s="5">
        <v>1054</v>
      </c>
      <c r="E37" s="6">
        <v>0.98</v>
      </c>
      <c r="F37" s="5">
        <v>0</v>
      </c>
      <c r="G37" s="5">
        <v>65.180000000000007</v>
      </c>
      <c r="H37" s="5">
        <v>806</v>
      </c>
      <c r="I37" s="5" t="str">
        <f>HYPERLINK("https://www.ncbi.nlm.nih.gov/protein/WP_193926447.1?report=genbank&amp;log$=prottop&amp;blast_rank=8&amp;RID=7U875CNM013","WP_193926447.1")</f>
        <v>WP_193926447.1</v>
      </c>
      <c r="J37" s="5" t="s">
        <v>1087</v>
      </c>
    </row>
    <row r="38" spans="1:10" s="8" customFormat="1" x14ac:dyDescent="0.2">
      <c r="A38" s="5" t="s">
        <v>2410</v>
      </c>
      <c r="B38" s="5" t="s">
        <v>2411</v>
      </c>
      <c r="C38" s="5">
        <v>1050</v>
      </c>
      <c r="D38" s="5">
        <v>1050</v>
      </c>
      <c r="E38" s="6">
        <v>0.98</v>
      </c>
      <c r="F38" s="5">
        <v>0</v>
      </c>
      <c r="G38" s="5">
        <v>65.180000000000007</v>
      </c>
      <c r="H38" s="5">
        <v>792</v>
      </c>
      <c r="I38" s="5" t="str">
        <f>HYPERLINK("https://www.ncbi.nlm.nih.gov/protein/WP_133790087.1?report=genbank&amp;log$=prottop&amp;blast_rank=9&amp;RID=7U875CNM013","WP_133790087.1")</f>
        <v>WP_133790087.1</v>
      </c>
      <c r="J38" s="5" t="s">
        <v>1087</v>
      </c>
    </row>
    <row r="39" spans="1:10" s="8" customFormat="1" x14ac:dyDescent="0.2">
      <c r="A39" s="5" t="s">
        <v>2412</v>
      </c>
      <c r="B39" s="5" t="s">
        <v>2413</v>
      </c>
      <c r="C39" s="5">
        <v>1038</v>
      </c>
      <c r="D39" s="5">
        <v>1038</v>
      </c>
      <c r="E39" s="6">
        <v>0.98</v>
      </c>
      <c r="F39" s="5">
        <v>0</v>
      </c>
      <c r="G39" s="5">
        <v>65.180000000000007</v>
      </c>
      <c r="H39" s="5">
        <v>797</v>
      </c>
      <c r="I39" s="5" t="str">
        <f>HYPERLINK("https://www.ncbi.nlm.nih.gov/protein/WP_003891174.1?report=genbank&amp;log$=prottop&amp;blast_rank=11&amp;RID=7U875CNM013","WP_003891174.1")</f>
        <v>WP_003891174.1</v>
      </c>
      <c r="J39" s="5" t="s">
        <v>1087</v>
      </c>
    </row>
    <row r="40" spans="1:10" s="8" customFormat="1" x14ac:dyDescent="0.2">
      <c r="A40" s="5" t="s">
        <v>2415</v>
      </c>
      <c r="B40" s="5" t="s">
        <v>2414</v>
      </c>
      <c r="C40" s="5">
        <v>1041</v>
      </c>
      <c r="D40" s="5">
        <v>1041</v>
      </c>
      <c r="E40" s="6">
        <v>0.98</v>
      </c>
      <c r="F40" s="5">
        <v>0</v>
      </c>
      <c r="G40" s="5">
        <v>65.150000000000006</v>
      </c>
      <c r="H40" s="5">
        <v>798</v>
      </c>
      <c r="I40" s="5" t="str">
        <f>HYPERLINK("https://www.ncbi.nlm.nih.gov/protein/TWF80625.1?report=genbank&amp;log$=prottop&amp;blast_rank=22&amp;RID=7U875CNM013","TWF80625.1")</f>
        <v>TWF80625.1</v>
      </c>
      <c r="J40" s="5" t="s">
        <v>1087</v>
      </c>
    </row>
    <row r="41" spans="1:10" s="7" customFormat="1" x14ac:dyDescent="0.2">
      <c r="A41" s="5" t="s">
        <v>2416</v>
      </c>
      <c r="B41" s="5" t="s">
        <v>2417</v>
      </c>
      <c r="C41" s="5">
        <v>1053</v>
      </c>
      <c r="D41" s="5">
        <v>1053</v>
      </c>
      <c r="E41" s="6">
        <v>0.98</v>
      </c>
      <c r="F41" s="5">
        <v>0</v>
      </c>
      <c r="G41" s="5">
        <v>65.099999999999994</v>
      </c>
      <c r="H41" s="5">
        <v>810</v>
      </c>
      <c r="I41" s="5" t="str">
        <f>HYPERLINK("https://www.ncbi.nlm.nih.gov/protein/WP_134474982.1?report=genbank&amp;log$=prottop&amp;blast_rank=60&amp;RID=7U875CNM013","WP_134474982.1")</f>
        <v>WP_134474982.1</v>
      </c>
      <c r="J41" s="5" t="s">
        <v>1087</v>
      </c>
    </row>
    <row r="42" spans="1:10" s="7" customFormat="1" x14ac:dyDescent="0.2">
      <c r="A42" s="5" t="s">
        <v>2418</v>
      </c>
      <c r="B42" s="5" t="s">
        <v>2419</v>
      </c>
      <c r="C42" s="5">
        <v>1049</v>
      </c>
      <c r="D42" s="5">
        <v>1049</v>
      </c>
      <c r="E42" s="6">
        <v>0.98</v>
      </c>
      <c r="F42" s="5">
        <v>0</v>
      </c>
      <c r="G42" s="5">
        <v>65.099999999999994</v>
      </c>
      <c r="H42" s="5">
        <v>809</v>
      </c>
      <c r="I42" s="5" t="str">
        <f>HYPERLINK("https://www.ncbi.nlm.nih.gov/protein/WP_206447736.1?report=genbank&amp;log$=prottop&amp;blast_rank=61&amp;RID=7U875CNM013","WP_206447736.1")</f>
        <v>WP_206447736.1</v>
      </c>
      <c r="J42" s="5" t="s">
        <v>1087</v>
      </c>
    </row>
    <row r="43" spans="1:10" s="7" customFormat="1" x14ac:dyDescent="0.2">
      <c r="A43" s="5" t="s">
        <v>2420</v>
      </c>
      <c r="B43" s="5" t="s">
        <v>2421</v>
      </c>
      <c r="C43" s="5">
        <v>1049</v>
      </c>
      <c r="D43" s="5">
        <v>1049</v>
      </c>
      <c r="E43" s="6">
        <v>0.98</v>
      </c>
      <c r="F43" s="5">
        <v>0</v>
      </c>
      <c r="G43" s="5">
        <v>65.09</v>
      </c>
      <c r="H43" s="5">
        <v>805</v>
      </c>
      <c r="I43" s="5" t="str">
        <f>HYPERLINK("https://www.ncbi.nlm.nih.gov/protein/NYE79542.1?report=genbank&amp;log$=prottop&amp;blast_rank=62&amp;RID=7U875CNM013","NYE79542.1")</f>
        <v>NYE79542.1</v>
      </c>
      <c r="J43" s="5" t="s">
        <v>1087</v>
      </c>
    </row>
    <row r="44" spans="1:10" s="7" customFormat="1" x14ac:dyDescent="0.2">
      <c r="A44" s="5" t="s">
        <v>2422</v>
      </c>
      <c r="B44" s="5" t="s">
        <v>2423</v>
      </c>
      <c r="C44" s="5">
        <v>1056</v>
      </c>
      <c r="D44" s="5">
        <v>1056</v>
      </c>
      <c r="E44" s="6">
        <v>0.99</v>
      </c>
      <c r="F44" s="5">
        <v>0</v>
      </c>
      <c r="G44" s="5">
        <v>65.06</v>
      </c>
      <c r="H44" s="5">
        <v>809</v>
      </c>
      <c r="I44" s="5" t="str">
        <f>HYPERLINK("https://www.ncbi.nlm.nih.gov/protein/WP_103466714.1?report=genbank&amp;log$=prottop&amp;blast_rank=67&amp;RID=7U875CNM013","WP_103466714.1")</f>
        <v>WP_103466714.1</v>
      </c>
      <c r="J44" s="5" t="s">
        <v>1087</v>
      </c>
    </row>
    <row r="45" spans="1:10" s="7" customFormat="1" x14ac:dyDescent="0.2">
      <c r="A45" s="5" t="s">
        <v>2424</v>
      </c>
      <c r="B45" s="5" t="s">
        <v>2425</v>
      </c>
      <c r="C45" s="5">
        <v>1041</v>
      </c>
      <c r="D45" s="5">
        <v>1041</v>
      </c>
      <c r="E45" s="6">
        <v>0.98</v>
      </c>
      <c r="F45" s="5">
        <v>0</v>
      </c>
      <c r="G45" s="5">
        <v>65.05</v>
      </c>
      <c r="H45" s="5">
        <v>794</v>
      </c>
      <c r="I45" s="5" t="str">
        <f>HYPERLINK("https://www.ncbi.nlm.nih.gov/protein/WP_203799188.1?report=genbank&amp;log$=prottop&amp;blast_rank=76&amp;RID=7U875CNM013","WP_203799188.1")</f>
        <v>WP_203799188.1</v>
      </c>
      <c r="J45" s="5" t="s">
        <v>1087</v>
      </c>
    </row>
    <row r="46" spans="1:10" s="7" customFormat="1" x14ac:dyDescent="0.2">
      <c r="A46" s="5" t="s">
        <v>2426</v>
      </c>
      <c r="B46" s="5" t="s">
        <v>2413</v>
      </c>
      <c r="C46" s="5">
        <v>1036</v>
      </c>
      <c r="D46" s="5">
        <v>1036</v>
      </c>
      <c r="E46" s="6">
        <v>0.98</v>
      </c>
      <c r="F46" s="5">
        <v>0</v>
      </c>
      <c r="G46" s="5">
        <v>65.05</v>
      </c>
      <c r="H46" s="5">
        <v>801</v>
      </c>
      <c r="I46" s="5" t="str">
        <f>HYPERLINK("https://www.ncbi.nlm.nih.gov/protein/AMO61202.1?report=genbank&amp;log$=prottop&amp;blast_rank=77&amp;RID=7U875CNM013","AMO61202.1")</f>
        <v>AMO61202.1</v>
      </c>
      <c r="J46" s="5" t="s">
        <v>1087</v>
      </c>
    </row>
    <row r="47" spans="1:10" s="7" customFormat="1" x14ac:dyDescent="0.2">
      <c r="A47" s="5" t="s">
        <v>2412</v>
      </c>
      <c r="B47" s="5" t="s">
        <v>2413</v>
      </c>
      <c r="C47" s="5">
        <v>1035</v>
      </c>
      <c r="D47" s="5">
        <v>1035</v>
      </c>
      <c r="E47" s="6">
        <v>0.98</v>
      </c>
      <c r="F47" s="5">
        <v>0</v>
      </c>
      <c r="G47" s="5">
        <v>65.05</v>
      </c>
      <c r="H47" s="5">
        <v>797</v>
      </c>
      <c r="I47" s="5" t="str">
        <f>HYPERLINK("https://www.ncbi.nlm.nih.gov/protein/WP_061481892.1?report=genbank&amp;log$=prottop&amp;blast_rank=78&amp;RID=7U875CNM013","WP_061481892.1")</f>
        <v>WP_061481892.1</v>
      </c>
      <c r="J47" s="5" t="s">
        <v>1087</v>
      </c>
    </row>
    <row r="48" spans="1:10" s="7" customFormat="1" x14ac:dyDescent="0.2">
      <c r="A48" s="5" t="s">
        <v>2427</v>
      </c>
      <c r="B48" s="5" t="s">
        <v>2428</v>
      </c>
      <c r="C48" s="5">
        <v>1053</v>
      </c>
      <c r="D48" s="5">
        <v>1053</v>
      </c>
      <c r="E48" s="6">
        <v>0.98</v>
      </c>
      <c r="F48" s="5">
        <v>0</v>
      </c>
      <c r="G48" s="5">
        <v>65.010000000000005</v>
      </c>
      <c r="H48" s="5">
        <v>809</v>
      </c>
      <c r="I48" s="9" t="str">
        <f>HYPERLINK("https://www.ncbi.nlm.nih.gov/protein/MBD0317015.1?report=genbank&amp;log$=prottop&amp;blast_rank=103&amp;RID=7U875CNM013","MBD0317015.1")</f>
        <v>MBD0317015.1</v>
      </c>
      <c r="J48" s="5" t="s">
        <v>1087</v>
      </c>
    </row>
    <row r="49" spans="1:10" s="7" customFormat="1" x14ac:dyDescent="0.2">
      <c r="A49" s="5" t="s">
        <v>2429</v>
      </c>
      <c r="B49" s="5" t="s">
        <v>2430</v>
      </c>
      <c r="C49" s="5">
        <v>1051</v>
      </c>
      <c r="D49" s="5">
        <v>1051</v>
      </c>
      <c r="E49" s="6">
        <v>0.98</v>
      </c>
      <c r="F49" s="5">
        <v>0</v>
      </c>
      <c r="G49" s="5">
        <v>65.010000000000005</v>
      </c>
      <c r="H49" s="5">
        <v>809</v>
      </c>
      <c r="I49" s="5" t="str">
        <f>HYPERLINK("https://www.ncbi.nlm.nih.gov/protein/WP_193342687.1?report=genbank&amp;log$=prottop&amp;blast_rank=104&amp;RID=7U875CNM013","WP_193342687.1")</f>
        <v>WP_193342687.1</v>
      </c>
      <c r="J49" s="5" t="s">
        <v>1087</v>
      </c>
    </row>
    <row r="50" spans="1:10" s="7" customFormat="1" x14ac:dyDescent="0.2">
      <c r="A50" s="5" t="s">
        <v>2359</v>
      </c>
      <c r="B50" s="5" t="s">
        <v>2360</v>
      </c>
      <c r="C50" s="5">
        <v>1065</v>
      </c>
      <c r="D50" s="5">
        <v>1065</v>
      </c>
      <c r="E50" s="6">
        <v>0.99</v>
      </c>
      <c r="F50" s="5">
        <v>0</v>
      </c>
      <c r="G50" s="5">
        <v>64.989999999999995</v>
      </c>
      <c r="H50" s="5">
        <v>809</v>
      </c>
      <c r="I50" s="5" t="str">
        <f>HYPERLINK("https://www.ncbi.nlm.nih.gov/protein/RBY87993.1?report=genbank&amp;log$=prottop&amp;blast_rank=109&amp;RID=7U875CNM013","RBY87993.1")</f>
        <v>RBY87993.1</v>
      </c>
      <c r="J50" s="5" t="s">
        <v>1087</v>
      </c>
    </row>
    <row r="51" spans="1:10" s="7" customFormat="1" x14ac:dyDescent="0.2">
      <c r="A51" s="5" t="s">
        <v>2431</v>
      </c>
      <c r="B51" s="5" t="s">
        <v>2432</v>
      </c>
      <c r="C51" s="5">
        <v>1057</v>
      </c>
      <c r="D51" s="5">
        <v>1057</v>
      </c>
      <c r="E51" s="6">
        <v>0.98</v>
      </c>
      <c r="F51" s="5">
        <v>0</v>
      </c>
      <c r="G51" s="5">
        <v>64.959999999999994</v>
      </c>
      <c r="H51" s="5">
        <v>800</v>
      </c>
      <c r="I51" s="5" t="str">
        <f>HYPERLINK("https://www.ncbi.nlm.nih.gov/protein/WP_107159401.1?report=genbank&amp;log$=prottop&amp;blast_rank=127&amp;RID=7U875CNM013","WP_107159401.1")</f>
        <v>WP_107159401.1</v>
      </c>
      <c r="J51" s="5" t="s">
        <v>1087</v>
      </c>
    </row>
    <row r="52" spans="1:10" s="7" customFormat="1" x14ac:dyDescent="0.2">
      <c r="A52" s="5" t="s">
        <v>2433</v>
      </c>
      <c r="B52" s="5" t="s">
        <v>2434</v>
      </c>
      <c r="C52" s="5">
        <v>1056</v>
      </c>
      <c r="D52" s="5">
        <v>1056</v>
      </c>
      <c r="E52" s="6">
        <v>0.98</v>
      </c>
      <c r="F52" s="5">
        <v>0</v>
      </c>
      <c r="G52" s="5">
        <v>64.959999999999994</v>
      </c>
      <c r="H52" s="5">
        <v>800</v>
      </c>
      <c r="I52" s="5" t="str">
        <f>HYPERLINK("https://www.ncbi.nlm.nih.gov/protein/WP_091067780.1?report=genbank&amp;log$=prottop&amp;blast_rank=128&amp;RID=7U875CNM013","WP_091067780.1")</f>
        <v>WP_091067780.1</v>
      </c>
      <c r="J52" s="5" t="s">
        <v>1087</v>
      </c>
    </row>
    <row r="53" spans="1:10" s="7" customFormat="1" x14ac:dyDescent="0.2">
      <c r="A53" s="5" t="s">
        <v>2435</v>
      </c>
      <c r="B53" s="5" t="s">
        <v>2436</v>
      </c>
      <c r="C53" s="5">
        <v>1055</v>
      </c>
      <c r="D53" s="5">
        <v>1055</v>
      </c>
      <c r="E53" s="6">
        <v>0.98</v>
      </c>
      <c r="F53" s="5">
        <v>0</v>
      </c>
      <c r="G53" s="5">
        <v>64.959999999999994</v>
      </c>
      <c r="H53" s="5">
        <v>800</v>
      </c>
      <c r="I53" s="5" t="str">
        <f>HYPERLINK("https://www.ncbi.nlm.nih.gov/protein/WP_091116765.1?report=genbank&amp;log$=prottop&amp;blast_rank=129&amp;RID=7U875CNM013","WP_091116765.1")</f>
        <v>WP_091116765.1</v>
      </c>
      <c r="J53" s="5" t="s">
        <v>1087</v>
      </c>
    </row>
    <row r="54" spans="1:10" s="7" customFormat="1" x14ac:dyDescent="0.2">
      <c r="A54" s="5" t="s">
        <v>2437</v>
      </c>
      <c r="B54" s="5" t="s">
        <v>2438</v>
      </c>
      <c r="C54" s="5">
        <v>1048</v>
      </c>
      <c r="D54" s="5">
        <v>1048</v>
      </c>
      <c r="E54" s="6">
        <v>0.98</v>
      </c>
      <c r="F54" s="5">
        <v>0</v>
      </c>
      <c r="G54" s="5">
        <v>64.959999999999994</v>
      </c>
      <c r="H54" s="5">
        <v>812</v>
      </c>
      <c r="I54" s="5" t="str">
        <f>HYPERLINK("https://www.ncbi.nlm.nih.gov/protein/WP_091942476.1?report=genbank&amp;log$=prottop&amp;blast_rank=130&amp;RID=7U875CNM013","WP_091942476.1")</f>
        <v>WP_091942476.1</v>
      </c>
      <c r="J54" s="5" t="s">
        <v>1087</v>
      </c>
    </row>
    <row r="55" spans="1:10" s="7" customFormat="1" x14ac:dyDescent="0.2">
      <c r="A55" s="5" t="s">
        <v>2439</v>
      </c>
      <c r="B55" s="5" t="s">
        <v>2421</v>
      </c>
      <c r="C55" s="5">
        <v>1048</v>
      </c>
      <c r="D55" s="5">
        <v>1048</v>
      </c>
      <c r="E55" s="6">
        <v>0.98</v>
      </c>
      <c r="F55" s="5">
        <v>0</v>
      </c>
      <c r="G55" s="5">
        <v>64.959999999999994</v>
      </c>
      <c r="H55" s="5">
        <v>798</v>
      </c>
      <c r="I55" s="5" t="str">
        <f>HYPERLINK("https://www.ncbi.nlm.nih.gov/protein/WP_179713476.1?report=genbank&amp;log$=prottop&amp;blast_rank=131&amp;RID=7U875CNM013","WP_179713476.1")</f>
        <v>WP_179713476.1</v>
      </c>
      <c r="J55" s="5" t="s">
        <v>1087</v>
      </c>
    </row>
    <row r="56" spans="1:10" s="7" customFormat="1" x14ac:dyDescent="0.2">
      <c r="A56" s="5" t="s">
        <v>2440</v>
      </c>
      <c r="B56" s="5" t="s">
        <v>2441</v>
      </c>
      <c r="C56" s="5">
        <v>1047</v>
      </c>
      <c r="D56" s="5">
        <v>1047</v>
      </c>
      <c r="E56" s="6">
        <v>0.98</v>
      </c>
      <c r="F56" s="5">
        <v>0</v>
      </c>
      <c r="G56" s="5">
        <v>64.959999999999994</v>
      </c>
      <c r="H56" s="5">
        <v>800</v>
      </c>
      <c r="I56" s="5" t="str">
        <f>HYPERLINK("https://www.ncbi.nlm.nih.gov/protein/WP_174526499.1?report=genbank&amp;log$=prottop&amp;blast_rank=132&amp;RID=7U875CNM013","WP_174526499.1")</f>
        <v>WP_174526499.1</v>
      </c>
      <c r="J56" s="5" t="s">
        <v>1087</v>
      </c>
    </row>
    <row r="57" spans="1:10" s="7" customFormat="1" x14ac:dyDescent="0.2">
      <c r="A57" s="5" t="s">
        <v>2442</v>
      </c>
      <c r="B57" s="5" t="s">
        <v>2443</v>
      </c>
      <c r="C57" s="5">
        <v>1043</v>
      </c>
      <c r="D57" s="5">
        <v>1043</v>
      </c>
      <c r="E57" s="6">
        <v>0.98</v>
      </c>
      <c r="F57" s="5">
        <v>0</v>
      </c>
      <c r="G57" s="5">
        <v>64.959999999999994</v>
      </c>
      <c r="H57" s="5">
        <v>812</v>
      </c>
      <c r="I57" s="5" t="str">
        <f>HYPERLINK("https://www.ncbi.nlm.nih.gov/protein/WP_137775250.1?report=genbank&amp;log$=prottop&amp;blast_rank=133&amp;RID=7U875CNM013","WP_137775250.1")</f>
        <v>WP_137775250.1</v>
      </c>
      <c r="J57" s="5" t="s">
        <v>1087</v>
      </c>
    </row>
    <row r="58" spans="1:10" s="7" customFormat="1" x14ac:dyDescent="0.2">
      <c r="A58" s="5" t="s">
        <v>2444</v>
      </c>
      <c r="B58" s="5" t="s">
        <v>2445</v>
      </c>
      <c r="C58" s="5">
        <v>1028</v>
      </c>
      <c r="D58" s="5">
        <v>1028</v>
      </c>
      <c r="E58" s="6">
        <v>0.98</v>
      </c>
      <c r="F58" s="5">
        <v>0</v>
      </c>
      <c r="G58" s="5">
        <v>64.959999999999994</v>
      </c>
      <c r="H58" s="5">
        <v>818</v>
      </c>
      <c r="I58" s="5" t="str">
        <f>HYPERLINK("https://www.ncbi.nlm.nih.gov/protein/SNS25691.1?report=genbank&amp;log$=prottop&amp;blast_rank=134&amp;RID=7U875CNM013","SNS25691.1")</f>
        <v>SNS25691.1</v>
      </c>
      <c r="J58" s="5" t="s">
        <v>1087</v>
      </c>
    </row>
    <row r="59" spans="1:10" s="7" customFormat="1" x14ac:dyDescent="0.2">
      <c r="A59" s="5" t="s">
        <v>2446</v>
      </c>
      <c r="B59" s="5" t="s">
        <v>2447</v>
      </c>
      <c r="C59" s="5">
        <v>1060</v>
      </c>
      <c r="D59" s="5">
        <v>1060</v>
      </c>
      <c r="E59" s="6">
        <v>0.99</v>
      </c>
      <c r="F59" s="5">
        <v>0</v>
      </c>
      <c r="G59" s="5">
        <v>64.95</v>
      </c>
      <c r="H59" s="5">
        <v>812</v>
      </c>
      <c r="I59" s="5" t="str">
        <f>HYPERLINK("https://www.ncbi.nlm.nih.gov/protein/WP_104523652.1?report=genbank&amp;log$=prottop&amp;blast_rank=136&amp;RID=7U875CNM013","WP_104523652.1")</f>
        <v>WP_104523652.1</v>
      </c>
      <c r="J59" s="5" t="s">
        <v>1087</v>
      </c>
    </row>
    <row r="60" spans="1:10" s="7" customFormat="1" x14ac:dyDescent="0.2">
      <c r="A60" s="5" t="s">
        <v>2448</v>
      </c>
      <c r="B60" s="5" t="s">
        <v>2449</v>
      </c>
      <c r="C60" s="5">
        <v>1054</v>
      </c>
      <c r="D60" s="5">
        <v>1054</v>
      </c>
      <c r="E60" s="6">
        <v>0.98</v>
      </c>
      <c r="F60" s="5">
        <v>0</v>
      </c>
      <c r="G60" s="5">
        <v>64.930000000000007</v>
      </c>
      <c r="H60" s="5">
        <v>810</v>
      </c>
      <c r="I60" s="5" t="str">
        <f>HYPERLINK("https://www.ncbi.nlm.nih.gov/protein/WP_069951819.1?report=genbank&amp;log$=prottop&amp;blast_rank=147&amp;RID=7U875CNM013","WP_069951819.1")</f>
        <v>WP_069951819.1</v>
      </c>
      <c r="J60" s="5" t="s">
        <v>1087</v>
      </c>
    </row>
    <row r="61" spans="1:10" s="7" customFormat="1" x14ac:dyDescent="0.2">
      <c r="A61" s="5" t="s">
        <v>2450</v>
      </c>
      <c r="B61" s="5" t="s">
        <v>2425</v>
      </c>
      <c r="C61" s="5">
        <v>1039</v>
      </c>
      <c r="D61" s="5">
        <v>1039</v>
      </c>
      <c r="E61" s="6">
        <v>0.98</v>
      </c>
      <c r="F61" s="5">
        <v>0</v>
      </c>
      <c r="G61" s="5">
        <v>64.92</v>
      </c>
      <c r="H61" s="5">
        <v>794</v>
      </c>
      <c r="I61" s="5" t="str">
        <f>HYPERLINK("https://www.ncbi.nlm.nih.gov/protein/WP_048890992.1?report=genbank&amp;log$=prottop&amp;blast_rank=155&amp;RID=7U875CNM013","WP_048890992.1")</f>
        <v>WP_048890992.1</v>
      </c>
      <c r="J61" s="5" t="s">
        <v>1087</v>
      </c>
    </row>
    <row r="62" spans="1:10" s="7" customFormat="1" x14ac:dyDescent="0.2">
      <c r="A62" s="5" t="s">
        <v>2451</v>
      </c>
      <c r="B62" s="5" t="s">
        <v>2452</v>
      </c>
      <c r="C62" s="5">
        <v>1038</v>
      </c>
      <c r="D62" s="5">
        <v>1038</v>
      </c>
      <c r="E62" s="6">
        <v>0.98</v>
      </c>
      <c r="F62" s="5">
        <v>0</v>
      </c>
      <c r="G62" s="5">
        <v>64.92</v>
      </c>
      <c r="H62" s="5">
        <v>790</v>
      </c>
      <c r="I62" s="5" t="str">
        <f>HYPERLINK("https://www.ncbi.nlm.nih.gov/protein/WP_184832896.1?report=genbank&amp;log$=prottop&amp;blast_rank=156&amp;RID=7U875CNM013","WP_184832896.1")</f>
        <v>WP_184832896.1</v>
      </c>
      <c r="J62" s="5" t="s">
        <v>1087</v>
      </c>
    </row>
    <row r="63" spans="1:10" s="7" customFormat="1" x14ac:dyDescent="0.2">
      <c r="A63" s="5" t="s">
        <v>2453</v>
      </c>
      <c r="B63" s="5" t="s">
        <v>2454</v>
      </c>
      <c r="C63" s="5">
        <v>1033</v>
      </c>
      <c r="D63" s="5">
        <v>1033</v>
      </c>
      <c r="E63" s="6">
        <v>0.99</v>
      </c>
      <c r="F63" s="5">
        <v>0</v>
      </c>
      <c r="G63" s="5">
        <v>64.900000000000006</v>
      </c>
      <c r="H63" s="5">
        <v>792</v>
      </c>
      <c r="I63" s="5" t="str">
        <f>HYPERLINK("https://www.ncbi.nlm.nih.gov/protein/WP_068023689.1?report=genbank&amp;log$=prottop&amp;blast_rank=160&amp;RID=7U875CNM013","WP_068023689.1")</f>
        <v>WP_068023689.1</v>
      </c>
      <c r="J63" s="5" t="s">
        <v>1087</v>
      </c>
    </row>
    <row r="64" spans="1:10" s="7" customFormat="1" x14ac:dyDescent="0.2">
      <c r="A64" s="5" t="s">
        <v>2455</v>
      </c>
      <c r="B64" s="5" t="s">
        <v>2456</v>
      </c>
      <c r="C64" s="5">
        <v>1031</v>
      </c>
      <c r="D64" s="5">
        <v>1031</v>
      </c>
      <c r="E64" s="6">
        <v>0.98</v>
      </c>
      <c r="F64" s="5">
        <v>0</v>
      </c>
      <c r="G64" s="5">
        <v>64.88</v>
      </c>
      <c r="H64" s="5">
        <v>796</v>
      </c>
      <c r="I64" s="5" t="str">
        <f>HYPERLINK("https://www.ncbi.nlm.nih.gov/protein/WP_163712835.1?report=genbank&amp;log$=prottop&amp;blast_rank=32&amp;RID=7U875CNM013","WP_163712835.1")</f>
        <v>WP_163712835.1</v>
      </c>
      <c r="J64" s="5" t="s">
        <v>1087</v>
      </c>
    </row>
    <row r="65" spans="1:10" s="7" customFormat="1" x14ac:dyDescent="0.2">
      <c r="A65" s="5" t="s">
        <v>2457</v>
      </c>
      <c r="B65" s="5" t="s">
        <v>2458</v>
      </c>
      <c r="C65" s="5">
        <v>1063</v>
      </c>
      <c r="D65" s="5">
        <v>1063</v>
      </c>
      <c r="E65" s="6">
        <v>0.98</v>
      </c>
      <c r="F65" s="5">
        <v>0</v>
      </c>
      <c r="G65" s="5">
        <v>64.84</v>
      </c>
      <c r="H65" s="5">
        <v>791</v>
      </c>
      <c r="I65" s="5" t="str">
        <f>HYPERLINK("https://www.ncbi.nlm.nih.gov/protein/WP_132685512.1?report=genbank&amp;log$=prottop&amp;blast_rank=44&amp;RID=7U875CNM013","WP_132685512.1")</f>
        <v>WP_132685512.1</v>
      </c>
      <c r="J65" s="5" t="s">
        <v>1087</v>
      </c>
    </row>
    <row r="66" spans="1:10" s="7" customFormat="1" x14ac:dyDescent="0.2">
      <c r="A66" s="5" t="s">
        <v>2459</v>
      </c>
      <c r="B66" s="5" t="s">
        <v>2460</v>
      </c>
      <c r="C66" s="5">
        <v>1054</v>
      </c>
      <c r="D66" s="5">
        <v>1054</v>
      </c>
      <c r="E66" s="6">
        <v>0.98</v>
      </c>
      <c r="F66" s="5">
        <v>0</v>
      </c>
      <c r="G66" s="5">
        <v>64.83</v>
      </c>
      <c r="H66" s="5">
        <v>800</v>
      </c>
      <c r="I66" s="5" t="str">
        <f>HYPERLINK("https://www.ncbi.nlm.nih.gov/protein/WP_089153889.1?report=genbank&amp;log$=prottop&amp;blast_rank=53&amp;RID=7U875CNM013","WP_089153889.1")</f>
        <v>WP_089153889.1</v>
      </c>
      <c r="J66" s="5" t="s">
        <v>1087</v>
      </c>
    </row>
    <row r="67" spans="1:10" s="7" customFormat="1" x14ac:dyDescent="0.2">
      <c r="A67" s="5" t="s">
        <v>2461</v>
      </c>
      <c r="B67" s="5" t="s">
        <v>2462</v>
      </c>
      <c r="C67" s="5">
        <v>1053</v>
      </c>
      <c r="D67" s="5">
        <v>1053</v>
      </c>
      <c r="E67" s="6">
        <v>0.98</v>
      </c>
      <c r="F67" s="5">
        <v>0</v>
      </c>
      <c r="G67" s="5">
        <v>64.83</v>
      </c>
      <c r="H67" s="5">
        <v>797</v>
      </c>
      <c r="I67" s="5" t="str">
        <f>HYPERLINK("https://www.ncbi.nlm.nih.gov/protein/WP_181572439.1?report=genbank&amp;log$=prottop&amp;blast_rank=54&amp;RID=7U875CNM013","WP_181572439.1")</f>
        <v>WP_181572439.1</v>
      </c>
      <c r="J67" s="5" t="s">
        <v>1087</v>
      </c>
    </row>
    <row r="68" spans="1:10" s="7" customFormat="1" x14ac:dyDescent="0.2">
      <c r="A68" s="5" t="s">
        <v>2463</v>
      </c>
      <c r="B68" s="5" t="s">
        <v>2445</v>
      </c>
      <c r="C68" s="5">
        <v>1027</v>
      </c>
      <c r="D68" s="5">
        <v>1027</v>
      </c>
      <c r="E68" s="6">
        <v>0.98</v>
      </c>
      <c r="F68" s="5">
        <v>0</v>
      </c>
      <c r="G68" s="5">
        <v>64.83</v>
      </c>
      <c r="H68" s="5">
        <v>797</v>
      </c>
      <c r="I68" s="5" t="str">
        <f>HYPERLINK("https://www.ncbi.nlm.nih.gov/protein/WP_176449950.1?report=genbank&amp;log$=prottop&amp;blast_rank=55&amp;RID=7U875CNM013","WP_176449950.1")</f>
        <v>WP_176449950.1</v>
      </c>
      <c r="J68" s="5" t="s">
        <v>1087</v>
      </c>
    </row>
    <row r="69" spans="1:10" s="7" customFormat="1" x14ac:dyDescent="0.2">
      <c r="A69" s="5" t="s">
        <v>2464</v>
      </c>
      <c r="B69" s="5" t="s">
        <v>2465</v>
      </c>
      <c r="C69" s="5">
        <v>1078</v>
      </c>
      <c r="D69" s="5">
        <v>1078</v>
      </c>
      <c r="E69" s="6">
        <v>0.99</v>
      </c>
      <c r="F69" s="5">
        <v>0</v>
      </c>
      <c r="G69" s="5">
        <v>64.819999999999993</v>
      </c>
      <c r="H69" s="5">
        <v>795</v>
      </c>
      <c r="I69" s="5" t="str">
        <f>HYPERLINK("https://www.ncbi.nlm.nih.gov/protein/MBO0880491.1?report=genbank&amp;log$=prottop&amp;blast_rank=59&amp;RID=7U875CNM013","MBO0880491.1")</f>
        <v>MBO0880491.1</v>
      </c>
      <c r="J69" s="5" t="s">
        <v>1087</v>
      </c>
    </row>
    <row r="70" spans="1:10" s="7" customFormat="1" x14ac:dyDescent="0.2">
      <c r="A70" s="5" t="s">
        <v>2466</v>
      </c>
      <c r="B70" s="5" t="s">
        <v>2467</v>
      </c>
      <c r="C70" s="5">
        <v>1065</v>
      </c>
      <c r="D70" s="5">
        <v>1065</v>
      </c>
      <c r="E70" s="6">
        <v>0.98</v>
      </c>
      <c r="F70" s="5">
        <v>0</v>
      </c>
      <c r="G70" s="5">
        <v>64.8</v>
      </c>
      <c r="H70" s="5">
        <v>800</v>
      </c>
      <c r="I70" s="5" t="str">
        <f>HYPERLINK("https://www.ncbi.nlm.nih.gov/protein/RBJ02956.1?report=genbank&amp;log$=prottop&amp;blast_rank=77&amp;RID=7U875CNM013","RBJ02956.1")</f>
        <v>RBJ02956.1</v>
      </c>
      <c r="J70" s="5" t="s">
        <v>1087</v>
      </c>
    </row>
    <row r="71" spans="1:10" s="7" customFormat="1" x14ac:dyDescent="0.2">
      <c r="A71" s="5" t="s">
        <v>2468</v>
      </c>
      <c r="B71" s="5" t="s">
        <v>2469</v>
      </c>
      <c r="C71" s="5">
        <v>1063</v>
      </c>
      <c r="D71" s="5">
        <v>1063</v>
      </c>
      <c r="E71" s="6">
        <v>0.98</v>
      </c>
      <c r="F71" s="5">
        <v>0</v>
      </c>
      <c r="G71" s="5">
        <v>64.8</v>
      </c>
      <c r="H71" s="5">
        <v>800</v>
      </c>
      <c r="I71" s="5" t="str">
        <f>HYPERLINK("https://www.ncbi.nlm.nih.gov/protein/WP_013284889.1?report=genbank&amp;log$=prottop&amp;blast_rank=79&amp;RID=7U875CNM013","WP_013284889.1")</f>
        <v>WP_013284889.1</v>
      </c>
      <c r="J71" s="5" t="s">
        <v>1087</v>
      </c>
    </row>
    <row r="72" spans="1:10" s="7" customFormat="1" x14ac:dyDescent="0.2">
      <c r="A72" s="5" t="s">
        <v>2470</v>
      </c>
      <c r="B72" s="5" t="s">
        <v>2471</v>
      </c>
      <c r="C72" s="5">
        <v>1057</v>
      </c>
      <c r="D72" s="5">
        <v>1057</v>
      </c>
      <c r="E72" s="6">
        <v>0.98</v>
      </c>
      <c r="F72" s="5">
        <v>0</v>
      </c>
      <c r="G72" s="5">
        <v>64.8</v>
      </c>
      <c r="H72" s="5">
        <v>801</v>
      </c>
      <c r="I72" s="5" t="str">
        <f>HYPERLINK("https://www.ncbi.nlm.nih.gov/protein/WP_149620979.1?report=genbank&amp;log$=prottop&amp;blast_rank=80&amp;RID=7U875CNM013","WP_149620979.1")</f>
        <v>WP_149620979.1</v>
      </c>
      <c r="J72" s="5" t="s">
        <v>1087</v>
      </c>
    </row>
    <row r="73" spans="1:10" s="7" customFormat="1" x14ac:dyDescent="0.2">
      <c r="A73" s="5" t="s">
        <v>2472</v>
      </c>
      <c r="B73" s="5" t="s">
        <v>2473</v>
      </c>
      <c r="C73" s="5">
        <v>1055</v>
      </c>
      <c r="D73" s="5">
        <v>1055</v>
      </c>
      <c r="E73" s="6">
        <v>0.98</v>
      </c>
      <c r="F73" s="5">
        <v>0</v>
      </c>
      <c r="G73" s="5">
        <v>64.8</v>
      </c>
      <c r="H73" s="5">
        <v>806</v>
      </c>
      <c r="I73" s="5" t="str">
        <f>HYPERLINK("https://www.ncbi.nlm.nih.gov/protein/WP_190817176.1?report=genbank&amp;log$=prottop&amp;blast_rank=81&amp;RID=7U875CNM013","WP_190817176.1")</f>
        <v>WP_190817176.1</v>
      </c>
      <c r="J73" s="5" t="s">
        <v>1087</v>
      </c>
    </row>
    <row r="74" spans="1:10" s="7" customFormat="1" x14ac:dyDescent="0.2">
      <c r="A74" s="5" t="s">
        <v>2474</v>
      </c>
      <c r="B74" s="5" t="s">
        <v>2475</v>
      </c>
      <c r="C74" s="5">
        <v>1055</v>
      </c>
      <c r="D74" s="5">
        <v>1055</v>
      </c>
      <c r="E74" s="6">
        <v>0.98</v>
      </c>
      <c r="F74" s="5">
        <v>0</v>
      </c>
      <c r="G74" s="5">
        <v>64.8</v>
      </c>
      <c r="H74" s="5">
        <v>806</v>
      </c>
      <c r="I74" s="5" t="str">
        <f>HYPERLINK("https://www.ncbi.nlm.nih.gov/protein/WP_168587407.1?report=genbank&amp;log$=prottop&amp;blast_rank=82&amp;RID=7U875CNM013","WP_168587407.1")</f>
        <v>WP_168587407.1</v>
      </c>
      <c r="J74" s="5" t="s">
        <v>1087</v>
      </c>
    </row>
    <row r="75" spans="1:10" s="7" customFormat="1" x14ac:dyDescent="0.2">
      <c r="A75" s="5" t="s">
        <v>2476</v>
      </c>
      <c r="B75" s="5" t="s">
        <v>2477</v>
      </c>
      <c r="C75" s="5">
        <v>1054</v>
      </c>
      <c r="D75" s="5">
        <v>1054</v>
      </c>
      <c r="E75" s="6">
        <v>0.98</v>
      </c>
      <c r="F75" s="5">
        <v>0</v>
      </c>
      <c r="G75" s="5">
        <v>64.8</v>
      </c>
      <c r="H75" s="5">
        <v>801</v>
      </c>
      <c r="I75" s="5" t="str">
        <f>HYPERLINK("https://www.ncbi.nlm.nih.gov/protein/WP_104112080.1?report=genbank&amp;log$=prottop&amp;blast_rank=83&amp;RID=7U875CNM013","WP_104112080.1")</f>
        <v>WP_104112080.1</v>
      </c>
      <c r="J75" s="5" t="s">
        <v>1087</v>
      </c>
    </row>
    <row r="76" spans="1:10" s="7" customFormat="1" x14ac:dyDescent="0.2">
      <c r="A76" s="5" t="s">
        <v>2478</v>
      </c>
      <c r="B76" s="5" t="s">
        <v>2479</v>
      </c>
      <c r="C76" s="5">
        <v>1041</v>
      </c>
      <c r="D76" s="5">
        <v>1041</v>
      </c>
      <c r="E76" s="6">
        <v>0.98</v>
      </c>
      <c r="F76" s="5">
        <v>0</v>
      </c>
      <c r="G76" s="5">
        <v>64.8</v>
      </c>
      <c r="H76" s="5">
        <v>823</v>
      </c>
      <c r="I76" s="5" t="str">
        <f>HYPERLINK("https://www.ncbi.nlm.nih.gov/protein/NLT55284.1?report=genbank&amp;log$=prottop&amp;blast_rank=84&amp;RID=7U875CNM013","NLT55284.1")</f>
        <v>NLT55284.1</v>
      </c>
      <c r="J76" s="5" t="s">
        <v>1087</v>
      </c>
    </row>
    <row r="77" spans="1:10" s="7" customFormat="1" x14ac:dyDescent="0.2">
      <c r="A77" s="5" t="s">
        <v>2480</v>
      </c>
      <c r="B77" s="5" t="s">
        <v>2481</v>
      </c>
      <c r="C77" s="5">
        <v>1071</v>
      </c>
      <c r="D77" s="5">
        <v>1071</v>
      </c>
      <c r="E77" s="6">
        <v>0.99</v>
      </c>
      <c r="F77" s="5">
        <v>0</v>
      </c>
      <c r="G77" s="5">
        <v>64.78</v>
      </c>
      <c r="H77" s="5">
        <v>791</v>
      </c>
      <c r="I77" s="5" t="str">
        <f>HYPERLINK("https://www.ncbi.nlm.nih.gov/protein/WP_173061353.1?report=genbank&amp;log$=prottop&amp;blast_rank=90&amp;RID=7U875CNM013","WP_173061353.1")</f>
        <v>WP_173061353.1</v>
      </c>
      <c r="J77" s="5" t="s">
        <v>1087</v>
      </c>
    </row>
    <row r="78" spans="1:10" s="7" customFormat="1" x14ac:dyDescent="0.2">
      <c r="A78" s="5" t="s">
        <v>2453</v>
      </c>
      <c r="B78" s="5" t="s">
        <v>2454</v>
      </c>
      <c r="C78" s="5">
        <v>1040</v>
      </c>
      <c r="D78" s="5">
        <v>1040</v>
      </c>
      <c r="E78" s="6">
        <v>0.99</v>
      </c>
      <c r="F78" s="5">
        <v>0</v>
      </c>
      <c r="G78" s="5">
        <v>64.77</v>
      </c>
      <c r="H78" s="5">
        <v>798</v>
      </c>
      <c r="I78" s="5" t="str">
        <f>HYPERLINK("https://www.ncbi.nlm.nih.gov/protein/WP_085074285.1?report=genbank&amp;log$=prottop&amp;blast_rank=94&amp;RID=7U875CNM013","WP_085074285.1")</f>
        <v>WP_085074285.1</v>
      </c>
      <c r="J78" s="5" t="s">
        <v>1087</v>
      </c>
    </row>
    <row r="79" spans="1:10" s="7" customFormat="1" x14ac:dyDescent="0.2">
      <c r="A79" s="5" t="s">
        <v>2482</v>
      </c>
      <c r="B79" s="5" t="s">
        <v>2483</v>
      </c>
      <c r="C79" s="5">
        <v>1043</v>
      </c>
      <c r="D79" s="5">
        <v>1043</v>
      </c>
      <c r="E79" s="6">
        <v>0.98</v>
      </c>
      <c r="F79" s="5">
        <v>0</v>
      </c>
      <c r="G79" s="5">
        <v>64.72</v>
      </c>
      <c r="H79" s="5">
        <v>796</v>
      </c>
      <c r="I79" s="5" t="str">
        <f>HYPERLINK("https://www.ncbi.nlm.nih.gov/protein/WP_040275902.1?report=genbank&amp;log$=prottop&amp;blast_rank=130&amp;RID=7U875CNM013","WP_040275902.1")</f>
        <v>WP_040275902.1</v>
      </c>
      <c r="J79" s="5" t="s">
        <v>1087</v>
      </c>
    </row>
    <row r="80" spans="1:10" s="7" customFormat="1" x14ac:dyDescent="0.2">
      <c r="A80" s="5" t="s">
        <v>2484</v>
      </c>
      <c r="B80" s="5" t="s">
        <v>2485</v>
      </c>
      <c r="C80" s="5">
        <v>1042</v>
      </c>
      <c r="D80" s="5">
        <v>1042</v>
      </c>
      <c r="E80" s="6">
        <v>0.98</v>
      </c>
      <c r="F80" s="5">
        <v>0</v>
      </c>
      <c r="G80" s="5">
        <v>64.72</v>
      </c>
      <c r="H80" s="5">
        <v>796</v>
      </c>
      <c r="I80" s="5" t="str">
        <f>HYPERLINK("https://www.ncbi.nlm.nih.gov/protein/WP_010595866.1?report=genbank&amp;log$=prottop&amp;blast_rank=131&amp;RID=7U875CNM013","WP_010595866.1")</f>
        <v>WP_010595866.1</v>
      </c>
      <c r="J80" s="5" t="s">
        <v>1087</v>
      </c>
    </row>
    <row r="81" spans="1:10" s="7" customFormat="1" x14ac:dyDescent="0.2">
      <c r="A81" s="5" t="s">
        <v>2486</v>
      </c>
      <c r="B81" s="5" t="s">
        <v>2487</v>
      </c>
      <c r="C81" s="5">
        <v>1060</v>
      </c>
      <c r="D81" s="5">
        <v>1060</v>
      </c>
      <c r="E81" s="6">
        <v>0.98</v>
      </c>
      <c r="F81" s="5">
        <v>0</v>
      </c>
      <c r="G81" s="5">
        <v>64.709999999999994</v>
      </c>
      <c r="H81" s="5">
        <v>804</v>
      </c>
      <c r="I81" s="5" t="str">
        <f>HYPERLINK("https://www.ncbi.nlm.nih.gov/protein/SFS66618.1?report=genbank&amp;log$=prottop&amp;blast_rank=139&amp;RID=7U875CNM013","SFS66618.1")</f>
        <v>SFS66618.1</v>
      </c>
      <c r="J81" s="5" t="s">
        <v>1087</v>
      </c>
    </row>
    <row r="82" spans="1:10" s="7" customFormat="1" x14ac:dyDescent="0.2">
      <c r="A82" s="5" t="s">
        <v>2488</v>
      </c>
      <c r="B82" s="5" t="s">
        <v>2487</v>
      </c>
      <c r="C82" s="5">
        <v>1059</v>
      </c>
      <c r="D82" s="5">
        <v>1059</v>
      </c>
      <c r="E82" s="6">
        <v>0.98</v>
      </c>
      <c r="F82" s="5">
        <v>0</v>
      </c>
      <c r="G82" s="5">
        <v>64.709999999999994</v>
      </c>
      <c r="H82" s="5">
        <v>791</v>
      </c>
      <c r="I82" s="5" t="str">
        <f>HYPERLINK("https://www.ncbi.nlm.nih.gov/protein/WP_093417024.1?report=genbank&amp;log$=prottop&amp;blast_rank=140&amp;RID=7U875CNM013","WP_093417024.1")</f>
        <v>WP_093417024.1</v>
      </c>
      <c r="J82" s="5" t="s">
        <v>1087</v>
      </c>
    </row>
    <row r="83" spans="1:10" s="7" customFormat="1" x14ac:dyDescent="0.2">
      <c r="A83" s="5" t="s">
        <v>2489</v>
      </c>
      <c r="B83" s="5" t="s">
        <v>2490</v>
      </c>
      <c r="C83" s="5">
        <v>1055</v>
      </c>
      <c r="D83" s="5">
        <v>1055</v>
      </c>
      <c r="E83" s="6">
        <v>0.98</v>
      </c>
      <c r="F83" s="5">
        <v>0</v>
      </c>
      <c r="G83" s="5">
        <v>64.709999999999994</v>
      </c>
      <c r="H83" s="5">
        <v>800</v>
      </c>
      <c r="I83" s="5" t="str">
        <f>HYPERLINK("https://www.ncbi.nlm.nih.gov/protein/WP_154225439.1?report=genbank&amp;log$=prottop&amp;blast_rank=149&amp;RID=7U875CNM013","WP_154225439.1")</f>
        <v>WP_154225439.1</v>
      </c>
      <c r="J83" s="5" t="s">
        <v>1087</v>
      </c>
    </row>
    <row r="84" spans="1:10" s="7" customFormat="1" x14ac:dyDescent="0.2">
      <c r="A84" s="5" t="s">
        <v>2491</v>
      </c>
      <c r="B84" s="5" t="s">
        <v>2492</v>
      </c>
      <c r="C84" s="5">
        <v>1041</v>
      </c>
      <c r="D84" s="5">
        <v>1041</v>
      </c>
      <c r="E84" s="6">
        <v>0.98</v>
      </c>
      <c r="F84" s="5">
        <v>0</v>
      </c>
      <c r="G84" s="5">
        <v>64.709999999999994</v>
      </c>
      <c r="H84" s="5">
        <v>800</v>
      </c>
      <c r="I84" s="5" t="str">
        <f>HYPERLINK("https://www.ncbi.nlm.nih.gov/protein/WP_099161910.1?report=genbank&amp;log$=prottop&amp;blast_rank=150&amp;RID=7U875CNM013","WP_099161910.1")</f>
        <v>WP_099161910.1</v>
      </c>
      <c r="J84" s="5" t="s">
        <v>1087</v>
      </c>
    </row>
    <row r="85" spans="1:10" s="7" customFormat="1" x14ac:dyDescent="0.2">
      <c r="A85" s="5" t="s">
        <v>2493</v>
      </c>
      <c r="B85" s="5" t="s">
        <v>2494</v>
      </c>
      <c r="C85" s="5">
        <v>1040</v>
      </c>
      <c r="D85" s="5">
        <v>1040</v>
      </c>
      <c r="E85" s="6">
        <v>0.98</v>
      </c>
      <c r="F85" s="5">
        <v>0</v>
      </c>
      <c r="G85" s="5">
        <v>64.709999999999994</v>
      </c>
      <c r="H85" s="5">
        <v>814</v>
      </c>
      <c r="I85" s="5" t="str">
        <f>HYPERLINK("https://www.ncbi.nlm.nih.gov/protein/WP_163482068.1?report=genbank&amp;log$=prottop&amp;blast_rank=151&amp;RID=7U875CNM013","WP_163482068.1")</f>
        <v>WP_163482068.1</v>
      </c>
      <c r="J85" s="5" t="s">
        <v>1087</v>
      </c>
    </row>
    <row r="86" spans="1:10" s="7" customFormat="1" x14ac:dyDescent="0.2">
      <c r="A86" s="5" t="s">
        <v>2495</v>
      </c>
      <c r="B86" s="5" t="s">
        <v>2496</v>
      </c>
      <c r="C86" s="5">
        <v>1037</v>
      </c>
      <c r="D86" s="5">
        <v>1037</v>
      </c>
      <c r="E86" s="6">
        <v>0.98</v>
      </c>
      <c r="F86" s="5">
        <v>0</v>
      </c>
      <c r="G86" s="5">
        <v>64.709999999999994</v>
      </c>
      <c r="H86" s="5">
        <v>804</v>
      </c>
      <c r="I86" s="5" t="str">
        <f>HYPERLINK("https://www.ncbi.nlm.nih.gov/protein/WP_209309216.1?report=genbank&amp;log$=prottop&amp;blast_rank=152&amp;RID=7U875CNM013","WP_209309216.1")</f>
        <v>WP_209309216.1</v>
      </c>
      <c r="J86" s="5" t="s">
        <v>1087</v>
      </c>
    </row>
    <row r="87" spans="1:10" s="7" customFormat="1" x14ac:dyDescent="0.2">
      <c r="A87" s="5" t="s">
        <v>2497</v>
      </c>
      <c r="B87" s="5" t="s">
        <v>2498</v>
      </c>
      <c r="C87" s="5">
        <v>1036</v>
      </c>
      <c r="D87" s="5">
        <v>1036</v>
      </c>
      <c r="E87" s="6">
        <v>0.98</v>
      </c>
      <c r="F87" s="5">
        <v>0</v>
      </c>
      <c r="G87" s="5">
        <v>64.709999999999994</v>
      </c>
      <c r="H87" s="5">
        <v>812</v>
      </c>
      <c r="I87" s="5" t="str">
        <f>HYPERLINK("https://www.ncbi.nlm.nih.gov/protein/WP_051516037.1?report=genbank&amp;log$=prottop&amp;blast_rank=153&amp;RID=7U875CNM013","WP_051516037.1")</f>
        <v>WP_051516037.1</v>
      </c>
      <c r="J87" s="5" t="s">
        <v>1087</v>
      </c>
    </row>
    <row r="88" spans="1:10" s="7" customFormat="1" x14ac:dyDescent="0.2">
      <c r="A88" s="5" t="s">
        <v>2499</v>
      </c>
      <c r="B88" s="5" t="s">
        <v>2500</v>
      </c>
      <c r="C88" s="5">
        <v>1063</v>
      </c>
      <c r="D88" s="5">
        <v>1063</v>
      </c>
      <c r="E88" s="6">
        <v>0.98</v>
      </c>
      <c r="F88" s="5">
        <v>0</v>
      </c>
      <c r="G88" s="5">
        <v>64.67</v>
      </c>
      <c r="H88" s="5">
        <v>800</v>
      </c>
      <c r="I88" s="5" t="str">
        <f>HYPERLINK("https://www.ncbi.nlm.nih.gov/protein/WP_151500389.1?report=genbank&amp;log$=prottop&amp;blast_rank=14&amp;RID=7U875CNM013","WP_151500389.1")</f>
        <v>WP_151500389.1</v>
      </c>
      <c r="J88" s="5" t="s">
        <v>1087</v>
      </c>
    </row>
    <row r="89" spans="1:10" s="7" customFormat="1" x14ac:dyDescent="0.2">
      <c r="A89" s="5" t="s">
        <v>2501</v>
      </c>
      <c r="B89" s="5" t="s">
        <v>2469</v>
      </c>
      <c r="C89" s="5">
        <v>1062</v>
      </c>
      <c r="D89" s="5">
        <v>1062</v>
      </c>
      <c r="E89" s="6">
        <v>0.98</v>
      </c>
      <c r="F89" s="5">
        <v>0</v>
      </c>
      <c r="G89" s="5">
        <v>64.67</v>
      </c>
      <c r="H89" s="5">
        <v>800</v>
      </c>
      <c r="I89" s="5" t="str">
        <f>HYPERLINK("https://www.ncbi.nlm.nih.gov/protein/WP_187690952.1?report=genbank&amp;log$=prottop&amp;blast_rank=15&amp;RID=7U875CNM013","WP_187690952.1")</f>
        <v>WP_187690952.1</v>
      </c>
      <c r="J89" s="5" t="s">
        <v>1087</v>
      </c>
    </row>
    <row r="90" spans="1:10" s="7" customFormat="1" x14ac:dyDescent="0.2">
      <c r="A90" s="5" t="s">
        <v>2499</v>
      </c>
      <c r="B90" s="5" t="s">
        <v>2500</v>
      </c>
      <c r="C90" s="5">
        <v>1062</v>
      </c>
      <c r="D90" s="5">
        <v>1062</v>
      </c>
      <c r="E90" s="6">
        <v>0.98</v>
      </c>
      <c r="F90" s="5">
        <v>0</v>
      </c>
      <c r="G90" s="5">
        <v>64.67</v>
      </c>
      <c r="H90" s="5">
        <v>800</v>
      </c>
      <c r="I90" s="5" t="str">
        <f>HYPERLINK("https://www.ncbi.nlm.nih.gov/protein/WP_071096150.1?report=genbank&amp;log$=prottop&amp;blast_rank=16&amp;RID=7U875CNM013","WP_071096150.1")</f>
        <v>WP_071096150.1</v>
      </c>
      <c r="J90" s="5" t="s">
        <v>1087</v>
      </c>
    </row>
    <row r="91" spans="1:10" s="7" customFormat="1" x14ac:dyDescent="0.2">
      <c r="A91" s="5" t="s">
        <v>2468</v>
      </c>
      <c r="B91" s="5" t="s">
        <v>2469</v>
      </c>
      <c r="C91" s="5">
        <v>1061</v>
      </c>
      <c r="D91" s="5">
        <v>1061</v>
      </c>
      <c r="E91" s="6">
        <v>0.98</v>
      </c>
      <c r="F91" s="5">
        <v>0</v>
      </c>
      <c r="G91" s="5">
        <v>64.67</v>
      </c>
      <c r="H91" s="5">
        <v>800</v>
      </c>
      <c r="I91" s="5" t="str">
        <f>HYPERLINK("https://www.ncbi.nlm.nih.gov/protein/WP_151014760.1?report=genbank&amp;log$=prottop&amp;blast_rank=17&amp;RID=7U875CNM013","WP_151014760.1")</f>
        <v>WP_151014760.1</v>
      </c>
      <c r="J91" s="5" t="s">
        <v>1087</v>
      </c>
    </row>
    <row r="92" spans="1:10" s="7" customFormat="1" x14ac:dyDescent="0.2">
      <c r="A92" s="5" t="s">
        <v>2468</v>
      </c>
      <c r="B92" s="5" t="s">
        <v>2469</v>
      </c>
      <c r="C92" s="5">
        <v>1061</v>
      </c>
      <c r="D92" s="5">
        <v>1061</v>
      </c>
      <c r="E92" s="6">
        <v>0.98</v>
      </c>
      <c r="F92" s="5">
        <v>0</v>
      </c>
      <c r="G92" s="5">
        <v>64.67</v>
      </c>
      <c r="H92" s="5">
        <v>800</v>
      </c>
      <c r="I92" s="5" t="str">
        <f>HYPERLINK("https://www.ncbi.nlm.nih.gov/protein/WP_123111184.1?report=genbank&amp;log$=prottop&amp;blast_rank=18&amp;RID=7U875CNM013","WP_123111184.1")</f>
        <v>WP_123111184.1</v>
      </c>
      <c r="J92" s="5" t="s">
        <v>1087</v>
      </c>
    </row>
    <row r="93" spans="1:10" s="7" customFormat="1" x14ac:dyDescent="0.2">
      <c r="A93" s="5" t="s">
        <v>2502</v>
      </c>
      <c r="B93" s="5" t="s">
        <v>2503</v>
      </c>
      <c r="C93" s="5">
        <v>1061</v>
      </c>
      <c r="D93" s="5">
        <v>1061</v>
      </c>
      <c r="E93" s="6">
        <v>0.98</v>
      </c>
      <c r="F93" s="5">
        <v>0</v>
      </c>
      <c r="G93" s="5">
        <v>64.67</v>
      </c>
      <c r="H93" s="5">
        <v>800</v>
      </c>
      <c r="I93" s="5" t="str">
        <f>HYPERLINK("https://www.ncbi.nlm.nih.gov/protein/WP_091427698.1?report=genbank&amp;log$=prottop&amp;blast_rank=19&amp;RID=7U875CNM013","WP_091427698.1")</f>
        <v>WP_091427698.1</v>
      </c>
      <c r="J93" s="5" t="s">
        <v>1087</v>
      </c>
    </row>
    <row r="94" spans="1:10" s="7" customFormat="1" x14ac:dyDescent="0.2">
      <c r="A94" s="5" t="s">
        <v>2504</v>
      </c>
      <c r="B94" s="5" t="s">
        <v>2505</v>
      </c>
      <c r="C94" s="5">
        <v>1058</v>
      </c>
      <c r="D94" s="5">
        <v>1058</v>
      </c>
      <c r="E94" s="6">
        <v>0.98</v>
      </c>
      <c r="F94" s="5">
        <v>0</v>
      </c>
      <c r="G94" s="5">
        <v>64.67</v>
      </c>
      <c r="H94" s="5">
        <v>800</v>
      </c>
      <c r="I94" s="5" t="str">
        <f>HYPERLINK("https://www.ncbi.nlm.nih.gov/protein/WP_030501780.1?report=genbank&amp;log$=prottop&amp;blast_rank=20&amp;RID=7U875CNM013","WP_030501780.1")</f>
        <v>WP_030501780.1</v>
      </c>
      <c r="J94" s="5" t="s">
        <v>1087</v>
      </c>
    </row>
    <row r="95" spans="1:10" s="7" customFormat="1" x14ac:dyDescent="0.2">
      <c r="A95" s="5" t="s">
        <v>2506</v>
      </c>
      <c r="B95" s="5" t="s">
        <v>2507</v>
      </c>
      <c r="C95" s="5">
        <v>1055</v>
      </c>
      <c r="D95" s="5">
        <v>1055</v>
      </c>
      <c r="E95" s="6">
        <v>0.98</v>
      </c>
      <c r="F95" s="5">
        <v>0</v>
      </c>
      <c r="G95" s="5">
        <v>64.67</v>
      </c>
      <c r="H95" s="5">
        <v>806</v>
      </c>
      <c r="I95" s="5" t="str">
        <f>HYPERLINK("https://www.ncbi.nlm.nih.gov/protein/WP_010694904.1?report=genbank&amp;log$=prottop&amp;blast_rank=21&amp;RID=7U875CNM013","WP_010694904.1")</f>
        <v>WP_010694904.1</v>
      </c>
      <c r="J95" s="5" t="s">
        <v>1087</v>
      </c>
    </row>
    <row r="96" spans="1:10" s="7" customFormat="1" x14ac:dyDescent="0.2">
      <c r="A96" s="5" t="s">
        <v>2508</v>
      </c>
      <c r="B96" s="5" t="s">
        <v>2509</v>
      </c>
      <c r="C96" s="5">
        <v>1042</v>
      </c>
      <c r="D96" s="5">
        <v>1042</v>
      </c>
      <c r="E96" s="6">
        <v>0.98</v>
      </c>
      <c r="F96" s="5">
        <v>0</v>
      </c>
      <c r="G96" s="5">
        <v>64.67</v>
      </c>
      <c r="H96" s="5">
        <v>792</v>
      </c>
      <c r="I96" s="5" t="str">
        <f>HYPERLINK("https://www.ncbi.nlm.nih.gov/protein/WP_131338693.1?report=genbank&amp;log$=prottop&amp;blast_rank=24&amp;RID=7U875CNM013","WP_131338693.1")</f>
        <v>WP_131338693.1</v>
      </c>
      <c r="J96" s="5" t="s">
        <v>1087</v>
      </c>
    </row>
    <row r="97" spans="1:10" s="7" customFormat="1" x14ac:dyDescent="0.2">
      <c r="A97" s="5" t="s">
        <v>2510</v>
      </c>
      <c r="B97" s="5" t="s">
        <v>2511</v>
      </c>
      <c r="C97" s="5">
        <v>1055</v>
      </c>
      <c r="D97" s="5">
        <v>1055</v>
      </c>
      <c r="E97" s="6">
        <v>0.99</v>
      </c>
      <c r="F97" s="5">
        <v>0</v>
      </c>
      <c r="G97" s="5">
        <v>64.650000000000006</v>
      </c>
      <c r="H97" s="5">
        <v>810</v>
      </c>
      <c r="I97" s="5" t="str">
        <f>HYPERLINK("https://www.ncbi.nlm.nih.gov/protein/WP_068737989.1?report=genbank&amp;log$=prottop&amp;blast_rank=27&amp;RID=7U875CNM013","WP_068737989.1")</f>
        <v>WP_068737989.1</v>
      </c>
      <c r="J97" s="5" t="s">
        <v>1087</v>
      </c>
    </row>
    <row r="98" spans="1:10" s="7" customFormat="1" x14ac:dyDescent="0.2">
      <c r="A98" s="5" t="s">
        <v>2453</v>
      </c>
      <c r="B98" s="5" t="s">
        <v>2454</v>
      </c>
      <c r="C98" s="5">
        <v>1038</v>
      </c>
      <c r="D98" s="5">
        <v>1038</v>
      </c>
      <c r="E98" s="6">
        <v>0.99</v>
      </c>
      <c r="F98" s="5">
        <v>0</v>
      </c>
      <c r="G98" s="5">
        <v>64.650000000000006</v>
      </c>
      <c r="H98" s="5">
        <v>792</v>
      </c>
      <c r="I98" s="5" t="str">
        <f>HYPERLINK("https://www.ncbi.nlm.nih.gov/protein/WP_068156638.1?report=genbank&amp;log$=prottop&amp;blast_rank=28&amp;RID=7U875CNM013","WP_068156638.1")</f>
        <v>WP_068156638.1</v>
      </c>
      <c r="J98" s="5" t="s">
        <v>1087</v>
      </c>
    </row>
    <row r="99" spans="1:10" s="7" customFormat="1" x14ac:dyDescent="0.2">
      <c r="A99" s="5" t="s">
        <v>2512</v>
      </c>
      <c r="B99" s="5" t="s">
        <v>2513</v>
      </c>
      <c r="C99" s="5">
        <v>1048</v>
      </c>
      <c r="D99" s="5">
        <v>1048</v>
      </c>
      <c r="E99" s="6">
        <v>0.98</v>
      </c>
      <c r="F99" s="5">
        <v>0</v>
      </c>
      <c r="G99" s="5">
        <v>64.62</v>
      </c>
      <c r="H99" s="5">
        <v>810</v>
      </c>
      <c r="I99" s="5" t="str">
        <f>HYPERLINK("https://www.ncbi.nlm.nih.gov/protein/WP_168485320.1?report=genbank&amp;log$=prottop&amp;blast_rank=52&amp;RID=7U875CNM013","WP_168485320.1")</f>
        <v>WP_168485320.1</v>
      </c>
      <c r="J99" s="5" t="s">
        <v>1087</v>
      </c>
    </row>
    <row r="100" spans="1:10" s="7" customFormat="1" x14ac:dyDescent="0.2">
      <c r="A100" s="5" t="s">
        <v>2514</v>
      </c>
      <c r="B100" s="5" t="s">
        <v>2515</v>
      </c>
      <c r="C100" s="5">
        <v>1026</v>
      </c>
      <c r="D100" s="5">
        <v>1026</v>
      </c>
      <c r="E100" s="6">
        <v>0.98</v>
      </c>
      <c r="F100" s="5">
        <v>0</v>
      </c>
      <c r="G100" s="5">
        <v>64.62</v>
      </c>
      <c r="H100" s="5">
        <v>792</v>
      </c>
      <c r="I100" s="5" t="str">
        <f>HYPERLINK("https://www.ncbi.nlm.nih.gov/protein/WP_096440176.1?report=genbank&amp;log$=prottop&amp;blast_rank=53&amp;RID=7U875CNM013","WP_096440176.1")</f>
        <v>WP_096440176.1</v>
      </c>
      <c r="J100" s="5" t="s">
        <v>1087</v>
      </c>
    </row>
    <row r="101" spans="1:10" s="7" customFormat="1" x14ac:dyDescent="0.2">
      <c r="A101" s="5" t="s">
        <v>2482</v>
      </c>
      <c r="B101" s="5" t="s">
        <v>2483</v>
      </c>
      <c r="C101" s="5">
        <v>1041</v>
      </c>
      <c r="D101" s="5">
        <v>1041</v>
      </c>
      <c r="E101" s="6">
        <v>0.98</v>
      </c>
      <c r="F101" s="5">
        <v>0</v>
      </c>
      <c r="G101" s="5">
        <v>64.59</v>
      </c>
      <c r="H101" s="5">
        <v>796</v>
      </c>
      <c r="I101" s="5" t="str">
        <f>HYPERLINK("https://www.ncbi.nlm.nih.gov/protein/WP_119699638.1?report=genbank&amp;log$=prottop&amp;blast_rank=66&amp;RID=7U875CNM013","WP_119699638.1")</f>
        <v>WP_119699638.1</v>
      </c>
      <c r="J101" s="5" t="s">
        <v>1087</v>
      </c>
    </row>
    <row r="102" spans="1:10" s="7" customFormat="1" x14ac:dyDescent="0.2">
      <c r="A102" s="5" t="s">
        <v>2482</v>
      </c>
      <c r="B102" s="5" t="s">
        <v>2483</v>
      </c>
      <c r="C102" s="5">
        <v>1041</v>
      </c>
      <c r="D102" s="5">
        <v>1041</v>
      </c>
      <c r="E102" s="6">
        <v>0.98</v>
      </c>
      <c r="F102" s="5">
        <v>0</v>
      </c>
      <c r="G102" s="5">
        <v>64.59</v>
      </c>
      <c r="H102" s="5">
        <v>796</v>
      </c>
      <c r="I102" s="5" t="str">
        <f>HYPERLINK("https://www.ncbi.nlm.nih.gov/protein/WP_017682007.1?report=genbank&amp;log$=prottop&amp;blast_rank=67&amp;RID=7U875CNM013","WP_017682007.1")</f>
        <v>WP_017682007.1</v>
      </c>
      <c r="J102" s="5" t="s">
        <v>1087</v>
      </c>
    </row>
    <row r="103" spans="1:10" s="7" customFormat="1" x14ac:dyDescent="0.2">
      <c r="A103" s="5" t="s">
        <v>2516</v>
      </c>
      <c r="B103" s="5" t="s">
        <v>2517</v>
      </c>
      <c r="C103" s="5">
        <v>1061</v>
      </c>
      <c r="D103" s="5">
        <v>1061</v>
      </c>
      <c r="E103" s="6">
        <v>0.98</v>
      </c>
      <c r="F103" s="5">
        <v>0</v>
      </c>
      <c r="G103" s="5">
        <v>64.59</v>
      </c>
      <c r="H103" s="5">
        <v>791</v>
      </c>
      <c r="I103" s="5" t="str">
        <f>HYPERLINK("https://www.ncbi.nlm.nih.gov/protein/WP_132672714.1?report=genbank&amp;log$=prottop&amp;blast_rank=72&amp;RID=7U875CNM013","WP_132672714.1")</f>
        <v>WP_132672714.1</v>
      </c>
      <c r="J103" s="5" t="s">
        <v>1087</v>
      </c>
    </row>
    <row r="104" spans="1:10" s="7" customFormat="1" x14ac:dyDescent="0.2">
      <c r="A104" s="5" t="s">
        <v>2518</v>
      </c>
      <c r="B104" s="5" t="s">
        <v>2519</v>
      </c>
      <c r="C104" s="5">
        <v>1053</v>
      </c>
      <c r="D104" s="5">
        <v>1053</v>
      </c>
      <c r="E104" s="6">
        <v>0.98</v>
      </c>
      <c r="F104" s="5">
        <v>0</v>
      </c>
      <c r="G104" s="5">
        <v>64.58</v>
      </c>
      <c r="H104" s="5">
        <v>800</v>
      </c>
      <c r="I104" s="5" t="str">
        <f>HYPERLINK("https://www.ncbi.nlm.nih.gov/protein/WP_091269976.1?report=genbank&amp;log$=prottop&amp;blast_rank=75&amp;RID=7U875CNM013","WP_091269976.1")</f>
        <v>WP_091269976.1</v>
      </c>
      <c r="J104" s="5" t="s">
        <v>1087</v>
      </c>
    </row>
    <row r="105" spans="1:10" s="7" customFormat="1" x14ac:dyDescent="0.2">
      <c r="A105" s="5" t="s">
        <v>2520</v>
      </c>
      <c r="B105" s="5" t="s">
        <v>2521</v>
      </c>
      <c r="C105" s="5">
        <v>1053</v>
      </c>
      <c r="D105" s="5">
        <v>1053</v>
      </c>
      <c r="E105" s="6">
        <v>0.98</v>
      </c>
      <c r="F105" s="5">
        <v>0</v>
      </c>
      <c r="G105" s="5">
        <v>64.58</v>
      </c>
      <c r="H105" s="5">
        <v>800</v>
      </c>
      <c r="I105" s="5" t="str">
        <f>HYPERLINK("https://www.ncbi.nlm.nih.gov/protein/WP_091655783.1?report=genbank&amp;log$=prottop&amp;blast_rank=76&amp;RID=7U875CNM013","WP_091655783.1")</f>
        <v>WP_091655783.1</v>
      </c>
      <c r="J105" s="5" t="s">
        <v>1087</v>
      </c>
    </row>
    <row r="106" spans="1:10" s="7" customFormat="1" x14ac:dyDescent="0.2">
      <c r="A106" s="5" t="s">
        <v>2522</v>
      </c>
      <c r="B106" s="5" t="s">
        <v>2523</v>
      </c>
      <c r="C106" s="5">
        <v>1049</v>
      </c>
      <c r="D106" s="5">
        <v>1049</v>
      </c>
      <c r="E106" s="6">
        <v>0.98</v>
      </c>
      <c r="F106" s="5">
        <v>0</v>
      </c>
      <c r="G106" s="5">
        <v>64.58</v>
      </c>
      <c r="H106" s="5">
        <v>800</v>
      </c>
      <c r="I106" s="5" t="str">
        <f>HYPERLINK("https://www.ncbi.nlm.nih.gov/protein/WP_046565564.1?report=genbank&amp;log$=prottop&amp;blast_rank=77&amp;RID=7U875CNM013","WP_046565564.1")</f>
        <v>WP_046565564.1</v>
      </c>
      <c r="J106" s="5" t="s">
        <v>1087</v>
      </c>
    </row>
    <row r="107" spans="1:10" s="7" customFormat="1" x14ac:dyDescent="0.2">
      <c r="A107" s="5" t="s">
        <v>2524</v>
      </c>
      <c r="B107" s="5" t="s">
        <v>2525</v>
      </c>
      <c r="C107" s="5">
        <v>1060</v>
      </c>
      <c r="D107" s="5">
        <v>1060</v>
      </c>
      <c r="E107" s="6">
        <v>0.98</v>
      </c>
      <c r="F107" s="5">
        <v>0</v>
      </c>
      <c r="G107" s="5">
        <v>64.540000000000006</v>
      </c>
      <c r="H107" s="5">
        <v>800</v>
      </c>
      <c r="I107" s="5" t="str">
        <f>HYPERLINK("https://www.ncbi.nlm.nih.gov/protein/WP_184977092.1?report=genbank&amp;log$=prottop&amp;blast_rank=99&amp;RID=7U875CNM013","WP_184977092.1")</f>
        <v>WP_184977092.1</v>
      </c>
      <c r="J107" s="5" t="s">
        <v>1087</v>
      </c>
    </row>
    <row r="108" spans="1:10" s="7" customFormat="1" x14ac:dyDescent="0.2">
      <c r="A108" s="5" t="s">
        <v>2526</v>
      </c>
      <c r="B108" s="5" t="s">
        <v>2527</v>
      </c>
      <c r="C108" s="5">
        <v>1060</v>
      </c>
      <c r="D108" s="5">
        <v>1060</v>
      </c>
      <c r="E108" s="6">
        <v>0.98</v>
      </c>
      <c r="F108" s="5">
        <v>0</v>
      </c>
      <c r="G108" s="5">
        <v>64.540000000000006</v>
      </c>
      <c r="H108" s="5">
        <v>791</v>
      </c>
      <c r="I108" s="5" t="str">
        <f>HYPERLINK("https://www.ncbi.nlm.nih.gov/protein/WP_134119573.1?report=genbank&amp;log$=prottop&amp;blast_rank=100&amp;RID=7U875CNM013","WP_134119573.1")</f>
        <v>WP_134119573.1</v>
      </c>
      <c r="J108" s="5" t="s">
        <v>1087</v>
      </c>
    </row>
    <row r="109" spans="1:10" s="7" customFormat="1" x14ac:dyDescent="0.2">
      <c r="A109" s="5" t="s">
        <v>2499</v>
      </c>
      <c r="B109" s="5" t="s">
        <v>2500</v>
      </c>
      <c r="C109" s="5">
        <v>1060</v>
      </c>
      <c r="D109" s="5">
        <v>1060</v>
      </c>
      <c r="E109" s="6">
        <v>0.98</v>
      </c>
      <c r="F109" s="5">
        <v>0</v>
      </c>
      <c r="G109" s="5">
        <v>64.540000000000006</v>
      </c>
      <c r="H109" s="5">
        <v>800</v>
      </c>
      <c r="I109" s="5" t="str">
        <f>HYPERLINK("https://www.ncbi.nlm.nih.gov/protein/WP_013474566.1?report=genbank&amp;log$=prottop&amp;blast_rank=101&amp;RID=7U875CNM013","WP_013474566.1")</f>
        <v>WP_013474566.1</v>
      </c>
      <c r="J109" s="5" t="s">
        <v>1087</v>
      </c>
    </row>
    <row r="110" spans="1:10" s="7" customFormat="1" x14ac:dyDescent="0.2">
      <c r="A110" s="5" t="s">
        <v>2528</v>
      </c>
      <c r="B110" s="5" t="s">
        <v>2529</v>
      </c>
      <c r="C110" s="5">
        <v>1060</v>
      </c>
      <c r="D110" s="5">
        <v>1060</v>
      </c>
      <c r="E110" s="6">
        <v>0.98</v>
      </c>
      <c r="F110" s="5">
        <v>0</v>
      </c>
      <c r="G110" s="5">
        <v>64.540000000000006</v>
      </c>
      <c r="H110" s="5">
        <v>800</v>
      </c>
      <c r="I110" s="5" t="str">
        <f>HYPERLINK("https://www.ncbi.nlm.nih.gov/protein/WP_073830098.1?report=genbank&amp;log$=prottop&amp;blast_rank=102&amp;RID=7U875CNM013","WP_073830098.1")</f>
        <v>WP_073830098.1</v>
      </c>
      <c r="J110" s="5" t="s">
        <v>1087</v>
      </c>
    </row>
    <row r="111" spans="1:10" s="7" customFormat="1" x14ac:dyDescent="0.2">
      <c r="A111" s="5" t="s">
        <v>2530</v>
      </c>
      <c r="B111" s="5" t="s">
        <v>2531</v>
      </c>
      <c r="C111" s="5">
        <v>1058</v>
      </c>
      <c r="D111" s="5">
        <v>1058</v>
      </c>
      <c r="E111" s="6">
        <v>0.98</v>
      </c>
      <c r="F111" s="5">
        <v>0</v>
      </c>
      <c r="G111" s="5">
        <v>64.540000000000006</v>
      </c>
      <c r="H111" s="5">
        <v>800</v>
      </c>
      <c r="I111" s="5" t="str">
        <f>HYPERLINK("https://www.ncbi.nlm.nih.gov/protein/WP_064447206.1?report=genbank&amp;log$=prottop&amp;blast_rank=103&amp;RID=7U875CNM013","WP_064447206.1")</f>
        <v>WP_064447206.1</v>
      </c>
      <c r="J111" s="5" t="s">
        <v>1087</v>
      </c>
    </row>
    <row r="112" spans="1:10" s="7" customFormat="1" x14ac:dyDescent="0.2">
      <c r="A112" s="5" t="s">
        <v>2499</v>
      </c>
      <c r="B112" s="5" t="s">
        <v>2500</v>
      </c>
      <c r="C112" s="5">
        <v>1058</v>
      </c>
      <c r="D112" s="5">
        <v>1058</v>
      </c>
      <c r="E112" s="6">
        <v>0.98</v>
      </c>
      <c r="F112" s="5">
        <v>0</v>
      </c>
      <c r="G112" s="5">
        <v>64.540000000000006</v>
      </c>
      <c r="H112" s="5">
        <v>800</v>
      </c>
      <c r="I112" s="5" t="str">
        <f>HYPERLINK("https://www.ncbi.nlm.nih.gov/protein/WP_069089420.1?report=genbank&amp;log$=prottop&amp;blast_rank=104&amp;RID=7U875CNM013","WP_069089420.1")</f>
        <v>WP_069089420.1</v>
      </c>
      <c r="J112" s="5" t="s">
        <v>1087</v>
      </c>
    </row>
    <row r="113" spans="1:10" s="7" customFormat="1" x14ac:dyDescent="0.2">
      <c r="A113" s="5" t="s">
        <v>2532</v>
      </c>
      <c r="B113" s="5" t="s">
        <v>2467</v>
      </c>
      <c r="C113" s="5">
        <v>1058</v>
      </c>
      <c r="D113" s="5">
        <v>1058</v>
      </c>
      <c r="E113" s="6">
        <v>0.98</v>
      </c>
      <c r="F113" s="5">
        <v>0</v>
      </c>
      <c r="G113" s="5">
        <v>64.540000000000006</v>
      </c>
      <c r="H113" s="5">
        <v>800</v>
      </c>
      <c r="I113" s="5" t="str">
        <f>HYPERLINK("https://www.ncbi.nlm.nih.gov/protein/WP_104114920.1?report=genbank&amp;log$=prottop&amp;blast_rank=105&amp;RID=7U875CNM013","WP_104114920.1")</f>
        <v>WP_104114920.1</v>
      </c>
      <c r="J113" s="5" t="s">
        <v>1087</v>
      </c>
    </row>
    <row r="114" spans="1:10" s="7" customFormat="1" x14ac:dyDescent="0.2">
      <c r="A114" s="5" t="s">
        <v>2533</v>
      </c>
      <c r="B114" s="5" t="s">
        <v>2534</v>
      </c>
      <c r="C114" s="5">
        <v>1058</v>
      </c>
      <c r="D114" s="5">
        <v>1058</v>
      </c>
      <c r="E114" s="6">
        <v>0.98</v>
      </c>
      <c r="F114" s="5">
        <v>0</v>
      </c>
      <c r="G114" s="5">
        <v>64.540000000000006</v>
      </c>
      <c r="H114" s="5">
        <v>800</v>
      </c>
      <c r="I114" s="5" t="str">
        <f>HYPERLINK("https://www.ncbi.nlm.nih.gov/protein/WP_043325567.1?report=genbank&amp;log$=prottop&amp;blast_rank=106&amp;RID=7U875CNM013","WP_043325567.1")</f>
        <v>WP_043325567.1</v>
      </c>
      <c r="J114" s="5" t="s">
        <v>1087</v>
      </c>
    </row>
    <row r="115" spans="1:10" s="7" customFormat="1" x14ac:dyDescent="0.2">
      <c r="A115" s="5" t="s">
        <v>2535</v>
      </c>
      <c r="B115" s="5" t="s">
        <v>2536</v>
      </c>
      <c r="C115" s="5">
        <v>1040</v>
      </c>
      <c r="D115" s="5">
        <v>1040</v>
      </c>
      <c r="E115" s="6">
        <v>0.98</v>
      </c>
      <c r="F115" s="5">
        <v>0</v>
      </c>
      <c r="G115" s="5">
        <v>64.540000000000006</v>
      </c>
      <c r="H115" s="5">
        <v>811</v>
      </c>
      <c r="I115" s="5" t="str">
        <f>HYPERLINK("https://www.ncbi.nlm.nih.gov/protein/WP_137160156.1?report=genbank&amp;log$=prottop&amp;blast_rank=108&amp;RID=7U875CNM013","WP_137160156.1")</f>
        <v>WP_137160156.1</v>
      </c>
      <c r="J115" s="5" t="s">
        <v>1087</v>
      </c>
    </row>
    <row r="116" spans="1:10" s="7" customFormat="1" x14ac:dyDescent="0.2">
      <c r="A116" s="5" t="s">
        <v>2537</v>
      </c>
      <c r="B116" s="5" t="s">
        <v>2454</v>
      </c>
      <c r="C116" s="5">
        <v>1037</v>
      </c>
      <c r="D116" s="5">
        <v>1037</v>
      </c>
      <c r="E116" s="6">
        <v>0.99</v>
      </c>
      <c r="F116" s="5">
        <v>0</v>
      </c>
      <c r="G116" s="5">
        <v>64.52</v>
      </c>
      <c r="H116" s="5">
        <v>792</v>
      </c>
      <c r="I116" s="5" t="str">
        <f>HYPERLINK("https://www.ncbi.nlm.nih.gov/protein/WP_186272106.1?report=genbank&amp;log$=prottop&amp;blast_rank=114&amp;RID=7U875CNM013","WP_186272106.1")</f>
        <v>WP_186272106.1</v>
      </c>
      <c r="J116" s="5" t="s">
        <v>1087</v>
      </c>
    </row>
    <row r="117" spans="1:10" s="7" customFormat="1" x14ac:dyDescent="0.2">
      <c r="A117" s="5" t="s">
        <v>2538</v>
      </c>
      <c r="B117" s="5" t="s">
        <v>2539</v>
      </c>
      <c r="C117" s="5">
        <v>1043</v>
      </c>
      <c r="D117" s="5">
        <v>1043</v>
      </c>
      <c r="E117" s="6">
        <v>0.98</v>
      </c>
      <c r="F117" s="5">
        <v>0</v>
      </c>
      <c r="G117" s="5">
        <v>64.5</v>
      </c>
      <c r="H117" s="5">
        <v>809</v>
      </c>
      <c r="I117" s="5" t="str">
        <f>HYPERLINK("https://www.ncbi.nlm.nih.gov/protein/VCT90132.1?report=genbank&amp;log$=prottop&amp;blast_rank=132&amp;RID=7U875CNM013","VCT90132.1")</f>
        <v>VCT90132.1</v>
      </c>
      <c r="J117" s="5" t="s">
        <v>1087</v>
      </c>
    </row>
    <row r="118" spans="1:10" s="7" customFormat="1" x14ac:dyDescent="0.2">
      <c r="A118" s="5" t="s">
        <v>2540</v>
      </c>
      <c r="B118" s="5" t="s">
        <v>2541</v>
      </c>
      <c r="C118" s="5">
        <v>1043</v>
      </c>
      <c r="D118" s="5">
        <v>1043</v>
      </c>
      <c r="E118" s="6">
        <v>0.98</v>
      </c>
      <c r="F118" s="5">
        <v>0</v>
      </c>
      <c r="G118" s="5">
        <v>64.5</v>
      </c>
      <c r="H118" s="5">
        <v>806</v>
      </c>
      <c r="I118" s="5" t="str">
        <f>HYPERLINK("https://www.ncbi.nlm.nih.gov/protein/WP_005627719.1?report=genbank&amp;log$=prottop&amp;blast_rank=133&amp;RID=7U875CNM013","WP_005627719.1")</f>
        <v>WP_005627719.1</v>
      </c>
      <c r="J118" s="5" t="s">
        <v>1087</v>
      </c>
    </row>
    <row r="119" spans="1:10" s="7" customFormat="1" x14ac:dyDescent="0.2">
      <c r="A119" s="5" t="s">
        <v>2542</v>
      </c>
      <c r="B119" s="5" t="s">
        <v>2543</v>
      </c>
      <c r="C119" s="5">
        <v>1036</v>
      </c>
      <c r="D119" s="5">
        <v>1036</v>
      </c>
      <c r="E119" s="6">
        <v>0.98</v>
      </c>
      <c r="F119" s="5">
        <v>0</v>
      </c>
      <c r="G119" s="5">
        <v>64.5</v>
      </c>
      <c r="H119" s="5">
        <v>792</v>
      </c>
      <c r="I119" s="5" t="str">
        <f>HYPERLINK("https://www.ncbi.nlm.nih.gov/protein/WP_036469179.1?report=genbank&amp;log$=prottop&amp;blast_rank=134&amp;RID=7U875CNM013","WP_036469179.1")</f>
        <v>WP_036469179.1</v>
      </c>
      <c r="J119" s="5" t="s">
        <v>1087</v>
      </c>
    </row>
    <row r="120" spans="1:10" s="7" customFormat="1" x14ac:dyDescent="0.2">
      <c r="A120" s="5" t="s">
        <v>2544</v>
      </c>
      <c r="B120" s="5" t="s">
        <v>2545</v>
      </c>
      <c r="C120" s="5">
        <v>1034</v>
      </c>
      <c r="D120" s="5">
        <v>1034</v>
      </c>
      <c r="E120" s="6">
        <v>0.98</v>
      </c>
      <c r="F120" s="5">
        <v>0</v>
      </c>
      <c r="G120" s="5">
        <v>64.5</v>
      </c>
      <c r="H120" s="5">
        <v>805</v>
      </c>
      <c r="I120" s="5" t="str">
        <f>HYPERLINK("https://www.ncbi.nlm.nih.gov/protein/WP_064425473.1?report=genbank&amp;log$=prottop&amp;blast_rank=135&amp;RID=7U875CNM013","WP_064425473.1")</f>
        <v>WP_064425473.1</v>
      </c>
      <c r="J120" s="5" t="s">
        <v>1087</v>
      </c>
    </row>
    <row r="121" spans="1:10" s="7" customFormat="1" x14ac:dyDescent="0.2">
      <c r="A121" s="5" t="s">
        <v>2514</v>
      </c>
      <c r="B121" s="5" t="s">
        <v>2515</v>
      </c>
      <c r="C121" s="5">
        <v>1025</v>
      </c>
      <c r="D121" s="5">
        <v>1025</v>
      </c>
      <c r="E121" s="6">
        <v>0.98</v>
      </c>
      <c r="F121" s="5">
        <v>0</v>
      </c>
      <c r="G121" s="5">
        <v>64.5</v>
      </c>
      <c r="H121" s="5">
        <v>792</v>
      </c>
      <c r="I121" s="5" t="str">
        <f>HYPERLINK("https://www.ncbi.nlm.nih.gov/protein/WP_118915227.1?report=genbank&amp;log$=prottop&amp;blast_rank=136&amp;RID=7U875CNM013","WP_118915227.1")</f>
        <v>WP_118915227.1</v>
      </c>
      <c r="J121" s="5" t="s">
        <v>1087</v>
      </c>
    </row>
    <row r="122" spans="1:10" s="7" customFormat="1" x14ac:dyDescent="0.2">
      <c r="A122" s="5" t="s">
        <v>2546</v>
      </c>
      <c r="B122" s="5" t="s">
        <v>2547</v>
      </c>
      <c r="C122" s="5">
        <v>1036</v>
      </c>
      <c r="D122" s="5">
        <v>1036</v>
      </c>
      <c r="E122" s="6">
        <v>0.99</v>
      </c>
      <c r="F122" s="5">
        <v>0</v>
      </c>
      <c r="G122" s="5">
        <v>64.48</v>
      </c>
      <c r="H122" s="5">
        <v>795</v>
      </c>
      <c r="I122" s="5" t="str">
        <f>HYPERLINK("https://www.ncbi.nlm.nih.gov/protein/WP_076123212.1?report=genbank&amp;log$=prottop&amp;blast_rank=142&amp;RID=7U875CNM013","WP_076123212.1")</f>
        <v>WP_076123212.1</v>
      </c>
      <c r="J122" s="5" t="s">
        <v>1087</v>
      </c>
    </row>
    <row r="123" spans="1:10" s="7" customFormat="1" x14ac:dyDescent="0.2">
      <c r="A123" s="5" t="s">
        <v>2548</v>
      </c>
      <c r="B123" s="5" t="s">
        <v>2549</v>
      </c>
      <c r="C123" s="5">
        <v>1041</v>
      </c>
      <c r="D123" s="5">
        <v>1041</v>
      </c>
      <c r="E123" s="6">
        <v>0.97</v>
      </c>
      <c r="F123" s="5">
        <v>0</v>
      </c>
      <c r="G123" s="5">
        <v>64.47</v>
      </c>
      <c r="H123" s="5">
        <v>777</v>
      </c>
      <c r="I123" s="5" t="str">
        <f>HYPERLINK("https://www.ncbi.nlm.nih.gov/protein/WP_055480257.1?report=genbank&amp;log$=prottop&amp;blast_rank=144&amp;RID=7U875CNM013","WP_055480257.1")</f>
        <v>WP_055480257.1</v>
      </c>
      <c r="J123" s="5" t="s">
        <v>1087</v>
      </c>
    </row>
    <row r="124" spans="1:10" s="7" customFormat="1" x14ac:dyDescent="0.2">
      <c r="A124" s="5" t="s">
        <v>2550</v>
      </c>
      <c r="B124" s="5" t="s">
        <v>2551</v>
      </c>
      <c r="C124" s="5">
        <v>1025</v>
      </c>
      <c r="D124" s="5">
        <v>1025</v>
      </c>
      <c r="E124" s="6">
        <v>0.97</v>
      </c>
      <c r="F124" s="5">
        <v>0</v>
      </c>
      <c r="G124" s="5">
        <v>64.47</v>
      </c>
      <c r="H124" s="5">
        <v>792</v>
      </c>
      <c r="I124" s="5" t="str">
        <f>HYPERLINK("https://www.ncbi.nlm.nih.gov/protein/WP_199034900.1?report=genbank&amp;log$=prottop&amp;blast_rank=145&amp;RID=7U875CNM013","WP_199034900.1")</f>
        <v>WP_199034900.1</v>
      </c>
      <c r="J124" s="5" t="s">
        <v>1087</v>
      </c>
    </row>
    <row r="125" spans="1:10" s="7" customFormat="1" x14ac:dyDescent="0.2">
      <c r="A125" s="5" t="s">
        <v>2552</v>
      </c>
      <c r="B125" s="5" t="s">
        <v>2553</v>
      </c>
      <c r="C125" s="5">
        <v>1041</v>
      </c>
      <c r="D125" s="5">
        <v>1041</v>
      </c>
      <c r="E125" s="6">
        <v>0.98</v>
      </c>
      <c r="F125" s="5">
        <v>0</v>
      </c>
      <c r="G125" s="5">
        <v>64.47</v>
      </c>
      <c r="H125" s="5">
        <v>796</v>
      </c>
      <c r="I125" s="5" t="str">
        <f>HYPERLINK("https://www.ncbi.nlm.nih.gov/protein/WP_072634966.1?report=genbank&amp;log$=prottop&amp;blast_rank=150&amp;RID=7U875CNM013","WP_072634966.1")</f>
        <v>WP_072634966.1</v>
      </c>
      <c r="J125" s="5" t="s">
        <v>1087</v>
      </c>
    </row>
    <row r="126" spans="1:10" s="7" customFormat="1" x14ac:dyDescent="0.2">
      <c r="A126" s="5" t="s">
        <v>2554</v>
      </c>
      <c r="B126" s="5" t="s">
        <v>2483</v>
      </c>
      <c r="C126" s="5">
        <v>1038</v>
      </c>
      <c r="D126" s="5">
        <v>1038</v>
      </c>
      <c r="E126" s="6">
        <v>0.98</v>
      </c>
      <c r="F126" s="5">
        <v>0</v>
      </c>
      <c r="G126" s="5">
        <v>64.47</v>
      </c>
      <c r="H126" s="5">
        <v>796</v>
      </c>
      <c r="I126" s="5" t="str">
        <f>HYPERLINK("https://www.ncbi.nlm.nih.gov/protein/WP_210062733.1?report=genbank&amp;log$=prottop&amp;blast_rank=151&amp;RID=7U875CNM013","WP_210062733.1")</f>
        <v>WP_210062733.1</v>
      </c>
      <c r="J126" s="5" t="s">
        <v>1087</v>
      </c>
    </row>
    <row r="127" spans="1:10" s="7" customFormat="1" x14ac:dyDescent="0.2">
      <c r="A127" s="5" t="s">
        <v>2555</v>
      </c>
      <c r="B127" s="5" t="s">
        <v>2556</v>
      </c>
      <c r="C127" s="5">
        <v>1064</v>
      </c>
      <c r="D127" s="5">
        <v>1064</v>
      </c>
      <c r="E127" s="6">
        <v>0.98</v>
      </c>
      <c r="F127" s="5">
        <v>0</v>
      </c>
      <c r="G127" s="5">
        <v>64.459999999999994</v>
      </c>
      <c r="H127" s="5">
        <v>791</v>
      </c>
      <c r="I127" s="5" t="str">
        <f>HYPERLINK("https://www.ncbi.nlm.nih.gov/protein/WP_132620154.1?report=genbank&amp;log$=prottop&amp;blast_rank=161&amp;RID=7U875CNM013","WP_132620154.1")</f>
        <v>WP_132620154.1</v>
      </c>
      <c r="J127" s="5" t="s">
        <v>1087</v>
      </c>
    </row>
    <row r="128" spans="1:10" s="7" customFormat="1" x14ac:dyDescent="0.2">
      <c r="A128" s="5" t="s">
        <v>2557</v>
      </c>
      <c r="B128" s="5" t="s">
        <v>2558</v>
      </c>
      <c r="C128" s="5">
        <v>1047</v>
      </c>
      <c r="D128" s="5">
        <v>1047</v>
      </c>
      <c r="E128" s="6">
        <v>0.98</v>
      </c>
      <c r="F128" s="5">
        <v>0</v>
      </c>
      <c r="G128" s="5">
        <v>64.459999999999994</v>
      </c>
      <c r="H128" s="5">
        <v>803</v>
      </c>
      <c r="I128" s="5" t="str">
        <f>HYPERLINK("https://www.ncbi.nlm.nih.gov/protein/WP_089008640.1?report=genbank&amp;log$=prottop&amp;blast_rank=163&amp;RID=7U875CNM013","WP_089008640.1")</f>
        <v>WP_089008640.1</v>
      </c>
      <c r="J128" s="5" t="s">
        <v>1087</v>
      </c>
    </row>
    <row r="129" spans="1:10" s="7" customFormat="1" x14ac:dyDescent="0.2">
      <c r="A129" s="5" t="s">
        <v>1085</v>
      </c>
      <c r="B129" s="5" t="s">
        <v>1086</v>
      </c>
      <c r="C129" s="5">
        <v>1078</v>
      </c>
      <c r="D129" s="5">
        <v>1078</v>
      </c>
      <c r="E129" s="6">
        <v>0.98</v>
      </c>
      <c r="F129" s="5">
        <v>0</v>
      </c>
      <c r="G129" s="5">
        <v>64.45</v>
      </c>
      <c r="H129" s="5">
        <v>798</v>
      </c>
      <c r="I129" s="5" t="str">
        <f>HYPERLINK("https://www.ncbi.nlm.nih.gov/protein/MBA3690154.1?report=genbank&amp;log$=prottop&amp;blast_rank=165&amp;RID=7U875CNM013","MBA3690154.1")</f>
        <v>MBA3690154.1</v>
      </c>
      <c r="J129" s="5" t="s">
        <v>1087</v>
      </c>
    </row>
    <row r="130" spans="1:10" s="7" customFormat="1" x14ac:dyDescent="0.2">
      <c r="A130" s="5" t="s">
        <v>2559</v>
      </c>
      <c r="B130" s="5" t="s">
        <v>2560</v>
      </c>
      <c r="C130" s="5">
        <v>1058</v>
      </c>
      <c r="D130" s="5">
        <v>1058</v>
      </c>
      <c r="E130" s="6">
        <v>0.98</v>
      </c>
      <c r="F130" s="5">
        <v>0</v>
      </c>
      <c r="G130" s="5">
        <v>64.45</v>
      </c>
      <c r="H130" s="5">
        <v>800</v>
      </c>
      <c r="I130" s="5" t="str">
        <f>HYPERLINK("https://www.ncbi.nlm.nih.gov/protein/WP_121683205.1?report=genbank&amp;log$=prottop&amp;blast_rank=167&amp;RID=7U875CNM013","WP_121683205.1")</f>
        <v>WP_121683205.1</v>
      </c>
      <c r="J130" s="5" t="s">
        <v>1087</v>
      </c>
    </row>
    <row r="131" spans="1:10" s="7" customFormat="1" x14ac:dyDescent="0.2">
      <c r="A131" s="5" t="s">
        <v>2561</v>
      </c>
      <c r="B131" s="5" t="s">
        <v>2562</v>
      </c>
      <c r="C131" s="5">
        <v>1058</v>
      </c>
      <c r="D131" s="5">
        <v>1058</v>
      </c>
      <c r="E131" s="6">
        <v>0.98</v>
      </c>
      <c r="F131" s="5">
        <v>0</v>
      </c>
      <c r="G131" s="5">
        <v>64.45</v>
      </c>
      <c r="H131" s="5">
        <v>800</v>
      </c>
      <c r="I131" s="5" t="str">
        <f>HYPERLINK("https://www.ncbi.nlm.nih.gov/protein/WP_091051010.1?report=genbank&amp;log$=prottop&amp;blast_rank=168&amp;RID=7U875CNM013","WP_091051010.1")</f>
        <v>WP_091051010.1</v>
      </c>
      <c r="J131" s="5" t="s">
        <v>1087</v>
      </c>
    </row>
    <row r="132" spans="1:10" s="7" customFormat="1" x14ac:dyDescent="0.2">
      <c r="A132" s="5" t="s">
        <v>1236</v>
      </c>
      <c r="B132" s="5" t="s">
        <v>1086</v>
      </c>
      <c r="C132" s="5">
        <v>1057</v>
      </c>
      <c r="D132" s="5">
        <v>1057</v>
      </c>
      <c r="E132" s="6">
        <v>0.97</v>
      </c>
      <c r="F132" s="5">
        <v>0</v>
      </c>
      <c r="G132" s="5">
        <v>64.45</v>
      </c>
      <c r="H132" s="5">
        <v>796</v>
      </c>
      <c r="I132" s="5" t="str">
        <f>HYPERLINK("https://www.ncbi.nlm.nih.gov/protein/MPZ91428.1?report=genbank&amp;log$=prottop&amp;blast_rank=169&amp;RID=7U875CNM013","MPZ91428.1")</f>
        <v>MPZ91428.1</v>
      </c>
      <c r="J132" s="5" t="s">
        <v>1087</v>
      </c>
    </row>
    <row r="133" spans="1:10" s="7" customFormat="1" x14ac:dyDescent="0.2">
      <c r="A133" s="5" t="s">
        <v>2563</v>
      </c>
      <c r="B133" s="5" t="s">
        <v>2564</v>
      </c>
      <c r="C133" s="5">
        <v>1034</v>
      </c>
      <c r="D133" s="5">
        <v>1034</v>
      </c>
      <c r="E133" s="6">
        <v>0.98</v>
      </c>
      <c r="F133" s="5">
        <v>0</v>
      </c>
      <c r="G133" s="5">
        <v>64.45</v>
      </c>
      <c r="H133" s="5">
        <v>783</v>
      </c>
      <c r="I133" s="5" t="str">
        <f>HYPERLINK("https://www.ncbi.nlm.nih.gov/protein/WP_202917569.1?report=genbank&amp;log$=prottop&amp;blast_rank=170&amp;RID=7U875CNM013","WP_202917569.1")</f>
        <v>WP_202917569.1</v>
      </c>
      <c r="J133" s="5" t="s">
        <v>1087</v>
      </c>
    </row>
    <row r="134" spans="1:10" s="7" customFormat="1" x14ac:dyDescent="0.2">
      <c r="A134" s="5" t="s">
        <v>2565</v>
      </c>
      <c r="B134" s="5" t="s">
        <v>2566</v>
      </c>
      <c r="C134" s="5">
        <v>1033</v>
      </c>
      <c r="D134" s="5">
        <v>1033</v>
      </c>
      <c r="E134" s="6">
        <v>0.98</v>
      </c>
      <c r="F134" s="5">
        <v>0</v>
      </c>
      <c r="G134" s="5">
        <v>64.45</v>
      </c>
      <c r="H134" s="5">
        <v>783</v>
      </c>
      <c r="I134" s="5" t="str">
        <f>HYPERLINK("https://www.ncbi.nlm.nih.gov/protein/WP_206531060.1?report=genbank&amp;log$=prottop&amp;blast_rank=171&amp;RID=7U875CNM013","WP_206531060.1")</f>
        <v>WP_206531060.1</v>
      </c>
      <c r="J134" s="5" t="s">
        <v>1087</v>
      </c>
    </row>
    <row r="135" spans="1:10" s="4" customFormat="1" x14ac:dyDescent="0.2">
      <c r="A135" s="1" t="s">
        <v>2567</v>
      </c>
      <c r="B135" s="1" t="s">
        <v>2568</v>
      </c>
      <c r="C135" s="1">
        <v>1039</v>
      </c>
      <c r="D135" s="1">
        <v>1039</v>
      </c>
      <c r="E135" s="2">
        <v>0.97</v>
      </c>
      <c r="F135" s="1">
        <v>0</v>
      </c>
      <c r="G135" s="1">
        <v>64.44</v>
      </c>
      <c r="H135" s="1">
        <v>788</v>
      </c>
      <c r="I135" s="1" t="str">
        <f>HYPERLINK("https://www.ncbi.nlm.nih.gov/protein/WP_184916641.1?report=genbank&amp;log$=prottop&amp;blast_rank=3&amp;RID=7U875CNM013","WP_184916641.1")</f>
        <v>WP_184916641.1</v>
      </c>
      <c r="J135" s="1" t="s">
        <v>1087</v>
      </c>
    </row>
    <row r="136" spans="1:10" s="4" customFormat="1" x14ac:dyDescent="0.2">
      <c r="A136" s="1" t="s">
        <v>2569</v>
      </c>
      <c r="B136" s="1" t="s">
        <v>2570</v>
      </c>
      <c r="C136" s="1">
        <v>1048</v>
      </c>
      <c r="D136" s="1">
        <v>1048</v>
      </c>
      <c r="E136" s="2">
        <v>0.99</v>
      </c>
      <c r="F136" s="1">
        <v>0</v>
      </c>
      <c r="G136" s="1">
        <v>64.44</v>
      </c>
      <c r="H136" s="1">
        <v>810</v>
      </c>
      <c r="I136" s="1" t="str">
        <f>HYPERLINK("https://www.ncbi.nlm.nih.gov/protein/WP_071416370.1?report=genbank&amp;log$=prottop&amp;blast_rank=4&amp;RID=7U875CNM013","WP_071416370.1")</f>
        <v>WP_071416370.1</v>
      </c>
      <c r="J136" s="1" t="s">
        <v>1087</v>
      </c>
    </row>
    <row r="137" spans="1:10" s="4" customFormat="1" x14ac:dyDescent="0.2">
      <c r="A137" s="1" t="s">
        <v>2571</v>
      </c>
      <c r="B137" s="1" t="s">
        <v>2572</v>
      </c>
      <c r="C137" s="1">
        <v>1050</v>
      </c>
      <c r="D137" s="1">
        <v>1050</v>
      </c>
      <c r="E137" s="2">
        <v>0.98</v>
      </c>
      <c r="F137" s="1">
        <v>0</v>
      </c>
      <c r="G137" s="1">
        <v>64.42</v>
      </c>
      <c r="H137" s="1">
        <v>793</v>
      </c>
      <c r="I137" s="1" t="str">
        <f>HYPERLINK("https://www.ncbi.nlm.nih.gov/protein/SPM42637.1?report=genbank&amp;log$=prottop&amp;blast_rank=14&amp;RID=7U875CNM013","SPM42637.1")</f>
        <v>SPM42637.1</v>
      </c>
      <c r="J137" s="1" t="s">
        <v>1087</v>
      </c>
    </row>
    <row r="138" spans="1:10" s="4" customFormat="1" x14ac:dyDescent="0.2">
      <c r="A138" s="1" t="s">
        <v>2573</v>
      </c>
      <c r="B138" s="1" t="s">
        <v>2572</v>
      </c>
      <c r="C138" s="1">
        <v>1050</v>
      </c>
      <c r="D138" s="1">
        <v>1050</v>
      </c>
      <c r="E138" s="2">
        <v>0.98</v>
      </c>
      <c r="F138" s="1">
        <v>0</v>
      </c>
      <c r="G138" s="1">
        <v>64.42</v>
      </c>
      <c r="H138" s="1">
        <v>793</v>
      </c>
      <c r="I138" s="1" t="str">
        <f>HYPERLINK("https://www.ncbi.nlm.nih.gov/protein/WP_077081050.1?report=genbank&amp;log$=prottop&amp;blast_rank=15&amp;RID=7U875CNM013","WP_077081050.1")</f>
        <v>WP_077081050.1</v>
      </c>
      <c r="J138" s="1" t="s">
        <v>1087</v>
      </c>
    </row>
    <row r="139" spans="1:10" s="4" customFormat="1" x14ac:dyDescent="0.2">
      <c r="A139" s="1" t="s">
        <v>2468</v>
      </c>
      <c r="B139" s="1" t="s">
        <v>2469</v>
      </c>
      <c r="C139" s="1">
        <v>1061</v>
      </c>
      <c r="D139" s="1">
        <v>1061</v>
      </c>
      <c r="E139" s="2">
        <v>0.98</v>
      </c>
      <c r="F139" s="1">
        <v>0</v>
      </c>
      <c r="G139" s="1">
        <v>64.41</v>
      </c>
      <c r="H139" s="1">
        <v>800</v>
      </c>
      <c r="I139" s="1" t="str">
        <f>HYPERLINK("https://www.ncbi.nlm.nih.gov/protein/NED50796.1?report=genbank&amp;log$=prottop&amp;blast_rank=24&amp;RID=7U875CNM013","NED50796.1")</f>
        <v>NED50796.1</v>
      </c>
      <c r="J139" s="1" t="s">
        <v>1087</v>
      </c>
    </row>
    <row r="140" spans="1:10" s="4" customFormat="1" x14ac:dyDescent="0.2">
      <c r="A140" s="1" t="s">
        <v>2574</v>
      </c>
      <c r="B140" s="1" t="s">
        <v>2575</v>
      </c>
      <c r="C140" s="1">
        <v>1060</v>
      </c>
      <c r="D140" s="1">
        <v>1060</v>
      </c>
      <c r="E140" s="2">
        <v>0.98</v>
      </c>
      <c r="F140" s="1">
        <v>0</v>
      </c>
      <c r="G140" s="1">
        <v>64.41</v>
      </c>
      <c r="H140" s="1">
        <v>800</v>
      </c>
      <c r="I140" s="1" t="str">
        <f>HYPERLINK("https://www.ncbi.nlm.nih.gov/protein/WP_047893580.1?report=genbank&amp;log$=prottop&amp;blast_rank=25&amp;RID=7U875CNM013","WP_047893580.1")</f>
        <v>WP_047893580.1</v>
      </c>
      <c r="J140" s="1" t="s">
        <v>1087</v>
      </c>
    </row>
    <row r="141" spans="1:10" s="4" customFormat="1" x14ac:dyDescent="0.2">
      <c r="A141" s="1" t="s">
        <v>2466</v>
      </c>
      <c r="B141" s="1" t="s">
        <v>2467</v>
      </c>
      <c r="C141" s="1">
        <v>1060</v>
      </c>
      <c r="D141" s="1">
        <v>1060</v>
      </c>
      <c r="E141" s="2">
        <v>0.98</v>
      </c>
      <c r="F141" s="1">
        <v>0</v>
      </c>
      <c r="G141" s="1">
        <v>64.41</v>
      </c>
      <c r="H141" s="1">
        <v>800</v>
      </c>
      <c r="I141" s="1" t="str">
        <f>HYPERLINK("https://www.ncbi.nlm.nih.gov/protein/WP_174535372.1?report=genbank&amp;log$=prottop&amp;blast_rank=26&amp;RID=7U875CNM013","WP_174535372.1")</f>
        <v>WP_174535372.1</v>
      </c>
      <c r="J141" s="1" t="s">
        <v>1087</v>
      </c>
    </row>
    <row r="142" spans="1:10" s="4" customFormat="1" x14ac:dyDescent="0.2">
      <c r="A142" s="1" t="s">
        <v>2576</v>
      </c>
      <c r="B142" s="1" t="s">
        <v>2577</v>
      </c>
      <c r="C142" s="1">
        <v>1058</v>
      </c>
      <c r="D142" s="1">
        <v>1058</v>
      </c>
      <c r="E142" s="2">
        <v>0.98</v>
      </c>
      <c r="F142" s="1">
        <v>0</v>
      </c>
      <c r="G142" s="1">
        <v>64.41</v>
      </c>
      <c r="H142" s="1">
        <v>800</v>
      </c>
      <c r="I142" s="1" t="str">
        <f>HYPERLINK("https://www.ncbi.nlm.nih.gov/protein/WP_194802575.1?report=genbank&amp;log$=prottop&amp;blast_rank=27&amp;RID=7U875CNM013","WP_194802575.1")</f>
        <v>WP_194802575.1</v>
      </c>
      <c r="J142" s="1" t="s">
        <v>1087</v>
      </c>
    </row>
    <row r="143" spans="1:10" s="4" customFormat="1" x14ac:dyDescent="0.2">
      <c r="A143" s="1" t="s">
        <v>2578</v>
      </c>
      <c r="B143" s="1" t="s">
        <v>2579</v>
      </c>
      <c r="C143" s="1">
        <v>1058</v>
      </c>
      <c r="D143" s="1">
        <v>1058</v>
      </c>
      <c r="E143" s="2">
        <v>0.98</v>
      </c>
      <c r="F143" s="1">
        <v>0</v>
      </c>
      <c r="G143" s="1">
        <v>64.41</v>
      </c>
      <c r="H143" s="1">
        <v>800</v>
      </c>
      <c r="I143" s="1" t="str">
        <f>HYPERLINK("https://www.ncbi.nlm.nih.gov/protein/WP_209960555.1?report=genbank&amp;log$=prottop&amp;blast_rank=28&amp;RID=7U875CNM013","WP_209960555.1")</f>
        <v>WP_209960555.1</v>
      </c>
      <c r="J143" s="1" t="s">
        <v>1087</v>
      </c>
    </row>
    <row r="144" spans="1:10" s="4" customFormat="1" x14ac:dyDescent="0.2">
      <c r="A144" s="1" t="s">
        <v>2580</v>
      </c>
      <c r="B144" s="1" t="s">
        <v>2581</v>
      </c>
      <c r="C144" s="1">
        <v>1056</v>
      </c>
      <c r="D144" s="1">
        <v>1056</v>
      </c>
      <c r="E144" s="2">
        <v>0.98</v>
      </c>
      <c r="F144" s="1">
        <v>0</v>
      </c>
      <c r="G144" s="1">
        <v>64.41</v>
      </c>
      <c r="H144" s="1">
        <v>800</v>
      </c>
      <c r="I144" s="1" t="str">
        <f>HYPERLINK("https://www.ncbi.nlm.nih.gov/protein/WP_113973385.1?report=genbank&amp;log$=prottop&amp;blast_rank=29&amp;RID=7U875CNM013","WP_113973385.1")</f>
        <v>WP_113973385.1</v>
      </c>
      <c r="J144" s="1" t="s">
        <v>1087</v>
      </c>
    </row>
    <row r="145" spans="1:10" s="4" customFormat="1" x14ac:dyDescent="0.2">
      <c r="A145" s="1" t="s">
        <v>2582</v>
      </c>
      <c r="B145" s="1" t="s">
        <v>2583</v>
      </c>
      <c r="C145" s="1">
        <v>1056</v>
      </c>
      <c r="D145" s="1">
        <v>1056</v>
      </c>
      <c r="E145" s="2">
        <v>0.98</v>
      </c>
      <c r="F145" s="1">
        <v>0</v>
      </c>
      <c r="G145" s="1">
        <v>64.41</v>
      </c>
      <c r="H145" s="1">
        <v>797</v>
      </c>
      <c r="I145" s="1" t="str">
        <f>HYPERLINK("https://www.ncbi.nlm.nih.gov/protein/WP_189042863.1?report=genbank&amp;log$=prottop&amp;blast_rank=30&amp;RID=7U875CNM013","WP_189042863.1")</f>
        <v>WP_189042863.1</v>
      </c>
      <c r="J145" s="1" t="s">
        <v>1087</v>
      </c>
    </row>
    <row r="146" spans="1:10" s="4" customFormat="1" x14ac:dyDescent="0.2">
      <c r="A146" s="1" t="s">
        <v>2584</v>
      </c>
      <c r="B146" s="1" t="s">
        <v>2500</v>
      </c>
      <c r="C146" s="1">
        <v>1055</v>
      </c>
      <c r="D146" s="1">
        <v>1055</v>
      </c>
      <c r="E146" s="2">
        <v>0.98</v>
      </c>
      <c r="F146" s="1">
        <v>0</v>
      </c>
      <c r="G146" s="1">
        <v>64.41</v>
      </c>
      <c r="H146" s="1">
        <v>800</v>
      </c>
      <c r="I146" s="1" t="str">
        <f>HYPERLINK("https://www.ncbi.nlm.nih.gov/protein/WP_166457083.1?report=genbank&amp;log$=prottop&amp;blast_rank=32&amp;RID=7U875CNM013","WP_166457083.1")</f>
        <v>WP_166457083.1</v>
      </c>
      <c r="J146" s="1" t="s">
        <v>1087</v>
      </c>
    </row>
    <row r="147" spans="1:10" s="4" customFormat="1" x14ac:dyDescent="0.2">
      <c r="A147" s="1" t="s">
        <v>2585</v>
      </c>
      <c r="B147" s="1" t="s">
        <v>2586</v>
      </c>
      <c r="C147" s="1">
        <v>1051</v>
      </c>
      <c r="D147" s="1">
        <v>1051</v>
      </c>
      <c r="E147" s="2">
        <v>0.98</v>
      </c>
      <c r="F147" s="1">
        <v>0</v>
      </c>
      <c r="G147" s="1">
        <v>64.41</v>
      </c>
      <c r="H147" s="1">
        <v>800</v>
      </c>
      <c r="I147" s="1" t="str">
        <f>HYPERLINK("https://www.ncbi.nlm.nih.gov/protein/WP_091191241.1?report=genbank&amp;log$=prottop&amp;blast_rank=33&amp;RID=7U875CNM013","WP_091191241.1")</f>
        <v>WP_091191241.1</v>
      </c>
      <c r="J147" s="1" t="s">
        <v>1087</v>
      </c>
    </row>
    <row r="148" spans="1:10" s="4" customFormat="1" x14ac:dyDescent="0.2">
      <c r="A148" s="1" t="s">
        <v>2587</v>
      </c>
      <c r="B148" s="1" t="s">
        <v>2588</v>
      </c>
      <c r="C148" s="1">
        <v>1026</v>
      </c>
      <c r="D148" s="1">
        <v>1026</v>
      </c>
      <c r="E148" s="2">
        <v>0.98</v>
      </c>
      <c r="F148" s="1">
        <v>0</v>
      </c>
      <c r="G148" s="1">
        <v>64.41</v>
      </c>
      <c r="H148" s="1">
        <v>803</v>
      </c>
      <c r="I148" s="1" t="str">
        <f>HYPERLINK("https://www.ncbi.nlm.nih.gov/protein/WP_098745721.1?report=genbank&amp;log$=prottop&amp;blast_rank=34&amp;RID=7U875CNM013","WP_098745721.1")</f>
        <v>WP_098745721.1</v>
      </c>
      <c r="J148" s="1" t="s">
        <v>1087</v>
      </c>
    </row>
    <row r="149" spans="1:10" s="4" customFormat="1" x14ac:dyDescent="0.2">
      <c r="A149" s="1" t="s">
        <v>2589</v>
      </c>
      <c r="B149" s="1" t="s">
        <v>2590</v>
      </c>
      <c r="C149" s="1">
        <v>1025</v>
      </c>
      <c r="D149" s="1">
        <v>1025</v>
      </c>
      <c r="E149" s="2">
        <v>0.98</v>
      </c>
      <c r="F149" s="1">
        <v>0</v>
      </c>
      <c r="G149" s="1">
        <v>64.41</v>
      </c>
      <c r="H149" s="1">
        <v>804</v>
      </c>
      <c r="I149" s="1" t="str">
        <f>HYPERLINK("https://www.ncbi.nlm.nih.gov/protein/WP_023861660.1?report=genbank&amp;log$=prottop&amp;blast_rank=37&amp;RID=7U875CNM013","WP_023861660.1")</f>
        <v>WP_023861660.1</v>
      </c>
      <c r="J149" s="1" t="s">
        <v>1087</v>
      </c>
    </row>
    <row r="150" spans="1:10" s="4" customFormat="1" x14ac:dyDescent="0.2">
      <c r="A150" s="1" t="s">
        <v>2591</v>
      </c>
      <c r="B150" s="1" t="s">
        <v>2592</v>
      </c>
      <c r="C150" s="1">
        <v>1024</v>
      </c>
      <c r="D150" s="1">
        <v>1024</v>
      </c>
      <c r="E150" s="2">
        <v>0.98</v>
      </c>
      <c r="F150" s="1">
        <v>0</v>
      </c>
      <c r="G150" s="1">
        <v>64.41</v>
      </c>
      <c r="H150" s="1">
        <v>804</v>
      </c>
      <c r="I150" s="1" t="str">
        <f>HYPERLINK("https://www.ncbi.nlm.nih.gov/protein/WP_023899839.1?report=genbank&amp;log$=prottop&amp;blast_rank=38&amp;RID=7U875CNM013","WP_023899839.1")</f>
        <v>WP_023899839.1</v>
      </c>
      <c r="J150" s="1" t="s">
        <v>1087</v>
      </c>
    </row>
    <row r="151" spans="1:10" s="4" customFormat="1" x14ac:dyDescent="0.2">
      <c r="A151" s="1" t="s">
        <v>2591</v>
      </c>
      <c r="B151" s="1" t="s">
        <v>2592</v>
      </c>
      <c r="C151" s="1">
        <v>1024</v>
      </c>
      <c r="D151" s="1">
        <v>1024</v>
      </c>
      <c r="E151" s="2">
        <v>0.98</v>
      </c>
      <c r="F151" s="1">
        <v>0</v>
      </c>
      <c r="G151" s="1">
        <v>64.41</v>
      </c>
      <c r="H151" s="1">
        <v>804</v>
      </c>
      <c r="I151" s="1" t="str">
        <f>HYPERLINK("https://www.ncbi.nlm.nih.gov/protein/WP_023866018.1?report=genbank&amp;log$=prottop&amp;blast_rank=39&amp;RID=7U875CNM013","WP_023866018.1")</f>
        <v>WP_023866018.1</v>
      </c>
      <c r="J151" s="1" t="s">
        <v>1087</v>
      </c>
    </row>
    <row r="152" spans="1:10" s="4" customFormat="1" x14ac:dyDescent="0.2">
      <c r="A152" s="1" t="s">
        <v>2591</v>
      </c>
      <c r="B152" s="1" t="s">
        <v>2592</v>
      </c>
      <c r="C152" s="1">
        <v>1023</v>
      </c>
      <c r="D152" s="1">
        <v>1023</v>
      </c>
      <c r="E152" s="2">
        <v>0.98</v>
      </c>
      <c r="F152" s="1">
        <v>0</v>
      </c>
      <c r="G152" s="1">
        <v>64.41</v>
      </c>
      <c r="H152" s="1">
        <v>797</v>
      </c>
      <c r="I152" s="1" t="str">
        <f>HYPERLINK("https://www.ncbi.nlm.nih.gov/protein/WP_019733688.1?report=genbank&amp;log$=prottop&amp;blast_rank=40&amp;RID=7U875CNM013","WP_019733688.1")</f>
        <v>WP_019733688.1</v>
      </c>
      <c r="J152" s="1" t="s">
        <v>1087</v>
      </c>
    </row>
    <row r="153" spans="1:10" s="4" customFormat="1" x14ac:dyDescent="0.2">
      <c r="A153" s="1" t="s">
        <v>2593</v>
      </c>
      <c r="B153" s="1" t="s">
        <v>2594</v>
      </c>
      <c r="C153" s="1">
        <v>1064</v>
      </c>
      <c r="D153" s="1">
        <v>1064</v>
      </c>
      <c r="E153" s="2">
        <v>0.98</v>
      </c>
      <c r="F153" s="1">
        <v>0</v>
      </c>
      <c r="G153" s="1">
        <v>64.38</v>
      </c>
      <c r="H153" s="1">
        <v>786</v>
      </c>
      <c r="I153" s="1" t="str">
        <f>HYPERLINK("https://www.ncbi.nlm.nih.gov/protein/WP_151556894.1?report=genbank&amp;log$=prottop&amp;blast_rank=70&amp;RID=7U875CNM013","WP_151556894.1")</f>
        <v>WP_151556894.1</v>
      </c>
      <c r="J153" s="1" t="s">
        <v>1087</v>
      </c>
    </row>
    <row r="154" spans="1:10" s="4" customFormat="1" x14ac:dyDescent="0.2">
      <c r="A154" s="1" t="s">
        <v>2595</v>
      </c>
      <c r="B154" s="1" t="s">
        <v>2596</v>
      </c>
      <c r="C154" s="1">
        <v>1061</v>
      </c>
      <c r="D154" s="1">
        <v>1061</v>
      </c>
      <c r="E154" s="2">
        <v>0.98</v>
      </c>
      <c r="F154" s="1">
        <v>0</v>
      </c>
      <c r="G154" s="1">
        <v>64.37</v>
      </c>
      <c r="H154" s="1">
        <v>793</v>
      </c>
      <c r="I154" s="1" t="str">
        <f>HYPERLINK("https://www.ncbi.nlm.nih.gov/protein/WP_171584432.1?report=genbank&amp;log$=prottop&amp;blast_rank=74&amp;RID=7U875CNM013","WP_171584432.1")</f>
        <v>WP_171584432.1</v>
      </c>
      <c r="J154" s="1" t="s">
        <v>1087</v>
      </c>
    </row>
    <row r="155" spans="1:10" s="4" customFormat="1" x14ac:dyDescent="0.2">
      <c r="A155" s="1" t="s">
        <v>2597</v>
      </c>
      <c r="B155" s="1" t="s">
        <v>2598</v>
      </c>
      <c r="C155" s="1">
        <v>1032</v>
      </c>
      <c r="D155" s="1">
        <v>1032</v>
      </c>
      <c r="E155" s="2">
        <v>0.98</v>
      </c>
      <c r="F155" s="1">
        <v>0</v>
      </c>
      <c r="G155" s="1">
        <v>64.37</v>
      </c>
      <c r="H155" s="1">
        <v>810</v>
      </c>
      <c r="I155" s="1" t="str">
        <f>HYPERLINK("https://www.ncbi.nlm.nih.gov/protein/WP_128644068.1?report=genbank&amp;log$=prottop&amp;blast_rank=77&amp;RID=7U875CNM013","WP_128644068.1")</f>
        <v>WP_128644068.1</v>
      </c>
      <c r="J155" s="1" t="s">
        <v>1087</v>
      </c>
    </row>
    <row r="156" spans="1:10" s="4" customFormat="1" x14ac:dyDescent="0.2">
      <c r="A156" s="1" t="s">
        <v>2599</v>
      </c>
      <c r="B156" s="1" t="s">
        <v>2600</v>
      </c>
      <c r="C156" s="1">
        <v>1025</v>
      </c>
      <c r="D156" s="1">
        <v>1025</v>
      </c>
      <c r="E156" s="2">
        <v>0.98</v>
      </c>
      <c r="F156" s="1">
        <v>0</v>
      </c>
      <c r="G156" s="1">
        <v>64.37</v>
      </c>
      <c r="H156" s="1">
        <v>805</v>
      </c>
      <c r="I156" s="1" t="str">
        <f>HYPERLINK("https://www.ncbi.nlm.nih.gov/protein/WP_059165853.1?report=genbank&amp;log$=prottop&amp;blast_rank=78&amp;RID=7U875CNM013","WP_059165853.1")</f>
        <v>WP_059165853.1</v>
      </c>
      <c r="J156" s="1" t="s">
        <v>1087</v>
      </c>
    </row>
    <row r="157" spans="1:10" s="4" customFormat="1" x14ac:dyDescent="0.2">
      <c r="A157" s="1" t="s">
        <v>2601</v>
      </c>
      <c r="B157" s="1" t="s">
        <v>2602</v>
      </c>
      <c r="C157" s="1">
        <v>1034</v>
      </c>
      <c r="D157" s="1">
        <v>1034</v>
      </c>
      <c r="E157" s="2">
        <v>0.99</v>
      </c>
      <c r="F157" s="1">
        <v>0</v>
      </c>
      <c r="G157" s="1">
        <v>64.37</v>
      </c>
      <c r="H157" s="1">
        <v>798</v>
      </c>
      <c r="I157" s="1" t="str">
        <f>HYPERLINK("https://www.ncbi.nlm.nih.gov/protein/WP_076058053.1?report=genbank&amp;log$=prottop&amp;blast_rank=81&amp;RID=7U875CNM013","WP_076058053.1")</f>
        <v>WP_076058053.1</v>
      </c>
      <c r="J157" s="1" t="s">
        <v>1087</v>
      </c>
    </row>
    <row r="158" spans="1:10" s="4" customFormat="1" x14ac:dyDescent="0.2">
      <c r="A158" s="1" t="s">
        <v>2603</v>
      </c>
      <c r="B158" s="1" t="s">
        <v>2604</v>
      </c>
      <c r="C158" s="1">
        <v>1060</v>
      </c>
      <c r="D158" s="1">
        <v>1060</v>
      </c>
      <c r="E158" s="2">
        <v>0.99</v>
      </c>
      <c r="F158" s="1">
        <v>0</v>
      </c>
      <c r="G158" s="1">
        <v>64.36</v>
      </c>
      <c r="H158" s="1">
        <v>797</v>
      </c>
      <c r="I158" s="1" t="str">
        <f>HYPERLINK("https://www.ncbi.nlm.nih.gov/protein/WP_173037432.1?report=genbank&amp;log$=prottop&amp;blast_rank=82&amp;RID=7U875CNM013","WP_173037432.1")</f>
        <v>WP_173037432.1</v>
      </c>
      <c r="J158" s="1" t="s">
        <v>1087</v>
      </c>
    </row>
    <row r="159" spans="1:10" s="4" customFormat="1" x14ac:dyDescent="0.2">
      <c r="A159" s="1" t="s">
        <v>2605</v>
      </c>
      <c r="B159" s="1" t="s">
        <v>2606</v>
      </c>
      <c r="C159" s="1">
        <v>1035</v>
      </c>
      <c r="D159" s="1">
        <v>1035</v>
      </c>
      <c r="E159" s="2">
        <v>0.99</v>
      </c>
      <c r="F159" s="1">
        <v>0</v>
      </c>
      <c r="G159" s="1">
        <v>64.36</v>
      </c>
      <c r="H159" s="1">
        <v>795</v>
      </c>
      <c r="I159" s="1" t="str">
        <f>HYPERLINK("https://www.ncbi.nlm.nih.gov/protein/WP_076248952.1?report=genbank&amp;log$=prottop&amp;blast_rank=84&amp;RID=7U875CNM013","WP_076248952.1")</f>
        <v>WP_076248952.1</v>
      </c>
      <c r="J159" s="1" t="s">
        <v>1087</v>
      </c>
    </row>
    <row r="160" spans="1:10" s="4" customFormat="1" x14ac:dyDescent="0.2">
      <c r="A160" s="1" t="s">
        <v>2565</v>
      </c>
      <c r="B160" s="1" t="s">
        <v>2566</v>
      </c>
      <c r="C160" s="1">
        <v>1042</v>
      </c>
      <c r="D160" s="1">
        <v>1042</v>
      </c>
      <c r="E160" s="2">
        <v>0.98</v>
      </c>
      <c r="F160" s="1">
        <v>0</v>
      </c>
      <c r="G160" s="1">
        <v>64.34</v>
      </c>
      <c r="H160" s="1">
        <v>796</v>
      </c>
      <c r="I160" s="1" t="str">
        <f>HYPERLINK("https://www.ncbi.nlm.nih.gov/protein/WP_185713558.1?report=genbank&amp;log$=prottop&amp;blast_rank=87&amp;RID=7U875CNM013","WP_185713558.1")</f>
        <v>WP_185713558.1</v>
      </c>
      <c r="J160" s="1" t="s">
        <v>1087</v>
      </c>
    </row>
    <row r="161" spans="1:10" s="4" customFormat="1" x14ac:dyDescent="0.2">
      <c r="A161" s="1" t="s">
        <v>2607</v>
      </c>
      <c r="B161" s="1" t="s">
        <v>2564</v>
      </c>
      <c r="C161" s="1">
        <v>1038</v>
      </c>
      <c r="D161" s="1">
        <v>1038</v>
      </c>
      <c r="E161" s="2">
        <v>0.98</v>
      </c>
      <c r="F161" s="1">
        <v>0</v>
      </c>
      <c r="G161" s="1">
        <v>64.34</v>
      </c>
      <c r="H161" s="1">
        <v>796</v>
      </c>
      <c r="I161" s="1" t="str">
        <f>HYPERLINK("https://www.ncbi.nlm.nih.gov/protein/NCL77394.1?report=genbank&amp;log$=prottop&amp;blast_rank=88&amp;RID=7U875CNM013","NCL77394.1")</f>
        <v>NCL77394.1</v>
      </c>
      <c r="J161" s="1" t="s">
        <v>1087</v>
      </c>
    </row>
    <row r="162" spans="1:10" s="4" customFormat="1" x14ac:dyDescent="0.2">
      <c r="A162" s="1" t="s">
        <v>2608</v>
      </c>
      <c r="B162" s="1" t="s">
        <v>2609</v>
      </c>
      <c r="C162" s="1">
        <v>1037</v>
      </c>
      <c r="D162" s="1">
        <v>1037</v>
      </c>
      <c r="E162" s="2">
        <v>0.98</v>
      </c>
      <c r="F162" s="1">
        <v>0</v>
      </c>
      <c r="G162" s="1">
        <v>64.34</v>
      </c>
      <c r="H162" s="1">
        <v>796</v>
      </c>
      <c r="I162" s="1" t="str">
        <f>HYPERLINK("https://www.ncbi.nlm.nih.gov/protein/WP_043797215.1?report=genbank&amp;log$=prottop&amp;blast_rank=89&amp;RID=7U875CNM013","WP_043797215.1")</f>
        <v>WP_043797215.1</v>
      </c>
      <c r="J162" s="1" t="s">
        <v>1087</v>
      </c>
    </row>
    <row r="163" spans="1:10" s="4" customFormat="1" x14ac:dyDescent="0.2">
      <c r="A163" s="1" t="s">
        <v>2610</v>
      </c>
      <c r="B163" s="1" t="s">
        <v>2566</v>
      </c>
      <c r="C163" s="1">
        <v>1037</v>
      </c>
      <c r="D163" s="1">
        <v>1037</v>
      </c>
      <c r="E163" s="2">
        <v>0.98</v>
      </c>
      <c r="F163" s="1">
        <v>0</v>
      </c>
      <c r="G163" s="1">
        <v>64.34</v>
      </c>
      <c r="H163" s="1">
        <v>796</v>
      </c>
      <c r="I163" s="1" t="str">
        <f>HYPERLINK("https://www.ncbi.nlm.nih.gov/protein/WP_029542921.1?report=genbank&amp;log$=prottop&amp;blast_rank=90&amp;RID=7U875CNM013","WP_029542921.1")</f>
        <v>WP_029542921.1</v>
      </c>
      <c r="J163" s="1" t="s">
        <v>1087</v>
      </c>
    </row>
    <row r="164" spans="1:10" s="4" customFormat="1" x14ac:dyDescent="0.2">
      <c r="A164" s="1" t="s">
        <v>2611</v>
      </c>
      <c r="B164" s="1" t="s">
        <v>2612</v>
      </c>
      <c r="C164" s="1">
        <v>1037</v>
      </c>
      <c r="D164" s="1">
        <v>1037</v>
      </c>
      <c r="E164" s="2">
        <v>0.98</v>
      </c>
      <c r="F164" s="1">
        <v>0</v>
      </c>
      <c r="G164" s="1">
        <v>64.34</v>
      </c>
      <c r="H164" s="1">
        <v>796</v>
      </c>
      <c r="I164" s="1" t="str">
        <f>HYPERLINK("https://www.ncbi.nlm.nih.gov/protein/WP_102800079.1?report=genbank&amp;log$=prottop&amp;blast_rank=91&amp;RID=7U875CNM013","WP_102800079.1")</f>
        <v>WP_102800079.1</v>
      </c>
      <c r="J164" s="1" t="s">
        <v>1087</v>
      </c>
    </row>
    <row r="165" spans="1:10" s="4" customFormat="1" x14ac:dyDescent="0.2">
      <c r="A165" s="1" t="s">
        <v>2613</v>
      </c>
      <c r="B165" s="1" t="s">
        <v>2614</v>
      </c>
      <c r="C165" s="1">
        <v>1036</v>
      </c>
      <c r="D165" s="1">
        <v>1036</v>
      </c>
      <c r="E165" s="2">
        <v>0.98</v>
      </c>
      <c r="F165" s="1">
        <v>0</v>
      </c>
      <c r="G165" s="1">
        <v>64.34</v>
      </c>
      <c r="H165" s="1">
        <v>796</v>
      </c>
      <c r="I165" s="1" t="str">
        <f>HYPERLINK("https://www.ncbi.nlm.nih.gov/protein/WP_065922706.1?report=genbank&amp;log$=prottop&amp;blast_rank=92&amp;RID=7U875CNM013","WP_065922706.1")</f>
        <v>WP_065922706.1</v>
      </c>
      <c r="J165" s="1" t="s">
        <v>1087</v>
      </c>
    </row>
    <row r="166" spans="1:10" s="4" customFormat="1" x14ac:dyDescent="0.2">
      <c r="A166" s="1" t="s">
        <v>2615</v>
      </c>
      <c r="B166" s="1" t="s">
        <v>2616</v>
      </c>
      <c r="C166" s="1">
        <v>1036</v>
      </c>
      <c r="D166" s="1">
        <v>1036</v>
      </c>
      <c r="E166" s="2">
        <v>0.98</v>
      </c>
      <c r="F166" s="1">
        <v>0</v>
      </c>
      <c r="G166" s="1">
        <v>64.34</v>
      </c>
      <c r="H166" s="1">
        <v>788</v>
      </c>
      <c r="I166" s="1" t="str">
        <f>HYPERLINK("https://www.ncbi.nlm.nih.gov/protein/WP_065145557.1?report=genbank&amp;log$=prottop&amp;blast_rank=93&amp;RID=7U875CNM013","WP_065145557.1")</f>
        <v>WP_065145557.1</v>
      </c>
      <c r="J166" s="1" t="s">
        <v>1087</v>
      </c>
    </row>
    <row r="167" spans="1:10" s="4" customFormat="1" x14ac:dyDescent="0.2">
      <c r="A167" s="1" t="s">
        <v>2617</v>
      </c>
      <c r="B167" s="1" t="s">
        <v>2618</v>
      </c>
      <c r="C167" s="1">
        <v>1036</v>
      </c>
      <c r="D167" s="1">
        <v>1036</v>
      </c>
      <c r="E167" s="2">
        <v>0.98</v>
      </c>
      <c r="F167" s="1">
        <v>0</v>
      </c>
      <c r="G167" s="1">
        <v>64.34</v>
      </c>
      <c r="H167" s="1">
        <v>796</v>
      </c>
      <c r="I167" s="1" t="str">
        <f>HYPERLINK("https://www.ncbi.nlm.nih.gov/protein/WP_168579490.1?report=genbank&amp;log$=prottop&amp;blast_rank=94&amp;RID=7U875CNM013","WP_168579490.1")</f>
        <v>WP_168579490.1</v>
      </c>
      <c r="J167" s="1" t="s">
        <v>1087</v>
      </c>
    </row>
    <row r="168" spans="1:10" s="4" customFormat="1" x14ac:dyDescent="0.2">
      <c r="A168" s="1" t="s">
        <v>2619</v>
      </c>
      <c r="B168" s="1" t="s">
        <v>2620</v>
      </c>
      <c r="C168" s="1">
        <v>1056</v>
      </c>
      <c r="D168" s="1">
        <v>1056</v>
      </c>
      <c r="E168" s="2">
        <v>0.98</v>
      </c>
      <c r="F168" s="1">
        <v>0</v>
      </c>
      <c r="G168" s="1">
        <v>64.319999999999993</v>
      </c>
      <c r="H168" s="1">
        <v>800</v>
      </c>
      <c r="I168" s="1" t="str">
        <f>HYPERLINK("https://www.ncbi.nlm.nih.gov/protein/WP_018788200.1?report=genbank&amp;log$=prottop&amp;blast_rank=107&amp;RID=7U875CNM013","WP_018788200.1")</f>
        <v>WP_018788200.1</v>
      </c>
      <c r="J168" s="1" t="s">
        <v>1087</v>
      </c>
    </row>
    <row r="169" spans="1:10" s="4" customFormat="1" x14ac:dyDescent="0.2">
      <c r="A169" s="1" t="s">
        <v>2621</v>
      </c>
      <c r="B169" s="1" t="s">
        <v>2622</v>
      </c>
      <c r="C169" s="1">
        <v>1055</v>
      </c>
      <c r="D169" s="1">
        <v>1055</v>
      </c>
      <c r="E169" s="2">
        <v>0.98</v>
      </c>
      <c r="F169" s="1">
        <v>0</v>
      </c>
      <c r="G169" s="1">
        <v>64.319999999999993</v>
      </c>
      <c r="H169" s="1">
        <v>800</v>
      </c>
      <c r="I169" s="1" t="str">
        <f>HYPERLINK("https://www.ncbi.nlm.nih.gov/protein/WP_091302602.1?report=genbank&amp;log$=prottop&amp;blast_rank=108&amp;RID=7U875CNM013","WP_091302602.1")</f>
        <v>WP_091302602.1</v>
      </c>
      <c r="J169" s="1" t="s">
        <v>1087</v>
      </c>
    </row>
    <row r="170" spans="1:10" s="4" customFormat="1" x14ac:dyDescent="0.2">
      <c r="A170" s="1" t="s">
        <v>2623</v>
      </c>
      <c r="B170" s="1" t="s">
        <v>2624</v>
      </c>
      <c r="C170" s="1">
        <v>1052</v>
      </c>
      <c r="D170" s="1">
        <v>1052</v>
      </c>
      <c r="E170" s="2">
        <v>0.98</v>
      </c>
      <c r="F170" s="1">
        <v>0</v>
      </c>
      <c r="G170" s="1">
        <v>64.319999999999993</v>
      </c>
      <c r="H170" s="1">
        <v>800</v>
      </c>
      <c r="I170" s="1" t="str">
        <f>HYPERLINK("https://www.ncbi.nlm.nih.gov/protein/WP_088978151.1?report=genbank&amp;log$=prottop&amp;blast_rank=109&amp;RID=7U875CNM013","WP_088978151.1")</f>
        <v>WP_088978151.1</v>
      </c>
      <c r="J170" s="1" t="s">
        <v>1087</v>
      </c>
    </row>
    <row r="171" spans="1:10" s="4" customFormat="1" x14ac:dyDescent="0.2">
      <c r="A171" s="1" t="s">
        <v>2625</v>
      </c>
      <c r="B171" s="1" t="s">
        <v>2626</v>
      </c>
      <c r="C171" s="1">
        <v>1044</v>
      </c>
      <c r="D171" s="1">
        <v>1044</v>
      </c>
      <c r="E171" s="2">
        <v>0.98</v>
      </c>
      <c r="F171" s="1">
        <v>0</v>
      </c>
      <c r="G171" s="1">
        <v>64.319999999999993</v>
      </c>
      <c r="H171" s="1">
        <v>800</v>
      </c>
      <c r="I171" s="1" t="str">
        <f>HYPERLINK("https://www.ncbi.nlm.nih.gov/protein/WP_018743352.1?report=genbank&amp;log$=prottop&amp;blast_rank=110&amp;RID=7U875CNM013","WP_018743352.1")</f>
        <v>WP_018743352.1</v>
      </c>
      <c r="J171" s="1" t="s">
        <v>1087</v>
      </c>
    </row>
    <row r="172" spans="1:10" s="4" customFormat="1" x14ac:dyDescent="0.2">
      <c r="A172" s="1" t="s">
        <v>2627</v>
      </c>
      <c r="B172" s="1" t="s">
        <v>2628</v>
      </c>
      <c r="C172" s="1">
        <v>1034</v>
      </c>
      <c r="D172" s="1">
        <v>1034</v>
      </c>
      <c r="E172" s="2">
        <v>0.98</v>
      </c>
      <c r="F172" s="1">
        <v>0</v>
      </c>
      <c r="G172" s="1">
        <v>64.319999999999993</v>
      </c>
      <c r="H172" s="1">
        <v>813</v>
      </c>
      <c r="I172" s="1" t="str">
        <f>HYPERLINK("https://www.ncbi.nlm.nih.gov/protein/WP_117379450.1?report=genbank&amp;log$=prottop&amp;blast_rank=111&amp;RID=7U875CNM013","WP_117379450.1")</f>
        <v>WP_117379450.1</v>
      </c>
      <c r="J172" s="1" t="s">
        <v>1087</v>
      </c>
    </row>
    <row r="173" spans="1:10" s="4" customFormat="1" x14ac:dyDescent="0.2">
      <c r="A173" s="1" t="s">
        <v>2629</v>
      </c>
      <c r="B173" s="1" t="s">
        <v>2630</v>
      </c>
      <c r="C173" s="1">
        <v>1034</v>
      </c>
      <c r="D173" s="1">
        <v>1034</v>
      </c>
      <c r="E173" s="2">
        <v>0.98</v>
      </c>
      <c r="F173" s="1">
        <v>0</v>
      </c>
      <c r="G173" s="1">
        <v>64.319999999999993</v>
      </c>
      <c r="H173" s="1">
        <v>815</v>
      </c>
      <c r="I173" s="1" t="str">
        <f>HYPERLINK("https://www.ncbi.nlm.nih.gov/protein/WP_200491606.1?report=genbank&amp;log$=prottop&amp;blast_rank=112&amp;RID=7U875CNM013","WP_200491606.1")</f>
        <v>WP_200491606.1</v>
      </c>
      <c r="J173" s="1" t="s">
        <v>1087</v>
      </c>
    </row>
    <row r="174" spans="1:10" s="4" customFormat="1" x14ac:dyDescent="0.2">
      <c r="A174" s="1" t="s">
        <v>2631</v>
      </c>
      <c r="B174" s="1" t="s">
        <v>2632</v>
      </c>
      <c r="C174" s="1">
        <v>1070</v>
      </c>
      <c r="D174" s="1">
        <v>1070</v>
      </c>
      <c r="E174" s="2">
        <v>0.98</v>
      </c>
      <c r="F174" s="1">
        <v>0</v>
      </c>
      <c r="G174" s="1">
        <v>64.3</v>
      </c>
      <c r="H174" s="1">
        <v>794</v>
      </c>
      <c r="I174" s="1" t="str">
        <f>HYPERLINK("https://www.ncbi.nlm.nih.gov/protein/MBK9166201.1?report=genbank&amp;log$=prottop&amp;blast_rank=125&amp;RID=7U875CNM013","MBK9166201.1")</f>
        <v>MBK9166201.1</v>
      </c>
      <c r="J174" s="1" t="s">
        <v>1087</v>
      </c>
    </row>
    <row r="175" spans="1:10" s="4" customFormat="1" x14ac:dyDescent="0.2">
      <c r="A175" s="1" t="s">
        <v>2502</v>
      </c>
      <c r="B175" s="1" t="s">
        <v>2503</v>
      </c>
      <c r="C175" s="1">
        <v>1059</v>
      </c>
      <c r="D175" s="1">
        <v>1059</v>
      </c>
      <c r="E175" s="2">
        <v>0.98</v>
      </c>
      <c r="F175" s="1">
        <v>0</v>
      </c>
      <c r="G175" s="1">
        <v>64.290000000000006</v>
      </c>
      <c r="H175" s="1">
        <v>800</v>
      </c>
      <c r="I175" s="1" t="str">
        <f>HYPERLINK("https://www.ncbi.nlm.nih.gov/protein/WP_120570935.1?report=genbank&amp;log$=prottop&amp;blast_rank=141&amp;RID=7U875CNM013","WP_120570935.1")</f>
        <v>WP_120570935.1</v>
      </c>
      <c r="J175" s="1" t="s">
        <v>1087</v>
      </c>
    </row>
    <row r="176" spans="1:10" s="4" customFormat="1" x14ac:dyDescent="0.2">
      <c r="A176" s="1" t="s">
        <v>2633</v>
      </c>
      <c r="B176" s="1" t="s">
        <v>2634</v>
      </c>
      <c r="C176" s="1">
        <v>1055</v>
      </c>
      <c r="D176" s="1">
        <v>1055</v>
      </c>
      <c r="E176" s="2">
        <v>0.98</v>
      </c>
      <c r="F176" s="1">
        <v>0</v>
      </c>
      <c r="G176" s="1">
        <v>64.290000000000006</v>
      </c>
      <c r="H176" s="1">
        <v>800</v>
      </c>
      <c r="I176" s="1" t="str">
        <f>HYPERLINK("https://www.ncbi.nlm.nih.gov/protein/WP_184683588.1?report=genbank&amp;log$=prottop&amp;blast_rank=145&amp;RID=7U875CNM013","WP_184683588.1")</f>
        <v>WP_184683588.1</v>
      </c>
      <c r="J176" s="1" t="s">
        <v>1087</v>
      </c>
    </row>
    <row r="177" spans="1:10" s="4" customFormat="1" x14ac:dyDescent="0.2">
      <c r="A177" s="1" t="s">
        <v>2635</v>
      </c>
      <c r="B177" s="1" t="s">
        <v>2636</v>
      </c>
      <c r="C177" s="1">
        <v>1055</v>
      </c>
      <c r="D177" s="1">
        <v>1055</v>
      </c>
      <c r="E177" s="2">
        <v>0.98</v>
      </c>
      <c r="F177" s="1">
        <v>0</v>
      </c>
      <c r="G177" s="1">
        <v>64.290000000000006</v>
      </c>
      <c r="H177" s="1">
        <v>800</v>
      </c>
      <c r="I177" s="1" t="str">
        <f>HYPERLINK("https://www.ncbi.nlm.nih.gov/protein/WP_116508892.1?report=genbank&amp;log$=prottop&amp;blast_rank=146&amp;RID=7U875CNM013","WP_116508892.1")</f>
        <v>WP_116508892.1</v>
      </c>
      <c r="J177" s="1" t="s">
        <v>1087</v>
      </c>
    </row>
    <row r="178" spans="1:10" s="4" customFormat="1" x14ac:dyDescent="0.2">
      <c r="A178" s="1" t="s">
        <v>2637</v>
      </c>
      <c r="B178" s="1" t="s">
        <v>2638</v>
      </c>
      <c r="C178" s="1">
        <v>1052</v>
      </c>
      <c r="D178" s="1">
        <v>1052</v>
      </c>
      <c r="E178" s="2">
        <v>0.98</v>
      </c>
      <c r="F178" s="1">
        <v>0</v>
      </c>
      <c r="G178" s="1">
        <v>64.290000000000006</v>
      </c>
      <c r="H178" s="1">
        <v>800</v>
      </c>
      <c r="I178" s="1" t="str">
        <f>HYPERLINK("https://www.ncbi.nlm.nih.gov/protein/GHJ55717.1?report=genbank&amp;log$=prottop&amp;blast_rank=148&amp;RID=7U875CNM013","GHJ55717.1")</f>
        <v>GHJ55717.1</v>
      </c>
      <c r="J178" s="1" t="s">
        <v>1087</v>
      </c>
    </row>
    <row r="179" spans="1:10" s="4" customFormat="1" x14ac:dyDescent="0.2">
      <c r="A179" s="1" t="s">
        <v>2639</v>
      </c>
      <c r="B179" s="1" t="s">
        <v>2640</v>
      </c>
      <c r="C179" s="1">
        <v>1041</v>
      </c>
      <c r="D179" s="1">
        <v>1041</v>
      </c>
      <c r="E179" s="2">
        <v>0.98</v>
      </c>
      <c r="F179" s="1">
        <v>0</v>
      </c>
      <c r="G179" s="1">
        <v>64.290000000000006</v>
      </c>
      <c r="H179" s="1">
        <v>803</v>
      </c>
      <c r="I179" s="1" t="str">
        <f>HYPERLINK("https://www.ncbi.nlm.nih.gov/protein/WP_091579176.1?report=genbank&amp;log$=prottop&amp;blast_rank=152&amp;RID=7U875CNM013","WP_091579176.1")</f>
        <v>WP_091579176.1</v>
      </c>
      <c r="J179" s="1" t="s">
        <v>1087</v>
      </c>
    </row>
    <row r="180" spans="1:10" s="4" customFormat="1" x14ac:dyDescent="0.2">
      <c r="A180" s="1" t="s">
        <v>2591</v>
      </c>
      <c r="B180" s="1" t="s">
        <v>2592</v>
      </c>
      <c r="C180" s="1">
        <v>1023</v>
      </c>
      <c r="D180" s="1">
        <v>1023</v>
      </c>
      <c r="E180" s="2">
        <v>0.98</v>
      </c>
      <c r="F180" s="1">
        <v>0</v>
      </c>
      <c r="G180" s="1">
        <v>64.290000000000006</v>
      </c>
      <c r="H180" s="1">
        <v>804</v>
      </c>
      <c r="I180" s="1" t="str">
        <f>HYPERLINK("https://www.ncbi.nlm.nih.gov/protein/WP_062908437.1?report=genbank&amp;log$=prottop&amp;blast_rank=155&amp;RID=7U875CNM013","WP_062908437.1")</f>
        <v>WP_062908437.1</v>
      </c>
      <c r="J180" s="1" t="s">
        <v>1087</v>
      </c>
    </row>
    <row r="181" spans="1:10" s="4" customFormat="1" x14ac:dyDescent="0.2">
      <c r="A181" s="1" t="s">
        <v>2641</v>
      </c>
      <c r="B181" s="1" t="s">
        <v>2642</v>
      </c>
      <c r="C181" s="1">
        <v>1053</v>
      </c>
      <c r="D181" s="1">
        <v>1053</v>
      </c>
      <c r="E181" s="2">
        <v>0.98</v>
      </c>
      <c r="F181" s="1">
        <v>0</v>
      </c>
      <c r="G181" s="1">
        <v>64.28</v>
      </c>
      <c r="H181" s="1">
        <v>783</v>
      </c>
      <c r="I181" s="1" t="str">
        <f>HYPERLINK("https://www.ncbi.nlm.nih.gov/protein/WP_161111970.1?report=genbank&amp;log$=prottop&amp;blast_rank=158&amp;RID=7U875CNM013","WP_161111970.1")</f>
        <v>WP_161111970.1</v>
      </c>
      <c r="J181" s="1" t="s">
        <v>1087</v>
      </c>
    </row>
    <row r="182" spans="1:10" s="7" customFormat="1" x14ac:dyDescent="0.2">
      <c r="A182" s="5" t="s">
        <v>2643</v>
      </c>
      <c r="B182" s="5" t="s">
        <v>2644</v>
      </c>
      <c r="C182" s="5">
        <v>1028</v>
      </c>
      <c r="D182" s="5">
        <v>1028</v>
      </c>
      <c r="E182" s="6">
        <v>0.98</v>
      </c>
      <c r="F182" s="5">
        <v>0</v>
      </c>
      <c r="G182" s="5">
        <v>64.239999999999995</v>
      </c>
      <c r="H182" s="5">
        <v>795</v>
      </c>
      <c r="I182" s="5" t="str">
        <f>HYPERLINK("https://www.ncbi.nlm.nih.gov/protein/WP_192722671.1?report=genbank&amp;log$=prottop&amp;blast_rank=8&amp;RID=7U875CNM013","WP_192722671.1")</f>
        <v>WP_192722671.1</v>
      </c>
      <c r="J182" s="5" t="s">
        <v>1087</v>
      </c>
    </row>
    <row r="183" spans="1:10" s="7" customFormat="1" x14ac:dyDescent="0.2">
      <c r="A183" s="5" t="s">
        <v>2645</v>
      </c>
      <c r="B183" s="5" t="s">
        <v>2644</v>
      </c>
      <c r="C183" s="5">
        <v>1028</v>
      </c>
      <c r="D183" s="5">
        <v>1028</v>
      </c>
      <c r="E183" s="6">
        <v>0.98</v>
      </c>
      <c r="F183" s="5">
        <v>0</v>
      </c>
      <c r="G183" s="5">
        <v>64.239999999999995</v>
      </c>
      <c r="H183" s="5">
        <v>792</v>
      </c>
      <c r="I183" s="5" t="str">
        <f>HYPERLINK("https://www.ncbi.nlm.nih.gov/protein/MBE1548327.1?report=genbank&amp;log$=prottop&amp;blast_rank=9&amp;RID=7U875CNM013","MBE1548327.1")</f>
        <v>MBE1548327.1</v>
      </c>
      <c r="J183" s="5" t="s">
        <v>1087</v>
      </c>
    </row>
    <row r="184" spans="1:10" s="7" customFormat="1" ht="17" x14ac:dyDescent="0.2">
      <c r="A184" s="5" t="s">
        <v>2646</v>
      </c>
      <c r="B184" s="5" t="s">
        <v>2647</v>
      </c>
      <c r="C184" s="5">
        <v>1056</v>
      </c>
      <c r="D184" s="5">
        <v>1056</v>
      </c>
      <c r="E184" s="6">
        <v>0.99</v>
      </c>
      <c r="F184" s="5">
        <v>0</v>
      </c>
      <c r="G184" s="5">
        <v>64.23</v>
      </c>
      <c r="H184" s="5">
        <v>809</v>
      </c>
      <c r="I184" s="5" t="str">
        <f>HYPERLINK("https://www.ncbi.nlm.nih.gov/protein/WP_021010964.1?report=genbank&amp;log$=prottop&amp;blast_rank=12&amp;RID=7U875CNM013","WP_021010964.1")</f>
        <v>WP_021010964.1</v>
      </c>
      <c r="J184" s="27" t="s">
        <v>1087</v>
      </c>
    </row>
    <row r="185" spans="1:10" s="7" customFormat="1" ht="17" x14ac:dyDescent="0.2">
      <c r="A185" s="5" t="s">
        <v>2648</v>
      </c>
      <c r="B185" s="5" t="s">
        <v>2649</v>
      </c>
      <c r="C185" s="5">
        <v>1055</v>
      </c>
      <c r="D185" s="5">
        <v>1055</v>
      </c>
      <c r="E185" s="6">
        <v>0.99</v>
      </c>
      <c r="F185" s="5">
        <v>0</v>
      </c>
      <c r="G185" s="5">
        <v>64.23</v>
      </c>
      <c r="H185" s="5">
        <v>809</v>
      </c>
      <c r="I185" s="5" t="str">
        <f>HYPERLINK("https://www.ncbi.nlm.nih.gov/protein/WP_035253781.1?report=genbank&amp;log$=prottop&amp;blast_rank=13&amp;RID=7U875CNM013","WP_035253781.1")</f>
        <v>WP_035253781.1</v>
      </c>
      <c r="J185" s="27" t="s">
        <v>1087</v>
      </c>
    </row>
    <row r="186" spans="1:10" s="7" customFormat="1" x14ac:dyDescent="0.2">
      <c r="A186" s="5" t="s">
        <v>2650</v>
      </c>
      <c r="B186" s="5" t="s">
        <v>2651</v>
      </c>
      <c r="C186" s="5">
        <v>1024</v>
      </c>
      <c r="D186" s="5">
        <v>1024</v>
      </c>
      <c r="E186" s="6">
        <v>0.98</v>
      </c>
      <c r="F186" s="5">
        <v>0</v>
      </c>
      <c r="G186" s="5">
        <v>64.23</v>
      </c>
      <c r="H186" s="5">
        <v>809</v>
      </c>
      <c r="I186" s="5" t="str">
        <f>HYPERLINK("https://www.ncbi.nlm.nih.gov/protein/WP_009742377.1?report=genbank&amp;log$=prottop&amp;blast_rank=15&amp;RID=7U875CNM013","WP_009742377.1")</f>
        <v>WP_009742377.1</v>
      </c>
      <c r="J186" s="5" t="s">
        <v>1087</v>
      </c>
    </row>
    <row r="187" spans="1:10" s="7" customFormat="1" x14ac:dyDescent="0.2">
      <c r="A187" s="5" t="s">
        <v>2652</v>
      </c>
      <c r="B187" s="5" t="s">
        <v>2653</v>
      </c>
      <c r="C187" s="5">
        <v>1052</v>
      </c>
      <c r="D187" s="5">
        <v>1052</v>
      </c>
      <c r="E187" s="6">
        <v>0.99</v>
      </c>
      <c r="F187" s="5">
        <v>0</v>
      </c>
      <c r="G187" s="5">
        <v>64.22</v>
      </c>
      <c r="H187" s="5">
        <v>817</v>
      </c>
      <c r="I187" s="5" t="str">
        <f>HYPERLINK("https://www.ncbi.nlm.nih.gov/protein/SHF97942.1?report=genbank&amp;log$=prottop&amp;blast_rank=18&amp;RID=7U875CNM013","SHF97942.1")</f>
        <v>SHF97942.1</v>
      </c>
      <c r="J187" s="5" t="s">
        <v>1087</v>
      </c>
    </row>
    <row r="188" spans="1:10" s="7" customFormat="1" x14ac:dyDescent="0.2">
      <c r="A188" s="5" t="s">
        <v>2654</v>
      </c>
      <c r="B188" s="5" t="s">
        <v>2653</v>
      </c>
      <c r="C188" s="5">
        <v>1050</v>
      </c>
      <c r="D188" s="5">
        <v>1050</v>
      </c>
      <c r="E188" s="6">
        <v>0.99</v>
      </c>
      <c r="F188" s="5">
        <v>0</v>
      </c>
      <c r="G188" s="5">
        <v>64.22</v>
      </c>
      <c r="H188" s="5">
        <v>808</v>
      </c>
      <c r="I188" s="5" t="str">
        <f>HYPERLINK("https://www.ncbi.nlm.nih.gov/protein/WP_073419646.1?report=genbank&amp;log$=prottop&amp;blast_rank=19&amp;RID=7U875CNM013","WP_073419646.1")</f>
        <v>WP_073419646.1</v>
      </c>
      <c r="J188" s="5" t="s">
        <v>1087</v>
      </c>
    </row>
    <row r="189" spans="1:10" s="7" customFormat="1" x14ac:dyDescent="0.2">
      <c r="A189" s="5" t="s">
        <v>2655</v>
      </c>
      <c r="B189" s="5" t="s">
        <v>2656</v>
      </c>
      <c r="C189" s="5">
        <v>1037</v>
      </c>
      <c r="D189" s="5">
        <v>1037</v>
      </c>
      <c r="E189" s="6">
        <v>0.98</v>
      </c>
      <c r="F189" s="5">
        <v>0</v>
      </c>
      <c r="G189" s="5">
        <v>64.209999999999994</v>
      </c>
      <c r="H189" s="5">
        <v>796</v>
      </c>
      <c r="I189" s="5" t="str">
        <f>HYPERLINK("https://www.ncbi.nlm.nih.gov/protein/WP_054373234.1?report=genbank&amp;log$=prottop&amp;blast_rank=21&amp;RID=7U875CNM013","WP_054373234.1")</f>
        <v>WP_054373234.1</v>
      </c>
      <c r="J189" s="5" t="s">
        <v>1087</v>
      </c>
    </row>
    <row r="190" spans="1:10" s="7" customFormat="1" x14ac:dyDescent="0.2">
      <c r="A190" s="5" t="s">
        <v>2610</v>
      </c>
      <c r="B190" s="5" t="s">
        <v>2566</v>
      </c>
      <c r="C190" s="5">
        <v>1035</v>
      </c>
      <c r="D190" s="5">
        <v>1035</v>
      </c>
      <c r="E190" s="6">
        <v>0.98</v>
      </c>
      <c r="F190" s="5">
        <v>0</v>
      </c>
      <c r="G190" s="5">
        <v>64.209999999999994</v>
      </c>
      <c r="H190" s="5">
        <v>796</v>
      </c>
      <c r="I190" s="5" t="str">
        <f>HYPERLINK("https://www.ncbi.nlm.nih.gov/protein/WP_050035013.1?report=genbank&amp;log$=prottop&amp;blast_rank=22&amp;RID=7U875CNM013","WP_050035013.1")</f>
        <v>WP_050035013.1</v>
      </c>
      <c r="J190" s="5" t="s">
        <v>1087</v>
      </c>
    </row>
    <row r="191" spans="1:10" s="7" customFormat="1" x14ac:dyDescent="0.2">
      <c r="A191" s="5" t="s">
        <v>2657</v>
      </c>
      <c r="B191" s="5" t="s">
        <v>2609</v>
      </c>
      <c r="C191" s="5">
        <v>1033</v>
      </c>
      <c r="D191" s="5">
        <v>1033</v>
      </c>
      <c r="E191" s="6">
        <v>0.98</v>
      </c>
      <c r="F191" s="5">
        <v>0</v>
      </c>
      <c r="G191" s="5">
        <v>64.209999999999994</v>
      </c>
      <c r="H191" s="5">
        <v>796</v>
      </c>
      <c r="I191" s="5" t="str">
        <f>HYPERLINK("https://www.ncbi.nlm.nih.gov/protein/WP_203329317.1?report=genbank&amp;log$=prottop&amp;blast_rank=23&amp;RID=7U875CNM013","WP_203329317.1")</f>
        <v>WP_203329317.1</v>
      </c>
      <c r="J191" s="5" t="s">
        <v>1087</v>
      </c>
    </row>
    <row r="192" spans="1:10" s="7" customFormat="1" x14ac:dyDescent="0.2">
      <c r="A192" s="5" t="s">
        <v>2658</v>
      </c>
      <c r="B192" s="5" t="s">
        <v>2659</v>
      </c>
      <c r="C192" s="5">
        <v>1041</v>
      </c>
      <c r="D192" s="5">
        <v>1041</v>
      </c>
      <c r="E192" s="6">
        <v>0.96</v>
      </c>
      <c r="F192" s="5">
        <v>0</v>
      </c>
      <c r="G192" s="5">
        <v>64.209999999999994</v>
      </c>
      <c r="H192" s="5">
        <v>782</v>
      </c>
      <c r="I192" s="5" t="str">
        <f>HYPERLINK("https://www.ncbi.nlm.nih.gov/protein/MBA2513250.1?report=genbank&amp;log$=prottop&amp;blast_rank=25&amp;RID=7U875CNM013","MBA2513250.1")</f>
        <v>MBA2513250.1</v>
      </c>
      <c r="J192" s="5" t="s">
        <v>1087</v>
      </c>
    </row>
    <row r="193" spans="1:10" s="7" customFormat="1" x14ac:dyDescent="0.2">
      <c r="A193" s="5" t="s">
        <v>2660</v>
      </c>
      <c r="B193" s="5" t="s">
        <v>2661</v>
      </c>
      <c r="C193" s="5">
        <v>1047</v>
      </c>
      <c r="D193" s="5">
        <v>1047</v>
      </c>
      <c r="E193" s="6">
        <v>0.98</v>
      </c>
      <c r="F193" s="5">
        <v>0</v>
      </c>
      <c r="G193" s="5">
        <v>64.2</v>
      </c>
      <c r="H193" s="5">
        <v>776</v>
      </c>
      <c r="I193" s="5" t="str">
        <f>HYPERLINK("https://www.ncbi.nlm.nih.gov/protein/WP_104478531.1?report=genbank&amp;log$=prottop&amp;blast_rank=34&amp;RID=7U875CNM013","WP_104478531.1")</f>
        <v>WP_104478531.1</v>
      </c>
      <c r="J193" s="5" t="s">
        <v>1087</v>
      </c>
    </row>
    <row r="194" spans="1:10" s="7" customFormat="1" x14ac:dyDescent="0.2">
      <c r="A194" s="5" t="s">
        <v>2495</v>
      </c>
      <c r="B194" s="5" t="s">
        <v>2496</v>
      </c>
      <c r="C194" s="5">
        <v>1041</v>
      </c>
      <c r="D194" s="5">
        <v>1041</v>
      </c>
      <c r="E194" s="6">
        <v>0.99</v>
      </c>
      <c r="F194" s="5">
        <v>0</v>
      </c>
      <c r="G194" s="5">
        <v>64.2</v>
      </c>
      <c r="H194" s="5">
        <v>814</v>
      </c>
      <c r="I194" s="5" t="str">
        <f>HYPERLINK("https://www.ncbi.nlm.nih.gov/protein/TFV85615.1?report=genbank&amp;log$=prottop&amp;blast_rank=40&amp;RID=7U875CNM013","TFV85615.1")</f>
        <v>TFV85615.1</v>
      </c>
      <c r="J194" s="5" t="s">
        <v>1087</v>
      </c>
    </row>
    <row r="195" spans="1:10" s="7" customFormat="1" x14ac:dyDescent="0.2">
      <c r="A195" s="5" t="s">
        <v>2662</v>
      </c>
      <c r="B195" s="5" t="s">
        <v>2663</v>
      </c>
      <c r="C195" s="5">
        <v>1026</v>
      </c>
      <c r="D195" s="5">
        <v>1026</v>
      </c>
      <c r="E195" s="6">
        <v>0.98</v>
      </c>
      <c r="F195" s="5">
        <v>0</v>
      </c>
      <c r="G195" s="5">
        <v>64.19</v>
      </c>
      <c r="H195" s="5">
        <v>793</v>
      </c>
      <c r="I195" s="5" t="str">
        <f>HYPERLINK("https://www.ncbi.nlm.nih.gov/protein/WP_084952192.1?report=genbank&amp;log$=prottop&amp;blast_rank=42&amp;RID=7U875CNM013","WP_084952192.1")</f>
        <v>WP_084952192.1</v>
      </c>
      <c r="J195" s="5" t="s">
        <v>1087</v>
      </c>
    </row>
    <row r="196" spans="1:10" s="7" customFormat="1" x14ac:dyDescent="0.2">
      <c r="A196" s="5" t="s">
        <v>2662</v>
      </c>
      <c r="B196" s="5" t="s">
        <v>2663</v>
      </c>
      <c r="C196" s="5">
        <v>1023</v>
      </c>
      <c r="D196" s="5">
        <v>1023</v>
      </c>
      <c r="E196" s="6">
        <v>0.98</v>
      </c>
      <c r="F196" s="5">
        <v>0</v>
      </c>
      <c r="G196" s="5">
        <v>64.19</v>
      </c>
      <c r="H196" s="5">
        <v>793</v>
      </c>
      <c r="I196" s="5" t="str">
        <f>HYPERLINK("https://www.ncbi.nlm.nih.gov/protein/WP_044505929.1?report=genbank&amp;log$=prottop&amp;blast_rank=43&amp;RID=7U875CNM013","WP_044505929.1")</f>
        <v>WP_044505929.1</v>
      </c>
      <c r="J196" s="5" t="s">
        <v>1087</v>
      </c>
    </row>
    <row r="197" spans="1:10" s="7" customFormat="1" x14ac:dyDescent="0.2">
      <c r="A197" s="5" t="s">
        <v>2664</v>
      </c>
      <c r="B197" s="5" t="s">
        <v>2665</v>
      </c>
      <c r="C197" s="5">
        <v>1039</v>
      </c>
      <c r="D197" s="5">
        <v>1039</v>
      </c>
      <c r="E197" s="6">
        <v>0.99</v>
      </c>
      <c r="F197" s="5">
        <v>0</v>
      </c>
      <c r="G197" s="5">
        <v>64.19</v>
      </c>
      <c r="H197" s="5">
        <v>793</v>
      </c>
      <c r="I197" s="5" t="str">
        <f>HYPERLINK("https://www.ncbi.nlm.nih.gov/protein/WP_085249389.1?report=genbank&amp;log$=prottop&amp;blast_rank=45&amp;RID=7U875CNM013","WP_085249389.1")</f>
        <v>WP_085249389.1</v>
      </c>
      <c r="J197" s="5" t="s">
        <v>1087</v>
      </c>
    </row>
    <row r="198" spans="1:10" s="7" customFormat="1" x14ac:dyDescent="0.2">
      <c r="A198" s="5" t="s">
        <v>2666</v>
      </c>
      <c r="B198" s="5" t="s">
        <v>2667</v>
      </c>
      <c r="C198" s="5">
        <v>1038</v>
      </c>
      <c r="D198" s="5">
        <v>1038</v>
      </c>
      <c r="E198" s="6">
        <v>0.97</v>
      </c>
      <c r="F198" s="5">
        <v>0</v>
      </c>
      <c r="G198" s="5">
        <v>64.180000000000007</v>
      </c>
      <c r="H198" s="5">
        <v>788</v>
      </c>
      <c r="I198" s="5" t="str">
        <f>HYPERLINK("https://www.ncbi.nlm.nih.gov/protein/WP_033439132.1?report=genbank&amp;log$=prottop&amp;blast_rank=48&amp;RID=7U875CNM013","WP_033439132.1")</f>
        <v>WP_033439132.1</v>
      </c>
      <c r="J198" s="5" t="s">
        <v>1087</v>
      </c>
    </row>
    <row r="199" spans="1:10" s="7" customFormat="1" x14ac:dyDescent="0.2">
      <c r="A199" s="5" t="s">
        <v>2668</v>
      </c>
      <c r="B199" s="5" t="s">
        <v>2669</v>
      </c>
      <c r="C199" s="5">
        <v>1030</v>
      </c>
      <c r="D199" s="5">
        <v>1030</v>
      </c>
      <c r="E199" s="6">
        <v>0.98</v>
      </c>
      <c r="F199" s="5">
        <v>0</v>
      </c>
      <c r="G199" s="5">
        <v>64.17</v>
      </c>
      <c r="H199" s="5">
        <v>810</v>
      </c>
      <c r="I199" s="5" t="str">
        <f>HYPERLINK("https://www.ncbi.nlm.nih.gov/protein/SDE59207.1?report=genbank&amp;log$=prottop&amp;blast_rank=61&amp;RID=7U875CNM013","SDE59207.1")</f>
        <v>SDE59207.1</v>
      </c>
      <c r="J199" s="5" t="s">
        <v>1087</v>
      </c>
    </row>
    <row r="200" spans="1:10" s="7" customFormat="1" x14ac:dyDescent="0.2">
      <c r="A200" s="5" t="s">
        <v>2670</v>
      </c>
      <c r="B200" s="5" t="s">
        <v>2671</v>
      </c>
      <c r="C200" s="5">
        <v>1062</v>
      </c>
      <c r="D200" s="5">
        <v>1062</v>
      </c>
      <c r="E200" s="6">
        <v>0.98</v>
      </c>
      <c r="F200" s="5">
        <v>0</v>
      </c>
      <c r="G200" s="5">
        <v>64.16</v>
      </c>
      <c r="H200" s="5">
        <v>791</v>
      </c>
      <c r="I200" s="5" t="str">
        <f>HYPERLINK("https://www.ncbi.nlm.nih.gov/protein/HHN42774.1?report=genbank&amp;log$=prottop&amp;blast_rank=69&amp;RID=7U875CNM013","HHN42774.1")</f>
        <v>HHN42774.1</v>
      </c>
      <c r="J200" s="5" t="s">
        <v>1087</v>
      </c>
    </row>
    <row r="201" spans="1:10" s="7" customFormat="1" x14ac:dyDescent="0.2">
      <c r="A201" s="5" t="s">
        <v>2672</v>
      </c>
      <c r="B201" s="5" t="s">
        <v>2673</v>
      </c>
      <c r="C201" s="5">
        <v>1057</v>
      </c>
      <c r="D201" s="5">
        <v>1057</v>
      </c>
      <c r="E201" s="6">
        <v>0.98</v>
      </c>
      <c r="F201" s="5">
        <v>0</v>
      </c>
      <c r="G201" s="5">
        <v>64.16</v>
      </c>
      <c r="H201" s="5">
        <v>800</v>
      </c>
      <c r="I201" s="5" t="str">
        <f>HYPERLINK("https://www.ncbi.nlm.nih.gov/protein/WP_135239027.1?report=genbank&amp;log$=prottop&amp;blast_rank=70&amp;RID=7U875CNM013","WP_135239027.1")</f>
        <v>WP_135239027.1</v>
      </c>
      <c r="J201" s="5" t="s">
        <v>1087</v>
      </c>
    </row>
    <row r="202" spans="1:10" s="7" customFormat="1" x14ac:dyDescent="0.2">
      <c r="A202" s="5" t="s">
        <v>2674</v>
      </c>
      <c r="B202" s="5" t="s">
        <v>2675</v>
      </c>
      <c r="C202" s="5">
        <v>1045</v>
      </c>
      <c r="D202" s="5">
        <v>1045</v>
      </c>
      <c r="E202" s="6">
        <v>0.99</v>
      </c>
      <c r="F202" s="5">
        <v>0</v>
      </c>
      <c r="G202" s="5">
        <v>64.150000000000006</v>
      </c>
      <c r="H202" s="5">
        <v>811</v>
      </c>
      <c r="I202" s="5" t="str">
        <f>HYPERLINK("https://www.ncbi.nlm.nih.gov/protein/WP_116450498.1?report=genbank&amp;log$=prottop&amp;blast_rank=83&amp;RID=7U875CNM013","WP_116450498.1")</f>
        <v>WP_116450498.1</v>
      </c>
      <c r="J202" s="5" t="s">
        <v>1087</v>
      </c>
    </row>
    <row r="203" spans="1:10" s="7" customFormat="1" x14ac:dyDescent="0.2">
      <c r="A203" s="5" t="s">
        <v>2676</v>
      </c>
      <c r="B203" s="5" t="s">
        <v>2677</v>
      </c>
      <c r="C203" s="5">
        <v>1064</v>
      </c>
      <c r="D203" s="5">
        <v>1064</v>
      </c>
      <c r="E203" s="6">
        <v>0.99</v>
      </c>
      <c r="F203" s="5">
        <v>0</v>
      </c>
      <c r="G203" s="5">
        <v>64.13</v>
      </c>
      <c r="H203" s="5">
        <v>786</v>
      </c>
      <c r="I203" s="5" t="str">
        <f>HYPERLINK("https://www.ncbi.nlm.nih.gov/protein/WP_067918603.1?report=genbank&amp;log$=prottop&amp;blast_rank=94&amp;RID=7U875CNM013","WP_067918603.1")</f>
        <v>WP_067918603.1</v>
      </c>
      <c r="J203" s="5" t="s">
        <v>1087</v>
      </c>
    </row>
    <row r="204" spans="1:10" s="7" customFormat="1" x14ac:dyDescent="0.2">
      <c r="A204" s="5" t="s">
        <v>2615</v>
      </c>
      <c r="B204" s="5" t="s">
        <v>2616</v>
      </c>
      <c r="C204" s="5">
        <v>1025</v>
      </c>
      <c r="D204" s="5">
        <v>1025</v>
      </c>
      <c r="E204" s="6">
        <v>0.99</v>
      </c>
      <c r="F204" s="5">
        <v>0</v>
      </c>
      <c r="G204" s="5">
        <v>64.13</v>
      </c>
      <c r="H204" s="5">
        <v>791</v>
      </c>
      <c r="I204" s="5" t="str">
        <f>HYPERLINK("https://www.ncbi.nlm.nih.gov/protein/WP_065120259.1?report=genbank&amp;log$=prottop&amp;blast_rank=95&amp;RID=7U875CNM013","WP_065120259.1")</f>
        <v>WP_065120259.1</v>
      </c>
      <c r="J204" s="5" t="s">
        <v>1087</v>
      </c>
    </row>
    <row r="205" spans="1:10" s="7" customFormat="1" x14ac:dyDescent="0.2">
      <c r="A205" s="5" t="s">
        <v>1085</v>
      </c>
      <c r="B205" s="5" t="s">
        <v>1086</v>
      </c>
      <c r="C205" s="5">
        <v>1079</v>
      </c>
      <c r="D205" s="5">
        <v>1079</v>
      </c>
      <c r="E205" s="6">
        <v>0.98</v>
      </c>
      <c r="F205" s="5">
        <v>0</v>
      </c>
      <c r="G205" s="5">
        <v>64.12</v>
      </c>
      <c r="H205" s="5">
        <v>794</v>
      </c>
      <c r="I205" s="5" t="str">
        <f>HYPERLINK("https://www.ncbi.nlm.nih.gov/protein/MBA3717026.1?report=genbank&amp;log$=prottop&amp;blast_rank=105&amp;RID=7U875CNM013","MBA3717026.1")</f>
        <v>MBA3717026.1</v>
      </c>
      <c r="J205" s="5" t="s">
        <v>1087</v>
      </c>
    </row>
    <row r="206" spans="1:10" s="7" customFormat="1" x14ac:dyDescent="0.2">
      <c r="A206" s="5" t="s">
        <v>2678</v>
      </c>
      <c r="B206" s="5" t="s">
        <v>2679</v>
      </c>
      <c r="C206" s="5">
        <v>1058</v>
      </c>
      <c r="D206" s="5">
        <v>1058</v>
      </c>
      <c r="E206" s="6">
        <v>0.97</v>
      </c>
      <c r="F206" s="5">
        <v>0</v>
      </c>
      <c r="G206" s="5">
        <v>64.12</v>
      </c>
      <c r="H206" s="5">
        <v>795</v>
      </c>
      <c r="I206" s="5" t="str">
        <f>HYPERLINK("https://www.ncbi.nlm.nih.gov/protein/MBB5192071.1?report=genbank&amp;log$=prottop&amp;blast_rank=117&amp;RID=7U875CNM013","MBB5192071.1")</f>
        <v>MBB5192071.1</v>
      </c>
      <c r="J206" s="5" t="s">
        <v>1087</v>
      </c>
    </row>
    <row r="207" spans="1:10" s="7" customFormat="1" x14ac:dyDescent="0.2">
      <c r="A207" s="5" t="s">
        <v>2680</v>
      </c>
      <c r="B207" s="5" t="s">
        <v>2679</v>
      </c>
      <c r="C207" s="5">
        <v>1057</v>
      </c>
      <c r="D207" s="5">
        <v>1057</v>
      </c>
      <c r="E207" s="6">
        <v>0.97</v>
      </c>
      <c r="F207" s="5">
        <v>0</v>
      </c>
      <c r="G207" s="5">
        <v>64.12</v>
      </c>
      <c r="H207" s="5">
        <v>782</v>
      </c>
      <c r="I207" s="5" t="str">
        <f>HYPERLINK("https://www.ncbi.nlm.nih.gov/protein/WP_184101873.1?report=genbank&amp;log$=prottop&amp;blast_rank=118&amp;RID=7U875CNM013","WP_184101873.1")</f>
        <v>WP_184101873.1</v>
      </c>
      <c r="J207" s="5" t="s">
        <v>1087</v>
      </c>
    </row>
    <row r="208" spans="1:10" s="7" customFormat="1" x14ac:dyDescent="0.2">
      <c r="A208" s="5" t="s">
        <v>2681</v>
      </c>
      <c r="B208" s="5" t="s">
        <v>2682</v>
      </c>
      <c r="C208" s="5">
        <v>1054</v>
      </c>
      <c r="D208" s="5">
        <v>1054</v>
      </c>
      <c r="E208" s="6">
        <v>0.98</v>
      </c>
      <c r="F208" s="5">
        <v>0</v>
      </c>
      <c r="G208" s="5">
        <v>64.12</v>
      </c>
      <c r="H208" s="5">
        <v>794</v>
      </c>
      <c r="I208" s="5" t="str">
        <f>HYPERLINK("https://www.ncbi.nlm.nih.gov/protein/WP_132212833.1?report=genbank&amp;log$=prottop&amp;blast_rank=120&amp;RID=7U875CNM013","WP_132212833.1")</f>
        <v>WP_132212833.1</v>
      </c>
      <c r="J208" s="5" t="s">
        <v>1087</v>
      </c>
    </row>
    <row r="209" spans="1:10" s="7" customFormat="1" x14ac:dyDescent="0.2">
      <c r="A209" s="5" t="s">
        <v>2685</v>
      </c>
      <c r="B209" s="5" t="s">
        <v>2684</v>
      </c>
      <c r="C209" s="5">
        <v>1053</v>
      </c>
      <c r="D209" s="5">
        <v>1053</v>
      </c>
      <c r="E209" s="6">
        <v>0.97</v>
      </c>
      <c r="F209" s="5">
        <v>0</v>
      </c>
      <c r="G209" s="5">
        <v>64.12</v>
      </c>
      <c r="H209" s="5">
        <v>782</v>
      </c>
      <c r="I209" s="5" t="str">
        <f>HYPERLINK("https://www.ncbi.nlm.nih.gov/protein/WP_188705349.1?report=genbank&amp;log$=prottop&amp;blast_rank=122&amp;RID=7U875CNM013","WP_188705349.1")</f>
        <v>WP_188705349.1</v>
      </c>
      <c r="J209" s="5" t="s">
        <v>1087</v>
      </c>
    </row>
    <row r="210" spans="1:10" s="7" customFormat="1" x14ac:dyDescent="0.2">
      <c r="A210" s="5" t="s">
        <v>2686</v>
      </c>
      <c r="B210" s="5" t="s">
        <v>2687</v>
      </c>
      <c r="C210" s="5">
        <v>1027</v>
      </c>
      <c r="D210" s="5">
        <v>1027</v>
      </c>
      <c r="E210" s="6">
        <v>0.99</v>
      </c>
      <c r="F210" s="5">
        <v>0</v>
      </c>
      <c r="G210" s="5">
        <v>64.12</v>
      </c>
      <c r="H210" s="5">
        <v>798</v>
      </c>
      <c r="I210" s="5" t="str">
        <f>HYPERLINK("https://www.ncbi.nlm.nih.gov/protein/WP_076115498.1?report=genbank&amp;log$=prottop&amp;blast_rank=130&amp;RID=7U875CNM013","WP_076115498.1")</f>
        <v>WP_076115498.1</v>
      </c>
      <c r="J210" s="5" t="s">
        <v>1087</v>
      </c>
    </row>
    <row r="211" spans="1:10" s="7" customFormat="1" x14ac:dyDescent="0.2">
      <c r="A211" s="5" t="s">
        <v>2688</v>
      </c>
      <c r="B211" s="5" t="s">
        <v>2689</v>
      </c>
      <c r="C211" s="5">
        <v>1068</v>
      </c>
      <c r="D211" s="5">
        <v>1068</v>
      </c>
      <c r="E211" s="6">
        <v>0.98</v>
      </c>
      <c r="F211" s="5">
        <v>0</v>
      </c>
      <c r="G211" s="5">
        <v>64.11</v>
      </c>
      <c r="H211" s="5">
        <v>788</v>
      </c>
      <c r="I211" s="5" t="str">
        <f>HYPERLINK("https://www.ncbi.nlm.nih.gov/protein/WP_035747026.1?report=genbank&amp;log$=prottop&amp;blast_rank=131&amp;RID=7U875CNM013","WP_035747026.1")</f>
        <v>WP_035747026.1</v>
      </c>
      <c r="J211" s="5" t="s">
        <v>1087</v>
      </c>
    </row>
    <row r="212" spans="1:10" s="7" customFormat="1" x14ac:dyDescent="0.2">
      <c r="A212" s="5" t="s">
        <v>2690</v>
      </c>
      <c r="B212" s="5" t="s">
        <v>2691</v>
      </c>
      <c r="C212" s="5">
        <v>1048</v>
      </c>
      <c r="D212" s="5">
        <v>1048</v>
      </c>
      <c r="E212" s="6">
        <v>0.99</v>
      </c>
      <c r="F212" s="5">
        <v>0</v>
      </c>
      <c r="G212" s="5">
        <v>64.11</v>
      </c>
      <c r="H212" s="5">
        <v>815</v>
      </c>
      <c r="I212" s="5" t="str">
        <f>HYPERLINK("https://www.ncbi.nlm.nih.gov/protein/WP_167926268.1?report=genbank&amp;log$=prottop&amp;blast_rank=134&amp;RID=7U875CNM013","WP_167926268.1")</f>
        <v>WP_167926268.1</v>
      </c>
      <c r="J212" s="5" t="s">
        <v>1087</v>
      </c>
    </row>
    <row r="213" spans="1:10" s="7" customFormat="1" x14ac:dyDescent="0.2">
      <c r="A213" s="5" t="s">
        <v>2482</v>
      </c>
      <c r="B213" s="5" t="s">
        <v>2483</v>
      </c>
      <c r="C213" s="5">
        <v>1035</v>
      </c>
      <c r="D213" s="5">
        <v>1035</v>
      </c>
      <c r="E213" s="6">
        <v>0.98</v>
      </c>
      <c r="F213" s="5">
        <v>0</v>
      </c>
      <c r="G213" s="5">
        <v>64.09</v>
      </c>
      <c r="H213" s="5">
        <v>796</v>
      </c>
      <c r="I213" s="5" t="str">
        <f>HYPERLINK("https://www.ncbi.nlm.nih.gov/protein/WP_003935237.1?report=genbank&amp;log$=prottop&amp;blast_rank=139&amp;RID=7U875CNM013","WP_003935237.1")</f>
        <v>WP_003935237.1</v>
      </c>
      <c r="J213" s="5" t="s">
        <v>1087</v>
      </c>
    </row>
    <row r="214" spans="1:10" s="7" customFormat="1" x14ac:dyDescent="0.2">
      <c r="A214" s="5" t="s">
        <v>2692</v>
      </c>
      <c r="B214" s="5" t="s">
        <v>2693</v>
      </c>
      <c r="C214" s="5">
        <v>1047</v>
      </c>
      <c r="D214" s="5">
        <v>1047</v>
      </c>
      <c r="E214" s="6">
        <v>0.98</v>
      </c>
      <c r="F214" s="5">
        <v>0</v>
      </c>
      <c r="G214" s="5">
        <v>64.08</v>
      </c>
      <c r="H214" s="5">
        <v>804</v>
      </c>
      <c r="I214" s="5" t="str">
        <f>HYPERLINK("https://www.ncbi.nlm.nih.gov/protein/WP_145742033.1?report=genbank&amp;log$=prottop&amp;blast_rank=150&amp;RID=7U875CNM013","WP_145742033.1")</f>
        <v>WP_145742033.1</v>
      </c>
      <c r="J214" s="5" t="s">
        <v>1087</v>
      </c>
    </row>
    <row r="215" spans="1:10" s="7" customFormat="1" x14ac:dyDescent="0.2">
      <c r="A215" s="5" t="s">
        <v>2694</v>
      </c>
      <c r="B215" s="5" t="s">
        <v>2695</v>
      </c>
      <c r="C215" s="5">
        <v>1047</v>
      </c>
      <c r="D215" s="5">
        <v>1047</v>
      </c>
      <c r="E215" s="6">
        <v>0.98</v>
      </c>
      <c r="F215" s="5">
        <v>0</v>
      </c>
      <c r="G215" s="5">
        <v>64.08</v>
      </c>
      <c r="H215" s="5">
        <v>776</v>
      </c>
      <c r="I215" s="5" t="str">
        <f>HYPERLINK("https://www.ncbi.nlm.nih.gov/protein/WP_018685140.1?report=genbank&amp;log$=prottop&amp;blast_rank=151&amp;RID=7U875CNM013","WP_018685140.1")</f>
        <v>WP_018685140.1</v>
      </c>
      <c r="J215" s="5" t="s">
        <v>1087</v>
      </c>
    </row>
    <row r="216" spans="1:10" s="7" customFormat="1" x14ac:dyDescent="0.2">
      <c r="A216" s="5" t="s">
        <v>2696</v>
      </c>
      <c r="B216" s="5" t="s">
        <v>2697</v>
      </c>
      <c r="C216" s="5">
        <v>1038</v>
      </c>
      <c r="D216" s="5">
        <v>1038</v>
      </c>
      <c r="E216" s="6">
        <v>0.96</v>
      </c>
      <c r="F216" s="5">
        <v>0</v>
      </c>
      <c r="G216" s="5">
        <v>64.069999999999993</v>
      </c>
      <c r="H216" s="5">
        <v>807</v>
      </c>
      <c r="I216" s="5" t="str">
        <f>HYPERLINK("https://www.ncbi.nlm.nih.gov/protein/WP_166139044.1?report=genbank&amp;log$=prottop&amp;blast_rank=152&amp;RID=7U875CNM013","WP_166139044.1")</f>
        <v>WP_166139044.1</v>
      </c>
      <c r="J216" s="5" t="s">
        <v>1087</v>
      </c>
    </row>
    <row r="217" spans="1:10" s="7" customFormat="1" x14ac:dyDescent="0.2">
      <c r="A217" s="5" t="s">
        <v>2698</v>
      </c>
      <c r="B217" s="5" t="s">
        <v>2699</v>
      </c>
      <c r="C217" s="5">
        <v>1051</v>
      </c>
      <c r="D217" s="5">
        <v>1051</v>
      </c>
      <c r="E217" s="6">
        <v>0.98</v>
      </c>
      <c r="F217" s="5">
        <v>0</v>
      </c>
      <c r="G217" s="5">
        <v>64.069999999999993</v>
      </c>
      <c r="H217" s="5">
        <v>800</v>
      </c>
      <c r="I217" s="5" t="str">
        <f>HYPERLINK("https://www.ncbi.nlm.nih.gov/protein/WP_132240947.1?report=genbank&amp;log$=prottop&amp;blast_rank=158&amp;RID=7U875CNM013","WP_132240947.1")</f>
        <v>WP_132240947.1</v>
      </c>
      <c r="J217" s="5" t="s">
        <v>1087</v>
      </c>
    </row>
    <row r="218" spans="1:10" s="7" customFormat="1" x14ac:dyDescent="0.2">
      <c r="A218" s="5" t="s">
        <v>2700</v>
      </c>
      <c r="B218" s="5" t="s">
        <v>2701</v>
      </c>
      <c r="C218" s="5">
        <v>1048</v>
      </c>
      <c r="D218" s="5">
        <v>1048</v>
      </c>
      <c r="E218" s="6">
        <v>0.98</v>
      </c>
      <c r="F218" s="5">
        <v>0</v>
      </c>
      <c r="G218" s="5">
        <v>64.069999999999993</v>
      </c>
      <c r="H218" s="5">
        <v>800</v>
      </c>
      <c r="I218" s="5" t="str">
        <f>HYPERLINK("https://www.ncbi.nlm.nih.gov/protein/WP_089001300.1?report=genbank&amp;log$=prottop&amp;blast_rank=159&amp;RID=7U875CNM013","WP_089001300.1")</f>
        <v>WP_089001300.1</v>
      </c>
      <c r="J218" s="5" t="s">
        <v>1087</v>
      </c>
    </row>
    <row r="219" spans="1:10" s="7" customFormat="1" x14ac:dyDescent="0.2">
      <c r="A219" s="5" t="s">
        <v>2702</v>
      </c>
      <c r="B219" s="5" t="s">
        <v>2703</v>
      </c>
      <c r="C219" s="5">
        <v>1046</v>
      </c>
      <c r="D219" s="5">
        <v>1046</v>
      </c>
      <c r="E219" s="6">
        <v>0.98</v>
      </c>
      <c r="F219" s="5">
        <v>0</v>
      </c>
      <c r="G219" s="5">
        <v>64.069999999999993</v>
      </c>
      <c r="H219" s="5">
        <v>800</v>
      </c>
      <c r="I219" s="5" t="str">
        <f>HYPERLINK("https://www.ncbi.nlm.nih.gov/protein/WP_148431645.1?report=genbank&amp;log$=prottop&amp;blast_rank=160&amp;RID=7U875CNM013","WP_148431645.1")</f>
        <v>WP_148431645.1</v>
      </c>
      <c r="J219" s="5" t="s">
        <v>1087</v>
      </c>
    </row>
    <row r="220" spans="1:10" s="7" customFormat="1" x14ac:dyDescent="0.2">
      <c r="A220" s="5" t="s">
        <v>2704</v>
      </c>
      <c r="B220" s="5" t="s">
        <v>2705</v>
      </c>
      <c r="C220" s="5">
        <v>1045</v>
      </c>
      <c r="D220" s="5">
        <v>1045</v>
      </c>
      <c r="E220" s="6">
        <v>0.98</v>
      </c>
      <c r="F220" s="5">
        <v>0</v>
      </c>
      <c r="G220" s="5">
        <v>64.069999999999993</v>
      </c>
      <c r="H220" s="5">
        <v>800</v>
      </c>
      <c r="I220" s="5" t="str">
        <f>HYPERLINK("https://www.ncbi.nlm.nih.gov/protein/WP_130323342.1?report=genbank&amp;log$=prottop&amp;blast_rank=162&amp;RID=7U875CNM013","WP_130323342.1")</f>
        <v>WP_130323342.1</v>
      </c>
      <c r="J220" s="5" t="s">
        <v>1087</v>
      </c>
    </row>
    <row r="221" spans="1:10" s="7" customFormat="1" x14ac:dyDescent="0.2">
      <c r="A221" s="5" t="s">
        <v>2706</v>
      </c>
      <c r="B221" s="5" t="s">
        <v>2707</v>
      </c>
      <c r="C221" s="5">
        <v>1045</v>
      </c>
      <c r="D221" s="5">
        <v>1045</v>
      </c>
      <c r="E221" s="6">
        <v>0.98</v>
      </c>
      <c r="F221" s="5">
        <v>0</v>
      </c>
      <c r="G221" s="5">
        <v>64.069999999999993</v>
      </c>
      <c r="H221" s="5">
        <v>800</v>
      </c>
      <c r="I221" s="5" t="str">
        <f>HYPERLINK("https://www.ncbi.nlm.nih.gov/protein/WP_151465647.1?report=genbank&amp;log$=prottop&amp;blast_rank=163&amp;RID=7U875CNM013","WP_151465647.1")</f>
        <v>WP_151465647.1</v>
      </c>
      <c r="J221" s="5" t="s">
        <v>1087</v>
      </c>
    </row>
    <row r="222" spans="1:10" s="7" customFormat="1" x14ac:dyDescent="0.2">
      <c r="A222" s="5" t="s">
        <v>2625</v>
      </c>
      <c r="B222" s="5" t="s">
        <v>2626</v>
      </c>
      <c r="C222" s="5">
        <v>1041</v>
      </c>
      <c r="D222" s="5">
        <v>1041</v>
      </c>
      <c r="E222" s="6">
        <v>0.98</v>
      </c>
      <c r="F222" s="5">
        <v>0</v>
      </c>
      <c r="G222" s="5">
        <v>64.069999999999993</v>
      </c>
      <c r="H222" s="5">
        <v>800</v>
      </c>
      <c r="I222" s="5" t="str">
        <f>HYPERLINK("https://www.ncbi.nlm.nih.gov/protein/WP_018733524.1?report=genbank&amp;log$=prottop&amp;blast_rank=164&amp;RID=7U875CNM013","WP_018733524.1")</f>
        <v>WP_018733524.1</v>
      </c>
      <c r="J222" s="5" t="s">
        <v>1087</v>
      </c>
    </row>
    <row r="223" spans="1:10" s="7" customFormat="1" x14ac:dyDescent="0.2">
      <c r="A223" s="5" t="s">
        <v>2708</v>
      </c>
      <c r="B223" s="5" t="s">
        <v>2505</v>
      </c>
      <c r="C223" s="5">
        <v>1039</v>
      </c>
      <c r="D223" s="5">
        <v>1039</v>
      </c>
      <c r="E223" s="6">
        <v>0.98</v>
      </c>
      <c r="F223" s="5">
        <v>0</v>
      </c>
      <c r="G223" s="5">
        <v>64.069999999999993</v>
      </c>
      <c r="H223" s="5">
        <v>800</v>
      </c>
      <c r="I223" s="5" t="str">
        <f>HYPERLINK("https://www.ncbi.nlm.nih.gov/protein/WP_179803819.1?report=genbank&amp;log$=prottop&amp;blast_rank=165&amp;RID=7U875CNM013","WP_179803819.1")</f>
        <v>WP_179803819.1</v>
      </c>
      <c r="J223" s="5" t="s">
        <v>1087</v>
      </c>
    </row>
    <row r="224" spans="1:10" s="7" customFormat="1" x14ac:dyDescent="0.2">
      <c r="A224" s="5" t="s">
        <v>2625</v>
      </c>
      <c r="B224" s="5" t="s">
        <v>2626</v>
      </c>
      <c r="C224" s="5">
        <v>1037</v>
      </c>
      <c r="D224" s="5">
        <v>1037</v>
      </c>
      <c r="E224" s="6">
        <v>0.98</v>
      </c>
      <c r="F224" s="5">
        <v>0</v>
      </c>
      <c r="G224" s="5">
        <v>64.069999999999993</v>
      </c>
      <c r="H224" s="5">
        <v>800</v>
      </c>
      <c r="I224" s="5" t="str">
        <f>HYPERLINK("https://www.ncbi.nlm.nih.gov/protein/WP_018819130.1?report=genbank&amp;log$=prottop&amp;blast_rank=166&amp;RID=7U875CNM013","WP_018819130.1")</f>
        <v>WP_018819130.1</v>
      </c>
      <c r="J224" s="5" t="s">
        <v>1087</v>
      </c>
    </row>
    <row r="225" spans="1:10" s="7" customFormat="1" x14ac:dyDescent="0.2">
      <c r="A225" s="5" t="s">
        <v>2709</v>
      </c>
      <c r="B225" s="5" t="s">
        <v>2710</v>
      </c>
      <c r="C225" s="5">
        <v>1049</v>
      </c>
      <c r="D225" s="5">
        <v>1049</v>
      </c>
      <c r="E225" s="6">
        <v>0.99</v>
      </c>
      <c r="F225" s="5">
        <v>0</v>
      </c>
      <c r="G225" s="5">
        <v>64.06</v>
      </c>
      <c r="H225" s="5">
        <v>795</v>
      </c>
      <c r="I225" s="5" t="str">
        <f>HYPERLINK("https://www.ncbi.nlm.nih.gov/protein/WP_132286380.1?report=genbank&amp;log$=prottop&amp;blast_rank=167&amp;RID=7U875CNM013","WP_132286380.1")</f>
        <v>WP_132286380.1</v>
      </c>
      <c r="J225" s="5" t="s">
        <v>1087</v>
      </c>
    </row>
    <row r="226" spans="1:10" s="7" customFormat="1" x14ac:dyDescent="0.2">
      <c r="A226" s="5" t="s">
        <v>2711</v>
      </c>
      <c r="B226" s="5" t="s">
        <v>2665</v>
      </c>
      <c r="C226" s="5">
        <v>1045</v>
      </c>
      <c r="D226" s="5">
        <v>1045</v>
      </c>
      <c r="E226" s="6">
        <v>0.99</v>
      </c>
      <c r="F226" s="5">
        <v>0</v>
      </c>
      <c r="G226" s="5">
        <v>64.06</v>
      </c>
      <c r="H226" s="5">
        <v>793</v>
      </c>
      <c r="I226" s="5" t="str">
        <f>HYPERLINK("https://www.ncbi.nlm.nih.gov/protein/WP_204807357.1?report=genbank&amp;log$=prottop&amp;blast_rank=169&amp;RID=7U875CNM013","WP_204807357.1")</f>
        <v>WP_204807357.1</v>
      </c>
      <c r="J226" s="5" t="s">
        <v>1087</v>
      </c>
    </row>
    <row r="227" spans="1:10" s="7" customFormat="1" x14ac:dyDescent="0.2">
      <c r="A227" s="5" t="s">
        <v>2712</v>
      </c>
      <c r="B227" s="5" t="s">
        <v>2713</v>
      </c>
      <c r="C227" s="5">
        <v>1029</v>
      </c>
      <c r="D227" s="5">
        <v>1029</v>
      </c>
      <c r="E227" s="6">
        <v>0.99</v>
      </c>
      <c r="F227" s="5">
        <v>0</v>
      </c>
      <c r="G227" s="5">
        <v>64.06</v>
      </c>
      <c r="H227" s="5">
        <v>792</v>
      </c>
      <c r="I227" s="5" t="str">
        <f>HYPERLINK("https://www.ncbi.nlm.nih.gov/protein/WP_085224350.1?report=genbank&amp;log$=prottop&amp;blast_rank=170&amp;RID=7U875CNM013","WP_085224350.1")</f>
        <v>WP_085224350.1</v>
      </c>
      <c r="J227" s="5" t="s">
        <v>1087</v>
      </c>
    </row>
    <row r="228" spans="1:10" s="7" customFormat="1" x14ac:dyDescent="0.2">
      <c r="A228" s="5" t="s">
        <v>2714</v>
      </c>
      <c r="B228" s="5" t="s">
        <v>2715</v>
      </c>
      <c r="C228" s="5">
        <v>1025</v>
      </c>
      <c r="D228" s="5">
        <v>1025</v>
      </c>
      <c r="E228" s="6">
        <v>0.99</v>
      </c>
      <c r="F228" s="5">
        <v>0</v>
      </c>
      <c r="G228" s="5">
        <v>64.06</v>
      </c>
      <c r="H228" s="5">
        <v>799</v>
      </c>
      <c r="I228" s="5" t="str">
        <f>HYPERLINK("https://www.ncbi.nlm.nih.gov/protein/WP_180913580.1?report=genbank&amp;log$=prottop&amp;blast_rank=171&amp;RID=7U875CNM013","WP_180913580.1")</f>
        <v>WP_180913580.1</v>
      </c>
      <c r="J228" s="5" t="s">
        <v>1087</v>
      </c>
    </row>
    <row r="229" spans="1:10" s="7" customFormat="1" x14ac:dyDescent="0.2">
      <c r="A229" s="5" t="s">
        <v>2716</v>
      </c>
      <c r="B229" s="5" t="s">
        <v>2717</v>
      </c>
      <c r="C229" s="5">
        <v>1027</v>
      </c>
      <c r="D229" s="5">
        <v>1027</v>
      </c>
      <c r="E229" s="6">
        <v>0.97</v>
      </c>
      <c r="F229" s="5">
        <v>0</v>
      </c>
      <c r="G229" s="5">
        <v>64.06</v>
      </c>
      <c r="H229" s="5">
        <v>830</v>
      </c>
      <c r="I229" s="5" t="str">
        <f>HYPERLINK("https://www.ncbi.nlm.nih.gov/protein/WP_121251440.1?report=genbank&amp;log$=prottop&amp;blast_rank=191&amp;RID=7U875CNM013","WP_121251440.1")</f>
        <v>WP_121251440.1</v>
      </c>
      <c r="J229" s="5" t="s">
        <v>1087</v>
      </c>
    </row>
    <row r="230" spans="1:10" s="7" customFormat="1" x14ac:dyDescent="0.2">
      <c r="A230" s="5" t="s">
        <v>2718</v>
      </c>
      <c r="B230" s="5" t="s">
        <v>2719</v>
      </c>
      <c r="C230" s="5">
        <v>1023</v>
      </c>
      <c r="D230" s="5">
        <v>1023</v>
      </c>
      <c r="E230" s="6">
        <v>0.97</v>
      </c>
      <c r="F230" s="5">
        <v>0</v>
      </c>
      <c r="G230" s="5">
        <v>64.06</v>
      </c>
      <c r="H230" s="5">
        <v>785</v>
      </c>
      <c r="I230" s="5" t="str">
        <f>HYPERLINK("https://www.ncbi.nlm.nih.gov/protein/WP_033434236.1?report=genbank&amp;log$=prottop&amp;blast_rank=192&amp;RID=7U875CNM013","WP_033434236.1")</f>
        <v>WP_033434236.1</v>
      </c>
      <c r="J230" s="5" t="s">
        <v>1087</v>
      </c>
    </row>
    <row r="231" spans="1:10" s="7" customFormat="1" x14ac:dyDescent="0.2">
      <c r="A231" s="5" t="s">
        <v>2720</v>
      </c>
      <c r="B231" s="5" t="s">
        <v>2721</v>
      </c>
      <c r="C231" s="5">
        <v>1049</v>
      </c>
      <c r="D231" s="5">
        <v>1049</v>
      </c>
      <c r="E231" s="6">
        <v>0.99</v>
      </c>
      <c r="F231" s="5">
        <v>0</v>
      </c>
      <c r="G231" s="5">
        <v>64.05</v>
      </c>
      <c r="H231" s="5">
        <v>809</v>
      </c>
      <c r="I231" s="5" t="str">
        <f>HYPERLINK("https://www.ncbi.nlm.nih.gov/protein/WP_202884307.1?report=genbank&amp;log$=prottop&amp;blast_rank=194&amp;RID=7U875CNM013","WP_202884307.1")</f>
        <v>WP_202884307.1</v>
      </c>
      <c r="J231" s="5" t="s">
        <v>1087</v>
      </c>
    </row>
    <row r="232" spans="1:10" s="7" customFormat="1" x14ac:dyDescent="0.2">
      <c r="A232" s="5" t="s">
        <v>2722</v>
      </c>
      <c r="B232" s="5" t="s">
        <v>2723</v>
      </c>
      <c r="C232" s="5">
        <v>1026</v>
      </c>
      <c r="D232" s="5">
        <v>1026</v>
      </c>
      <c r="E232" s="6">
        <v>0.98</v>
      </c>
      <c r="F232" s="5">
        <v>0</v>
      </c>
      <c r="G232" s="5">
        <v>64.040000000000006</v>
      </c>
      <c r="H232" s="5">
        <v>800</v>
      </c>
      <c r="I232" s="5" t="str">
        <f>HYPERLINK("https://www.ncbi.nlm.nih.gov/protein/WP_015355518.1?report=genbank&amp;log$=prottop&amp;blast_rank=209&amp;RID=7U875CNM013","WP_015355518.1")</f>
        <v>WP_015355518.1</v>
      </c>
      <c r="J232" s="5" t="s">
        <v>1087</v>
      </c>
    </row>
    <row r="233" spans="1:10" s="7" customFormat="1" x14ac:dyDescent="0.2">
      <c r="A233" s="5" t="s">
        <v>2724</v>
      </c>
      <c r="B233" s="5" t="s">
        <v>2725</v>
      </c>
      <c r="C233" s="5">
        <v>1025</v>
      </c>
      <c r="D233" s="5">
        <v>1025</v>
      </c>
      <c r="E233" s="6">
        <v>0.98</v>
      </c>
      <c r="F233" s="5">
        <v>0</v>
      </c>
      <c r="G233" s="5">
        <v>64.040000000000006</v>
      </c>
      <c r="H233" s="5">
        <v>792</v>
      </c>
      <c r="I233" s="5" t="str">
        <f>HYPERLINK("https://www.ncbi.nlm.nih.gov/protein/WP_085234461.1?report=genbank&amp;log$=prottop&amp;blast_rank=210&amp;RID=7U875CNM013","WP_085234461.1")</f>
        <v>WP_085234461.1</v>
      </c>
      <c r="J233" s="5" t="s">
        <v>1087</v>
      </c>
    </row>
    <row r="234" spans="1:10" s="7" customFormat="1" x14ac:dyDescent="0.2">
      <c r="A234" s="5" t="s">
        <v>2726</v>
      </c>
      <c r="B234" s="5" t="s">
        <v>2727</v>
      </c>
      <c r="C234" s="5">
        <v>1024</v>
      </c>
      <c r="D234" s="5">
        <v>1024</v>
      </c>
      <c r="E234" s="6">
        <v>0.98</v>
      </c>
      <c r="F234" s="5">
        <v>0</v>
      </c>
      <c r="G234" s="5">
        <v>64.040000000000006</v>
      </c>
      <c r="H234" s="5">
        <v>800</v>
      </c>
      <c r="I234" s="5" t="str">
        <f>HYPERLINK("https://www.ncbi.nlm.nih.gov/protein/WP_086084985.1?report=genbank&amp;log$=prottop&amp;blast_rank=211&amp;RID=7U875CNM013","WP_086084985.1")</f>
        <v>WP_086084985.1</v>
      </c>
      <c r="J234" s="5" t="s">
        <v>1087</v>
      </c>
    </row>
    <row r="235" spans="1:10" s="7" customFormat="1" x14ac:dyDescent="0.2">
      <c r="A235" s="5" t="s">
        <v>2728</v>
      </c>
      <c r="B235" s="5" t="s">
        <v>2729</v>
      </c>
      <c r="C235" s="5">
        <v>1038</v>
      </c>
      <c r="D235" s="5">
        <v>1038</v>
      </c>
      <c r="E235" s="6">
        <v>0.99</v>
      </c>
      <c r="F235" s="5">
        <v>0</v>
      </c>
      <c r="G235" s="5">
        <v>64.040000000000006</v>
      </c>
      <c r="H235" s="5">
        <v>837</v>
      </c>
      <c r="I235" s="5" t="str">
        <f>HYPERLINK("https://www.ncbi.nlm.nih.gov/protein/WP_135097109.1?report=genbank&amp;log$=prottop&amp;blast_rank=215&amp;RID=7U875CNM013","WP_135097109.1")</f>
        <v>WP_135097109.1</v>
      </c>
      <c r="J235" s="5" t="s">
        <v>1087</v>
      </c>
    </row>
    <row r="236" spans="1:10" s="7" customFormat="1" x14ac:dyDescent="0.2">
      <c r="A236" s="5" t="s">
        <v>2730</v>
      </c>
      <c r="B236" s="5" t="s">
        <v>2731</v>
      </c>
      <c r="C236" s="5">
        <v>1051</v>
      </c>
      <c r="D236" s="5">
        <v>1051</v>
      </c>
      <c r="E236" s="6">
        <v>0.98</v>
      </c>
      <c r="F236" s="5">
        <v>0</v>
      </c>
      <c r="G236" s="5">
        <v>64.03</v>
      </c>
      <c r="H236" s="5">
        <v>797</v>
      </c>
      <c r="I236" s="5" t="str">
        <f>HYPERLINK("https://www.ncbi.nlm.nih.gov/protein/WP_126712251.1?report=genbank&amp;log$=prottop&amp;blast_rank=224&amp;RID=7U875CNM013","WP_126712251.1")</f>
        <v>WP_126712251.1</v>
      </c>
      <c r="J236" s="5" t="s">
        <v>1087</v>
      </c>
    </row>
    <row r="237" spans="1:10" s="7" customFormat="1" x14ac:dyDescent="0.2">
      <c r="A237" s="5" t="s">
        <v>2732</v>
      </c>
      <c r="B237" s="5" t="s">
        <v>2733</v>
      </c>
      <c r="C237" s="5">
        <v>1050</v>
      </c>
      <c r="D237" s="5">
        <v>1050</v>
      </c>
      <c r="E237" s="6">
        <v>0.98</v>
      </c>
      <c r="F237" s="5">
        <v>0</v>
      </c>
      <c r="G237" s="5">
        <v>64.03</v>
      </c>
      <c r="H237" s="5">
        <v>798</v>
      </c>
      <c r="I237" s="5" t="str">
        <f>HYPERLINK("https://www.ncbi.nlm.nih.gov/protein/WP_134101019.1?report=genbank&amp;log$=prottop&amp;blast_rank=225&amp;RID=7U875CNM013","WP_134101019.1")</f>
        <v>WP_134101019.1</v>
      </c>
      <c r="J237" s="5" t="s">
        <v>1087</v>
      </c>
    </row>
    <row r="238" spans="1:10" s="7" customFormat="1" x14ac:dyDescent="0.2">
      <c r="A238" s="5" t="s">
        <v>2734</v>
      </c>
      <c r="B238" s="5" t="s">
        <v>2735</v>
      </c>
      <c r="C238" s="5">
        <v>1047</v>
      </c>
      <c r="D238" s="5">
        <v>1047</v>
      </c>
      <c r="E238" s="6">
        <v>0.98</v>
      </c>
      <c r="F238" s="5">
        <v>0</v>
      </c>
      <c r="G238" s="5">
        <v>64.03</v>
      </c>
      <c r="H238" s="5">
        <v>800</v>
      </c>
      <c r="I238" s="5" t="str">
        <f>HYPERLINK("https://www.ncbi.nlm.nih.gov/protein/WP_091311470.1?report=genbank&amp;log$=prottop&amp;blast_rank=227&amp;RID=7U875CNM013","WP_091311470.1")</f>
        <v>WP_091311470.1</v>
      </c>
      <c r="J238" s="5" t="s">
        <v>1087</v>
      </c>
    </row>
    <row r="239" spans="1:10" s="7" customFormat="1" x14ac:dyDescent="0.2">
      <c r="A239" s="5" t="s">
        <v>2736</v>
      </c>
      <c r="B239" s="5" t="s">
        <v>2642</v>
      </c>
      <c r="C239" s="5">
        <v>1052</v>
      </c>
      <c r="D239" s="5">
        <v>1052</v>
      </c>
      <c r="E239" s="6">
        <v>0.98</v>
      </c>
      <c r="F239" s="5">
        <v>0</v>
      </c>
      <c r="G239" s="5">
        <v>64.02</v>
      </c>
      <c r="H239" s="5">
        <v>783</v>
      </c>
      <c r="I239" s="5" t="str">
        <f>HYPERLINK("https://www.ncbi.nlm.nih.gov/protein/WP_017534810.1?report=genbank&amp;log$=prottop&amp;blast_rank=231&amp;RID=7U875CNM013","WP_017534810.1")</f>
        <v>WP_017534810.1</v>
      </c>
      <c r="J239" s="5" t="s">
        <v>1087</v>
      </c>
    </row>
    <row r="240" spans="1:10" s="7" customFormat="1" x14ac:dyDescent="0.2">
      <c r="A240" s="5" t="s">
        <v>2736</v>
      </c>
      <c r="B240" s="5" t="s">
        <v>2642</v>
      </c>
      <c r="C240" s="5">
        <v>1051</v>
      </c>
      <c r="D240" s="5">
        <v>1051</v>
      </c>
      <c r="E240" s="6">
        <v>0.98</v>
      </c>
      <c r="F240" s="5">
        <v>0</v>
      </c>
      <c r="G240" s="5">
        <v>64.02</v>
      </c>
      <c r="H240" s="5">
        <v>783</v>
      </c>
      <c r="I240" s="5" t="str">
        <f>HYPERLINK("https://www.ncbi.nlm.nih.gov/protein/WP_042281654.1?report=genbank&amp;log$=prottop&amp;blast_rank=232&amp;RID=7U875CNM013","WP_042281654.1")</f>
        <v>WP_042281654.1</v>
      </c>
      <c r="J240" s="5" t="s">
        <v>1087</v>
      </c>
    </row>
    <row r="241" spans="1:10" s="7" customFormat="1" x14ac:dyDescent="0.2">
      <c r="A241" s="5" t="s">
        <v>2737</v>
      </c>
      <c r="B241" s="5" t="s">
        <v>2738</v>
      </c>
      <c r="C241" s="5">
        <v>1044</v>
      </c>
      <c r="D241" s="5">
        <v>1044</v>
      </c>
      <c r="E241" s="6">
        <v>0.97</v>
      </c>
      <c r="F241" s="5">
        <v>0</v>
      </c>
      <c r="G241" s="5">
        <v>64</v>
      </c>
      <c r="H241" s="5">
        <v>819</v>
      </c>
      <c r="I241" s="5" t="str">
        <f>HYPERLINK("https://www.ncbi.nlm.nih.gov/protein/WP_208255459.1?report=genbank&amp;log$=prottop&amp;blast_rank=243&amp;RID=7U875CNM013","WP_208255459.1")</f>
        <v>WP_208255459.1</v>
      </c>
      <c r="J241" s="5" t="s">
        <v>1087</v>
      </c>
    </row>
    <row r="242" spans="1:10" s="7" customFormat="1" x14ac:dyDescent="0.2">
      <c r="A242" s="5" t="s">
        <v>2739</v>
      </c>
      <c r="B242" s="5" t="s">
        <v>2740</v>
      </c>
      <c r="C242" s="5">
        <v>1034</v>
      </c>
      <c r="D242" s="5">
        <v>1034</v>
      </c>
      <c r="E242" s="6">
        <v>0.98</v>
      </c>
      <c r="F242" s="5">
        <v>0</v>
      </c>
      <c r="G242" s="5">
        <v>63.99</v>
      </c>
      <c r="H242" s="5">
        <v>803</v>
      </c>
      <c r="I242" s="26" t="str">
        <f>HYPERLINK("https://www.ncbi.nlm.nih.gov/protein/WP_135158762.1?report=genbank&amp;log$=prottop&amp;blast_rank=24&amp;RID=7U875CNM013","WP_135158762.1")</f>
        <v>WP_135158762.1</v>
      </c>
      <c r="J242" s="5" t="s">
        <v>1087</v>
      </c>
    </row>
    <row r="243" spans="1:10" s="7" customFormat="1" x14ac:dyDescent="0.2">
      <c r="A243" s="5" t="s">
        <v>2741</v>
      </c>
      <c r="B243" s="5" t="s">
        <v>2742</v>
      </c>
      <c r="C243" s="5">
        <v>1067</v>
      </c>
      <c r="D243" s="5">
        <v>1067</v>
      </c>
      <c r="E243" s="6">
        <v>0.98</v>
      </c>
      <c r="F243" s="5">
        <v>0</v>
      </c>
      <c r="G243" s="5">
        <v>63.98</v>
      </c>
      <c r="H243" s="5">
        <v>788</v>
      </c>
      <c r="I243" s="5" t="str">
        <f>HYPERLINK("https://www.ncbi.nlm.nih.gov/protein/WP_019484148.1?report=genbank&amp;log$=prottop&amp;blast_rank=27&amp;RID=7U875CNM013","WP_019484148.1")</f>
        <v>WP_019484148.1</v>
      </c>
      <c r="J243" s="5" t="s">
        <v>1087</v>
      </c>
    </row>
    <row r="244" spans="1:10" s="7" customFormat="1" x14ac:dyDescent="0.2">
      <c r="A244" s="5" t="s">
        <v>2743</v>
      </c>
      <c r="B244" s="5" t="s">
        <v>2689</v>
      </c>
      <c r="C244" s="5">
        <v>1057</v>
      </c>
      <c r="D244" s="5">
        <v>1057</v>
      </c>
      <c r="E244" s="6">
        <v>0.98</v>
      </c>
      <c r="F244" s="5">
        <v>0</v>
      </c>
      <c r="G244" s="5">
        <v>63.98</v>
      </c>
      <c r="H244" s="5">
        <v>793</v>
      </c>
      <c r="I244" s="5" t="str">
        <f>HYPERLINK("https://www.ncbi.nlm.nih.gov/protein/WP_171619470.1?report=genbank&amp;log$=prottop&amp;blast_rank=28&amp;RID=7U875CNM013","WP_171619470.1")</f>
        <v>WP_171619470.1</v>
      </c>
      <c r="J244" s="5" t="s">
        <v>1087</v>
      </c>
    </row>
    <row r="245" spans="1:10" s="4" customFormat="1" x14ac:dyDescent="0.2">
      <c r="A245" s="1" t="s">
        <v>2746</v>
      </c>
      <c r="B245" s="1" t="s">
        <v>2747</v>
      </c>
      <c r="C245" s="1">
        <v>1044</v>
      </c>
      <c r="D245" s="1">
        <v>1044</v>
      </c>
      <c r="E245" s="2">
        <v>0.98</v>
      </c>
      <c r="F245" s="1">
        <v>0</v>
      </c>
      <c r="G245" s="1">
        <v>63.98</v>
      </c>
      <c r="H245" s="1">
        <v>806</v>
      </c>
      <c r="I245" s="1" t="str">
        <f>HYPERLINK("https://www.ncbi.nlm.nih.gov/protein/WP_193048168.1?report=genbank&amp;log$=prottop&amp;blast_rank=30&amp;RID=7U875CNM013","WP_193048168.1")</f>
        <v>WP_193048168.1</v>
      </c>
      <c r="J245" s="1" t="s">
        <v>1087</v>
      </c>
    </row>
    <row r="246" spans="1:10" s="7" customFormat="1" x14ac:dyDescent="0.2">
      <c r="A246" s="5" t="s">
        <v>2748</v>
      </c>
      <c r="B246" s="5" t="s">
        <v>2749</v>
      </c>
      <c r="C246" s="5">
        <v>1042</v>
      </c>
      <c r="D246" s="5">
        <v>1042</v>
      </c>
      <c r="E246" s="6">
        <v>0.98</v>
      </c>
      <c r="F246" s="5">
        <v>0</v>
      </c>
      <c r="G246" s="5">
        <v>63.98</v>
      </c>
      <c r="H246" s="5">
        <v>796</v>
      </c>
      <c r="I246" s="5" t="str">
        <f>HYPERLINK("https://www.ncbi.nlm.nih.gov/protein/WP_102143842.1?report=genbank&amp;log$=prottop&amp;blast_rank=31&amp;RID=7U875CNM013","WP_102143842.1")</f>
        <v>WP_102143842.1</v>
      </c>
      <c r="J246" s="5" t="s">
        <v>1087</v>
      </c>
    </row>
    <row r="247" spans="1:10" s="7" customFormat="1" x14ac:dyDescent="0.2">
      <c r="A247" s="5" t="s">
        <v>2750</v>
      </c>
      <c r="B247" s="5" t="s">
        <v>2751</v>
      </c>
      <c r="C247" s="5">
        <v>1028</v>
      </c>
      <c r="D247" s="5">
        <v>1028</v>
      </c>
      <c r="E247" s="6">
        <v>0.98</v>
      </c>
      <c r="F247" s="5">
        <v>0</v>
      </c>
      <c r="G247" s="5">
        <v>63.98</v>
      </c>
      <c r="H247" s="5">
        <v>804</v>
      </c>
      <c r="I247" s="5" t="str">
        <f>HYPERLINK("https://www.ncbi.nlm.nih.gov/protein/WP_051004135.1?report=genbank&amp;log$=prottop&amp;blast_rank=32&amp;RID=7U875CNM013","WP_051004135.1")</f>
        <v>WP_051004135.1</v>
      </c>
      <c r="J247" s="5" t="s">
        <v>1087</v>
      </c>
    </row>
    <row r="248" spans="1:10" s="7" customFormat="1" x14ac:dyDescent="0.2">
      <c r="A248" s="5" t="s">
        <v>2752</v>
      </c>
      <c r="B248" s="5" t="s">
        <v>2753</v>
      </c>
      <c r="C248" s="5">
        <v>1026</v>
      </c>
      <c r="D248" s="5">
        <v>1026</v>
      </c>
      <c r="E248" s="6">
        <v>0.98</v>
      </c>
      <c r="F248" s="5">
        <v>0</v>
      </c>
      <c r="G248" s="5">
        <v>63.98</v>
      </c>
      <c r="H248" s="5">
        <v>795</v>
      </c>
      <c r="I248" s="5" t="str">
        <f>HYPERLINK("https://www.ncbi.nlm.nih.gov/protein/WP_210086556.1?report=genbank&amp;log$=prottop&amp;blast_rank=33&amp;RID=7U875CNM013","WP_210086556.1")</f>
        <v>WP_210086556.1</v>
      </c>
      <c r="J248" s="5" t="s">
        <v>1087</v>
      </c>
    </row>
    <row r="249" spans="1:10" s="7" customFormat="1" x14ac:dyDescent="0.2">
      <c r="A249" s="5" t="s">
        <v>2754</v>
      </c>
      <c r="B249" s="5" t="s">
        <v>2753</v>
      </c>
      <c r="C249" s="5">
        <v>1026</v>
      </c>
      <c r="D249" s="5">
        <v>1026</v>
      </c>
      <c r="E249" s="6">
        <v>0.98</v>
      </c>
      <c r="F249" s="5">
        <v>0</v>
      </c>
      <c r="G249" s="5">
        <v>63.98</v>
      </c>
      <c r="H249" s="5">
        <v>792</v>
      </c>
      <c r="I249" s="5" t="str">
        <f>HYPERLINK("https://www.ncbi.nlm.nih.gov/protein/MBP1822759.1?report=genbank&amp;log$=prottop&amp;blast_rank=34&amp;RID=7U875CNM013","MBP1822759.1")</f>
        <v>MBP1822759.1</v>
      </c>
      <c r="J249" s="5" t="s">
        <v>1087</v>
      </c>
    </row>
    <row r="250" spans="1:10" s="7" customFormat="1" x14ac:dyDescent="0.2">
      <c r="A250" s="5" t="s">
        <v>2757</v>
      </c>
      <c r="B250" s="5" t="s">
        <v>2758</v>
      </c>
      <c r="C250" s="5">
        <v>1034</v>
      </c>
      <c r="D250" s="5">
        <v>1034</v>
      </c>
      <c r="E250" s="6">
        <v>0.98</v>
      </c>
      <c r="F250" s="5">
        <v>0</v>
      </c>
      <c r="G250" s="5">
        <v>63.96</v>
      </c>
      <c r="H250" s="5">
        <v>796</v>
      </c>
      <c r="I250" s="5" t="str">
        <f>HYPERLINK("https://www.ncbi.nlm.nih.gov/protein/WP_165038566.1?report=genbank&amp;log$=prottop&amp;blast_rank=49&amp;RID=7U875CNM013","WP_165038566.1")</f>
        <v>WP_165038566.1</v>
      </c>
      <c r="J250" s="5" t="s">
        <v>1087</v>
      </c>
    </row>
    <row r="251" spans="1:10" s="7" customFormat="1" x14ac:dyDescent="0.2">
      <c r="A251" s="5" t="s">
        <v>2759</v>
      </c>
      <c r="B251" s="5" t="s">
        <v>2760</v>
      </c>
      <c r="C251" s="5">
        <v>1036</v>
      </c>
      <c r="D251" s="5">
        <v>1036</v>
      </c>
      <c r="E251" s="6">
        <v>0.96</v>
      </c>
      <c r="F251" s="5">
        <v>0</v>
      </c>
      <c r="G251" s="5">
        <v>63.94</v>
      </c>
      <c r="H251" s="5">
        <v>807</v>
      </c>
      <c r="I251" s="5" t="str">
        <f>HYPERLINK("https://www.ncbi.nlm.nih.gov/protein/WP_166390470.1?report=genbank&amp;log$=prottop&amp;blast_rank=58&amp;RID=7U875CNM013","WP_166390470.1")</f>
        <v>WP_166390470.1</v>
      </c>
      <c r="J251" s="5" t="s">
        <v>1087</v>
      </c>
    </row>
    <row r="252" spans="1:10" s="7" customFormat="1" x14ac:dyDescent="0.2">
      <c r="A252" s="5" t="s">
        <v>2761</v>
      </c>
      <c r="B252" s="5" t="s">
        <v>2762</v>
      </c>
      <c r="C252" s="5">
        <v>1047</v>
      </c>
      <c r="D252" s="5">
        <v>1047</v>
      </c>
      <c r="E252" s="6">
        <v>0.98</v>
      </c>
      <c r="F252" s="5">
        <v>0</v>
      </c>
      <c r="G252" s="5">
        <v>63.94</v>
      </c>
      <c r="H252" s="5">
        <v>800</v>
      </c>
      <c r="I252" s="5" t="str">
        <f>HYPERLINK("https://www.ncbi.nlm.nih.gov/protein/WP_121395863.1?report=genbank&amp;log$=prottop&amp;blast_rank=60&amp;RID=7U875CNM013","WP_121395863.1")</f>
        <v>WP_121395863.1</v>
      </c>
      <c r="J252" s="5" t="s">
        <v>1087</v>
      </c>
    </row>
    <row r="253" spans="1:10" s="7" customFormat="1" x14ac:dyDescent="0.2">
      <c r="A253" s="5" t="s">
        <v>2533</v>
      </c>
      <c r="B253" s="5" t="s">
        <v>2534</v>
      </c>
      <c r="C253" s="5">
        <v>1045</v>
      </c>
      <c r="D253" s="5">
        <v>1045</v>
      </c>
      <c r="E253" s="6">
        <v>0.98</v>
      </c>
      <c r="F253" s="5">
        <v>0</v>
      </c>
      <c r="G253" s="5">
        <v>63.94</v>
      </c>
      <c r="H253" s="5">
        <v>800</v>
      </c>
      <c r="I253" s="5" t="str">
        <f>HYPERLINK("https://www.ncbi.nlm.nih.gov/protein/WP_123239317.1?report=genbank&amp;log$=prottop&amp;blast_rank=61&amp;RID=7U875CNM013","WP_123239317.1")</f>
        <v>WP_123239317.1</v>
      </c>
      <c r="J253" s="5" t="s">
        <v>1087</v>
      </c>
    </row>
    <row r="254" spans="1:10" s="7" customFormat="1" x14ac:dyDescent="0.2">
      <c r="A254" s="5" t="s">
        <v>2763</v>
      </c>
      <c r="B254" s="5" t="s">
        <v>2764</v>
      </c>
      <c r="C254" s="5">
        <v>1045</v>
      </c>
      <c r="D254" s="5">
        <v>1045</v>
      </c>
      <c r="E254" s="6">
        <v>0.98</v>
      </c>
      <c r="F254" s="5">
        <v>0</v>
      </c>
      <c r="G254" s="5">
        <v>63.94</v>
      </c>
      <c r="H254" s="5">
        <v>800</v>
      </c>
      <c r="I254" s="5" t="str">
        <f>HYPERLINK("https://www.ncbi.nlm.nih.gov/protein/WP_101414806.1?report=genbank&amp;log$=prottop&amp;blast_rank=62&amp;RID=7U875CNM013","WP_101414806.1")</f>
        <v>WP_101414806.1</v>
      </c>
      <c r="J254" s="5" t="s">
        <v>1087</v>
      </c>
    </row>
    <row r="255" spans="1:10" s="7" customFormat="1" x14ac:dyDescent="0.2">
      <c r="A255" s="5" t="s">
        <v>2765</v>
      </c>
      <c r="B255" s="5" t="s">
        <v>2766</v>
      </c>
      <c r="C255" s="5">
        <v>1045</v>
      </c>
      <c r="D255" s="5">
        <v>1045</v>
      </c>
      <c r="E255" s="6">
        <v>0.98</v>
      </c>
      <c r="F255" s="5">
        <v>0</v>
      </c>
      <c r="G255" s="5">
        <v>63.94</v>
      </c>
      <c r="H255" s="5">
        <v>797</v>
      </c>
      <c r="I255" s="5" t="str">
        <f>HYPERLINK("https://www.ncbi.nlm.nih.gov/protein/TDB92892.1?report=genbank&amp;log$=prottop&amp;blast_rank=63&amp;RID=7U875CNM013","TDB92892.1")</f>
        <v>TDB92892.1</v>
      </c>
      <c r="J255" s="5" t="s">
        <v>1087</v>
      </c>
    </row>
    <row r="256" spans="1:10" s="7" customFormat="1" x14ac:dyDescent="0.2">
      <c r="A256" s="5" t="s">
        <v>2770</v>
      </c>
      <c r="B256" s="5" t="s">
        <v>2771</v>
      </c>
      <c r="C256" s="5">
        <v>1042</v>
      </c>
      <c r="D256" s="5">
        <v>1042</v>
      </c>
      <c r="E256" s="6">
        <v>0.98</v>
      </c>
      <c r="F256" s="5">
        <v>0</v>
      </c>
      <c r="G256" s="5">
        <v>63.94</v>
      </c>
      <c r="H256" s="5">
        <v>799</v>
      </c>
      <c r="I256" s="5" t="str">
        <f>HYPERLINK("https://www.ncbi.nlm.nih.gov/protein/WP_027653155.1?report=genbank&amp;log$=prottop&amp;blast_rank=65&amp;RID=7U875CNM013","WP_027653155.1")</f>
        <v>WP_027653155.1</v>
      </c>
      <c r="J256" s="5" t="s">
        <v>1087</v>
      </c>
    </row>
    <row r="257" spans="1:10" s="7" customFormat="1" x14ac:dyDescent="0.2">
      <c r="A257" s="5" t="s">
        <v>2772</v>
      </c>
      <c r="B257" s="5" t="s">
        <v>2773</v>
      </c>
      <c r="C257" s="5">
        <v>1041</v>
      </c>
      <c r="D257" s="5">
        <v>1041</v>
      </c>
      <c r="E257" s="6">
        <v>0.98</v>
      </c>
      <c r="F257" s="5">
        <v>0</v>
      </c>
      <c r="G257" s="5">
        <v>63.94</v>
      </c>
      <c r="H257" s="5">
        <v>797</v>
      </c>
      <c r="I257" s="5" t="str">
        <f>HYPERLINK("https://www.ncbi.nlm.nih.gov/protein/WP_067369619.1?report=genbank&amp;log$=prottop&amp;blast_rank=66&amp;RID=7U875CNM013","WP_067369619.1")</f>
        <v>WP_067369619.1</v>
      </c>
      <c r="J257" s="5" t="s">
        <v>1087</v>
      </c>
    </row>
    <row r="258" spans="1:10" s="7" customFormat="1" x14ac:dyDescent="0.2">
      <c r="A258" s="5" t="s">
        <v>2774</v>
      </c>
      <c r="B258" s="5" t="s">
        <v>2775</v>
      </c>
      <c r="C258" s="5">
        <v>1040</v>
      </c>
      <c r="D258" s="5">
        <v>1040</v>
      </c>
      <c r="E258" s="6">
        <v>0.98</v>
      </c>
      <c r="F258" s="5">
        <v>0</v>
      </c>
      <c r="G258" s="5">
        <v>63.94</v>
      </c>
      <c r="H258" s="5">
        <v>800</v>
      </c>
      <c r="I258" s="5" t="str">
        <f>HYPERLINK("https://www.ncbi.nlm.nih.gov/protein/WP_109804591.1?report=genbank&amp;log$=prottop&amp;blast_rank=67&amp;RID=7U875CNM013","WP_109804591.1")</f>
        <v>WP_109804591.1</v>
      </c>
      <c r="J258" s="5" t="s">
        <v>1087</v>
      </c>
    </row>
    <row r="259" spans="1:10" s="7" customFormat="1" x14ac:dyDescent="0.2">
      <c r="A259" s="5" t="s">
        <v>2625</v>
      </c>
      <c r="B259" s="5" t="s">
        <v>2626</v>
      </c>
      <c r="C259" s="5">
        <v>1039</v>
      </c>
      <c r="D259" s="5">
        <v>1039</v>
      </c>
      <c r="E259" s="6">
        <v>0.98</v>
      </c>
      <c r="F259" s="5">
        <v>0</v>
      </c>
      <c r="G259" s="5">
        <v>63.94</v>
      </c>
      <c r="H259" s="5">
        <v>800</v>
      </c>
      <c r="I259" s="5" t="str">
        <f>HYPERLINK("https://www.ncbi.nlm.nih.gov/protein/WP_018739203.1?report=genbank&amp;log$=prottop&amp;blast_rank=68&amp;RID=7U875CNM013","WP_018739203.1")</f>
        <v>WP_018739203.1</v>
      </c>
      <c r="J259" s="5" t="s">
        <v>1087</v>
      </c>
    </row>
    <row r="260" spans="1:10" s="7" customFormat="1" x14ac:dyDescent="0.2">
      <c r="A260" s="5" t="s">
        <v>2625</v>
      </c>
      <c r="B260" s="5" t="s">
        <v>2626</v>
      </c>
      <c r="C260" s="5">
        <v>1038</v>
      </c>
      <c r="D260" s="5">
        <v>1038</v>
      </c>
      <c r="E260" s="6">
        <v>0.98</v>
      </c>
      <c r="F260" s="5">
        <v>0</v>
      </c>
      <c r="G260" s="5">
        <v>63.94</v>
      </c>
      <c r="H260" s="5">
        <v>800</v>
      </c>
      <c r="I260" s="5" t="str">
        <f>HYPERLINK("https://www.ncbi.nlm.nih.gov/protein/WP_027646770.1?report=genbank&amp;log$=prottop&amp;blast_rank=69&amp;RID=7U875CNM013","WP_027646770.1")</f>
        <v>WP_027646770.1</v>
      </c>
      <c r="J260" s="5" t="s">
        <v>1087</v>
      </c>
    </row>
    <row r="261" spans="1:10" s="7" customFormat="1" x14ac:dyDescent="0.2">
      <c r="A261" s="5" t="s">
        <v>2776</v>
      </c>
      <c r="B261" s="5" t="s">
        <v>2777</v>
      </c>
      <c r="C261" s="5">
        <v>1038</v>
      </c>
      <c r="D261" s="5">
        <v>1038</v>
      </c>
      <c r="E261" s="6">
        <v>0.98</v>
      </c>
      <c r="F261" s="5">
        <v>0</v>
      </c>
      <c r="G261" s="5">
        <v>63.94</v>
      </c>
      <c r="H261" s="5">
        <v>800</v>
      </c>
      <c r="I261" s="5" t="str">
        <f>HYPERLINK("https://www.ncbi.nlm.nih.gov/protein/WP_076471441.1?report=genbank&amp;log$=prottop&amp;blast_rank=70&amp;RID=7U875CNM013","WP_076471441.1")</f>
        <v>WP_076471441.1</v>
      </c>
      <c r="J261" s="5" t="s">
        <v>1087</v>
      </c>
    </row>
    <row r="262" spans="1:10" s="7" customFormat="1" x14ac:dyDescent="0.2">
      <c r="A262" s="5" t="s">
        <v>2625</v>
      </c>
      <c r="B262" s="5" t="s">
        <v>2626</v>
      </c>
      <c r="C262" s="5">
        <v>1038</v>
      </c>
      <c r="D262" s="5">
        <v>1038</v>
      </c>
      <c r="E262" s="6">
        <v>0.98</v>
      </c>
      <c r="F262" s="5">
        <v>0</v>
      </c>
      <c r="G262" s="5">
        <v>63.94</v>
      </c>
      <c r="H262" s="5">
        <v>800</v>
      </c>
      <c r="I262" s="5" t="str">
        <f>HYPERLINK("https://www.ncbi.nlm.nih.gov/protein/WP_027648575.1?report=genbank&amp;log$=prottop&amp;blast_rank=71&amp;RID=7U875CNM013","WP_027648575.1")</f>
        <v>WP_027648575.1</v>
      </c>
      <c r="J262" s="5" t="s">
        <v>1087</v>
      </c>
    </row>
    <row r="263" spans="1:10" s="7" customFormat="1" x14ac:dyDescent="0.2">
      <c r="A263" s="5" t="s">
        <v>2778</v>
      </c>
      <c r="B263" s="5" t="s">
        <v>2779</v>
      </c>
      <c r="C263" s="5">
        <v>1038</v>
      </c>
      <c r="D263" s="5">
        <v>1038</v>
      </c>
      <c r="E263" s="6">
        <v>0.98</v>
      </c>
      <c r="F263" s="5">
        <v>0</v>
      </c>
      <c r="G263" s="5">
        <v>63.94</v>
      </c>
      <c r="H263" s="5">
        <v>800</v>
      </c>
      <c r="I263" s="5" t="str">
        <f>HYPERLINK("https://www.ncbi.nlm.nih.gov/protein/WP_019871408.1?report=genbank&amp;log$=prottop&amp;blast_rank=72&amp;RID=7U875CNM013","WP_019871408.1")</f>
        <v>WP_019871408.1</v>
      </c>
      <c r="J263" s="5" t="s">
        <v>1087</v>
      </c>
    </row>
    <row r="264" spans="1:10" s="7" customFormat="1" x14ac:dyDescent="0.2">
      <c r="A264" s="5" t="s">
        <v>2780</v>
      </c>
      <c r="B264" s="5" t="s">
        <v>2781</v>
      </c>
      <c r="C264" s="5">
        <v>1038</v>
      </c>
      <c r="D264" s="5">
        <v>1038</v>
      </c>
      <c r="E264" s="6">
        <v>0.98</v>
      </c>
      <c r="F264" s="5">
        <v>0</v>
      </c>
      <c r="G264" s="5">
        <v>63.94</v>
      </c>
      <c r="H264" s="5">
        <v>800</v>
      </c>
      <c r="I264" s="5" t="str">
        <f>HYPERLINK("https://www.ncbi.nlm.nih.gov/protein/WP_154942959.1?report=genbank&amp;log$=prottop&amp;blast_rank=73&amp;RID=7U875CNM013","WP_154942959.1")</f>
        <v>WP_154942959.1</v>
      </c>
      <c r="J264" s="5" t="s">
        <v>1087</v>
      </c>
    </row>
    <row r="265" spans="1:10" s="7" customFormat="1" x14ac:dyDescent="0.2">
      <c r="A265" s="5" t="s">
        <v>2625</v>
      </c>
      <c r="B265" s="5" t="s">
        <v>2626</v>
      </c>
      <c r="C265" s="5">
        <v>1037</v>
      </c>
      <c r="D265" s="5">
        <v>1037</v>
      </c>
      <c r="E265" s="6">
        <v>0.98</v>
      </c>
      <c r="F265" s="5">
        <v>0</v>
      </c>
      <c r="G265" s="5">
        <v>63.94</v>
      </c>
      <c r="H265" s="5">
        <v>800</v>
      </c>
      <c r="I265" s="5" t="str">
        <f>HYPERLINK("https://www.ncbi.nlm.nih.gov/protein/WP_028188969.1?report=genbank&amp;log$=prottop&amp;blast_rank=74&amp;RID=7U875CNM013","WP_028188969.1")</f>
        <v>WP_028188969.1</v>
      </c>
      <c r="J265" s="5" t="s">
        <v>1087</v>
      </c>
    </row>
    <row r="266" spans="1:10" s="7" customFormat="1" x14ac:dyDescent="0.2">
      <c r="A266" s="5" t="s">
        <v>2625</v>
      </c>
      <c r="B266" s="5" t="s">
        <v>2626</v>
      </c>
      <c r="C266" s="5">
        <v>1036</v>
      </c>
      <c r="D266" s="5">
        <v>1036</v>
      </c>
      <c r="E266" s="6">
        <v>0.98</v>
      </c>
      <c r="F266" s="5">
        <v>0</v>
      </c>
      <c r="G266" s="5">
        <v>63.94</v>
      </c>
      <c r="H266" s="5">
        <v>800</v>
      </c>
      <c r="I266" s="5" t="str">
        <f>HYPERLINK("https://www.ncbi.nlm.nih.gov/protein/WP_018220454.1?report=genbank&amp;log$=prottop&amp;blast_rank=75&amp;RID=7U875CNM013","WP_018220454.1")</f>
        <v>WP_018220454.1</v>
      </c>
      <c r="J266" s="5" t="s">
        <v>1087</v>
      </c>
    </row>
    <row r="267" spans="1:10" s="7" customFormat="1" x14ac:dyDescent="0.2">
      <c r="A267" s="5" t="s">
        <v>2782</v>
      </c>
      <c r="B267" s="5" t="s">
        <v>2783</v>
      </c>
      <c r="C267" s="5">
        <v>1036</v>
      </c>
      <c r="D267" s="5">
        <v>1036</v>
      </c>
      <c r="E267" s="6">
        <v>0.98</v>
      </c>
      <c r="F267" s="5">
        <v>0</v>
      </c>
      <c r="G267" s="5">
        <v>63.94</v>
      </c>
      <c r="H267" s="5">
        <v>800</v>
      </c>
      <c r="I267" s="5" t="str">
        <f>HYPERLINK("https://www.ncbi.nlm.nih.gov/protein/WP_018801854.1?report=genbank&amp;log$=prottop&amp;blast_rank=76&amp;RID=7U875CNM013","WP_018801854.1")</f>
        <v>WP_018801854.1</v>
      </c>
      <c r="J267" s="5" t="s">
        <v>1087</v>
      </c>
    </row>
    <row r="268" spans="1:10" s="7" customFormat="1" x14ac:dyDescent="0.2">
      <c r="A268" s="5" t="s">
        <v>2625</v>
      </c>
      <c r="B268" s="5" t="s">
        <v>2626</v>
      </c>
      <c r="C268" s="5">
        <v>1036</v>
      </c>
      <c r="D268" s="5">
        <v>1036</v>
      </c>
      <c r="E268" s="6">
        <v>0.98</v>
      </c>
      <c r="F268" s="5">
        <v>0</v>
      </c>
      <c r="G268" s="5">
        <v>63.94</v>
      </c>
      <c r="H268" s="5">
        <v>800</v>
      </c>
      <c r="I268" s="5" t="str">
        <f>HYPERLINK("https://www.ncbi.nlm.nih.gov/protein/WP_018828715.1?report=genbank&amp;log$=prottop&amp;blast_rank=77&amp;RID=7U875CNM013","WP_018828715.1")</f>
        <v>WP_018828715.1</v>
      </c>
      <c r="J268" s="5" t="s">
        <v>1087</v>
      </c>
    </row>
    <row r="269" spans="1:10" s="7" customFormat="1" x14ac:dyDescent="0.2">
      <c r="A269" s="5" t="s">
        <v>2625</v>
      </c>
      <c r="B269" s="5" t="s">
        <v>2626</v>
      </c>
      <c r="C269" s="5">
        <v>1036</v>
      </c>
      <c r="D269" s="5">
        <v>1036</v>
      </c>
      <c r="E269" s="6">
        <v>0.98</v>
      </c>
      <c r="F269" s="5">
        <v>0</v>
      </c>
      <c r="G269" s="5">
        <v>63.94</v>
      </c>
      <c r="H269" s="5">
        <v>800</v>
      </c>
      <c r="I269" s="5" t="str">
        <f>HYPERLINK("https://www.ncbi.nlm.nih.gov/protein/WP_028193229.1?report=genbank&amp;log$=prottop&amp;blast_rank=78&amp;RID=7U875CNM013","WP_028193229.1")</f>
        <v>WP_028193229.1</v>
      </c>
      <c r="J269" s="5" t="s">
        <v>1087</v>
      </c>
    </row>
    <row r="270" spans="1:10" s="7" customFormat="1" x14ac:dyDescent="0.2">
      <c r="A270" s="5" t="s">
        <v>2625</v>
      </c>
      <c r="B270" s="5" t="s">
        <v>2626</v>
      </c>
      <c r="C270" s="5">
        <v>1036</v>
      </c>
      <c r="D270" s="5">
        <v>1036</v>
      </c>
      <c r="E270" s="6">
        <v>0.98</v>
      </c>
      <c r="F270" s="5">
        <v>0</v>
      </c>
      <c r="G270" s="5">
        <v>63.94</v>
      </c>
      <c r="H270" s="5">
        <v>800</v>
      </c>
      <c r="I270" s="5" t="str">
        <f>HYPERLINK("https://www.ncbi.nlm.nih.gov/protein/WP_018822122.1?report=genbank&amp;log$=prottop&amp;blast_rank=79&amp;RID=7U875CNM013","WP_018822122.1")</f>
        <v>WP_018822122.1</v>
      </c>
      <c r="J270" s="5" t="s">
        <v>1087</v>
      </c>
    </row>
    <row r="271" spans="1:10" s="7" customFormat="1" x14ac:dyDescent="0.2">
      <c r="A271" s="5" t="s">
        <v>2782</v>
      </c>
      <c r="B271" s="5" t="s">
        <v>2783</v>
      </c>
      <c r="C271" s="5">
        <v>1036</v>
      </c>
      <c r="D271" s="5">
        <v>1036</v>
      </c>
      <c r="E271" s="6">
        <v>0.98</v>
      </c>
      <c r="F271" s="5">
        <v>0</v>
      </c>
      <c r="G271" s="5">
        <v>63.94</v>
      </c>
      <c r="H271" s="5">
        <v>800</v>
      </c>
      <c r="I271" s="5" t="str">
        <f>HYPERLINK("https://www.ncbi.nlm.nih.gov/protein/WP_018808514.1?report=genbank&amp;log$=prottop&amp;blast_rank=80&amp;RID=7U875CNM013","WP_018808514.1")</f>
        <v>WP_018808514.1</v>
      </c>
      <c r="J271" s="5" t="s">
        <v>1087</v>
      </c>
    </row>
    <row r="272" spans="1:10" s="7" customFormat="1" x14ac:dyDescent="0.2">
      <c r="A272" s="5" t="s">
        <v>2782</v>
      </c>
      <c r="B272" s="5" t="s">
        <v>2783</v>
      </c>
      <c r="C272" s="5">
        <v>1036</v>
      </c>
      <c r="D272" s="5">
        <v>1036</v>
      </c>
      <c r="E272" s="6">
        <v>0.98</v>
      </c>
      <c r="F272" s="5">
        <v>0</v>
      </c>
      <c r="G272" s="5">
        <v>63.94</v>
      </c>
      <c r="H272" s="5">
        <v>800</v>
      </c>
      <c r="I272" s="5" t="str">
        <f>HYPERLINK("https://www.ncbi.nlm.nih.gov/protein/WP_018907965.1?report=genbank&amp;log$=prottop&amp;blast_rank=81&amp;RID=7U875CNM013","WP_018907965.1")</f>
        <v>WP_018907965.1</v>
      </c>
      <c r="J272" s="5" t="s">
        <v>1087</v>
      </c>
    </row>
    <row r="273" spans="1:10" s="7" customFormat="1" x14ac:dyDescent="0.2">
      <c r="A273" s="5" t="s">
        <v>2782</v>
      </c>
      <c r="B273" s="5" t="s">
        <v>2783</v>
      </c>
      <c r="C273" s="5">
        <v>1035</v>
      </c>
      <c r="D273" s="5">
        <v>1035</v>
      </c>
      <c r="E273" s="6">
        <v>0.98</v>
      </c>
      <c r="F273" s="5">
        <v>0</v>
      </c>
      <c r="G273" s="5">
        <v>63.94</v>
      </c>
      <c r="H273" s="5">
        <v>800</v>
      </c>
      <c r="I273" s="5" t="str">
        <f>HYPERLINK("https://www.ncbi.nlm.nih.gov/protein/WP_029023352.1?report=genbank&amp;log$=prottop&amp;blast_rank=82&amp;RID=7U875CNM013","WP_029023352.1")</f>
        <v>WP_029023352.1</v>
      </c>
      <c r="J273" s="5" t="s">
        <v>1087</v>
      </c>
    </row>
    <row r="274" spans="1:10" s="7" customFormat="1" x14ac:dyDescent="0.2">
      <c r="A274" s="5" t="s">
        <v>2784</v>
      </c>
      <c r="B274" s="5" t="s">
        <v>2785</v>
      </c>
      <c r="C274" s="5">
        <v>1035</v>
      </c>
      <c r="D274" s="5">
        <v>1035</v>
      </c>
      <c r="E274" s="6">
        <v>0.98</v>
      </c>
      <c r="F274" s="5">
        <v>0</v>
      </c>
      <c r="G274" s="5">
        <v>63.94</v>
      </c>
      <c r="H274" s="5">
        <v>817</v>
      </c>
      <c r="I274" s="5" t="str">
        <f>HYPERLINK("https://www.ncbi.nlm.nih.gov/protein/WP_075013701.1?report=genbank&amp;log$=prottop&amp;blast_rank=83&amp;RID=7U875CNM013","WP_075013701.1")</f>
        <v>WP_075013701.1</v>
      </c>
      <c r="J274" s="5" t="s">
        <v>1087</v>
      </c>
    </row>
    <row r="275" spans="1:10" s="7" customFormat="1" x14ac:dyDescent="0.2">
      <c r="A275" s="5" t="s">
        <v>2625</v>
      </c>
      <c r="B275" s="5" t="s">
        <v>2626</v>
      </c>
      <c r="C275" s="5">
        <v>1034</v>
      </c>
      <c r="D275" s="5">
        <v>1034</v>
      </c>
      <c r="E275" s="6">
        <v>0.98</v>
      </c>
      <c r="F275" s="5">
        <v>0</v>
      </c>
      <c r="G275" s="5">
        <v>63.94</v>
      </c>
      <c r="H275" s="5">
        <v>800</v>
      </c>
      <c r="I275" s="5" t="str">
        <f>HYPERLINK("https://www.ncbi.nlm.nih.gov/protein/WP_027649997.1?report=genbank&amp;log$=prottop&amp;blast_rank=84&amp;RID=7U875CNM013","WP_027649997.1")</f>
        <v>WP_027649997.1</v>
      </c>
      <c r="J275" s="5" t="s">
        <v>1087</v>
      </c>
    </row>
    <row r="276" spans="1:10" s="7" customFormat="1" x14ac:dyDescent="0.2">
      <c r="A276" s="5" t="s">
        <v>2711</v>
      </c>
      <c r="B276" s="5" t="s">
        <v>2665</v>
      </c>
      <c r="C276" s="5">
        <v>1036</v>
      </c>
      <c r="D276" s="5">
        <v>1036</v>
      </c>
      <c r="E276" s="6">
        <v>0.99</v>
      </c>
      <c r="F276" s="5">
        <v>0</v>
      </c>
      <c r="G276" s="5">
        <v>63.93</v>
      </c>
      <c r="H276" s="5">
        <v>793</v>
      </c>
      <c r="I276" s="5" t="str">
        <f>HYPERLINK("https://www.ncbi.nlm.nih.gov/protein/WP_204080420.1?report=genbank&amp;log$=prottop&amp;blast_rank=85&amp;RID=7U875CNM013","WP_204080420.1")</f>
        <v>WP_204080420.1</v>
      </c>
      <c r="J276" s="5" t="s">
        <v>1087</v>
      </c>
    </row>
    <row r="277" spans="1:10" s="7" customFormat="1" x14ac:dyDescent="0.2">
      <c r="A277" s="5" t="s">
        <v>2786</v>
      </c>
      <c r="B277" s="5" t="s">
        <v>2787</v>
      </c>
      <c r="C277" s="5">
        <v>1034</v>
      </c>
      <c r="D277" s="5">
        <v>1034</v>
      </c>
      <c r="E277" s="6">
        <v>0.99</v>
      </c>
      <c r="F277" s="5">
        <v>0</v>
      </c>
      <c r="G277" s="5">
        <v>63.93</v>
      </c>
      <c r="H277" s="5">
        <v>793</v>
      </c>
      <c r="I277" s="5" t="str">
        <f>HYPERLINK("https://www.ncbi.nlm.nih.gov/protein/WP_191499249.1?report=genbank&amp;log$=prottop&amp;blast_rank=87&amp;RID=7U875CNM013","WP_191499249.1")</f>
        <v>WP_191499249.1</v>
      </c>
      <c r="J277" s="5" t="s">
        <v>1087</v>
      </c>
    </row>
    <row r="278" spans="1:10" s="7" customFormat="1" x14ac:dyDescent="0.2">
      <c r="A278" s="5" t="s">
        <v>2788</v>
      </c>
      <c r="B278" s="5" t="s">
        <v>2789</v>
      </c>
      <c r="C278" s="5">
        <v>1036</v>
      </c>
      <c r="D278" s="5">
        <v>1036</v>
      </c>
      <c r="E278" s="6">
        <v>0.97</v>
      </c>
      <c r="F278" s="5">
        <v>0</v>
      </c>
      <c r="G278" s="5">
        <v>63.93</v>
      </c>
      <c r="H278" s="5">
        <v>788</v>
      </c>
      <c r="I278" s="5" t="str">
        <f>HYPERLINK("https://www.ncbi.nlm.nih.gov/protein/WP_201436220.1?report=genbank&amp;log$=prottop&amp;blast_rank=91&amp;RID=7U875CNM013","WP_201436220.1")</f>
        <v>WP_201436220.1</v>
      </c>
      <c r="J278" s="5" t="s">
        <v>1087</v>
      </c>
    </row>
    <row r="279" spans="1:10" s="7" customFormat="1" x14ac:dyDescent="0.2">
      <c r="A279" s="5" t="s">
        <v>2790</v>
      </c>
      <c r="B279" s="5" t="s">
        <v>2791</v>
      </c>
      <c r="C279" s="5">
        <v>1025</v>
      </c>
      <c r="D279" s="5">
        <v>1025</v>
      </c>
      <c r="E279" s="6">
        <v>0.98</v>
      </c>
      <c r="F279" s="5">
        <v>0</v>
      </c>
      <c r="G279" s="5">
        <v>63.91</v>
      </c>
      <c r="H279" s="5">
        <v>800</v>
      </c>
      <c r="I279" s="5" t="str">
        <f>HYPERLINK("https://www.ncbi.nlm.nih.gov/protein/WP_011740876.1?report=genbank&amp;log$=prottop&amp;blast_rank=107&amp;RID=7U875CNM013","WP_011740876.1")</f>
        <v>WP_011740876.1</v>
      </c>
      <c r="J279" s="5" t="s">
        <v>1087</v>
      </c>
    </row>
    <row r="280" spans="1:10" s="7" customFormat="1" x14ac:dyDescent="0.2">
      <c r="A280" s="5" t="s">
        <v>2792</v>
      </c>
      <c r="B280" s="5" t="s">
        <v>2793</v>
      </c>
      <c r="C280" s="5">
        <v>1024</v>
      </c>
      <c r="D280" s="5">
        <v>1024</v>
      </c>
      <c r="E280" s="6">
        <v>0.98</v>
      </c>
      <c r="F280" s="5">
        <v>0</v>
      </c>
      <c r="G280" s="5">
        <v>63.91</v>
      </c>
      <c r="H280" s="5">
        <v>800</v>
      </c>
      <c r="I280" s="5" t="str">
        <f>HYPERLINK("https://www.ncbi.nlm.nih.gov/protein/WP_117388376.1?report=genbank&amp;log$=prottop&amp;blast_rank=108&amp;RID=7U875CNM013","WP_117388376.1")</f>
        <v>WP_117388376.1</v>
      </c>
      <c r="J280" s="5" t="s">
        <v>1087</v>
      </c>
    </row>
    <row r="281" spans="1:10" s="7" customFormat="1" x14ac:dyDescent="0.2">
      <c r="A281" s="5" t="s">
        <v>2790</v>
      </c>
      <c r="B281" s="5" t="s">
        <v>2791</v>
      </c>
      <c r="C281" s="5">
        <v>1024</v>
      </c>
      <c r="D281" s="5">
        <v>1024</v>
      </c>
      <c r="E281" s="6">
        <v>0.98</v>
      </c>
      <c r="F281" s="5">
        <v>0</v>
      </c>
      <c r="G281" s="5">
        <v>63.91</v>
      </c>
      <c r="H281" s="5">
        <v>800</v>
      </c>
      <c r="I281" s="5" t="str">
        <f>HYPERLINK("https://www.ncbi.nlm.nih.gov/protein/WP_156091216.1?report=genbank&amp;log$=prottop&amp;blast_rank=109&amp;RID=7U875CNM013","WP_156091216.1")</f>
        <v>WP_156091216.1</v>
      </c>
      <c r="J281" s="5" t="s">
        <v>1087</v>
      </c>
    </row>
    <row r="282" spans="1:10" s="7" customFormat="1" x14ac:dyDescent="0.2">
      <c r="A282" s="5" t="s">
        <v>2792</v>
      </c>
      <c r="B282" s="5" t="s">
        <v>2793</v>
      </c>
      <c r="C282" s="5">
        <v>1024</v>
      </c>
      <c r="D282" s="5">
        <v>1024</v>
      </c>
      <c r="E282" s="6">
        <v>0.98</v>
      </c>
      <c r="F282" s="5">
        <v>0</v>
      </c>
      <c r="G282" s="5">
        <v>63.91</v>
      </c>
      <c r="H282" s="5">
        <v>800</v>
      </c>
      <c r="I282" s="5" t="str">
        <f>HYPERLINK("https://www.ncbi.nlm.nih.gov/protein/WP_094359511.1?report=genbank&amp;log$=prottop&amp;blast_rank=110&amp;RID=7U875CNM013","WP_094359511.1")</f>
        <v>WP_094359511.1</v>
      </c>
      <c r="J282" s="5" t="s">
        <v>1087</v>
      </c>
    </row>
    <row r="283" spans="1:10" s="7" customFormat="1" x14ac:dyDescent="0.2">
      <c r="A283" s="5" t="s">
        <v>2792</v>
      </c>
      <c r="B283" s="5" t="s">
        <v>2793</v>
      </c>
      <c r="C283" s="5">
        <v>1023</v>
      </c>
      <c r="D283" s="5">
        <v>1023</v>
      </c>
      <c r="E283" s="6">
        <v>0.98</v>
      </c>
      <c r="F283" s="5">
        <v>0</v>
      </c>
      <c r="G283" s="5">
        <v>63.91</v>
      </c>
      <c r="H283" s="5">
        <v>800</v>
      </c>
      <c r="I283" s="5" t="str">
        <f>HYPERLINK("https://www.ncbi.nlm.nih.gov/protein/WP_117406241.1?report=genbank&amp;log$=prottop&amp;blast_rank=111&amp;RID=7U875CNM013","WP_117406241.1")</f>
        <v>WP_117406241.1</v>
      </c>
      <c r="J283" s="5" t="s">
        <v>1087</v>
      </c>
    </row>
    <row r="284" spans="1:10" s="7" customFormat="1" x14ac:dyDescent="0.2">
      <c r="A284" s="5" t="s">
        <v>2790</v>
      </c>
      <c r="B284" s="5" t="s">
        <v>2791</v>
      </c>
      <c r="C284" s="5">
        <v>1023</v>
      </c>
      <c r="D284" s="5">
        <v>1023</v>
      </c>
      <c r="E284" s="6">
        <v>0.98</v>
      </c>
      <c r="F284" s="5">
        <v>0</v>
      </c>
      <c r="G284" s="5">
        <v>63.91</v>
      </c>
      <c r="H284" s="5">
        <v>800</v>
      </c>
      <c r="I284" s="5" t="str">
        <f>HYPERLINK("https://www.ncbi.nlm.nih.gov/protein/WP_134427920.1?report=genbank&amp;log$=prottop&amp;blast_rank=112&amp;RID=7U875CNM013","WP_134427920.1")</f>
        <v>WP_134427920.1</v>
      </c>
      <c r="J284" s="5" t="s">
        <v>1087</v>
      </c>
    </row>
    <row r="285" spans="1:10" s="7" customFormat="1" x14ac:dyDescent="0.2">
      <c r="A285" s="5" t="s">
        <v>2792</v>
      </c>
      <c r="B285" s="5" t="s">
        <v>2793</v>
      </c>
      <c r="C285" s="5">
        <v>1023</v>
      </c>
      <c r="D285" s="5">
        <v>1023</v>
      </c>
      <c r="E285" s="6">
        <v>0.98</v>
      </c>
      <c r="F285" s="5">
        <v>0</v>
      </c>
      <c r="G285" s="5">
        <v>63.91</v>
      </c>
      <c r="H285" s="5">
        <v>800</v>
      </c>
      <c r="I285" s="5" t="str">
        <f>HYPERLINK("https://www.ncbi.nlm.nih.gov/protein/WP_020728992.1?report=genbank&amp;log$=prottop&amp;blast_rank=113&amp;RID=7U875CNM013","WP_020728992.1")</f>
        <v>WP_020728992.1</v>
      </c>
      <c r="J285" s="5" t="s">
        <v>1087</v>
      </c>
    </row>
    <row r="286" spans="1:10" s="7" customFormat="1" x14ac:dyDescent="0.2">
      <c r="A286" s="5" t="s">
        <v>2792</v>
      </c>
      <c r="B286" s="5" t="s">
        <v>2793</v>
      </c>
      <c r="C286" s="5">
        <v>1023</v>
      </c>
      <c r="D286" s="5">
        <v>1023</v>
      </c>
      <c r="E286" s="6">
        <v>0.98</v>
      </c>
      <c r="F286" s="5">
        <v>0</v>
      </c>
      <c r="G286" s="5">
        <v>63.91</v>
      </c>
      <c r="H286" s="5">
        <v>800</v>
      </c>
      <c r="I286" s="5" t="str">
        <f>HYPERLINK("https://www.ncbi.nlm.nih.gov/protein/WP_117423385.1?report=genbank&amp;log$=prottop&amp;blast_rank=114&amp;RID=7U875CNM013","WP_117423385.1")</f>
        <v>WP_117423385.1</v>
      </c>
      <c r="J286" s="5" t="s">
        <v>1087</v>
      </c>
    </row>
    <row r="287" spans="1:10" s="7" customFormat="1" x14ac:dyDescent="0.2">
      <c r="A287" s="5" t="s">
        <v>2794</v>
      </c>
      <c r="B287" s="5" t="s">
        <v>2795</v>
      </c>
      <c r="C287" s="5">
        <v>1053</v>
      </c>
      <c r="D287" s="5">
        <v>1053</v>
      </c>
      <c r="E287" s="6">
        <v>0.98</v>
      </c>
      <c r="F287" s="5">
        <v>0</v>
      </c>
      <c r="G287" s="5">
        <v>63.9</v>
      </c>
      <c r="H287" s="5">
        <v>797</v>
      </c>
      <c r="I287" s="5" t="str">
        <f>HYPERLINK("https://www.ncbi.nlm.nih.gov/protein/WP_203219687.1?report=genbank&amp;log$=prottop&amp;blast_rank=138&amp;RID=7U875CNM013","WP_203219687.1")</f>
        <v>WP_203219687.1</v>
      </c>
      <c r="J287" s="5" t="s">
        <v>1087</v>
      </c>
    </row>
    <row r="288" spans="1:10" s="7" customFormat="1" x14ac:dyDescent="0.2">
      <c r="A288" s="5" t="s">
        <v>2796</v>
      </c>
      <c r="B288" s="5" t="s">
        <v>2797</v>
      </c>
      <c r="C288" s="5">
        <v>1049</v>
      </c>
      <c r="D288" s="5">
        <v>1049</v>
      </c>
      <c r="E288" s="6">
        <v>0.98</v>
      </c>
      <c r="F288" s="5">
        <v>0</v>
      </c>
      <c r="G288" s="5">
        <v>63.9</v>
      </c>
      <c r="H288" s="5">
        <v>797</v>
      </c>
      <c r="I288" s="5" t="str">
        <f>HYPERLINK("https://www.ncbi.nlm.nih.gov/protein/WP_204291561.1?report=genbank&amp;log$=prottop&amp;blast_rank=144&amp;RID=7U875CNM013","WP_204291561.1")</f>
        <v>WP_204291561.1</v>
      </c>
      <c r="J288" s="5" t="s">
        <v>1087</v>
      </c>
    </row>
    <row r="289" spans="1:10" s="7" customFormat="1" x14ac:dyDescent="0.2">
      <c r="A289" s="5" t="s">
        <v>2798</v>
      </c>
      <c r="B289" s="5" t="s">
        <v>2799</v>
      </c>
      <c r="C289" s="5">
        <v>1047</v>
      </c>
      <c r="D289" s="5">
        <v>1047</v>
      </c>
      <c r="E289" s="6">
        <v>0.98</v>
      </c>
      <c r="F289" s="5">
        <v>0</v>
      </c>
      <c r="G289" s="5">
        <v>63.9</v>
      </c>
      <c r="H289" s="5">
        <v>796</v>
      </c>
      <c r="I289" s="5" t="str">
        <f>HYPERLINK("https://www.ncbi.nlm.nih.gov/protein/WP_119579086.1?report=genbank&amp;log$=prottop&amp;blast_rank=145&amp;RID=7U875CNM013","WP_119579086.1")</f>
        <v>WP_119579086.1</v>
      </c>
      <c r="J289" s="5" t="s">
        <v>1087</v>
      </c>
    </row>
    <row r="290" spans="1:10" s="7" customFormat="1" x14ac:dyDescent="0.2">
      <c r="A290" s="5" t="s">
        <v>2800</v>
      </c>
      <c r="B290" s="5" t="s">
        <v>2801</v>
      </c>
      <c r="C290" s="5">
        <v>1047</v>
      </c>
      <c r="D290" s="5">
        <v>1047</v>
      </c>
      <c r="E290" s="6">
        <v>0.98</v>
      </c>
      <c r="F290" s="5">
        <v>0</v>
      </c>
      <c r="G290" s="5">
        <v>63.9</v>
      </c>
      <c r="H290" s="5">
        <v>798</v>
      </c>
      <c r="I290" s="5" t="str">
        <f>HYPERLINK("https://www.ncbi.nlm.nih.gov/protein/WP_189198133.1?report=genbank&amp;log$=prottop&amp;blast_rank=146&amp;RID=7U875CNM013","WP_189198133.1")</f>
        <v>WP_189198133.1</v>
      </c>
      <c r="J290" s="5" t="s">
        <v>1087</v>
      </c>
    </row>
    <row r="291" spans="1:10" s="7" customFormat="1" x14ac:dyDescent="0.2">
      <c r="A291" s="5" t="s">
        <v>2802</v>
      </c>
      <c r="B291" s="5" t="s">
        <v>2803</v>
      </c>
      <c r="C291" s="5">
        <v>1046</v>
      </c>
      <c r="D291" s="5">
        <v>1046</v>
      </c>
      <c r="E291" s="6">
        <v>0.98</v>
      </c>
      <c r="F291" s="5">
        <v>0</v>
      </c>
      <c r="G291" s="5">
        <v>63.9</v>
      </c>
      <c r="H291" s="5">
        <v>797</v>
      </c>
      <c r="I291" s="5" t="str">
        <f>HYPERLINK("https://www.ncbi.nlm.nih.gov/protein/WP_111245635.1?report=genbank&amp;log$=prottop&amp;blast_rank=147&amp;RID=7U875CNM013","WP_111245635.1")</f>
        <v>WP_111245635.1</v>
      </c>
      <c r="J291" s="5" t="s">
        <v>1087</v>
      </c>
    </row>
    <row r="292" spans="1:10" s="7" customFormat="1" x14ac:dyDescent="0.2">
      <c r="A292" s="5" t="s">
        <v>2804</v>
      </c>
      <c r="B292" s="5" t="s">
        <v>2805</v>
      </c>
      <c r="C292" s="5">
        <v>1045</v>
      </c>
      <c r="D292" s="5">
        <v>1045</v>
      </c>
      <c r="E292" s="6">
        <v>0.98</v>
      </c>
      <c r="F292" s="5">
        <v>0</v>
      </c>
      <c r="G292" s="5">
        <v>63.9</v>
      </c>
      <c r="H292" s="5">
        <v>797</v>
      </c>
      <c r="I292" s="5" t="str">
        <f>HYPERLINK("https://www.ncbi.nlm.nih.gov/protein/WP_204036914.1?report=genbank&amp;log$=prottop&amp;blast_rank=148&amp;RID=7U875CNM013","WP_204036914.1")</f>
        <v>WP_204036914.1</v>
      </c>
      <c r="J292" s="5" t="s">
        <v>1087</v>
      </c>
    </row>
    <row r="293" spans="1:10" s="7" customFormat="1" x14ac:dyDescent="0.2">
      <c r="A293" s="5" t="s">
        <v>2482</v>
      </c>
      <c r="B293" s="5" t="s">
        <v>2483</v>
      </c>
      <c r="C293" s="5">
        <v>1038</v>
      </c>
      <c r="D293" s="5">
        <v>1038</v>
      </c>
      <c r="E293" s="6">
        <v>0.99</v>
      </c>
      <c r="F293" s="5">
        <v>0</v>
      </c>
      <c r="G293" s="5">
        <v>63.9</v>
      </c>
      <c r="H293" s="5">
        <v>812</v>
      </c>
      <c r="I293" s="5" t="str">
        <f>HYPERLINK("https://www.ncbi.nlm.nih.gov/protein/WP_119699261.1?report=genbank&amp;log$=prottop&amp;blast_rank=155&amp;RID=7U875CNM013","WP_119699261.1")</f>
        <v>WP_119699261.1</v>
      </c>
      <c r="J293" s="5" t="s">
        <v>1087</v>
      </c>
    </row>
    <row r="294" spans="1:10" s="7" customFormat="1" x14ac:dyDescent="0.2">
      <c r="A294" s="5" t="s">
        <v>2482</v>
      </c>
      <c r="B294" s="5" t="s">
        <v>2483</v>
      </c>
      <c r="C294" s="5">
        <v>1038</v>
      </c>
      <c r="D294" s="5">
        <v>1038</v>
      </c>
      <c r="E294" s="6">
        <v>0.99</v>
      </c>
      <c r="F294" s="5">
        <v>0</v>
      </c>
      <c r="G294" s="5">
        <v>63.9</v>
      </c>
      <c r="H294" s="5">
        <v>812</v>
      </c>
      <c r="I294" s="5" t="str">
        <f>HYPERLINK("https://www.ncbi.nlm.nih.gov/protein/WP_040273279.1?report=genbank&amp;log$=prottop&amp;blast_rank=156&amp;RID=7U875CNM013","WP_040273279.1")</f>
        <v>WP_040273279.1</v>
      </c>
      <c r="J294" s="5" t="s">
        <v>1087</v>
      </c>
    </row>
    <row r="295" spans="1:10" s="7" customFormat="1" x14ac:dyDescent="0.2">
      <c r="A295" s="5" t="s">
        <v>2810</v>
      </c>
      <c r="B295" s="5" t="s">
        <v>2811</v>
      </c>
      <c r="C295" s="5">
        <v>1031</v>
      </c>
      <c r="D295" s="5">
        <v>1031</v>
      </c>
      <c r="E295" s="6">
        <v>0.97</v>
      </c>
      <c r="F295" s="5">
        <v>0</v>
      </c>
      <c r="G295" s="5">
        <v>63.88</v>
      </c>
      <c r="H295" s="5">
        <v>788</v>
      </c>
      <c r="I295" s="5" t="str">
        <f>HYPERLINK("https://www.ncbi.nlm.nih.gov/protein/WP_053722184.1?report=genbank&amp;log$=prottop&amp;blast_rank=163&amp;RID=7U875CNM013","WP_053722184.1")</f>
        <v>WP_053722184.1</v>
      </c>
      <c r="J295" s="5" t="s">
        <v>1087</v>
      </c>
    </row>
    <row r="296" spans="1:10" s="7" customFormat="1" x14ac:dyDescent="0.2">
      <c r="A296" s="5" t="s">
        <v>2812</v>
      </c>
      <c r="B296" s="5" t="s">
        <v>2813</v>
      </c>
      <c r="C296" s="5">
        <v>1028</v>
      </c>
      <c r="D296" s="5">
        <v>1028</v>
      </c>
      <c r="E296" s="6">
        <v>0.99</v>
      </c>
      <c r="F296" s="5">
        <v>0</v>
      </c>
      <c r="G296" s="5">
        <v>63.88</v>
      </c>
      <c r="H296" s="5">
        <v>809</v>
      </c>
      <c r="I296" s="5" t="str">
        <f>HYPERLINK("https://www.ncbi.nlm.nih.gov/protein/WP_122496592.1?report=genbank&amp;log$=prottop&amp;blast_rank=168&amp;RID=7U875CNM013","WP_122496592.1")</f>
        <v>WP_122496592.1</v>
      </c>
      <c r="J296" s="5" t="s">
        <v>1087</v>
      </c>
    </row>
    <row r="297" spans="1:10" s="7" customFormat="1" x14ac:dyDescent="0.2">
      <c r="A297" s="5" t="s">
        <v>1085</v>
      </c>
      <c r="B297" s="5" t="s">
        <v>1086</v>
      </c>
      <c r="C297" s="5">
        <v>1038</v>
      </c>
      <c r="D297" s="5">
        <v>1038</v>
      </c>
      <c r="E297" s="6">
        <v>0.98</v>
      </c>
      <c r="F297" s="5">
        <v>0</v>
      </c>
      <c r="G297" s="5">
        <v>63.87</v>
      </c>
      <c r="H297" s="5">
        <v>790</v>
      </c>
      <c r="I297" s="5" t="str">
        <f>HYPERLINK("https://www.ncbi.nlm.nih.gov/protein/MBI3688777.1?report=genbank&amp;log$=prottop&amp;blast_rank=186&amp;RID=7U875CNM013","MBI3688777.1")</f>
        <v>MBI3688777.1</v>
      </c>
      <c r="J297" s="5" t="s">
        <v>1087</v>
      </c>
    </row>
    <row r="298" spans="1:10" s="7" customFormat="1" x14ac:dyDescent="0.2">
      <c r="A298" s="5" t="s">
        <v>2814</v>
      </c>
      <c r="B298" s="5" t="s">
        <v>2815</v>
      </c>
      <c r="C298" s="5">
        <v>1043</v>
      </c>
      <c r="D298" s="5">
        <v>1043</v>
      </c>
      <c r="E298" s="6">
        <v>0.97</v>
      </c>
      <c r="F298" s="5">
        <v>0</v>
      </c>
      <c r="G298" s="5">
        <v>63.85</v>
      </c>
      <c r="H298" s="5">
        <v>777</v>
      </c>
      <c r="I298" s="5" t="str">
        <f>HYPERLINK("https://www.ncbi.nlm.nih.gov/protein/WP_114032002.1?report=genbank&amp;log$=prottop&amp;blast_rank=199&amp;RID=7U875CNM013","WP_114032002.1")</f>
        <v>WP_114032002.1</v>
      </c>
      <c r="J298" s="5" t="s">
        <v>2816</v>
      </c>
    </row>
    <row r="299" spans="1:10" s="7" customFormat="1" x14ac:dyDescent="0.2">
      <c r="A299" s="5" t="s">
        <v>2817</v>
      </c>
      <c r="B299" s="5" t="s">
        <v>2818</v>
      </c>
      <c r="C299" s="5">
        <v>1028</v>
      </c>
      <c r="D299" s="5">
        <v>1028</v>
      </c>
      <c r="E299" s="6">
        <v>0.99</v>
      </c>
      <c r="F299" s="5">
        <v>0</v>
      </c>
      <c r="G299" s="5">
        <v>63.84</v>
      </c>
      <c r="H299" s="5">
        <v>788</v>
      </c>
      <c r="I299" s="5" t="str">
        <f>HYPERLINK("https://www.ncbi.nlm.nih.gov/protein/WP_047323112.1?report=genbank&amp;log$=prottop&amp;blast_rank=1&amp;RID=7U875CNM013","WP_047323112.1")</f>
        <v>WP_047323112.1</v>
      </c>
      <c r="J299" s="5" t="s">
        <v>1087</v>
      </c>
    </row>
    <row r="300" spans="1:10" s="7" customFormat="1" x14ac:dyDescent="0.2">
      <c r="A300" s="5" t="s">
        <v>2819</v>
      </c>
      <c r="B300" s="5" t="s">
        <v>2820</v>
      </c>
      <c r="C300" s="5">
        <v>1026</v>
      </c>
      <c r="D300" s="5">
        <v>1026</v>
      </c>
      <c r="E300" s="6">
        <v>0.99</v>
      </c>
      <c r="F300" s="5">
        <v>0</v>
      </c>
      <c r="G300" s="5">
        <v>63.84</v>
      </c>
      <c r="H300" s="5">
        <v>789</v>
      </c>
      <c r="I300" s="5" t="str">
        <f>HYPERLINK("https://www.ncbi.nlm.nih.gov/protein/WP_102417485.1?report=genbank&amp;log$=prottop&amp;blast_rank=2&amp;RID=7U875CNM013","WP_102417485.1")</f>
        <v>WP_102417485.1</v>
      </c>
      <c r="J300" s="5" t="s">
        <v>1087</v>
      </c>
    </row>
    <row r="301" spans="1:10" s="7" customFormat="1" x14ac:dyDescent="0.2">
      <c r="A301" s="5" t="s">
        <v>2821</v>
      </c>
      <c r="B301" s="5" t="s">
        <v>2822</v>
      </c>
      <c r="C301" s="5">
        <v>1025</v>
      </c>
      <c r="D301" s="5">
        <v>1025</v>
      </c>
      <c r="E301" s="6">
        <v>0.99</v>
      </c>
      <c r="F301" s="5">
        <v>0</v>
      </c>
      <c r="G301" s="5">
        <v>63.84</v>
      </c>
      <c r="H301" s="5">
        <v>789</v>
      </c>
      <c r="I301" s="5" t="str">
        <f>HYPERLINK("https://www.ncbi.nlm.nih.gov/protein/WP_068093939.1?report=genbank&amp;log$=prottop&amp;blast_rank=3&amp;RID=7U875CNM013","WP_068093939.1")</f>
        <v>WP_068093939.1</v>
      </c>
      <c r="J301" s="5" t="s">
        <v>1087</v>
      </c>
    </row>
    <row r="302" spans="1:10" s="7" customFormat="1" x14ac:dyDescent="0.2">
      <c r="A302" s="5" t="s">
        <v>2823</v>
      </c>
      <c r="B302" s="5" t="s">
        <v>2824</v>
      </c>
      <c r="C302" s="5">
        <v>1048</v>
      </c>
      <c r="D302" s="5">
        <v>1048</v>
      </c>
      <c r="E302" s="6">
        <v>0.99</v>
      </c>
      <c r="F302" s="5">
        <v>0</v>
      </c>
      <c r="G302" s="5">
        <v>63.84</v>
      </c>
      <c r="H302" s="5">
        <v>815</v>
      </c>
      <c r="I302" s="5" t="str">
        <f>HYPERLINK("https://www.ncbi.nlm.nih.gov/protein/WP_115849457.1?report=genbank&amp;log$=prottop&amp;blast_rank=4&amp;RID=7U875CNM013","WP_115849457.1")</f>
        <v>WP_115849457.1</v>
      </c>
      <c r="J302" s="5" t="s">
        <v>1087</v>
      </c>
    </row>
    <row r="303" spans="1:10" s="7" customFormat="1" x14ac:dyDescent="0.2">
      <c r="A303" s="5" t="s">
        <v>2825</v>
      </c>
      <c r="B303" s="5" t="s">
        <v>2826</v>
      </c>
      <c r="C303" s="5">
        <v>1024</v>
      </c>
      <c r="D303" s="5">
        <v>1024</v>
      </c>
      <c r="E303" s="6">
        <v>0.99</v>
      </c>
      <c r="F303" s="5">
        <v>0</v>
      </c>
      <c r="G303" s="5">
        <v>63.82</v>
      </c>
      <c r="H303" s="5">
        <v>795</v>
      </c>
      <c r="I303" s="5" t="str">
        <f>HYPERLINK("https://www.ncbi.nlm.nih.gov/protein/WP_085184514.1?report=genbank&amp;log$=prottop&amp;blast_rank=15&amp;RID=7U875CNM013","WP_085184514.1")</f>
        <v>WP_085184514.1</v>
      </c>
      <c r="J303" s="5" t="s">
        <v>1087</v>
      </c>
    </row>
    <row r="304" spans="1:10" s="7" customFormat="1" x14ac:dyDescent="0.2">
      <c r="A304" s="5" t="s">
        <v>2827</v>
      </c>
      <c r="B304" s="5" t="s">
        <v>2828</v>
      </c>
      <c r="C304" s="5">
        <v>1047</v>
      </c>
      <c r="D304" s="5">
        <v>1047</v>
      </c>
      <c r="E304" s="6">
        <v>0.98</v>
      </c>
      <c r="F304" s="5">
        <v>0</v>
      </c>
      <c r="G304" s="5">
        <v>63.81</v>
      </c>
      <c r="H304" s="5">
        <v>800</v>
      </c>
      <c r="I304" s="5" t="str">
        <f>HYPERLINK("https://www.ncbi.nlm.nih.gov/protein/WP_091096270.1?report=genbank&amp;log$=prottop&amp;blast_rank=18&amp;RID=7U875CNM013","WP_091096270.1")</f>
        <v>WP_091096270.1</v>
      </c>
      <c r="J304" s="5" t="s">
        <v>1087</v>
      </c>
    </row>
    <row r="305" spans="1:10" s="7" customFormat="1" x14ac:dyDescent="0.2">
      <c r="A305" s="5" t="s">
        <v>2770</v>
      </c>
      <c r="B305" s="5" t="s">
        <v>2771</v>
      </c>
      <c r="C305" s="5">
        <v>1043</v>
      </c>
      <c r="D305" s="5">
        <v>1043</v>
      </c>
      <c r="E305" s="6">
        <v>0.98</v>
      </c>
      <c r="F305" s="5">
        <v>0</v>
      </c>
      <c r="G305" s="5">
        <v>63.81</v>
      </c>
      <c r="H305" s="5">
        <v>799</v>
      </c>
      <c r="I305" s="5" t="str">
        <f>HYPERLINK("https://www.ncbi.nlm.nih.gov/protein/WP_018253412.1?report=genbank&amp;log$=prottop&amp;blast_rank=20&amp;RID=7U875CNM013","WP_018253412.1")</f>
        <v>WP_018253412.1</v>
      </c>
      <c r="J305" s="5" t="s">
        <v>1087</v>
      </c>
    </row>
    <row r="306" spans="1:10" s="7" customFormat="1" x14ac:dyDescent="0.2">
      <c r="A306" s="5" t="s">
        <v>2829</v>
      </c>
      <c r="B306" s="5" t="s">
        <v>2830</v>
      </c>
      <c r="C306" s="5">
        <v>1041</v>
      </c>
      <c r="D306" s="5">
        <v>1041</v>
      </c>
      <c r="E306" s="6">
        <v>0.98</v>
      </c>
      <c r="F306" s="5">
        <v>0</v>
      </c>
      <c r="G306" s="5">
        <v>63.81</v>
      </c>
      <c r="H306" s="5">
        <v>797</v>
      </c>
      <c r="I306" s="5" t="str">
        <f>HYPERLINK("https://www.ncbi.nlm.nih.gov/protein/WP_091085899.1?report=genbank&amp;log$=prottop&amp;blast_rank=21&amp;RID=7U875CNM013","WP_091085899.1")</f>
        <v>WP_091085899.1</v>
      </c>
      <c r="J306" s="5" t="s">
        <v>1087</v>
      </c>
    </row>
    <row r="307" spans="1:10" s="7" customFormat="1" x14ac:dyDescent="0.2">
      <c r="A307" s="5" t="s">
        <v>2782</v>
      </c>
      <c r="B307" s="5" t="s">
        <v>2783</v>
      </c>
      <c r="C307" s="5">
        <v>1038</v>
      </c>
      <c r="D307" s="5">
        <v>1038</v>
      </c>
      <c r="E307" s="6">
        <v>0.98</v>
      </c>
      <c r="F307" s="5">
        <v>0</v>
      </c>
      <c r="G307" s="5">
        <v>63.81</v>
      </c>
      <c r="H307" s="5">
        <v>800</v>
      </c>
      <c r="I307" s="5" t="str">
        <f>HYPERLINK("https://www.ncbi.nlm.nih.gov/protein/WP_029021549.1?report=genbank&amp;log$=prottop&amp;blast_rank=24&amp;RID=7U875CNM013","WP_029021549.1")</f>
        <v>WP_029021549.1</v>
      </c>
      <c r="J307" s="5" t="s">
        <v>1087</v>
      </c>
    </row>
    <row r="308" spans="1:10" s="7" customFormat="1" x14ac:dyDescent="0.2">
      <c r="A308" s="5" t="s">
        <v>2831</v>
      </c>
      <c r="B308" s="5" t="s">
        <v>2832</v>
      </c>
      <c r="C308" s="5">
        <v>1037</v>
      </c>
      <c r="D308" s="5">
        <v>1037</v>
      </c>
      <c r="E308" s="6">
        <v>0.98</v>
      </c>
      <c r="F308" s="5">
        <v>0</v>
      </c>
      <c r="G308" s="5">
        <v>63.81</v>
      </c>
      <c r="H308" s="5">
        <v>800</v>
      </c>
      <c r="I308" s="5" t="str">
        <f>HYPERLINK("https://www.ncbi.nlm.nih.gov/protein/MBM0228967.1?report=genbank&amp;log$=prottop&amp;blast_rank=25&amp;RID=7U875CNM013","MBM0228967.1")</f>
        <v>MBM0228967.1</v>
      </c>
      <c r="J308" s="5" t="s">
        <v>1087</v>
      </c>
    </row>
    <row r="309" spans="1:10" s="7" customFormat="1" x14ac:dyDescent="0.2">
      <c r="A309" s="5" t="s">
        <v>2504</v>
      </c>
      <c r="B309" s="5" t="s">
        <v>2505</v>
      </c>
      <c r="C309" s="5">
        <v>1036</v>
      </c>
      <c r="D309" s="5">
        <v>1036</v>
      </c>
      <c r="E309" s="6">
        <v>0.98</v>
      </c>
      <c r="F309" s="5">
        <v>0</v>
      </c>
      <c r="G309" s="5">
        <v>63.81</v>
      </c>
      <c r="H309" s="5">
        <v>800</v>
      </c>
      <c r="I309" s="5" t="str">
        <f>HYPERLINK("https://www.ncbi.nlm.nih.gov/protein/WP_088963240.1?report=genbank&amp;log$=prottop&amp;blast_rank=26&amp;RID=7U875CNM013","WP_088963240.1")</f>
        <v>WP_088963240.1</v>
      </c>
      <c r="J309" s="5" t="s">
        <v>1087</v>
      </c>
    </row>
    <row r="310" spans="1:10" s="7" customFormat="1" x14ac:dyDescent="0.2">
      <c r="A310" s="5" t="s">
        <v>2625</v>
      </c>
      <c r="B310" s="5" t="s">
        <v>2626</v>
      </c>
      <c r="C310" s="5">
        <v>1036</v>
      </c>
      <c r="D310" s="5">
        <v>1036</v>
      </c>
      <c r="E310" s="6">
        <v>0.98</v>
      </c>
      <c r="F310" s="5">
        <v>0</v>
      </c>
      <c r="G310" s="5">
        <v>63.81</v>
      </c>
      <c r="H310" s="5">
        <v>800</v>
      </c>
      <c r="I310" s="5" t="str">
        <f>HYPERLINK("https://www.ncbi.nlm.nih.gov/protein/WP_029129097.1?report=genbank&amp;log$=prottop&amp;blast_rank=27&amp;RID=7U875CNM013","WP_029129097.1")</f>
        <v>WP_029129097.1</v>
      </c>
      <c r="J310" s="5" t="s">
        <v>1087</v>
      </c>
    </row>
    <row r="311" spans="1:10" s="7" customFormat="1" x14ac:dyDescent="0.2">
      <c r="A311" s="5" t="s">
        <v>2782</v>
      </c>
      <c r="B311" s="5" t="s">
        <v>2783</v>
      </c>
      <c r="C311" s="5">
        <v>1035</v>
      </c>
      <c r="D311" s="5">
        <v>1035</v>
      </c>
      <c r="E311" s="6">
        <v>0.98</v>
      </c>
      <c r="F311" s="5">
        <v>0</v>
      </c>
      <c r="G311" s="5">
        <v>63.81</v>
      </c>
      <c r="H311" s="5">
        <v>800</v>
      </c>
      <c r="I311" s="5" t="str">
        <f>HYPERLINK("https://www.ncbi.nlm.nih.gov/protein/WP_019033252.1?report=genbank&amp;log$=prottop&amp;blast_rank=29&amp;RID=7U875CNM013","WP_019033252.1")</f>
        <v>WP_019033252.1</v>
      </c>
      <c r="J311" s="5" t="s">
        <v>1087</v>
      </c>
    </row>
    <row r="312" spans="1:10" s="7" customFormat="1" x14ac:dyDescent="0.2">
      <c r="A312" s="5" t="s">
        <v>2782</v>
      </c>
      <c r="B312" s="5" t="s">
        <v>2783</v>
      </c>
      <c r="C312" s="5">
        <v>1035</v>
      </c>
      <c r="D312" s="5">
        <v>1035</v>
      </c>
      <c r="E312" s="6">
        <v>0.98</v>
      </c>
      <c r="F312" s="5">
        <v>0</v>
      </c>
      <c r="G312" s="5">
        <v>63.81</v>
      </c>
      <c r="H312" s="5">
        <v>800</v>
      </c>
      <c r="I312" s="5" t="str">
        <f>HYPERLINK("https://www.ncbi.nlm.nih.gov/protein/WP_018793033.1?report=genbank&amp;log$=prottop&amp;blast_rank=30&amp;RID=7U875CNM013","WP_018793033.1")</f>
        <v>WP_018793033.1</v>
      </c>
      <c r="J312" s="5" t="s">
        <v>1087</v>
      </c>
    </row>
    <row r="313" spans="1:10" s="7" customFormat="1" x14ac:dyDescent="0.2">
      <c r="A313" s="5" t="s">
        <v>2782</v>
      </c>
      <c r="B313" s="5" t="s">
        <v>2783</v>
      </c>
      <c r="C313" s="5">
        <v>1035</v>
      </c>
      <c r="D313" s="5">
        <v>1035</v>
      </c>
      <c r="E313" s="6">
        <v>0.98</v>
      </c>
      <c r="F313" s="5">
        <v>0</v>
      </c>
      <c r="G313" s="5">
        <v>63.81</v>
      </c>
      <c r="H313" s="5">
        <v>800</v>
      </c>
      <c r="I313" s="5" t="str">
        <f>HYPERLINK("https://www.ncbi.nlm.nih.gov/protein/WP_018583742.1?report=genbank&amp;log$=prottop&amp;blast_rank=31&amp;RID=7U875CNM013","WP_018583742.1")</f>
        <v>WP_018583742.1</v>
      </c>
      <c r="J313" s="5" t="s">
        <v>1087</v>
      </c>
    </row>
    <row r="314" spans="1:10" s="7" customFormat="1" x14ac:dyDescent="0.2">
      <c r="A314" s="5" t="s">
        <v>2833</v>
      </c>
      <c r="B314" s="5" t="s">
        <v>2834</v>
      </c>
      <c r="C314" s="5">
        <v>1035</v>
      </c>
      <c r="D314" s="5">
        <v>1035</v>
      </c>
      <c r="E314" s="6">
        <v>0.98</v>
      </c>
      <c r="F314" s="5">
        <v>0</v>
      </c>
      <c r="G314" s="5">
        <v>63.81</v>
      </c>
      <c r="H314" s="5">
        <v>800</v>
      </c>
      <c r="I314" s="5" t="str">
        <f>HYPERLINK("https://www.ncbi.nlm.nih.gov/protein/WP_027655199.1?report=genbank&amp;log$=prottop&amp;blast_rank=32&amp;RID=7U875CNM013","WP_027655199.1")</f>
        <v>WP_027655199.1</v>
      </c>
      <c r="J314" s="5" t="s">
        <v>1087</v>
      </c>
    </row>
    <row r="315" spans="1:10" s="7" customFormat="1" x14ac:dyDescent="0.2">
      <c r="A315" s="5" t="s">
        <v>2625</v>
      </c>
      <c r="B315" s="5" t="s">
        <v>2626</v>
      </c>
      <c r="C315" s="5">
        <v>1035</v>
      </c>
      <c r="D315" s="5">
        <v>1035</v>
      </c>
      <c r="E315" s="6">
        <v>0.98</v>
      </c>
      <c r="F315" s="5">
        <v>0</v>
      </c>
      <c r="G315" s="5">
        <v>63.81</v>
      </c>
      <c r="H315" s="5">
        <v>800</v>
      </c>
      <c r="I315" s="5" t="str">
        <f>HYPERLINK("https://www.ncbi.nlm.nih.gov/protein/WP_038847958.1?report=genbank&amp;log$=prottop&amp;blast_rank=33&amp;RID=7U875CNM013","WP_038847958.1")</f>
        <v>WP_038847958.1</v>
      </c>
      <c r="J315" s="5" t="s">
        <v>1087</v>
      </c>
    </row>
    <row r="316" spans="1:10" s="7" customFormat="1" x14ac:dyDescent="0.2">
      <c r="A316" s="5" t="s">
        <v>2782</v>
      </c>
      <c r="B316" s="5" t="s">
        <v>2783</v>
      </c>
      <c r="C316" s="5">
        <v>1035</v>
      </c>
      <c r="D316" s="5">
        <v>1035</v>
      </c>
      <c r="E316" s="6">
        <v>0.98</v>
      </c>
      <c r="F316" s="5">
        <v>0</v>
      </c>
      <c r="G316" s="5">
        <v>63.81</v>
      </c>
      <c r="H316" s="5">
        <v>800</v>
      </c>
      <c r="I316" s="5" t="str">
        <f>HYPERLINK("https://www.ncbi.nlm.nih.gov/protein/WP_018794947.1?report=genbank&amp;log$=prottop&amp;blast_rank=34&amp;RID=7U875CNM013","WP_018794947.1")</f>
        <v>WP_018794947.1</v>
      </c>
      <c r="J316" s="5" t="s">
        <v>1087</v>
      </c>
    </row>
    <row r="317" spans="1:10" s="7" customFormat="1" x14ac:dyDescent="0.2">
      <c r="A317" s="5" t="s">
        <v>2782</v>
      </c>
      <c r="B317" s="5" t="s">
        <v>2783</v>
      </c>
      <c r="C317" s="5">
        <v>1035</v>
      </c>
      <c r="D317" s="5">
        <v>1035</v>
      </c>
      <c r="E317" s="6">
        <v>0.98</v>
      </c>
      <c r="F317" s="5">
        <v>0</v>
      </c>
      <c r="G317" s="5">
        <v>63.81</v>
      </c>
      <c r="H317" s="5">
        <v>800</v>
      </c>
      <c r="I317" s="5" t="str">
        <f>HYPERLINK("https://www.ncbi.nlm.nih.gov/protein/WP_012181737.1?report=genbank&amp;log$=prottop&amp;blast_rank=35&amp;RID=7U875CNM013","WP_012181737.1")</f>
        <v>WP_012181737.1</v>
      </c>
      <c r="J317" s="5" t="s">
        <v>1087</v>
      </c>
    </row>
    <row r="318" spans="1:10" s="7" customFormat="1" x14ac:dyDescent="0.2">
      <c r="A318" s="5" t="s">
        <v>2782</v>
      </c>
      <c r="B318" s="5" t="s">
        <v>2783</v>
      </c>
      <c r="C318" s="5">
        <v>1034</v>
      </c>
      <c r="D318" s="5">
        <v>1034</v>
      </c>
      <c r="E318" s="6">
        <v>0.98</v>
      </c>
      <c r="F318" s="5">
        <v>0</v>
      </c>
      <c r="G318" s="5">
        <v>63.81</v>
      </c>
      <c r="H318" s="5">
        <v>800</v>
      </c>
      <c r="I318" s="5" t="str">
        <f>HYPERLINK("https://www.ncbi.nlm.nih.gov/protein/WP_018799332.1?report=genbank&amp;log$=prottop&amp;blast_rank=36&amp;RID=7U875CNM013","WP_018799332.1")</f>
        <v>WP_018799332.1</v>
      </c>
      <c r="J318" s="5" t="s">
        <v>1087</v>
      </c>
    </row>
    <row r="319" spans="1:10" s="7" customFormat="1" x14ac:dyDescent="0.2">
      <c r="A319" s="5" t="s">
        <v>2782</v>
      </c>
      <c r="B319" s="5" t="s">
        <v>2783</v>
      </c>
      <c r="C319" s="5">
        <v>1034</v>
      </c>
      <c r="D319" s="5">
        <v>1034</v>
      </c>
      <c r="E319" s="6">
        <v>0.98</v>
      </c>
      <c r="F319" s="5">
        <v>0</v>
      </c>
      <c r="G319" s="5">
        <v>63.81</v>
      </c>
      <c r="H319" s="5">
        <v>800</v>
      </c>
      <c r="I319" s="5" t="str">
        <f>HYPERLINK("https://www.ncbi.nlm.nih.gov/protein/WP_018802772.1?report=genbank&amp;log$=prottop&amp;blast_rank=37&amp;RID=7U875CNM013","WP_018802772.1")</f>
        <v>WP_018802772.1</v>
      </c>
      <c r="J319" s="5" t="s">
        <v>1087</v>
      </c>
    </row>
    <row r="320" spans="1:10" s="7" customFormat="1" x14ac:dyDescent="0.2">
      <c r="A320" s="5" t="s">
        <v>2782</v>
      </c>
      <c r="B320" s="5" t="s">
        <v>2783</v>
      </c>
      <c r="C320" s="5">
        <v>1034</v>
      </c>
      <c r="D320" s="5">
        <v>1034</v>
      </c>
      <c r="E320" s="6">
        <v>0.98</v>
      </c>
      <c r="F320" s="5">
        <v>0</v>
      </c>
      <c r="G320" s="5">
        <v>63.81</v>
      </c>
      <c r="H320" s="5">
        <v>800</v>
      </c>
      <c r="I320" s="5" t="str">
        <f>HYPERLINK("https://www.ncbi.nlm.nih.gov/protein/WP_018805006.1?report=genbank&amp;log$=prottop&amp;blast_rank=38&amp;RID=7U875CNM013","WP_018805006.1")</f>
        <v>WP_018805006.1</v>
      </c>
      <c r="J320" s="5" t="s">
        <v>1087</v>
      </c>
    </row>
    <row r="321" spans="1:10" s="7" customFormat="1" x14ac:dyDescent="0.2">
      <c r="A321" s="5" t="s">
        <v>2782</v>
      </c>
      <c r="B321" s="5" t="s">
        <v>2783</v>
      </c>
      <c r="C321" s="5">
        <v>1034</v>
      </c>
      <c r="D321" s="5">
        <v>1034</v>
      </c>
      <c r="E321" s="6">
        <v>0.98</v>
      </c>
      <c r="F321" s="5">
        <v>0</v>
      </c>
      <c r="G321" s="5">
        <v>63.81</v>
      </c>
      <c r="H321" s="5">
        <v>800</v>
      </c>
      <c r="I321" s="5" t="str">
        <f>HYPERLINK("https://www.ncbi.nlm.nih.gov/protein/WP_018587452.1?report=genbank&amp;log$=prottop&amp;blast_rank=39&amp;RID=7U875CNM013","WP_018587452.1")</f>
        <v>WP_018587452.1</v>
      </c>
      <c r="J321" s="5" t="s">
        <v>1087</v>
      </c>
    </row>
    <row r="322" spans="1:10" s="7" customFormat="1" x14ac:dyDescent="0.2">
      <c r="A322" s="5" t="s">
        <v>2782</v>
      </c>
      <c r="B322" s="5" t="s">
        <v>2783</v>
      </c>
      <c r="C322" s="5">
        <v>1034</v>
      </c>
      <c r="D322" s="5">
        <v>1034</v>
      </c>
      <c r="E322" s="6">
        <v>0.98</v>
      </c>
      <c r="F322" s="5">
        <v>0</v>
      </c>
      <c r="G322" s="5">
        <v>63.81</v>
      </c>
      <c r="H322" s="5">
        <v>800</v>
      </c>
      <c r="I322" s="5" t="str">
        <f>HYPERLINK("https://www.ncbi.nlm.nih.gov/protein/WP_019900070.1?report=genbank&amp;log$=prottop&amp;blast_rank=40&amp;RID=7U875CNM013","WP_019900070.1")</f>
        <v>WP_019900070.1</v>
      </c>
      <c r="J322" s="5" t="s">
        <v>1087</v>
      </c>
    </row>
    <row r="323" spans="1:10" s="7" customFormat="1" x14ac:dyDescent="0.2">
      <c r="A323" s="5" t="s">
        <v>2782</v>
      </c>
      <c r="B323" s="5" t="s">
        <v>2783</v>
      </c>
      <c r="C323" s="5">
        <v>1034</v>
      </c>
      <c r="D323" s="5">
        <v>1034</v>
      </c>
      <c r="E323" s="6">
        <v>0.98</v>
      </c>
      <c r="F323" s="5">
        <v>0</v>
      </c>
      <c r="G323" s="5">
        <v>63.81</v>
      </c>
      <c r="H323" s="5">
        <v>800</v>
      </c>
      <c r="I323" s="5" t="str">
        <f>HYPERLINK("https://www.ncbi.nlm.nih.gov/protein/WP_018805914.1?report=genbank&amp;log$=prottop&amp;blast_rank=41&amp;RID=7U875CNM013","WP_018805914.1")</f>
        <v>WP_018805914.1</v>
      </c>
      <c r="J323" s="5" t="s">
        <v>1087</v>
      </c>
    </row>
    <row r="324" spans="1:10" s="7" customFormat="1" x14ac:dyDescent="0.2">
      <c r="A324" s="5" t="s">
        <v>2782</v>
      </c>
      <c r="B324" s="5" t="s">
        <v>2783</v>
      </c>
      <c r="C324" s="5">
        <v>1034</v>
      </c>
      <c r="D324" s="5">
        <v>1034</v>
      </c>
      <c r="E324" s="6">
        <v>0.98</v>
      </c>
      <c r="F324" s="5">
        <v>0</v>
      </c>
      <c r="G324" s="5">
        <v>63.81</v>
      </c>
      <c r="H324" s="5">
        <v>800</v>
      </c>
      <c r="I324" s="5" t="str">
        <f>HYPERLINK("https://www.ncbi.nlm.nih.gov/protein/WP_028183606.1?report=genbank&amp;log$=prottop&amp;blast_rank=42&amp;RID=7U875CNM013","WP_028183606.1")</f>
        <v>WP_028183606.1</v>
      </c>
      <c r="J324" s="5" t="s">
        <v>1087</v>
      </c>
    </row>
    <row r="325" spans="1:10" s="7" customFormat="1" x14ac:dyDescent="0.2">
      <c r="A325" s="5" t="s">
        <v>2835</v>
      </c>
      <c r="B325" s="5" t="s">
        <v>2836</v>
      </c>
      <c r="C325" s="5">
        <v>1033</v>
      </c>
      <c r="D325" s="5">
        <v>1033</v>
      </c>
      <c r="E325" s="6">
        <v>0.98</v>
      </c>
      <c r="F325" s="5">
        <v>0</v>
      </c>
      <c r="G325" s="5">
        <v>63.81</v>
      </c>
      <c r="H325" s="5">
        <v>795</v>
      </c>
      <c r="I325" s="5" t="str">
        <f>HYPERLINK("https://www.ncbi.nlm.nih.gov/protein/SOX54163.1?report=genbank&amp;log$=prottop&amp;blast_rank=43&amp;RID=7U875CNM013","SOX54163.1")</f>
        <v>SOX54163.1</v>
      </c>
      <c r="J325" s="5" t="s">
        <v>1087</v>
      </c>
    </row>
    <row r="326" spans="1:10" s="7" customFormat="1" x14ac:dyDescent="0.2">
      <c r="A326" s="5" t="s">
        <v>2837</v>
      </c>
      <c r="B326" s="5" t="s">
        <v>2838</v>
      </c>
      <c r="C326" s="5">
        <v>1032</v>
      </c>
      <c r="D326" s="5">
        <v>1032</v>
      </c>
      <c r="E326" s="6">
        <v>0.98</v>
      </c>
      <c r="F326" s="5">
        <v>0</v>
      </c>
      <c r="G326" s="5">
        <v>63.81</v>
      </c>
      <c r="H326" s="5">
        <v>812</v>
      </c>
      <c r="I326" s="5" t="str">
        <f>HYPERLINK("https://www.ncbi.nlm.nih.gov/protein/WP_092203132.1?report=genbank&amp;log$=prottop&amp;blast_rank=44&amp;RID=7U875CNM013","WP_092203132.1")</f>
        <v>WP_092203132.1</v>
      </c>
      <c r="J326" s="5" t="s">
        <v>1087</v>
      </c>
    </row>
    <row r="327" spans="1:10" s="7" customFormat="1" x14ac:dyDescent="0.2">
      <c r="A327" s="5" t="s">
        <v>2786</v>
      </c>
      <c r="B327" s="5" t="s">
        <v>2787</v>
      </c>
      <c r="C327" s="5">
        <v>1035</v>
      </c>
      <c r="D327" s="5">
        <v>1035</v>
      </c>
      <c r="E327" s="6">
        <v>0.99</v>
      </c>
      <c r="F327" s="5">
        <v>0</v>
      </c>
      <c r="G327" s="5">
        <v>63.81</v>
      </c>
      <c r="H327" s="5">
        <v>791</v>
      </c>
      <c r="I327" s="5" t="str">
        <f>HYPERLINK("https://www.ncbi.nlm.nih.gov/protein/WP_186243276.1?report=genbank&amp;log$=prottop&amp;blast_rank=50&amp;RID=7U875CNM013","WP_186243276.1")</f>
        <v>WP_186243276.1</v>
      </c>
      <c r="J327" s="5" t="s">
        <v>1087</v>
      </c>
    </row>
    <row r="328" spans="1:10" s="7" customFormat="1" x14ac:dyDescent="0.2">
      <c r="A328" s="5" t="s">
        <v>2839</v>
      </c>
      <c r="B328" s="5" t="s">
        <v>2840</v>
      </c>
      <c r="C328" s="5">
        <v>1039</v>
      </c>
      <c r="D328" s="5">
        <v>1039</v>
      </c>
      <c r="E328" s="6">
        <v>0.97</v>
      </c>
      <c r="F328" s="5">
        <v>0</v>
      </c>
      <c r="G328" s="5">
        <v>63.8</v>
      </c>
      <c r="H328" s="5">
        <v>787</v>
      </c>
      <c r="I328" s="5" t="str">
        <f>HYPERLINK("https://www.ncbi.nlm.nih.gov/protein/GGS28343.1?report=genbank&amp;log$=prottop&amp;blast_rank=62&amp;RID=7U875CNM013","GGS28343.1")</f>
        <v>GGS28343.1</v>
      </c>
      <c r="J328" s="5" t="s">
        <v>1087</v>
      </c>
    </row>
    <row r="329" spans="1:10" s="7" customFormat="1" x14ac:dyDescent="0.2">
      <c r="A329" s="5" t="s">
        <v>2792</v>
      </c>
      <c r="B329" s="5" t="s">
        <v>2793</v>
      </c>
      <c r="C329" s="5">
        <v>1023</v>
      </c>
      <c r="D329" s="5">
        <v>1023</v>
      </c>
      <c r="E329" s="6">
        <v>0.98</v>
      </c>
      <c r="F329" s="5">
        <v>0</v>
      </c>
      <c r="G329" s="5">
        <v>63.79</v>
      </c>
      <c r="H329" s="5">
        <v>800</v>
      </c>
      <c r="I329" s="5" t="str">
        <f>HYPERLINK("https://www.ncbi.nlm.nih.gov/protein/WP_012394452.1?report=genbank&amp;log$=prottop&amp;blast_rank=77&amp;RID=7U875CNM013","WP_012394452.1")</f>
        <v>WP_012394452.1</v>
      </c>
      <c r="J329" s="5" t="s">
        <v>1087</v>
      </c>
    </row>
    <row r="330" spans="1:10" s="7" customFormat="1" x14ac:dyDescent="0.2">
      <c r="A330" s="5" t="s">
        <v>2375</v>
      </c>
      <c r="B330" s="5" t="s">
        <v>2376</v>
      </c>
      <c r="C330" s="5">
        <v>1025</v>
      </c>
      <c r="D330" s="5">
        <v>1025</v>
      </c>
      <c r="E330" s="6">
        <v>0.99</v>
      </c>
      <c r="F330" s="5">
        <v>0</v>
      </c>
      <c r="G330" s="5">
        <v>63.78</v>
      </c>
      <c r="H330" s="5">
        <v>802</v>
      </c>
      <c r="I330" s="5" t="str">
        <f>HYPERLINK("https://www.ncbi.nlm.nih.gov/protein/WP_071066382.1?report=genbank&amp;log$=prottop&amp;blast_rank=82&amp;RID=7U875CNM013","WP_071066382.1")</f>
        <v>WP_071066382.1</v>
      </c>
      <c r="J330" s="5" t="s">
        <v>1087</v>
      </c>
    </row>
    <row r="331" spans="1:10" s="7" customFormat="1" x14ac:dyDescent="0.2">
      <c r="A331" s="5" t="s">
        <v>2841</v>
      </c>
      <c r="B331" s="5" t="s">
        <v>2842</v>
      </c>
      <c r="C331" s="5">
        <v>1051</v>
      </c>
      <c r="D331" s="5">
        <v>1051</v>
      </c>
      <c r="E331" s="6">
        <v>0.98</v>
      </c>
      <c r="F331" s="5">
        <v>0</v>
      </c>
      <c r="G331" s="5">
        <v>63.78</v>
      </c>
      <c r="H331" s="5">
        <v>798</v>
      </c>
      <c r="I331" s="5" t="str">
        <f>HYPERLINK("https://www.ncbi.nlm.nih.gov/protein/WP_092374118.1?report=genbank&amp;log$=prottop&amp;blast_rank=96&amp;RID=7U875CNM013","WP_092374118.1")</f>
        <v>WP_092374118.1</v>
      </c>
      <c r="J331" s="5" t="s">
        <v>1087</v>
      </c>
    </row>
    <row r="332" spans="1:10" s="7" customFormat="1" x14ac:dyDescent="0.2">
      <c r="A332" s="5" t="s">
        <v>2844</v>
      </c>
      <c r="B332" s="5" t="s">
        <v>2845</v>
      </c>
      <c r="C332" s="5">
        <v>1048</v>
      </c>
      <c r="D332" s="5">
        <v>1048</v>
      </c>
      <c r="E332" s="6">
        <v>0.98</v>
      </c>
      <c r="F332" s="5">
        <v>0</v>
      </c>
      <c r="G332" s="5">
        <v>63.78</v>
      </c>
      <c r="H332" s="5">
        <v>797</v>
      </c>
      <c r="I332" s="5" t="str">
        <f>HYPERLINK("https://www.ncbi.nlm.nih.gov/protein/WP_102660812.1?report=genbank&amp;log$=prottop&amp;blast_rank=99&amp;RID=7U875CNM013","WP_102660812.1")</f>
        <v>WP_102660812.1</v>
      </c>
      <c r="J332" s="5" t="s">
        <v>1087</v>
      </c>
    </row>
    <row r="333" spans="1:10" s="7" customFormat="1" x14ac:dyDescent="0.2">
      <c r="A333" s="5" t="s">
        <v>2846</v>
      </c>
      <c r="B333" s="5" t="s">
        <v>2847</v>
      </c>
      <c r="C333" s="5">
        <v>1044</v>
      </c>
      <c r="D333" s="5">
        <v>1044</v>
      </c>
      <c r="E333" s="6">
        <v>0.98</v>
      </c>
      <c r="F333" s="5">
        <v>0</v>
      </c>
      <c r="G333" s="5">
        <v>63.78</v>
      </c>
      <c r="H333" s="5">
        <v>800</v>
      </c>
      <c r="I333" s="5" t="str">
        <f>HYPERLINK("https://www.ncbi.nlm.nih.gov/protein/WP_107076589.1?report=genbank&amp;log$=prottop&amp;blast_rank=101&amp;RID=7U875CNM013","WP_107076589.1")</f>
        <v>WP_107076589.1</v>
      </c>
      <c r="J333" s="5" t="s">
        <v>1087</v>
      </c>
    </row>
    <row r="334" spans="1:10" s="7" customFormat="1" x14ac:dyDescent="0.2">
      <c r="A334" s="5" t="s">
        <v>2848</v>
      </c>
      <c r="B334" s="5" t="s">
        <v>2634</v>
      </c>
      <c r="C334" s="5">
        <v>1031</v>
      </c>
      <c r="D334" s="5">
        <v>1031</v>
      </c>
      <c r="E334" s="6">
        <v>0.98</v>
      </c>
      <c r="F334" s="5">
        <v>0</v>
      </c>
      <c r="G334" s="5">
        <v>63.78</v>
      </c>
      <c r="H334" s="5">
        <v>797</v>
      </c>
      <c r="I334" s="5" t="str">
        <f>HYPERLINK("https://www.ncbi.nlm.nih.gov/protein/WP_145833552.1?report=genbank&amp;log$=prottop&amp;blast_rank=105&amp;RID=7U875CNM013","WP_145833552.1")</f>
        <v>WP_145833552.1</v>
      </c>
      <c r="J334" s="5" t="s">
        <v>1087</v>
      </c>
    </row>
    <row r="335" spans="1:10" s="7" customFormat="1" x14ac:dyDescent="0.2">
      <c r="A335" s="5" t="s">
        <v>2849</v>
      </c>
      <c r="B335" s="5" t="s">
        <v>2850</v>
      </c>
      <c r="C335" s="5">
        <v>1027</v>
      </c>
      <c r="D335" s="5">
        <v>1027</v>
      </c>
      <c r="E335" s="6">
        <v>0.98</v>
      </c>
      <c r="F335" s="5">
        <v>0</v>
      </c>
      <c r="G335" s="5">
        <v>63.78</v>
      </c>
      <c r="H335" s="5">
        <v>812</v>
      </c>
      <c r="I335" s="5" t="str">
        <f>HYPERLINK("https://www.ncbi.nlm.nih.gov/protein/WP_195130285.1?report=genbank&amp;log$=prottop&amp;blast_rank=107&amp;RID=7U875CNM013","WP_195130285.1")</f>
        <v>WP_195130285.1</v>
      </c>
      <c r="J335" s="5" t="s">
        <v>1087</v>
      </c>
    </row>
    <row r="336" spans="1:10" s="7" customFormat="1" x14ac:dyDescent="0.2">
      <c r="A336" s="5" t="s">
        <v>1085</v>
      </c>
      <c r="B336" s="5" t="s">
        <v>1086</v>
      </c>
      <c r="C336" s="5">
        <v>1060</v>
      </c>
      <c r="D336" s="5">
        <v>1060</v>
      </c>
      <c r="E336" s="6">
        <v>0.99</v>
      </c>
      <c r="F336" s="5">
        <v>0</v>
      </c>
      <c r="G336" s="5">
        <v>63.76</v>
      </c>
      <c r="H336" s="5">
        <v>792</v>
      </c>
      <c r="I336" s="5" t="str">
        <f>HYPERLINK("https://www.ncbi.nlm.nih.gov/protein/TMK34508.1?report=genbank&amp;log$=prottop&amp;blast_rank=111&amp;RID=7U875CNM013","TMK34508.1")</f>
        <v>TMK34508.1</v>
      </c>
      <c r="J336" s="5" t="s">
        <v>1087</v>
      </c>
    </row>
    <row r="337" spans="1:10" s="7" customFormat="1" x14ac:dyDescent="0.2">
      <c r="A337" s="5" t="s">
        <v>2851</v>
      </c>
      <c r="B337" s="5" t="s">
        <v>2852</v>
      </c>
      <c r="C337" s="5">
        <v>1040</v>
      </c>
      <c r="D337" s="5">
        <v>1040</v>
      </c>
      <c r="E337" s="6">
        <v>0.97</v>
      </c>
      <c r="F337" s="5">
        <v>0</v>
      </c>
      <c r="G337" s="5">
        <v>63.75</v>
      </c>
      <c r="H337" s="5">
        <v>870</v>
      </c>
      <c r="I337" s="5" t="str">
        <f>HYPERLINK("https://www.ncbi.nlm.nih.gov/protein/WP_088285879.1?report=genbank&amp;log$=prottop&amp;blast_rank=118&amp;RID=7U875CNM013","WP_088285879.1")</f>
        <v>WP_088285879.1</v>
      </c>
      <c r="J337" s="5" t="s">
        <v>1087</v>
      </c>
    </row>
    <row r="338" spans="1:10" s="7" customFormat="1" x14ac:dyDescent="0.2">
      <c r="A338" s="5" t="s">
        <v>2853</v>
      </c>
      <c r="B338" s="5" t="s">
        <v>2854</v>
      </c>
      <c r="C338" s="5">
        <v>1030</v>
      </c>
      <c r="D338" s="5">
        <v>1030</v>
      </c>
      <c r="E338" s="6">
        <v>0.97</v>
      </c>
      <c r="F338" s="5">
        <v>0</v>
      </c>
      <c r="G338" s="5">
        <v>63.75</v>
      </c>
      <c r="H338" s="5">
        <v>771</v>
      </c>
      <c r="I338" s="5" t="str">
        <f>HYPERLINK("https://www.ncbi.nlm.nih.gov/protein/WP_030911429.1?report=genbank&amp;log$=prottop&amp;blast_rank=121&amp;RID=7U875CNM013","WP_030911429.1")</f>
        <v>WP_030911429.1</v>
      </c>
      <c r="J338" s="5" t="s">
        <v>1087</v>
      </c>
    </row>
    <row r="339" spans="1:10" s="7" customFormat="1" x14ac:dyDescent="0.2">
      <c r="A339" s="5" t="s">
        <v>2855</v>
      </c>
      <c r="B339" s="5" t="s">
        <v>2856</v>
      </c>
      <c r="C339" s="5">
        <v>1026</v>
      </c>
      <c r="D339" s="5">
        <v>1026</v>
      </c>
      <c r="E339" s="6">
        <v>0.98</v>
      </c>
      <c r="F339" s="5">
        <v>0</v>
      </c>
      <c r="G339" s="5">
        <v>63.75</v>
      </c>
      <c r="H339" s="5">
        <v>800</v>
      </c>
      <c r="I339" s="5" t="str">
        <f>HYPERLINK("https://www.ncbi.nlm.nih.gov/protein/WP_168001765.1?report=genbank&amp;log$=prottop&amp;blast_rank=124&amp;RID=7U875CNM013","WP_168001765.1")</f>
        <v>WP_168001765.1</v>
      </c>
      <c r="J339" s="5" t="s">
        <v>1087</v>
      </c>
    </row>
    <row r="340" spans="1:10" s="7" customFormat="1" x14ac:dyDescent="0.2">
      <c r="A340" s="5" t="s">
        <v>2427</v>
      </c>
      <c r="B340" s="5" t="s">
        <v>2428</v>
      </c>
      <c r="C340" s="5">
        <v>1025</v>
      </c>
      <c r="D340" s="5">
        <v>1025</v>
      </c>
      <c r="E340" s="6">
        <v>0.98</v>
      </c>
      <c r="F340" s="5">
        <v>0</v>
      </c>
      <c r="G340" s="5">
        <v>63.75</v>
      </c>
      <c r="H340" s="5">
        <v>809</v>
      </c>
      <c r="I340" s="5" t="str">
        <f>HYPERLINK("https://www.ncbi.nlm.nih.gov/protein/MBD0338575.1?report=genbank&amp;log$=prottop&amp;blast_rank=125&amp;RID=7U875CNM013","MBD0338575.1")</f>
        <v>MBD0338575.1</v>
      </c>
      <c r="J340" s="5" t="s">
        <v>1087</v>
      </c>
    </row>
    <row r="341" spans="1:10" s="7" customFormat="1" x14ac:dyDescent="0.2">
      <c r="A341" s="5" t="s">
        <v>2812</v>
      </c>
      <c r="B341" s="5" t="s">
        <v>2813</v>
      </c>
      <c r="C341" s="5">
        <v>1023</v>
      </c>
      <c r="D341" s="5">
        <v>1023</v>
      </c>
      <c r="E341" s="6">
        <v>0.99</v>
      </c>
      <c r="F341" s="5">
        <v>0</v>
      </c>
      <c r="G341" s="5">
        <v>63.75</v>
      </c>
      <c r="H341" s="5">
        <v>809</v>
      </c>
      <c r="I341" s="5" t="str">
        <f>HYPERLINK("https://www.ncbi.nlm.nih.gov/protein/WP_122442963.1?report=genbank&amp;log$=prottop&amp;blast_rank=126&amp;RID=7U875CNM013","WP_122442963.1")</f>
        <v>WP_122442963.1</v>
      </c>
      <c r="J341" s="5" t="s">
        <v>1087</v>
      </c>
    </row>
    <row r="342" spans="1:10" s="7" customFormat="1" ht="15" customHeight="1" x14ac:dyDescent="0.2">
      <c r="A342" s="5" t="s">
        <v>2464</v>
      </c>
      <c r="B342" s="5" t="s">
        <v>2465</v>
      </c>
      <c r="C342" s="5">
        <v>1032</v>
      </c>
      <c r="D342" s="5">
        <v>1032</v>
      </c>
      <c r="E342" s="6">
        <v>0.98</v>
      </c>
      <c r="F342" s="5">
        <v>0</v>
      </c>
      <c r="G342" s="5">
        <v>63.74</v>
      </c>
      <c r="H342" s="5">
        <v>797</v>
      </c>
      <c r="I342" s="5" t="str">
        <f>HYPERLINK("https://www.ncbi.nlm.nih.gov/protein/MBO0879834.1?report=genbank&amp;log$=prottop&amp;blast_rank=137&amp;RID=7U875CNM013","MBO0879834.1")</f>
        <v>MBO0879834.1</v>
      </c>
      <c r="J342" s="5" t="s">
        <v>1087</v>
      </c>
    </row>
    <row r="343" spans="1:10" s="7" customFormat="1" x14ac:dyDescent="0.2">
      <c r="A343" s="5" t="s">
        <v>2863</v>
      </c>
      <c r="B343" s="5" t="s">
        <v>2864</v>
      </c>
      <c r="C343" s="5">
        <v>1044</v>
      </c>
      <c r="D343" s="5">
        <v>1044</v>
      </c>
      <c r="E343" s="6">
        <v>0.99</v>
      </c>
      <c r="F343" s="5">
        <v>0</v>
      </c>
      <c r="G343" s="5">
        <v>63.74</v>
      </c>
      <c r="H343" s="5">
        <v>811</v>
      </c>
      <c r="I343" s="5" t="str">
        <f>HYPERLINK("https://www.ncbi.nlm.nih.gov/protein/OBA87740.1?report=genbank&amp;log$=prottop&amp;blast_rank=141&amp;RID=7U875CNM013","OBA87740.1")</f>
        <v>OBA87740.1</v>
      </c>
      <c r="J343" s="5" t="s">
        <v>1087</v>
      </c>
    </row>
    <row r="344" spans="1:10" s="7" customFormat="1" x14ac:dyDescent="0.2">
      <c r="A344" s="5" t="s">
        <v>2865</v>
      </c>
      <c r="B344" s="5" t="s">
        <v>2866</v>
      </c>
      <c r="C344" s="5">
        <v>1042</v>
      </c>
      <c r="D344" s="5">
        <v>1042</v>
      </c>
      <c r="E344" s="6">
        <v>0.98</v>
      </c>
      <c r="F344" s="5">
        <v>0</v>
      </c>
      <c r="G344" s="5">
        <v>63.73</v>
      </c>
      <c r="H344" s="5">
        <v>806</v>
      </c>
      <c r="I344" s="5" t="str">
        <f>HYPERLINK("https://www.ncbi.nlm.nih.gov/protein/WP_197377447.1?report=genbank&amp;log$=prottop&amp;blast_rank=144&amp;RID=7U875CNM013","WP_197377447.1")</f>
        <v>WP_197377447.1</v>
      </c>
      <c r="J344" s="5" t="s">
        <v>1087</v>
      </c>
    </row>
    <row r="345" spans="1:10" s="7" customFormat="1" x14ac:dyDescent="0.2">
      <c r="A345" s="5" t="s">
        <v>2867</v>
      </c>
      <c r="B345" s="5" t="s">
        <v>2868</v>
      </c>
      <c r="C345" s="5">
        <v>1032</v>
      </c>
      <c r="D345" s="5">
        <v>1032</v>
      </c>
      <c r="E345" s="6">
        <v>0.98</v>
      </c>
      <c r="F345" s="5">
        <v>0</v>
      </c>
      <c r="G345" s="5">
        <v>63.73</v>
      </c>
      <c r="H345" s="5">
        <v>805</v>
      </c>
      <c r="I345" s="5" t="str">
        <f>HYPERLINK("https://www.ncbi.nlm.nih.gov/protein/WP_094293629.1?report=genbank&amp;log$=prottop&amp;blast_rank=146&amp;RID=7U875CNM013","WP_094293629.1")</f>
        <v>WP_094293629.1</v>
      </c>
      <c r="J345" s="5" t="s">
        <v>1087</v>
      </c>
    </row>
    <row r="346" spans="1:10" s="7" customFormat="1" x14ac:dyDescent="0.2">
      <c r="A346" s="5" t="s">
        <v>2869</v>
      </c>
      <c r="B346" s="5" t="s">
        <v>2870</v>
      </c>
      <c r="C346" s="5">
        <v>1032</v>
      </c>
      <c r="D346" s="5">
        <v>1032</v>
      </c>
      <c r="E346" s="6">
        <v>0.98</v>
      </c>
      <c r="F346" s="5">
        <v>0</v>
      </c>
      <c r="G346" s="5">
        <v>63.73</v>
      </c>
      <c r="H346" s="5">
        <v>805</v>
      </c>
      <c r="I346" s="5" t="str">
        <f>HYPERLINK("https://www.ncbi.nlm.nih.gov/protein/WP_068295185.1?report=genbank&amp;log$=prottop&amp;blast_rank=147&amp;RID=7U875CNM013","WP_068295185.1")</f>
        <v>WP_068295185.1</v>
      </c>
      <c r="J346" s="5" t="s">
        <v>1087</v>
      </c>
    </row>
    <row r="347" spans="1:10" s="7" customFormat="1" x14ac:dyDescent="0.2">
      <c r="A347" s="5" t="s">
        <v>2871</v>
      </c>
      <c r="B347" s="5" t="s">
        <v>2872</v>
      </c>
      <c r="C347" s="5">
        <v>1030</v>
      </c>
      <c r="D347" s="5">
        <v>1030</v>
      </c>
      <c r="E347" s="6">
        <v>0.98</v>
      </c>
      <c r="F347" s="5">
        <v>0</v>
      </c>
      <c r="G347" s="5">
        <v>63.73</v>
      </c>
      <c r="H347" s="5">
        <v>805</v>
      </c>
      <c r="I347" s="5" t="str">
        <f>HYPERLINK("https://www.ncbi.nlm.nih.gov/protein/WP_068201716.1?report=genbank&amp;log$=prottop&amp;blast_rank=148&amp;RID=7U875CNM013","WP_068201716.1")</f>
        <v>WP_068201716.1</v>
      </c>
      <c r="J347" s="5" t="s">
        <v>1087</v>
      </c>
    </row>
    <row r="348" spans="1:10" s="7" customFormat="1" x14ac:dyDescent="0.2">
      <c r="A348" s="5" t="s">
        <v>2873</v>
      </c>
      <c r="B348" s="5" t="s">
        <v>2874</v>
      </c>
      <c r="C348" s="5">
        <v>1023</v>
      </c>
      <c r="D348" s="5">
        <v>1023</v>
      </c>
      <c r="E348" s="6">
        <v>0.98</v>
      </c>
      <c r="F348" s="5">
        <v>0</v>
      </c>
      <c r="G348" s="5">
        <v>63.72</v>
      </c>
      <c r="H348" s="5">
        <v>790</v>
      </c>
      <c r="I348" s="5" t="str">
        <f>HYPERLINK("https://www.ncbi.nlm.nih.gov/protein/WP_091504210.1?report=genbank&amp;log$=prottop&amp;blast_rank=155&amp;RID=7U875CNM013","WP_091504210.1")</f>
        <v>WP_091504210.1</v>
      </c>
      <c r="J348" s="5" t="s">
        <v>1087</v>
      </c>
    </row>
    <row r="349" spans="1:10" s="7" customFormat="1" x14ac:dyDescent="0.2">
      <c r="A349" s="5" t="s">
        <v>2875</v>
      </c>
      <c r="B349" s="5" t="s">
        <v>2876</v>
      </c>
      <c r="C349" s="5">
        <v>1023</v>
      </c>
      <c r="D349" s="5">
        <v>1023</v>
      </c>
      <c r="E349" s="6">
        <v>0.99</v>
      </c>
      <c r="F349" s="5">
        <v>0</v>
      </c>
      <c r="G349" s="5">
        <v>63.72</v>
      </c>
      <c r="H349" s="5">
        <v>789</v>
      </c>
      <c r="I349" s="5" t="str">
        <f>HYPERLINK("https://www.ncbi.nlm.nih.gov/protein/WP_067925744.1?report=genbank&amp;log$=prottop&amp;blast_rank=156&amp;RID=7U875CNM013","WP_067925744.1")</f>
        <v>WP_067925744.1</v>
      </c>
      <c r="J349" s="5" t="s">
        <v>1087</v>
      </c>
    </row>
    <row r="350" spans="1:10" s="7" customFormat="1" x14ac:dyDescent="0.2">
      <c r="A350" s="5" t="s">
        <v>2877</v>
      </c>
      <c r="B350" s="5" t="s">
        <v>2878</v>
      </c>
      <c r="C350" s="5">
        <v>1030</v>
      </c>
      <c r="D350" s="5">
        <v>1030</v>
      </c>
      <c r="E350" s="6">
        <v>0.97</v>
      </c>
      <c r="F350" s="5">
        <v>0</v>
      </c>
      <c r="G350" s="5">
        <v>63.71</v>
      </c>
      <c r="H350" s="5">
        <v>776</v>
      </c>
      <c r="I350" s="5" t="str">
        <f>HYPERLINK("https://www.ncbi.nlm.nih.gov/protein/WP_093588830.1?report=genbank&amp;log$=prottop&amp;blast_rank=157&amp;RID=7U875CNM013","WP_093588830.1")</f>
        <v>WP_093588830.1</v>
      </c>
      <c r="J350" s="5" t="s">
        <v>1087</v>
      </c>
    </row>
    <row r="351" spans="1:10" s="7" customFormat="1" x14ac:dyDescent="0.2">
      <c r="A351" s="5" t="s">
        <v>2879</v>
      </c>
      <c r="B351" s="5" t="s">
        <v>2880</v>
      </c>
      <c r="C351" s="5">
        <v>1056</v>
      </c>
      <c r="D351" s="5">
        <v>1056</v>
      </c>
      <c r="E351" s="6">
        <v>0.98</v>
      </c>
      <c r="F351" s="5">
        <v>0</v>
      </c>
      <c r="G351" s="5">
        <v>63.71</v>
      </c>
      <c r="H351" s="5">
        <v>787</v>
      </c>
      <c r="I351" s="5" t="str">
        <f>HYPERLINK("https://www.ncbi.nlm.nih.gov/protein/WP_109684138.1?report=genbank&amp;log$=prottop&amp;blast_rank=158&amp;RID=7U875CNM013","WP_109684138.1")</f>
        <v>WP_109684138.1</v>
      </c>
      <c r="J351" s="5" t="s">
        <v>1087</v>
      </c>
    </row>
    <row r="352" spans="1:10" s="7" customFormat="1" x14ac:dyDescent="0.2">
      <c r="A352" s="5" t="s">
        <v>2881</v>
      </c>
      <c r="B352" s="5" t="s">
        <v>2882</v>
      </c>
      <c r="C352" s="5">
        <v>1044</v>
      </c>
      <c r="D352" s="5">
        <v>1044</v>
      </c>
      <c r="E352" s="6">
        <v>0.98</v>
      </c>
      <c r="F352" s="5">
        <v>0</v>
      </c>
      <c r="G352" s="5">
        <v>63.69</v>
      </c>
      <c r="H352" s="5">
        <v>1142</v>
      </c>
      <c r="I352" s="5" t="str">
        <f>HYPERLINK("https://www.ncbi.nlm.nih.gov/protein/MBO0804144.1?report=genbank&amp;log$=prottop&amp;blast_rank=165&amp;RID=7U875CNM013","MBO0804144.1")</f>
        <v>MBO0804144.1</v>
      </c>
      <c r="J352" s="5" t="s">
        <v>1087</v>
      </c>
    </row>
    <row r="353" spans="1:10" s="7" customFormat="1" x14ac:dyDescent="0.2">
      <c r="A353" s="5" t="s">
        <v>2883</v>
      </c>
      <c r="B353" s="5" t="s">
        <v>2884</v>
      </c>
      <c r="C353" s="5">
        <v>1027</v>
      </c>
      <c r="D353" s="5">
        <v>1027</v>
      </c>
      <c r="E353" s="6">
        <v>0.96</v>
      </c>
      <c r="F353" s="5">
        <v>0</v>
      </c>
      <c r="G353" s="5">
        <v>63.68</v>
      </c>
      <c r="H353" s="5">
        <v>808</v>
      </c>
      <c r="I353" s="5" t="str">
        <f>HYPERLINK("https://www.ncbi.nlm.nih.gov/protein/WP_172213472.1?report=genbank&amp;log$=prottop&amp;blast_rank=172&amp;RID=7U875CNM013","WP_172213472.1")</f>
        <v>WP_172213472.1</v>
      </c>
      <c r="J353" s="5" t="s">
        <v>1087</v>
      </c>
    </row>
    <row r="354" spans="1:10" s="7" customFormat="1" x14ac:dyDescent="0.2">
      <c r="A354" s="5" t="s">
        <v>2885</v>
      </c>
      <c r="B354" s="5" t="s">
        <v>2886</v>
      </c>
      <c r="C354" s="5">
        <v>1067</v>
      </c>
      <c r="D354" s="5">
        <v>1067</v>
      </c>
      <c r="E354" s="6">
        <v>0.97</v>
      </c>
      <c r="F354" s="5">
        <v>0</v>
      </c>
      <c r="G354" s="5">
        <v>63.68</v>
      </c>
      <c r="H354" s="5">
        <v>825</v>
      </c>
      <c r="I354" s="5" t="str">
        <f>HYPERLINK("https://www.ncbi.nlm.nih.gov/protein/MBN8561401.1?report=genbank&amp;log$=prottop&amp;blast_rank=174&amp;RID=7U875CNM013","MBN8561401.1")</f>
        <v>MBN8561401.1</v>
      </c>
      <c r="J354" s="5" t="s">
        <v>1087</v>
      </c>
    </row>
    <row r="355" spans="1:10" s="7" customFormat="1" x14ac:dyDescent="0.2">
      <c r="A355" s="5" t="s">
        <v>2887</v>
      </c>
      <c r="B355" s="5" t="s">
        <v>2888</v>
      </c>
      <c r="C355" s="5">
        <v>1047</v>
      </c>
      <c r="D355" s="5">
        <v>1047</v>
      </c>
      <c r="E355" s="6">
        <v>0.98</v>
      </c>
      <c r="F355" s="5">
        <v>0</v>
      </c>
      <c r="G355" s="5">
        <v>63.68</v>
      </c>
      <c r="H355" s="5">
        <v>800</v>
      </c>
      <c r="I355" s="5" t="str">
        <f>HYPERLINK("https://www.ncbi.nlm.nih.gov/protein/WP_151456547.1?report=genbank&amp;log$=prottop&amp;blast_rank=175&amp;RID=7U875CNM013","WP_151456547.1")</f>
        <v>WP_151456547.1</v>
      </c>
      <c r="J355" s="5" t="s">
        <v>1087</v>
      </c>
    </row>
    <row r="356" spans="1:10" s="7" customFormat="1" x14ac:dyDescent="0.2">
      <c r="A356" s="5" t="s">
        <v>2889</v>
      </c>
      <c r="B356" s="5" t="s">
        <v>2890</v>
      </c>
      <c r="C356" s="5">
        <v>1045</v>
      </c>
      <c r="D356" s="5">
        <v>1045</v>
      </c>
      <c r="E356" s="6">
        <v>0.98</v>
      </c>
      <c r="F356" s="5">
        <v>0</v>
      </c>
      <c r="G356" s="5">
        <v>63.68</v>
      </c>
      <c r="H356" s="5">
        <v>810</v>
      </c>
      <c r="I356" s="5" t="str">
        <f>HYPERLINK("https://www.ncbi.nlm.nih.gov/protein/WP_187580986.1?report=genbank&amp;log$=prottop&amp;blast_rank=176&amp;RID=7U875CNM013","WP_187580986.1")</f>
        <v>WP_187580986.1</v>
      </c>
      <c r="J356" s="5" t="s">
        <v>1087</v>
      </c>
    </row>
    <row r="357" spans="1:10" s="7" customFormat="1" x14ac:dyDescent="0.2">
      <c r="A357" s="5" t="s">
        <v>2891</v>
      </c>
      <c r="B357" s="5" t="s">
        <v>2892</v>
      </c>
      <c r="C357" s="5">
        <v>1044</v>
      </c>
      <c r="D357" s="5">
        <v>1044</v>
      </c>
      <c r="E357" s="6">
        <v>0.98</v>
      </c>
      <c r="F357" s="5">
        <v>0</v>
      </c>
      <c r="G357" s="5">
        <v>63.68</v>
      </c>
      <c r="H357" s="5">
        <v>797</v>
      </c>
      <c r="I357" s="5" t="str">
        <f>HYPERLINK("https://www.ncbi.nlm.nih.gov/protein/WP_155215477.1?report=genbank&amp;log$=prottop&amp;blast_rank=177&amp;RID=7U875CNM013","WP_155215477.1")</f>
        <v>WP_155215477.1</v>
      </c>
      <c r="J357" s="5" t="s">
        <v>1087</v>
      </c>
    </row>
    <row r="358" spans="1:10" s="7" customFormat="1" ht="15" customHeight="1" x14ac:dyDescent="0.2">
      <c r="A358" s="5" t="s">
        <v>2893</v>
      </c>
      <c r="B358" s="5" t="s">
        <v>2894</v>
      </c>
      <c r="C358" s="5">
        <v>1036</v>
      </c>
      <c r="D358" s="5">
        <v>1036</v>
      </c>
      <c r="E358" s="6">
        <v>0.98</v>
      </c>
      <c r="F358" s="5">
        <v>0</v>
      </c>
      <c r="G358" s="5">
        <v>63.68</v>
      </c>
      <c r="H358" s="5">
        <v>800</v>
      </c>
      <c r="I358" s="5" t="str">
        <f>HYPERLINK("https://www.ncbi.nlm.nih.gov/protein/WP_091251948.1?report=genbank&amp;log$=prottop&amp;blast_rank=179&amp;RID=7U875CNM013","WP_091251948.1")</f>
        <v>WP_091251948.1</v>
      </c>
      <c r="J358" s="5" t="s">
        <v>1087</v>
      </c>
    </row>
    <row r="359" spans="1:10" s="7" customFormat="1" x14ac:dyDescent="0.2">
      <c r="A359" s="5" t="s">
        <v>2782</v>
      </c>
      <c r="B359" s="5" t="s">
        <v>2783</v>
      </c>
      <c r="C359" s="5">
        <v>1035</v>
      </c>
      <c r="D359" s="5">
        <v>1035</v>
      </c>
      <c r="E359" s="6">
        <v>0.98</v>
      </c>
      <c r="F359" s="5">
        <v>0</v>
      </c>
      <c r="G359" s="5">
        <v>63.68</v>
      </c>
      <c r="H359" s="5">
        <v>800</v>
      </c>
      <c r="I359" s="5" t="str">
        <f>HYPERLINK("https://www.ncbi.nlm.nih.gov/protein/WP_029537127.1?report=genbank&amp;log$=prottop&amp;blast_rank=180&amp;RID=7U875CNM013","WP_029537127.1")</f>
        <v>WP_029537127.1</v>
      </c>
      <c r="J359" s="5" t="s">
        <v>1087</v>
      </c>
    </row>
    <row r="360" spans="1:10" s="7" customFormat="1" x14ac:dyDescent="0.2">
      <c r="A360" s="5" t="s">
        <v>2782</v>
      </c>
      <c r="B360" s="5" t="s">
        <v>2783</v>
      </c>
      <c r="C360" s="5">
        <v>1033</v>
      </c>
      <c r="D360" s="5">
        <v>1033</v>
      </c>
      <c r="E360" s="6">
        <v>0.98</v>
      </c>
      <c r="F360" s="5">
        <v>0</v>
      </c>
      <c r="G360" s="5">
        <v>63.68</v>
      </c>
      <c r="H360" s="5">
        <v>800</v>
      </c>
      <c r="I360" s="5" t="str">
        <f>HYPERLINK("https://www.ncbi.nlm.nih.gov/protein/WP_018825077.1?report=genbank&amp;log$=prottop&amp;blast_rank=181&amp;RID=7U875CNM013","WP_018825077.1")</f>
        <v>WP_018825077.1</v>
      </c>
      <c r="J360" s="5" t="s">
        <v>1087</v>
      </c>
    </row>
    <row r="361" spans="1:10" s="7" customFormat="1" x14ac:dyDescent="0.2">
      <c r="A361" s="5" t="s">
        <v>2782</v>
      </c>
      <c r="B361" s="5" t="s">
        <v>2783</v>
      </c>
      <c r="C361" s="5">
        <v>1028</v>
      </c>
      <c r="D361" s="5">
        <v>1028</v>
      </c>
      <c r="E361" s="6">
        <v>0.98</v>
      </c>
      <c r="F361" s="5">
        <v>0</v>
      </c>
      <c r="G361" s="5">
        <v>63.68</v>
      </c>
      <c r="H361" s="5">
        <v>800</v>
      </c>
      <c r="I361" s="5" t="str">
        <f>HYPERLINK("https://www.ncbi.nlm.nih.gov/protein/WP_029027015.1?report=genbank&amp;log$=prottop&amp;blast_rank=182&amp;RID=7U875CNM013","WP_029027015.1")</f>
        <v>WP_029027015.1</v>
      </c>
      <c r="J361" s="5" t="s">
        <v>1087</v>
      </c>
    </row>
    <row r="362" spans="1:10" s="7" customFormat="1" x14ac:dyDescent="0.2">
      <c r="A362" s="5" t="s">
        <v>1085</v>
      </c>
      <c r="B362" s="5" t="s">
        <v>1086</v>
      </c>
      <c r="C362" s="5">
        <v>1077</v>
      </c>
      <c r="D362" s="5">
        <v>1077</v>
      </c>
      <c r="E362" s="6">
        <v>0.99</v>
      </c>
      <c r="F362" s="5">
        <v>0</v>
      </c>
      <c r="G362" s="5">
        <v>63.68</v>
      </c>
      <c r="H362" s="5">
        <v>793</v>
      </c>
      <c r="I362" s="5" t="str">
        <f>HYPERLINK("https://www.ncbi.nlm.nih.gov/protein/MBA3366231.1?report=genbank&amp;log$=prottop&amp;blast_rank=184&amp;RID=7U875CNM013","MBA3366231.1")</f>
        <v>MBA3366231.1</v>
      </c>
      <c r="J362" s="5" t="s">
        <v>1087</v>
      </c>
    </row>
    <row r="363" spans="1:10" s="7" customFormat="1" x14ac:dyDescent="0.2">
      <c r="A363" s="5" t="s">
        <v>2895</v>
      </c>
      <c r="B363" s="5" t="s">
        <v>2896</v>
      </c>
      <c r="C363" s="5">
        <v>1030</v>
      </c>
      <c r="D363" s="5">
        <v>1030</v>
      </c>
      <c r="E363" s="6">
        <v>0.98</v>
      </c>
      <c r="F363" s="5">
        <v>0</v>
      </c>
      <c r="G363" s="5">
        <v>63.68</v>
      </c>
      <c r="H363" s="5">
        <v>794</v>
      </c>
      <c r="I363" s="5" t="str">
        <f>HYPERLINK("https://www.ncbi.nlm.nih.gov/protein/WP_085195474.1?report=genbank&amp;log$=prottop&amp;blast_rank=190&amp;RID=7U875CNM013","WP_085195474.1")</f>
        <v>WP_085195474.1</v>
      </c>
      <c r="J363" s="5" t="s">
        <v>1087</v>
      </c>
    </row>
    <row r="364" spans="1:10" s="7" customFormat="1" x14ac:dyDescent="0.2">
      <c r="A364" s="5" t="s">
        <v>2788</v>
      </c>
      <c r="B364" s="5" t="s">
        <v>2789</v>
      </c>
      <c r="C364" s="5">
        <v>1033</v>
      </c>
      <c r="D364" s="5">
        <v>1033</v>
      </c>
      <c r="E364" s="6">
        <v>0.97</v>
      </c>
      <c r="F364" s="5">
        <v>0</v>
      </c>
      <c r="G364" s="5">
        <v>63.67</v>
      </c>
      <c r="H364" s="5">
        <v>785</v>
      </c>
      <c r="I364" s="5" t="str">
        <f>HYPERLINK("https://www.ncbi.nlm.nih.gov/protein/WP_201441044.1?report=genbank&amp;log$=prottop&amp;blast_rank=200&amp;RID=7U875CNM013","WP_201441044.1")</f>
        <v>WP_201441044.1</v>
      </c>
      <c r="J364" s="5" t="s">
        <v>1087</v>
      </c>
    </row>
    <row r="365" spans="1:10" s="7" customFormat="1" x14ac:dyDescent="0.2">
      <c r="A365" s="5" t="s">
        <v>2897</v>
      </c>
      <c r="B365" s="5" t="s">
        <v>2898</v>
      </c>
      <c r="C365" s="5">
        <v>1030</v>
      </c>
      <c r="D365" s="5">
        <v>1030</v>
      </c>
      <c r="E365" s="6">
        <v>0.97</v>
      </c>
      <c r="F365" s="5">
        <v>0</v>
      </c>
      <c r="G365" s="5">
        <v>63.66</v>
      </c>
      <c r="H365" s="5">
        <v>771</v>
      </c>
      <c r="I365" s="5" t="str">
        <f>HYPERLINK("https://www.ncbi.nlm.nih.gov/protein/WP_142258428.1?report=genbank&amp;log$=prottop&amp;blast_rank=211&amp;RID=7U875CNM013","WP_142258428.1")</f>
        <v>WP_142258428.1</v>
      </c>
      <c r="J365" s="5" t="s">
        <v>1087</v>
      </c>
    </row>
    <row r="366" spans="1:10" s="7" customFormat="1" x14ac:dyDescent="0.2">
      <c r="A366" s="5" t="s">
        <v>2899</v>
      </c>
      <c r="B366" s="5" t="s">
        <v>2900</v>
      </c>
      <c r="C366" s="5">
        <v>1032</v>
      </c>
      <c r="D366" s="5">
        <v>1032</v>
      </c>
      <c r="E366" s="6">
        <v>0.98</v>
      </c>
      <c r="F366" s="5">
        <v>0</v>
      </c>
      <c r="G366" s="5">
        <v>63.65</v>
      </c>
      <c r="H366" s="5">
        <v>800</v>
      </c>
      <c r="I366" s="5" t="str">
        <f>HYPERLINK("https://www.ncbi.nlm.nih.gov/protein/WP_091611899.1?report=genbank&amp;log$=prottop&amp;blast_rank=11&amp;RID=7U875CNM013","WP_091611899.1")</f>
        <v>WP_091611899.1</v>
      </c>
      <c r="J366" s="5" t="s">
        <v>1087</v>
      </c>
    </row>
    <row r="367" spans="1:10" s="7" customFormat="1" x14ac:dyDescent="0.2">
      <c r="A367" s="5" t="s">
        <v>1085</v>
      </c>
      <c r="B367" s="5" t="s">
        <v>1086</v>
      </c>
      <c r="C367" s="5">
        <v>1057</v>
      </c>
      <c r="D367" s="5">
        <v>1057</v>
      </c>
      <c r="E367" s="6">
        <v>0.99</v>
      </c>
      <c r="F367" s="5">
        <v>0</v>
      </c>
      <c r="G367" s="5">
        <v>63.64</v>
      </c>
      <c r="H367" s="5">
        <v>792</v>
      </c>
      <c r="I367" s="5" t="str">
        <f>HYPERLINK("https://www.ncbi.nlm.nih.gov/protein/TML19640.1?report=genbank&amp;log$=prottop&amp;blast_rank=15&amp;RID=7U875CNM013","TML19640.1")</f>
        <v>TML19640.1</v>
      </c>
      <c r="J367" s="5" t="s">
        <v>1087</v>
      </c>
    </row>
    <row r="368" spans="1:10" s="7" customFormat="1" x14ac:dyDescent="0.2">
      <c r="A368" s="5" t="s">
        <v>2901</v>
      </c>
      <c r="B368" s="5" t="s">
        <v>2902</v>
      </c>
      <c r="C368" s="5">
        <v>1037</v>
      </c>
      <c r="D368" s="5">
        <v>1037</v>
      </c>
      <c r="E368" s="6">
        <v>0.98</v>
      </c>
      <c r="F368" s="5">
        <v>0</v>
      </c>
      <c r="G368" s="5">
        <v>63.64</v>
      </c>
      <c r="H368" s="5">
        <v>771</v>
      </c>
      <c r="I368" s="5" t="str">
        <f>HYPERLINK("https://www.ncbi.nlm.nih.gov/protein/WP_066935690.1?report=genbank&amp;log$=prottop&amp;blast_rank=16&amp;RID=7U875CNM013","WP_066935690.1")</f>
        <v>WP_066935690.1</v>
      </c>
      <c r="J368" s="5" t="s">
        <v>1087</v>
      </c>
    </row>
    <row r="369" spans="1:10" s="7" customFormat="1" x14ac:dyDescent="0.2">
      <c r="A369" s="5" t="s">
        <v>2903</v>
      </c>
      <c r="B369" s="5" t="s">
        <v>2904</v>
      </c>
      <c r="C369" s="5">
        <v>1036</v>
      </c>
      <c r="D369" s="5">
        <v>1036</v>
      </c>
      <c r="E369" s="6">
        <v>0.99</v>
      </c>
      <c r="F369" s="5">
        <v>0</v>
      </c>
      <c r="G369" s="5">
        <v>63.64</v>
      </c>
      <c r="H369" s="5">
        <v>819</v>
      </c>
      <c r="I369" s="5" t="str">
        <f>HYPERLINK("https://www.ncbi.nlm.nih.gov/protein/WP_158016937.1?report=genbank&amp;log$=prottop&amp;blast_rank=17&amp;RID=7U875CNM013","WP_158016937.1")</f>
        <v>WP_158016937.1</v>
      </c>
      <c r="J369" s="5" t="s">
        <v>1087</v>
      </c>
    </row>
    <row r="370" spans="1:10" s="7" customFormat="1" x14ac:dyDescent="0.2">
      <c r="A370" s="5" t="s">
        <v>2739</v>
      </c>
      <c r="B370" s="5" t="s">
        <v>2740</v>
      </c>
      <c r="C370" s="5">
        <v>1025</v>
      </c>
      <c r="D370" s="5">
        <v>1025</v>
      </c>
      <c r="E370" s="6">
        <v>0.99</v>
      </c>
      <c r="F370" s="5">
        <v>0</v>
      </c>
      <c r="G370" s="5">
        <v>63.61</v>
      </c>
      <c r="H370" s="5">
        <v>819</v>
      </c>
      <c r="I370" s="5" t="str">
        <f>HYPERLINK("https://www.ncbi.nlm.nih.gov/protein/WP_135158461.1?report=genbank&amp;log$=prottop&amp;blast_rank=30&amp;RID=7U875CNM013","WP_135158461.1")</f>
        <v>WP_135158461.1</v>
      </c>
      <c r="J370" s="5" t="s">
        <v>1087</v>
      </c>
    </row>
    <row r="371" spans="1:10" s="7" customFormat="1" x14ac:dyDescent="0.2">
      <c r="A371" s="5" t="s">
        <v>2905</v>
      </c>
      <c r="B371" s="5" t="s">
        <v>2906</v>
      </c>
      <c r="C371" s="5">
        <v>1073</v>
      </c>
      <c r="D371" s="5">
        <v>1073</v>
      </c>
      <c r="E371" s="6">
        <v>0.99</v>
      </c>
      <c r="F371" s="5">
        <v>0</v>
      </c>
      <c r="G371" s="5">
        <v>63.6</v>
      </c>
      <c r="H371" s="5">
        <v>792</v>
      </c>
      <c r="I371" s="5" t="str">
        <f>HYPERLINK("https://www.ncbi.nlm.nih.gov/protein/MBO0827394.1?report=genbank&amp;log$=prottop&amp;blast_rank=42&amp;RID=7U875CNM013","MBO0827394.1")</f>
        <v>MBO0827394.1</v>
      </c>
      <c r="J371" s="5" t="s">
        <v>1087</v>
      </c>
    </row>
    <row r="372" spans="1:10" s="7" customFormat="1" x14ac:dyDescent="0.2">
      <c r="A372" s="5" t="s">
        <v>2615</v>
      </c>
      <c r="B372" s="5" t="s">
        <v>2616</v>
      </c>
      <c r="C372" s="5">
        <v>1026</v>
      </c>
      <c r="D372" s="5">
        <v>1026</v>
      </c>
      <c r="E372" s="6">
        <v>0.99</v>
      </c>
      <c r="F372" s="5">
        <v>0</v>
      </c>
      <c r="G372" s="5">
        <v>63.6</v>
      </c>
      <c r="H372" s="5">
        <v>794</v>
      </c>
      <c r="I372" s="5" t="str">
        <f>HYPERLINK("https://www.ncbi.nlm.nih.gov/protein/WP_065154434.1?report=genbank&amp;log$=prottop&amp;blast_rank=44&amp;RID=7U875CNM013","WP_065154434.1")</f>
        <v>WP_065154434.1</v>
      </c>
      <c r="J372" s="5" t="s">
        <v>1087</v>
      </c>
    </row>
    <row r="373" spans="1:10" s="7" customFormat="1" x14ac:dyDescent="0.2">
      <c r="A373" s="5" t="s">
        <v>2907</v>
      </c>
      <c r="B373" s="5" t="s">
        <v>2908</v>
      </c>
      <c r="C373" s="5">
        <v>1038</v>
      </c>
      <c r="D373" s="5">
        <v>1038</v>
      </c>
      <c r="E373" s="6">
        <v>0.98</v>
      </c>
      <c r="F373" s="5">
        <v>0</v>
      </c>
      <c r="G373" s="5">
        <v>63.6</v>
      </c>
      <c r="H373" s="5">
        <v>824</v>
      </c>
      <c r="I373" s="5" t="str">
        <f>HYPERLINK("https://www.ncbi.nlm.nih.gov/protein/SEH78473.1?report=genbank&amp;log$=prottop&amp;blast_rank=45&amp;RID=7U875CNM013","SEH78473.1")</f>
        <v>SEH78473.1</v>
      </c>
      <c r="J373" s="5" t="s">
        <v>1087</v>
      </c>
    </row>
    <row r="374" spans="1:10" s="7" customFormat="1" x14ac:dyDescent="0.2">
      <c r="A374" s="5" t="s">
        <v>2909</v>
      </c>
      <c r="B374" s="5" t="s">
        <v>2908</v>
      </c>
      <c r="C374" s="5">
        <v>1038</v>
      </c>
      <c r="D374" s="5">
        <v>1038</v>
      </c>
      <c r="E374" s="6">
        <v>0.98</v>
      </c>
      <c r="F374" s="5">
        <v>0</v>
      </c>
      <c r="G374" s="5">
        <v>63.6</v>
      </c>
      <c r="H374" s="5">
        <v>806</v>
      </c>
      <c r="I374" s="5" t="str">
        <f>HYPERLINK("https://www.ncbi.nlm.nih.gov/protein/WP_083408714.1?report=genbank&amp;log$=prottop&amp;blast_rank=46&amp;RID=7U875CNM013","WP_083408714.1")</f>
        <v>WP_083408714.1</v>
      </c>
      <c r="J374" s="5" t="s">
        <v>1087</v>
      </c>
    </row>
    <row r="375" spans="1:10" s="7" customFormat="1" x14ac:dyDescent="0.2">
      <c r="A375" s="5" t="s">
        <v>2910</v>
      </c>
      <c r="B375" s="5" t="s">
        <v>2911</v>
      </c>
      <c r="C375" s="5">
        <v>1032</v>
      </c>
      <c r="D375" s="5">
        <v>1032</v>
      </c>
      <c r="E375" s="6">
        <v>0.98</v>
      </c>
      <c r="F375" s="5">
        <v>0</v>
      </c>
      <c r="G375" s="5">
        <v>63.6</v>
      </c>
      <c r="H375" s="5">
        <v>805</v>
      </c>
      <c r="I375" s="5" t="str">
        <f>HYPERLINK("https://www.ncbi.nlm.nih.gov/protein/WP_067297324.1?report=genbank&amp;log$=prottop&amp;blast_rank=48&amp;RID=7U875CNM013","WP_067297324.1")</f>
        <v>WP_067297324.1</v>
      </c>
      <c r="J375" s="5" t="s">
        <v>1087</v>
      </c>
    </row>
    <row r="376" spans="1:10" s="7" customFormat="1" x14ac:dyDescent="0.2">
      <c r="A376" s="5" t="s">
        <v>2912</v>
      </c>
      <c r="B376" s="5" t="s">
        <v>2913</v>
      </c>
      <c r="C376" s="5">
        <v>1031</v>
      </c>
      <c r="D376" s="5">
        <v>1031</v>
      </c>
      <c r="E376" s="6">
        <v>0.98</v>
      </c>
      <c r="F376" s="5">
        <v>0</v>
      </c>
      <c r="G376" s="5">
        <v>63.6</v>
      </c>
      <c r="H376" s="5">
        <v>805</v>
      </c>
      <c r="I376" s="5" t="str">
        <f>HYPERLINK("https://www.ncbi.nlm.nih.gov/protein/WP_069416639.1?report=genbank&amp;log$=prottop&amp;blast_rank=49&amp;RID=7U875CNM013","WP_069416639.1")</f>
        <v>WP_069416639.1</v>
      </c>
      <c r="J376" s="5" t="s">
        <v>1087</v>
      </c>
    </row>
    <row r="377" spans="1:10" s="7" customFormat="1" x14ac:dyDescent="0.2">
      <c r="A377" s="5" t="s">
        <v>1085</v>
      </c>
      <c r="B377" s="5" t="s">
        <v>1086</v>
      </c>
      <c r="C377" s="5">
        <v>1025</v>
      </c>
      <c r="D377" s="5">
        <v>1025</v>
      </c>
      <c r="E377" s="6">
        <v>0.98</v>
      </c>
      <c r="F377" s="5">
        <v>0</v>
      </c>
      <c r="G377" s="5">
        <v>63.6</v>
      </c>
      <c r="H377" s="5">
        <v>787</v>
      </c>
      <c r="I377" s="5" t="str">
        <f>HYPERLINK("https://www.ncbi.nlm.nih.gov/protein/TMM14712.1?report=genbank&amp;log$=prottop&amp;blast_rank=50&amp;RID=7U875CNM013","TMM14712.1")</f>
        <v>TMM14712.1</v>
      </c>
      <c r="J377" s="5" t="s">
        <v>1087</v>
      </c>
    </row>
    <row r="378" spans="1:10" s="7" customFormat="1" x14ac:dyDescent="0.2">
      <c r="A378" s="5" t="s">
        <v>2914</v>
      </c>
      <c r="B378" s="5" t="s">
        <v>2494</v>
      </c>
      <c r="C378" s="5">
        <v>1038</v>
      </c>
      <c r="D378" s="5">
        <v>1038</v>
      </c>
      <c r="E378" s="6">
        <v>0.99</v>
      </c>
      <c r="F378" s="5">
        <v>0</v>
      </c>
      <c r="G378" s="5">
        <v>63.59</v>
      </c>
      <c r="H378" s="5">
        <v>817</v>
      </c>
      <c r="I378" s="5" t="str">
        <f>HYPERLINK("https://www.ncbi.nlm.nih.gov/protein/WP_097205928.1?report=genbank&amp;log$=prottop&amp;blast_rank=53&amp;RID=7U875CNM013","WP_097205928.1")</f>
        <v>WP_097205928.1</v>
      </c>
      <c r="J378" s="5" t="s">
        <v>1087</v>
      </c>
    </row>
    <row r="379" spans="1:10" s="7" customFormat="1" x14ac:dyDescent="0.2">
      <c r="A379" s="5" t="s">
        <v>2915</v>
      </c>
      <c r="B379" s="5" t="s">
        <v>2916</v>
      </c>
      <c r="C379" s="5">
        <v>1024</v>
      </c>
      <c r="D379" s="5">
        <v>1024</v>
      </c>
      <c r="E379" s="6">
        <v>0.99</v>
      </c>
      <c r="F379" s="5">
        <v>0</v>
      </c>
      <c r="G379" s="5">
        <v>63.59</v>
      </c>
      <c r="H379" s="5">
        <v>789</v>
      </c>
      <c r="I379" s="5" t="str">
        <f>HYPERLINK("https://www.ncbi.nlm.nih.gov/protein/WP_067905829.1?report=genbank&amp;log$=prottop&amp;blast_rank=55&amp;RID=7U875CNM013","WP_067905829.1")</f>
        <v>WP_067905829.1</v>
      </c>
      <c r="J379" s="5" t="s">
        <v>1087</v>
      </c>
    </row>
    <row r="380" spans="1:10" s="7" customFormat="1" x14ac:dyDescent="0.2">
      <c r="A380" s="5" t="s">
        <v>2917</v>
      </c>
      <c r="B380" s="5" t="s">
        <v>2918</v>
      </c>
      <c r="C380" s="5">
        <v>1052</v>
      </c>
      <c r="D380" s="5">
        <v>1052</v>
      </c>
      <c r="E380" s="6">
        <v>0.99</v>
      </c>
      <c r="F380" s="5">
        <v>0</v>
      </c>
      <c r="G380" s="5">
        <v>63.58</v>
      </c>
      <c r="H380" s="5">
        <v>811</v>
      </c>
      <c r="I380" s="5" t="str">
        <f>HYPERLINK("https://www.ncbi.nlm.nih.gov/protein/WP_051218517.1?report=genbank&amp;log$=prottop&amp;blast_rank=59&amp;RID=7U875CNM013","WP_051218517.1")</f>
        <v>WP_051218517.1</v>
      </c>
      <c r="J380" s="5" t="s">
        <v>1087</v>
      </c>
    </row>
    <row r="381" spans="1:10" s="7" customFormat="1" x14ac:dyDescent="0.2">
      <c r="A381" s="5" t="s">
        <v>2919</v>
      </c>
      <c r="B381" s="5" t="s">
        <v>2920</v>
      </c>
      <c r="C381" s="5">
        <v>1023</v>
      </c>
      <c r="D381" s="5">
        <v>1023</v>
      </c>
      <c r="E381" s="6">
        <v>0.98</v>
      </c>
      <c r="F381" s="5">
        <v>0</v>
      </c>
      <c r="G381" s="5">
        <v>63.58</v>
      </c>
      <c r="H381" s="5">
        <v>802</v>
      </c>
      <c r="I381" s="5" t="str">
        <f>HYPERLINK("https://www.ncbi.nlm.nih.gov/protein/WP_167472718.1?report=genbank&amp;log$=prottop&amp;blast_rank=66&amp;RID=7U875CNM013","WP_167472718.1")</f>
        <v>WP_167472718.1</v>
      </c>
      <c r="J381" s="5" t="s">
        <v>1087</v>
      </c>
    </row>
    <row r="382" spans="1:10" s="7" customFormat="1" x14ac:dyDescent="0.2">
      <c r="A382" s="5" t="s">
        <v>1085</v>
      </c>
      <c r="B382" s="5" t="s">
        <v>1086</v>
      </c>
      <c r="C382" s="5">
        <v>1031</v>
      </c>
      <c r="D382" s="5">
        <v>1031</v>
      </c>
      <c r="E382" s="6">
        <v>0.98</v>
      </c>
      <c r="F382" s="5">
        <v>0</v>
      </c>
      <c r="G382" s="5">
        <v>63.57</v>
      </c>
      <c r="H382" s="5">
        <v>784</v>
      </c>
      <c r="I382" s="5" t="str">
        <f>HYPERLINK("https://www.ncbi.nlm.nih.gov/protein/TMM07667.1?report=genbank&amp;log$=prottop&amp;blast_rank=78&amp;RID=7U875CNM013","TMM07667.1")</f>
        <v>TMM07667.1</v>
      </c>
      <c r="J382" s="5" t="s">
        <v>1087</v>
      </c>
    </row>
    <row r="383" spans="1:10" s="7" customFormat="1" x14ac:dyDescent="0.2">
      <c r="A383" s="5" t="s">
        <v>2921</v>
      </c>
      <c r="B383" s="5" t="s">
        <v>2922</v>
      </c>
      <c r="C383" s="5">
        <v>1051</v>
      </c>
      <c r="D383" s="5">
        <v>1051</v>
      </c>
      <c r="E383" s="6">
        <v>0.99</v>
      </c>
      <c r="F383" s="5">
        <v>0</v>
      </c>
      <c r="G383" s="5">
        <v>63.56</v>
      </c>
      <c r="H383" s="5">
        <v>824</v>
      </c>
      <c r="I383" s="5" t="str">
        <f>HYPERLINK("https://www.ncbi.nlm.nih.gov/protein/WP_084180586.1?report=genbank&amp;log$=prottop&amp;blast_rank=84&amp;RID=7U875CNM013","WP_084180586.1")</f>
        <v>WP_084180586.1</v>
      </c>
      <c r="J383" s="5" t="s">
        <v>1087</v>
      </c>
    </row>
    <row r="384" spans="1:10" s="7" customFormat="1" x14ac:dyDescent="0.2">
      <c r="A384" s="5" t="s">
        <v>2923</v>
      </c>
      <c r="B384" s="5" t="s">
        <v>2924</v>
      </c>
      <c r="C384" s="5">
        <v>1040</v>
      </c>
      <c r="D384" s="5">
        <v>1040</v>
      </c>
      <c r="E384" s="6">
        <v>0.98</v>
      </c>
      <c r="F384" s="5">
        <v>0</v>
      </c>
      <c r="G384" s="5">
        <v>63.55</v>
      </c>
      <c r="H384" s="5">
        <v>797</v>
      </c>
      <c r="I384" s="5" t="str">
        <f>HYPERLINK("https://www.ncbi.nlm.nih.gov/protein/WP_204028277.1?report=genbank&amp;log$=prottop&amp;blast_rank=90&amp;RID=7U875CNM013","WP_204028277.1")</f>
        <v>WP_204028277.1</v>
      </c>
      <c r="J384" s="5" t="s">
        <v>1087</v>
      </c>
    </row>
    <row r="385" spans="1:10" s="7" customFormat="1" x14ac:dyDescent="0.2">
      <c r="A385" s="5" t="s">
        <v>2925</v>
      </c>
      <c r="B385" s="5" t="s">
        <v>2926</v>
      </c>
      <c r="C385" s="5">
        <v>1039</v>
      </c>
      <c r="D385" s="5">
        <v>1039</v>
      </c>
      <c r="E385" s="6">
        <v>0.98</v>
      </c>
      <c r="F385" s="5">
        <v>0</v>
      </c>
      <c r="G385" s="5">
        <v>63.55</v>
      </c>
      <c r="H385" s="5">
        <v>797</v>
      </c>
      <c r="I385" s="5" t="str">
        <f>HYPERLINK("https://www.ncbi.nlm.nih.gov/protein/WP_093402903.1?report=genbank&amp;log$=prottop&amp;blast_rank=92&amp;RID=7U875CNM013","WP_093402903.1")</f>
        <v>WP_093402903.1</v>
      </c>
      <c r="J385" s="5" t="s">
        <v>1087</v>
      </c>
    </row>
    <row r="386" spans="1:10" s="7" customFormat="1" x14ac:dyDescent="0.2">
      <c r="A386" s="5" t="s">
        <v>2927</v>
      </c>
      <c r="B386" s="5" t="s">
        <v>2928</v>
      </c>
      <c r="C386" s="5">
        <v>1037</v>
      </c>
      <c r="D386" s="5">
        <v>1037</v>
      </c>
      <c r="E386" s="6">
        <v>0.98</v>
      </c>
      <c r="F386" s="5">
        <v>0</v>
      </c>
      <c r="G386" s="5">
        <v>63.55</v>
      </c>
      <c r="H386" s="5">
        <v>800</v>
      </c>
      <c r="I386" s="5" t="str">
        <f>HYPERLINK("https://www.ncbi.nlm.nih.gov/protein/WP_178063999.1?report=genbank&amp;log$=prottop&amp;blast_rank=93&amp;RID=7U875CNM013","WP_178063999.1")</f>
        <v>WP_178063999.1</v>
      </c>
      <c r="J386" s="5" t="s">
        <v>1087</v>
      </c>
    </row>
    <row r="387" spans="1:10" s="7" customFormat="1" x14ac:dyDescent="0.2">
      <c r="A387" s="5" t="s">
        <v>2929</v>
      </c>
      <c r="B387" s="5" t="s">
        <v>2930</v>
      </c>
      <c r="C387" s="5">
        <v>1037</v>
      </c>
      <c r="D387" s="5">
        <v>1037</v>
      </c>
      <c r="E387" s="6">
        <v>0.98</v>
      </c>
      <c r="F387" s="5">
        <v>0</v>
      </c>
      <c r="G387" s="5">
        <v>63.55</v>
      </c>
      <c r="H387" s="5">
        <v>800</v>
      </c>
      <c r="I387" s="5" t="str">
        <f>HYPERLINK("https://www.ncbi.nlm.nih.gov/protein/WP_130333483.1?report=genbank&amp;log$=prottop&amp;blast_rank=94&amp;RID=7U875CNM013","WP_130333483.1")</f>
        <v>WP_130333483.1</v>
      </c>
      <c r="J387" s="5" t="s">
        <v>1087</v>
      </c>
    </row>
    <row r="388" spans="1:10" s="7" customFormat="1" x14ac:dyDescent="0.2">
      <c r="A388" s="5" t="s">
        <v>2931</v>
      </c>
      <c r="B388" s="5" t="s">
        <v>2932</v>
      </c>
      <c r="C388" s="5">
        <v>1037</v>
      </c>
      <c r="D388" s="5">
        <v>1037</v>
      </c>
      <c r="E388" s="6">
        <v>0.98</v>
      </c>
      <c r="F388" s="5">
        <v>0</v>
      </c>
      <c r="G388" s="5">
        <v>63.55</v>
      </c>
      <c r="H388" s="5">
        <v>798</v>
      </c>
      <c r="I388" s="5" t="str">
        <f>HYPERLINK("https://www.ncbi.nlm.nih.gov/protein/WP_018721691.1?report=genbank&amp;log$=prottop&amp;blast_rank=95&amp;RID=7U875CNM013","WP_018721691.1")</f>
        <v>WP_018721691.1</v>
      </c>
      <c r="J388" s="5" t="s">
        <v>1087</v>
      </c>
    </row>
    <row r="389" spans="1:10" s="7" customFormat="1" x14ac:dyDescent="0.2">
      <c r="A389" s="5" t="s">
        <v>2933</v>
      </c>
      <c r="B389" s="5" t="s">
        <v>2934</v>
      </c>
      <c r="C389" s="5">
        <v>1036</v>
      </c>
      <c r="D389" s="5">
        <v>1036</v>
      </c>
      <c r="E389" s="6">
        <v>0.98</v>
      </c>
      <c r="F389" s="5">
        <v>0</v>
      </c>
      <c r="G389" s="5">
        <v>63.55</v>
      </c>
      <c r="H389" s="5">
        <v>798</v>
      </c>
      <c r="I389" s="5" t="str">
        <f>HYPERLINK("https://www.ncbi.nlm.nih.gov/protein/WP_029723558.1?report=genbank&amp;log$=prottop&amp;blast_rank=96&amp;RID=7U875CNM013","WP_029723558.1")</f>
        <v>WP_029723558.1</v>
      </c>
      <c r="J389" s="5" t="s">
        <v>1087</v>
      </c>
    </row>
    <row r="390" spans="1:10" s="7" customFormat="1" x14ac:dyDescent="0.2">
      <c r="A390" s="5" t="s">
        <v>2782</v>
      </c>
      <c r="B390" s="5" t="s">
        <v>2783</v>
      </c>
      <c r="C390" s="5">
        <v>1033</v>
      </c>
      <c r="D390" s="5">
        <v>1033</v>
      </c>
      <c r="E390" s="6">
        <v>0.98</v>
      </c>
      <c r="F390" s="5">
        <v>0</v>
      </c>
      <c r="G390" s="5">
        <v>63.55</v>
      </c>
      <c r="H390" s="5">
        <v>800</v>
      </c>
      <c r="I390" s="5" t="str">
        <f>HYPERLINK("https://www.ncbi.nlm.nih.gov/protein/WP_020217113.1?report=genbank&amp;log$=prottop&amp;blast_rank=97&amp;RID=7U875CNM013","WP_020217113.1")</f>
        <v>WP_020217113.1</v>
      </c>
      <c r="J390" s="5" t="s">
        <v>1087</v>
      </c>
    </row>
    <row r="391" spans="1:10" s="7" customFormat="1" x14ac:dyDescent="0.2">
      <c r="A391" s="5" t="s">
        <v>2935</v>
      </c>
      <c r="B391" s="5" t="s">
        <v>2936</v>
      </c>
      <c r="C391" s="5">
        <v>1033</v>
      </c>
      <c r="D391" s="5">
        <v>1033</v>
      </c>
      <c r="E391" s="6">
        <v>0.98</v>
      </c>
      <c r="F391" s="5">
        <v>0</v>
      </c>
      <c r="G391" s="5">
        <v>63.55</v>
      </c>
      <c r="H391" s="5">
        <v>800</v>
      </c>
      <c r="I391" s="5" t="str">
        <f>HYPERLINK("https://www.ncbi.nlm.nih.gov/protein/WP_088642215.1?report=genbank&amp;log$=prottop&amp;blast_rank=98&amp;RID=7U875CNM013","WP_088642215.1")</f>
        <v>WP_088642215.1</v>
      </c>
      <c r="J391" s="5" t="s">
        <v>1087</v>
      </c>
    </row>
    <row r="392" spans="1:10" s="7" customFormat="1" x14ac:dyDescent="0.2">
      <c r="A392" s="5" t="s">
        <v>2937</v>
      </c>
      <c r="B392" s="5" t="s">
        <v>2938</v>
      </c>
      <c r="C392" s="5">
        <v>1032</v>
      </c>
      <c r="D392" s="5">
        <v>1032</v>
      </c>
      <c r="E392" s="6">
        <v>0.98</v>
      </c>
      <c r="F392" s="5">
        <v>0</v>
      </c>
      <c r="G392" s="5">
        <v>63.55</v>
      </c>
      <c r="H392" s="5">
        <v>797</v>
      </c>
      <c r="I392" s="5" t="str">
        <f>HYPERLINK("https://www.ncbi.nlm.nih.gov/protein/WP_169599155.1?report=genbank&amp;log$=prottop&amp;blast_rank=99&amp;RID=7U875CNM013","WP_169599155.1")</f>
        <v>WP_169599155.1</v>
      </c>
      <c r="J392" s="5" t="s">
        <v>1087</v>
      </c>
    </row>
    <row r="393" spans="1:10" s="7" customFormat="1" x14ac:dyDescent="0.2">
      <c r="A393" s="5" t="s">
        <v>2939</v>
      </c>
      <c r="B393" s="5" t="s">
        <v>2940</v>
      </c>
      <c r="C393" s="5">
        <v>1029</v>
      </c>
      <c r="D393" s="5">
        <v>1029</v>
      </c>
      <c r="E393" s="6">
        <v>0.98</v>
      </c>
      <c r="F393" s="5">
        <v>0</v>
      </c>
      <c r="G393" s="5">
        <v>63.55</v>
      </c>
      <c r="H393" s="5">
        <v>805</v>
      </c>
      <c r="I393" s="5" t="str">
        <f>HYPERLINK("https://www.ncbi.nlm.nih.gov/protein/WP_037822462.1?report=genbank&amp;log$=prottop&amp;blast_rank=100&amp;RID=7U875CNM013","WP_037822462.1")</f>
        <v>WP_037822462.1</v>
      </c>
      <c r="J393" s="5" t="s">
        <v>1087</v>
      </c>
    </row>
    <row r="394" spans="1:10" s="7" customFormat="1" x14ac:dyDescent="0.2">
      <c r="A394" s="5" t="s">
        <v>2941</v>
      </c>
      <c r="B394" s="5" t="s">
        <v>2942</v>
      </c>
      <c r="C394" s="5">
        <v>1028</v>
      </c>
      <c r="D394" s="5">
        <v>1028</v>
      </c>
      <c r="E394" s="6">
        <v>0.98</v>
      </c>
      <c r="F394" s="5">
        <v>0</v>
      </c>
      <c r="G394" s="5">
        <v>63.55</v>
      </c>
      <c r="H394" s="5">
        <v>800</v>
      </c>
      <c r="I394" s="5" t="str">
        <f>HYPERLINK("https://www.ncbi.nlm.nih.gov/protein/WP_067310067.1?report=genbank&amp;log$=prottop&amp;blast_rank=101&amp;RID=7U875CNM013","WP_067310067.1")</f>
        <v>WP_067310067.1</v>
      </c>
      <c r="J394" s="5" t="s">
        <v>1087</v>
      </c>
    </row>
    <row r="395" spans="1:10" s="7" customFormat="1" x14ac:dyDescent="0.2">
      <c r="A395" s="5" t="s">
        <v>2943</v>
      </c>
      <c r="B395" s="5" t="s">
        <v>2944</v>
      </c>
      <c r="C395" s="5">
        <v>1025</v>
      </c>
      <c r="D395" s="5">
        <v>1025</v>
      </c>
      <c r="E395" s="6">
        <v>0.98</v>
      </c>
      <c r="F395" s="5">
        <v>0</v>
      </c>
      <c r="G395" s="5">
        <v>63.55</v>
      </c>
      <c r="H395" s="5">
        <v>805</v>
      </c>
      <c r="I395" s="5" t="str">
        <f>HYPERLINK("https://www.ncbi.nlm.nih.gov/protein/WP_093772225.1?report=genbank&amp;log$=prottop&amp;blast_rank=102&amp;RID=7U875CNM013","WP_093772225.1")</f>
        <v>WP_093772225.1</v>
      </c>
      <c r="J395" s="5" t="s">
        <v>1087</v>
      </c>
    </row>
    <row r="396" spans="1:10" s="7" customFormat="1" x14ac:dyDescent="0.2">
      <c r="A396" s="5" t="s">
        <v>2945</v>
      </c>
      <c r="B396" s="5" t="s">
        <v>2946</v>
      </c>
      <c r="C396" s="5">
        <v>1040</v>
      </c>
      <c r="D396" s="5">
        <v>1040</v>
      </c>
      <c r="E396" s="6">
        <v>0.99</v>
      </c>
      <c r="F396" s="5">
        <v>0</v>
      </c>
      <c r="G396" s="5">
        <v>63.54</v>
      </c>
      <c r="H396" s="5">
        <v>800</v>
      </c>
      <c r="I396" s="5" t="str">
        <f>HYPERLINK("https://www.ncbi.nlm.nih.gov/protein/WP_180200293.1?report=genbank&amp;log$=prottop&amp;blast_rank=106&amp;RID=7U875CNM013","WP_180200293.1")</f>
        <v>WP_180200293.1</v>
      </c>
      <c r="J396" s="5" t="s">
        <v>1087</v>
      </c>
    </row>
    <row r="397" spans="1:10" s="7" customFormat="1" x14ac:dyDescent="0.2">
      <c r="A397" s="5" t="s">
        <v>2625</v>
      </c>
      <c r="B397" s="5" t="s">
        <v>2626</v>
      </c>
      <c r="C397" s="5">
        <v>1039</v>
      </c>
      <c r="D397" s="5">
        <v>1039</v>
      </c>
      <c r="E397" s="6">
        <v>0.99</v>
      </c>
      <c r="F397" s="5">
        <v>0</v>
      </c>
      <c r="G397" s="5">
        <v>63.54</v>
      </c>
      <c r="H397" s="5">
        <v>800</v>
      </c>
      <c r="I397" s="5" t="str">
        <f>HYPERLINK("https://www.ncbi.nlm.nih.gov/protein/WP_018725426.1?report=genbank&amp;log$=prottop&amp;blast_rank=107&amp;RID=7U875CNM013","WP_018725426.1")</f>
        <v>WP_018725426.1</v>
      </c>
      <c r="J397" s="5" t="s">
        <v>1087</v>
      </c>
    </row>
    <row r="398" spans="1:10" s="7" customFormat="1" x14ac:dyDescent="0.2">
      <c r="A398" s="5" t="s">
        <v>2743</v>
      </c>
      <c r="B398" s="5" t="s">
        <v>2689</v>
      </c>
      <c r="C398" s="5">
        <v>1066</v>
      </c>
      <c r="D398" s="5">
        <v>1066</v>
      </c>
      <c r="E398" s="6">
        <v>0.98</v>
      </c>
      <c r="F398" s="5">
        <v>0</v>
      </c>
      <c r="G398" s="5">
        <v>63.53</v>
      </c>
      <c r="H398" s="5">
        <v>788</v>
      </c>
      <c r="I398" s="5" t="str">
        <f>HYPERLINK("https://www.ncbi.nlm.nih.gov/protein/WP_196867629.1?report=genbank&amp;log$=prottop&amp;blast_rank=133&amp;RID=7U875CNM013","WP_196867629.1")</f>
        <v>WP_196867629.1</v>
      </c>
      <c r="J398" s="5" t="s">
        <v>1087</v>
      </c>
    </row>
    <row r="399" spans="1:10" s="7" customFormat="1" x14ac:dyDescent="0.2">
      <c r="A399" s="5" t="s">
        <v>1236</v>
      </c>
      <c r="B399" s="5" t="s">
        <v>1086</v>
      </c>
      <c r="C399" s="5">
        <v>1048</v>
      </c>
      <c r="D399" s="5">
        <v>1048</v>
      </c>
      <c r="E399" s="6">
        <v>0.98</v>
      </c>
      <c r="F399" s="5">
        <v>0</v>
      </c>
      <c r="G399" s="5">
        <v>63.52</v>
      </c>
      <c r="H399" s="5">
        <v>786</v>
      </c>
      <c r="I399" s="5" t="str">
        <f>HYPERLINK("https://www.ncbi.nlm.nih.gov/protein/MBM2827503.1?report=genbank&amp;log$=prottop&amp;blast_rank=165&amp;RID=7U875CNM013","MBM2827503.1")</f>
        <v>MBM2827503.1</v>
      </c>
      <c r="J399" s="5" t="s">
        <v>1087</v>
      </c>
    </row>
    <row r="400" spans="1:10" s="7" customFormat="1" x14ac:dyDescent="0.2">
      <c r="A400" s="5" t="s">
        <v>2949</v>
      </c>
      <c r="B400" s="5" t="s">
        <v>2950</v>
      </c>
      <c r="C400" s="5">
        <v>1041</v>
      </c>
      <c r="D400" s="5">
        <v>1041</v>
      </c>
      <c r="E400" s="6">
        <v>0.98</v>
      </c>
      <c r="F400" s="5">
        <v>0</v>
      </c>
      <c r="G400" s="5">
        <v>63.52</v>
      </c>
      <c r="H400" s="5">
        <v>785</v>
      </c>
      <c r="I400" s="5" t="str">
        <f>HYPERLINK("https://www.ncbi.nlm.nih.gov/protein/WP_103565163.1?report=genbank&amp;log$=prottop&amp;blast_rank=170&amp;RID=7U875CNM013","WP_103565163.1")</f>
        <v>WP_103565163.1</v>
      </c>
      <c r="J400" s="5" t="s">
        <v>1087</v>
      </c>
    </row>
    <row r="401" spans="1:10" s="7" customFormat="1" x14ac:dyDescent="0.2">
      <c r="A401" s="5" t="s">
        <v>2953</v>
      </c>
      <c r="B401" s="5" t="s">
        <v>2954</v>
      </c>
      <c r="C401" s="5">
        <v>1040</v>
      </c>
      <c r="D401" s="5">
        <v>1040</v>
      </c>
      <c r="E401" s="6">
        <v>0.98</v>
      </c>
      <c r="F401" s="5">
        <v>0</v>
      </c>
      <c r="G401" s="5">
        <v>63.52</v>
      </c>
      <c r="H401" s="5">
        <v>797</v>
      </c>
      <c r="I401" s="5" t="str">
        <f>HYPERLINK("https://www.ncbi.nlm.nih.gov/protein/WP_131307673.1?report=genbank&amp;log$=prottop&amp;blast_rank=172&amp;RID=7U875CNM013","WP_131307673.1")</f>
        <v>WP_131307673.1</v>
      </c>
      <c r="J401" s="5" t="s">
        <v>1087</v>
      </c>
    </row>
    <row r="402" spans="1:10" s="7" customFormat="1" x14ac:dyDescent="0.2">
      <c r="A402" s="5" t="s">
        <v>2955</v>
      </c>
      <c r="B402" s="5" t="s">
        <v>2956</v>
      </c>
      <c r="C402" s="5">
        <v>1035</v>
      </c>
      <c r="D402" s="5">
        <v>1035</v>
      </c>
      <c r="E402" s="6">
        <v>0.98</v>
      </c>
      <c r="F402" s="5">
        <v>0</v>
      </c>
      <c r="G402" s="5">
        <v>63.52</v>
      </c>
      <c r="H402" s="5">
        <v>818</v>
      </c>
      <c r="I402" s="5" t="str">
        <f>HYPERLINK("https://www.ncbi.nlm.nih.gov/protein/BCL16495.1?report=genbank&amp;log$=prottop&amp;blast_rank=173&amp;RID=7U875CNM013","BCL16495.1")</f>
        <v>BCL16495.1</v>
      </c>
      <c r="J402" s="5" t="s">
        <v>1087</v>
      </c>
    </row>
    <row r="403" spans="1:10" s="7" customFormat="1" x14ac:dyDescent="0.2">
      <c r="A403" s="5" t="s">
        <v>2957</v>
      </c>
      <c r="B403" s="5" t="s">
        <v>2956</v>
      </c>
      <c r="C403" s="5">
        <v>1034</v>
      </c>
      <c r="D403" s="5">
        <v>1034</v>
      </c>
      <c r="E403" s="6">
        <v>0.98</v>
      </c>
      <c r="F403" s="5">
        <v>0</v>
      </c>
      <c r="G403" s="5">
        <v>63.52</v>
      </c>
      <c r="H403" s="5">
        <v>803</v>
      </c>
      <c r="I403" s="5" t="str">
        <f>HYPERLINK("https://www.ncbi.nlm.nih.gov/protein/WP_145819168.1?report=genbank&amp;log$=prottop&amp;blast_rank=174&amp;RID=7U875CNM013","WP_145819168.1")</f>
        <v>WP_145819168.1</v>
      </c>
      <c r="J403" s="5" t="s">
        <v>1087</v>
      </c>
    </row>
    <row r="404" spans="1:10" s="7" customFormat="1" x14ac:dyDescent="0.2">
      <c r="A404" s="5" t="s">
        <v>2958</v>
      </c>
      <c r="B404" s="5" t="s">
        <v>2959</v>
      </c>
      <c r="C404" s="5">
        <v>1026</v>
      </c>
      <c r="D404" s="5">
        <v>1026</v>
      </c>
      <c r="E404" s="6">
        <v>0.98</v>
      </c>
      <c r="F404" s="5">
        <v>0</v>
      </c>
      <c r="G404" s="5">
        <v>63.52</v>
      </c>
      <c r="H404" s="5">
        <v>810</v>
      </c>
      <c r="I404" s="5" t="str">
        <f>HYPERLINK("https://www.ncbi.nlm.nih.gov/protein/WP_097195292.1?report=genbank&amp;log$=prottop&amp;blast_rank=175&amp;RID=7U875CNM013","WP_097195292.1")</f>
        <v>WP_097195292.1</v>
      </c>
      <c r="J404" s="5" t="s">
        <v>1087</v>
      </c>
    </row>
    <row r="405" spans="1:10" s="7" customFormat="1" x14ac:dyDescent="0.2">
      <c r="A405" s="5" t="s">
        <v>2960</v>
      </c>
      <c r="B405" s="5" t="s">
        <v>2961</v>
      </c>
      <c r="C405" s="5">
        <v>1047</v>
      </c>
      <c r="D405" s="5">
        <v>1047</v>
      </c>
      <c r="E405" s="6">
        <v>0.98</v>
      </c>
      <c r="F405" s="5">
        <v>0</v>
      </c>
      <c r="G405" s="5">
        <v>63.5</v>
      </c>
      <c r="H405" s="5">
        <v>797</v>
      </c>
      <c r="I405" s="5" t="str">
        <f>HYPERLINK("https://www.ncbi.nlm.nih.gov/protein/WP_117226520.1?report=genbank&amp;log$=prottop&amp;blast_rank=185&amp;RID=7U875CNM013","WP_117226520.1")</f>
        <v>WP_117226520.1</v>
      </c>
      <c r="J405" s="5" t="s">
        <v>1087</v>
      </c>
    </row>
    <row r="406" spans="1:10" s="7" customFormat="1" x14ac:dyDescent="0.2">
      <c r="A406" s="5" t="s">
        <v>2962</v>
      </c>
      <c r="B406" s="5" t="s">
        <v>2963</v>
      </c>
      <c r="C406" s="5">
        <v>1030</v>
      </c>
      <c r="D406" s="5">
        <v>1030</v>
      </c>
      <c r="E406" s="6">
        <v>0.97</v>
      </c>
      <c r="F406" s="5">
        <v>0</v>
      </c>
      <c r="G406" s="5">
        <v>63.5</v>
      </c>
      <c r="H406" s="5">
        <v>785</v>
      </c>
      <c r="I406" s="5" t="str">
        <f>HYPERLINK("https://www.ncbi.nlm.nih.gov/protein/WP_141975866.1?report=genbank&amp;log$=prottop&amp;blast_rank=193&amp;RID=7U875CNM013","WP_141975866.1")</f>
        <v>WP_141975866.1</v>
      </c>
      <c r="J406" s="5" t="s">
        <v>1087</v>
      </c>
    </row>
    <row r="407" spans="1:10" s="7" customFormat="1" x14ac:dyDescent="0.2">
      <c r="A407" s="5" t="s">
        <v>2964</v>
      </c>
      <c r="B407" s="5" t="s">
        <v>2965</v>
      </c>
      <c r="C407" s="5">
        <v>1046</v>
      </c>
      <c r="D407" s="5">
        <v>1046</v>
      </c>
      <c r="E407" s="6">
        <v>0.98</v>
      </c>
      <c r="F407" s="5">
        <v>0</v>
      </c>
      <c r="G407" s="5">
        <v>63.49</v>
      </c>
      <c r="H407" s="5">
        <v>785</v>
      </c>
      <c r="I407" s="5" t="str">
        <f>HYPERLINK("https://www.ncbi.nlm.nih.gov/protein/WP_138638409.1?report=genbank&amp;log$=prottop&amp;blast_rank=209&amp;RID=7U875CNM013","WP_138638409.1")</f>
        <v>WP_138638409.1</v>
      </c>
      <c r="J407" s="5" t="s">
        <v>1087</v>
      </c>
    </row>
    <row r="408" spans="1:10" s="7" customFormat="1" x14ac:dyDescent="0.2">
      <c r="A408" s="5" t="s">
        <v>2648</v>
      </c>
      <c r="B408" s="5" t="s">
        <v>2649</v>
      </c>
      <c r="C408" s="5">
        <v>1038</v>
      </c>
      <c r="D408" s="5">
        <v>1038</v>
      </c>
      <c r="E408" s="6">
        <v>0.99</v>
      </c>
      <c r="F408" s="5">
        <v>0</v>
      </c>
      <c r="G408" s="5">
        <v>63.48</v>
      </c>
      <c r="H408" s="5">
        <v>809</v>
      </c>
      <c r="I408" s="5" t="str">
        <f>HYPERLINK("https://www.ncbi.nlm.nih.gov/protein/WP_128189847.1?report=genbank&amp;log$=prottop&amp;blast_rank=217&amp;RID=7U875CNM013","WP_128189847.1")</f>
        <v>WP_128189847.1</v>
      </c>
      <c r="J408" s="5" t="s">
        <v>1087</v>
      </c>
    </row>
    <row r="409" spans="1:10" s="7" customFormat="1" x14ac:dyDescent="0.2">
      <c r="A409" s="5" t="s">
        <v>2966</v>
      </c>
      <c r="B409" s="5" t="s">
        <v>2967</v>
      </c>
      <c r="C409" s="5">
        <v>1028</v>
      </c>
      <c r="D409" s="5">
        <v>1028</v>
      </c>
      <c r="E409" s="6">
        <v>0.98</v>
      </c>
      <c r="F409" s="5">
        <v>0</v>
      </c>
      <c r="G409" s="5">
        <v>63.47</v>
      </c>
      <c r="H409" s="5">
        <v>805</v>
      </c>
      <c r="I409" s="5" t="str">
        <f>HYPERLINK("https://www.ncbi.nlm.nih.gov/protein/WP_066843880.1?report=genbank&amp;log$=prottop&amp;blast_rank=222&amp;RID=7U875CNM013","WP_066843880.1")</f>
        <v>WP_066843880.1</v>
      </c>
      <c r="J409" s="5" t="s">
        <v>1087</v>
      </c>
    </row>
    <row r="410" spans="1:10" s="7" customFormat="1" x14ac:dyDescent="0.2">
      <c r="A410" s="5" t="s">
        <v>2968</v>
      </c>
      <c r="B410" s="5" t="s">
        <v>2969</v>
      </c>
      <c r="C410" s="5">
        <v>1028</v>
      </c>
      <c r="D410" s="5">
        <v>1028</v>
      </c>
      <c r="E410" s="6">
        <v>0.98</v>
      </c>
      <c r="F410" s="5">
        <v>0</v>
      </c>
      <c r="G410" s="5">
        <v>63.47</v>
      </c>
      <c r="H410" s="5">
        <v>805</v>
      </c>
      <c r="I410" s="5" t="str">
        <f>HYPERLINK("https://www.ncbi.nlm.nih.gov/protein/WP_067083167.1?report=genbank&amp;log$=prottop&amp;blast_rank=223&amp;RID=7U875CNM013","WP_067083167.1")</f>
        <v>WP_067083167.1</v>
      </c>
      <c r="J410" s="5" t="s">
        <v>1087</v>
      </c>
    </row>
    <row r="411" spans="1:10" s="7" customFormat="1" x14ac:dyDescent="0.2">
      <c r="A411" s="5" t="s">
        <v>2970</v>
      </c>
      <c r="B411" s="5" t="s">
        <v>2971</v>
      </c>
      <c r="C411" s="5">
        <v>1032</v>
      </c>
      <c r="D411" s="5">
        <v>1032</v>
      </c>
      <c r="E411" s="6">
        <v>0.99</v>
      </c>
      <c r="F411" s="5">
        <v>0</v>
      </c>
      <c r="G411" s="5">
        <v>63.46</v>
      </c>
      <c r="H411" s="5">
        <v>789</v>
      </c>
      <c r="I411" s="5" t="str">
        <f>HYPERLINK("https://www.ncbi.nlm.nih.gov/protein/WP_116376690.1?report=genbank&amp;log$=prottop&amp;blast_rank=3&amp;RID=7U875CNM013","WP_116376690.1")</f>
        <v>WP_116376690.1</v>
      </c>
      <c r="J411" s="5" t="s">
        <v>1087</v>
      </c>
    </row>
    <row r="412" spans="1:10" s="7" customFormat="1" x14ac:dyDescent="0.2">
      <c r="A412" s="5" t="s">
        <v>2972</v>
      </c>
      <c r="B412" s="5" t="s">
        <v>2973</v>
      </c>
      <c r="C412" s="5">
        <v>1027</v>
      </c>
      <c r="D412" s="5">
        <v>1027</v>
      </c>
      <c r="E412" s="6">
        <v>0.99</v>
      </c>
      <c r="F412" s="5">
        <v>0</v>
      </c>
      <c r="G412" s="5">
        <v>63.46</v>
      </c>
      <c r="H412" s="5">
        <v>789</v>
      </c>
      <c r="I412" s="5" t="str">
        <f>HYPERLINK("https://www.ncbi.nlm.nih.gov/protein/WP_083132100.1?report=genbank&amp;log$=prottop&amp;blast_rank=4&amp;RID=7U875CNM013","WP_083132100.1")</f>
        <v>WP_083132100.1</v>
      </c>
      <c r="J412" s="5" t="s">
        <v>1087</v>
      </c>
    </row>
    <row r="413" spans="1:10" s="7" customFormat="1" x14ac:dyDescent="0.2">
      <c r="A413" s="5" t="s">
        <v>2974</v>
      </c>
      <c r="B413" s="5" t="s">
        <v>2975</v>
      </c>
      <c r="C413" s="5">
        <v>1025</v>
      </c>
      <c r="D413" s="5">
        <v>1025</v>
      </c>
      <c r="E413" s="6">
        <v>0.99</v>
      </c>
      <c r="F413" s="5">
        <v>0</v>
      </c>
      <c r="G413" s="5">
        <v>63.46</v>
      </c>
      <c r="H413" s="5">
        <v>791</v>
      </c>
      <c r="I413" s="5" t="str">
        <f>HYPERLINK("https://www.ncbi.nlm.nih.gov/protein/WP_065016003.1?report=genbank&amp;log$=prottop&amp;blast_rank=5&amp;RID=7U875CNM013","WP_065016003.1")</f>
        <v>WP_065016003.1</v>
      </c>
      <c r="J413" s="5" t="s">
        <v>1087</v>
      </c>
    </row>
    <row r="414" spans="1:10" s="7" customFormat="1" x14ac:dyDescent="0.2">
      <c r="A414" s="5" t="s">
        <v>2976</v>
      </c>
      <c r="B414" s="5" t="s">
        <v>2977</v>
      </c>
      <c r="C414" s="5">
        <v>1045</v>
      </c>
      <c r="D414" s="5">
        <v>1045</v>
      </c>
      <c r="E414" s="6">
        <v>0.97</v>
      </c>
      <c r="F414" s="5">
        <v>0</v>
      </c>
      <c r="G414" s="5">
        <v>63.46</v>
      </c>
      <c r="H414" s="5">
        <v>795</v>
      </c>
      <c r="I414" s="5" t="str">
        <f>HYPERLINK("https://www.ncbi.nlm.nih.gov/protein/WP_056678829.1?report=genbank&amp;log$=prottop&amp;blast_rank=7&amp;RID=7U875CNM013","WP_056678829.1")</f>
        <v>WP_056678829.1</v>
      </c>
      <c r="J414" s="5" t="s">
        <v>1087</v>
      </c>
    </row>
    <row r="415" spans="1:10" s="7" customFormat="1" x14ac:dyDescent="0.2">
      <c r="A415" s="5" t="s">
        <v>2978</v>
      </c>
      <c r="B415" s="5" t="s">
        <v>2979</v>
      </c>
      <c r="C415" s="5">
        <v>1026</v>
      </c>
      <c r="D415" s="5">
        <v>1026</v>
      </c>
      <c r="E415" s="6">
        <v>0.97</v>
      </c>
      <c r="F415" s="5">
        <v>0</v>
      </c>
      <c r="G415" s="5">
        <v>63.45</v>
      </c>
      <c r="H415" s="5">
        <v>806</v>
      </c>
      <c r="I415" s="5" t="str">
        <f>HYPERLINK("https://www.ncbi.nlm.nih.gov/protein/WP_142044558.1?report=genbank&amp;log$=prottop&amp;blast_rank=12&amp;RID=7U875CNM013","WP_142044558.1")</f>
        <v>WP_142044558.1</v>
      </c>
      <c r="J415" s="5" t="s">
        <v>1087</v>
      </c>
    </row>
    <row r="416" spans="1:10" s="7" customFormat="1" x14ac:dyDescent="0.2">
      <c r="A416" s="5" t="s">
        <v>2980</v>
      </c>
      <c r="B416" s="5" t="s">
        <v>2981</v>
      </c>
      <c r="C416" s="5">
        <v>1035</v>
      </c>
      <c r="D416" s="5">
        <v>1035</v>
      </c>
      <c r="E416" s="6">
        <v>0.98</v>
      </c>
      <c r="F416" s="5">
        <v>0</v>
      </c>
      <c r="G416" s="5">
        <v>63.44</v>
      </c>
      <c r="H416" s="5">
        <v>795</v>
      </c>
      <c r="I416" s="5" t="str">
        <f>HYPERLINK("https://www.ncbi.nlm.nih.gov/protein/WP_133983266.1?report=genbank&amp;log$=prottop&amp;blast_rank=17&amp;RID=7U875CNM013","WP_133983266.1")</f>
        <v>WP_133983266.1</v>
      </c>
      <c r="J416" s="5" t="s">
        <v>1087</v>
      </c>
    </row>
    <row r="417" spans="1:10" s="7" customFormat="1" x14ac:dyDescent="0.2">
      <c r="A417" s="5" t="s">
        <v>2982</v>
      </c>
      <c r="B417" s="5" t="s">
        <v>2983</v>
      </c>
      <c r="C417" s="5">
        <v>1053</v>
      </c>
      <c r="D417" s="5">
        <v>1053</v>
      </c>
      <c r="E417" s="6">
        <v>0.99</v>
      </c>
      <c r="F417" s="5">
        <v>0</v>
      </c>
      <c r="G417" s="5">
        <v>63.43</v>
      </c>
      <c r="H417" s="5">
        <v>820</v>
      </c>
      <c r="I417" s="5" t="str">
        <f>HYPERLINK("https://www.ncbi.nlm.nih.gov/protein/WP_129988272.1?report=genbank&amp;log$=prottop&amp;blast_rank=22&amp;RID=7U875CNM013","WP_129988272.1")</f>
        <v>WP_129988272.1</v>
      </c>
      <c r="J417" s="5" t="s">
        <v>1087</v>
      </c>
    </row>
    <row r="418" spans="1:10" s="7" customFormat="1" x14ac:dyDescent="0.2">
      <c r="A418" s="5" t="s">
        <v>2690</v>
      </c>
      <c r="B418" s="5" t="s">
        <v>2691</v>
      </c>
      <c r="C418" s="5">
        <v>1031</v>
      </c>
      <c r="D418" s="5">
        <v>1031</v>
      </c>
      <c r="E418" s="6">
        <v>0.99</v>
      </c>
      <c r="F418" s="5">
        <v>0</v>
      </c>
      <c r="G418" s="5">
        <v>63.43</v>
      </c>
      <c r="H418" s="5">
        <v>790</v>
      </c>
      <c r="I418" s="5" t="str">
        <f>HYPERLINK("https://www.ncbi.nlm.nih.gov/protein/WP_167927347.1?report=genbank&amp;log$=prottop&amp;blast_rank=26&amp;RID=7U875CNM013","WP_167927347.1")</f>
        <v>WP_167927347.1</v>
      </c>
      <c r="J418" s="5" t="s">
        <v>1087</v>
      </c>
    </row>
    <row r="419" spans="1:10" s="7" customFormat="1" x14ac:dyDescent="0.2">
      <c r="A419" s="5" t="s">
        <v>2984</v>
      </c>
      <c r="B419" s="5" t="s">
        <v>2985</v>
      </c>
      <c r="C419" s="5">
        <v>1042</v>
      </c>
      <c r="D419" s="5">
        <v>1042</v>
      </c>
      <c r="E419" s="6">
        <v>0.98</v>
      </c>
      <c r="F419" s="5">
        <v>0</v>
      </c>
      <c r="G419" s="5">
        <v>63.43</v>
      </c>
      <c r="H419" s="5">
        <v>800</v>
      </c>
      <c r="I419" s="5" t="str">
        <f>HYPERLINK("https://www.ncbi.nlm.nih.gov/protein/WP_088970589.1?report=genbank&amp;log$=prottop&amp;blast_rank=28&amp;RID=7U875CNM013","WP_088970589.1")</f>
        <v>WP_088970589.1</v>
      </c>
      <c r="J419" s="5" t="s">
        <v>1087</v>
      </c>
    </row>
    <row r="420" spans="1:10" s="7" customFormat="1" x14ac:dyDescent="0.2">
      <c r="A420" s="5" t="s">
        <v>2986</v>
      </c>
      <c r="B420" s="5" t="s">
        <v>2987</v>
      </c>
      <c r="C420" s="5">
        <v>1038</v>
      </c>
      <c r="D420" s="5">
        <v>1038</v>
      </c>
      <c r="E420" s="6">
        <v>0.98</v>
      </c>
      <c r="F420" s="5">
        <v>0</v>
      </c>
      <c r="G420" s="5">
        <v>63.43</v>
      </c>
      <c r="H420" s="5">
        <v>797</v>
      </c>
      <c r="I420" s="5" t="str">
        <f>HYPERLINK("https://www.ncbi.nlm.nih.gov/protein/WP_099846896.1?report=genbank&amp;log$=prottop&amp;blast_rank=29&amp;RID=7U875CNM013","WP_099846896.1")</f>
        <v>WP_099846896.1</v>
      </c>
      <c r="J420" s="5" t="s">
        <v>1087</v>
      </c>
    </row>
    <row r="421" spans="1:10" s="7" customFormat="1" x14ac:dyDescent="0.2">
      <c r="A421" s="5" t="s">
        <v>2988</v>
      </c>
      <c r="B421" s="5" t="s">
        <v>2928</v>
      </c>
      <c r="C421" s="5">
        <v>1038</v>
      </c>
      <c r="D421" s="5">
        <v>1038</v>
      </c>
      <c r="E421" s="6">
        <v>0.98</v>
      </c>
      <c r="F421" s="5">
        <v>0</v>
      </c>
      <c r="G421" s="5">
        <v>63.43</v>
      </c>
      <c r="H421" s="5">
        <v>800</v>
      </c>
      <c r="I421" s="5" t="str">
        <f>HYPERLINK("https://www.ncbi.nlm.nih.gov/protein/WP_074479163.1?report=genbank&amp;log$=prottop&amp;blast_rank=30&amp;RID=7U875CNM013","WP_074479163.1")</f>
        <v>WP_074479163.1</v>
      </c>
      <c r="J421" s="5" t="s">
        <v>1087</v>
      </c>
    </row>
    <row r="422" spans="1:10" s="7" customFormat="1" x14ac:dyDescent="0.2">
      <c r="A422" s="5" t="s">
        <v>2989</v>
      </c>
      <c r="B422" s="5" t="s">
        <v>2990</v>
      </c>
      <c r="C422" s="5">
        <v>1037</v>
      </c>
      <c r="D422" s="5">
        <v>1037</v>
      </c>
      <c r="E422" s="6">
        <v>0.98</v>
      </c>
      <c r="F422" s="5">
        <v>0</v>
      </c>
      <c r="G422" s="5">
        <v>63.43</v>
      </c>
      <c r="H422" s="5">
        <v>797</v>
      </c>
      <c r="I422" s="5" t="str">
        <f>HYPERLINK("https://www.ncbi.nlm.nih.gov/protein/WP_088946907.1?report=genbank&amp;log$=prottop&amp;blast_rank=31&amp;RID=7U875CNM013","WP_088946907.1")</f>
        <v>WP_088946907.1</v>
      </c>
      <c r="J422" s="5" t="s">
        <v>1087</v>
      </c>
    </row>
    <row r="423" spans="1:10" s="7" customFormat="1" x14ac:dyDescent="0.2">
      <c r="A423" s="5" t="s">
        <v>2991</v>
      </c>
      <c r="B423" s="5" t="s">
        <v>2992</v>
      </c>
      <c r="C423" s="5">
        <v>1037</v>
      </c>
      <c r="D423" s="5">
        <v>1037</v>
      </c>
      <c r="E423" s="6">
        <v>0.98</v>
      </c>
      <c r="F423" s="5">
        <v>0</v>
      </c>
      <c r="G423" s="5">
        <v>63.43</v>
      </c>
      <c r="H423" s="5">
        <v>797</v>
      </c>
      <c r="I423" s="5" t="str">
        <f>HYPERLINK("https://www.ncbi.nlm.nih.gov/protein/WP_099851563.1?report=genbank&amp;log$=prottop&amp;blast_rank=32&amp;RID=7U875CNM013","WP_099851563.1")</f>
        <v>WP_099851563.1</v>
      </c>
      <c r="J423" s="5" t="s">
        <v>1087</v>
      </c>
    </row>
    <row r="424" spans="1:10" s="7" customFormat="1" x14ac:dyDescent="0.2">
      <c r="A424" s="5" t="s">
        <v>2993</v>
      </c>
      <c r="B424" s="5" t="s">
        <v>2994</v>
      </c>
      <c r="C424" s="5">
        <v>1037</v>
      </c>
      <c r="D424" s="5">
        <v>1037</v>
      </c>
      <c r="E424" s="6">
        <v>0.98</v>
      </c>
      <c r="F424" s="5">
        <v>0</v>
      </c>
      <c r="G424" s="5">
        <v>63.43</v>
      </c>
      <c r="H424" s="5">
        <v>800</v>
      </c>
      <c r="I424" s="5" t="str">
        <f>HYPERLINK("https://www.ncbi.nlm.nih.gov/protein/WP_077936894.1?report=genbank&amp;log$=prottop&amp;blast_rank=33&amp;RID=7U875CNM013","WP_077936894.1")</f>
        <v>WP_077936894.1</v>
      </c>
      <c r="J424" s="5" t="s">
        <v>1087</v>
      </c>
    </row>
    <row r="425" spans="1:10" s="7" customFormat="1" x14ac:dyDescent="0.2">
      <c r="A425" s="5" t="s">
        <v>2995</v>
      </c>
      <c r="B425" s="5" t="s">
        <v>2996</v>
      </c>
      <c r="C425" s="5">
        <v>1037</v>
      </c>
      <c r="D425" s="5">
        <v>1037</v>
      </c>
      <c r="E425" s="6">
        <v>0.98</v>
      </c>
      <c r="F425" s="5">
        <v>0</v>
      </c>
      <c r="G425" s="5">
        <v>63.43</v>
      </c>
      <c r="H425" s="5">
        <v>800</v>
      </c>
      <c r="I425" s="5" t="str">
        <f>HYPERLINK("https://www.ncbi.nlm.nih.gov/protein/WP_091286681.1?report=genbank&amp;log$=prottop&amp;blast_rank=34&amp;RID=7U875CNM013","WP_091286681.1")</f>
        <v>WP_091286681.1</v>
      </c>
      <c r="J425" s="5" t="s">
        <v>1087</v>
      </c>
    </row>
    <row r="426" spans="1:10" s="7" customFormat="1" x14ac:dyDescent="0.2">
      <c r="A426" s="5" t="s">
        <v>2997</v>
      </c>
      <c r="B426" s="5" t="s">
        <v>2998</v>
      </c>
      <c r="C426" s="5">
        <v>1030</v>
      </c>
      <c r="D426" s="5">
        <v>1030</v>
      </c>
      <c r="E426" s="6">
        <v>0.98</v>
      </c>
      <c r="F426" s="5">
        <v>0</v>
      </c>
      <c r="G426" s="5">
        <v>63.43</v>
      </c>
      <c r="H426" s="5">
        <v>800</v>
      </c>
      <c r="I426" s="5" t="str">
        <f>HYPERLINK("https://www.ncbi.nlm.nih.gov/protein/WP_204957125.1?report=genbank&amp;log$=prottop&amp;blast_rank=36&amp;RID=7U875CNM013","WP_204957125.1")</f>
        <v>WP_204957125.1</v>
      </c>
      <c r="J426" s="5" t="s">
        <v>1087</v>
      </c>
    </row>
    <row r="427" spans="1:10" s="7" customFormat="1" x14ac:dyDescent="0.2">
      <c r="A427" s="5" t="s">
        <v>2999</v>
      </c>
      <c r="B427" s="5" t="s">
        <v>3000</v>
      </c>
      <c r="C427" s="5">
        <v>1029</v>
      </c>
      <c r="D427" s="5">
        <v>1029</v>
      </c>
      <c r="E427" s="6">
        <v>0.98</v>
      </c>
      <c r="F427" s="5">
        <v>0</v>
      </c>
      <c r="G427" s="5">
        <v>63.43</v>
      </c>
      <c r="H427" s="5">
        <v>800</v>
      </c>
      <c r="I427" s="5" t="str">
        <f>HYPERLINK("https://www.ncbi.nlm.nih.gov/protein/WP_117666802.1?report=genbank&amp;log$=prottop&amp;blast_rank=37&amp;RID=7U875CNM013","WP_117666802.1")</f>
        <v>WP_117666802.1</v>
      </c>
      <c r="J427" s="5" t="s">
        <v>1087</v>
      </c>
    </row>
    <row r="428" spans="1:10" s="7" customFormat="1" x14ac:dyDescent="0.2">
      <c r="A428" s="5" t="s">
        <v>3001</v>
      </c>
      <c r="B428" s="5" t="s">
        <v>3002</v>
      </c>
      <c r="C428" s="5">
        <v>1029</v>
      </c>
      <c r="D428" s="5">
        <v>1029</v>
      </c>
      <c r="E428" s="6">
        <v>0.98</v>
      </c>
      <c r="F428" s="5">
        <v>0</v>
      </c>
      <c r="G428" s="5">
        <v>63.43</v>
      </c>
      <c r="H428" s="5">
        <v>800</v>
      </c>
      <c r="I428" s="5" t="str">
        <f>HYPERLINK("https://www.ncbi.nlm.nih.gov/protein/WP_208569916.1?report=genbank&amp;log$=prottop&amp;blast_rank=38&amp;RID=7U875CNM013","WP_208569916.1")</f>
        <v>WP_208569916.1</v>
      </c>
      <c r="J428" s="5" t="s">
        <v>1087</v>
      </c>
    </row>
    <row r="429" spans="1:10" s="7" customFormat="1" x14ac:dyDescent="0.2">
      <c r="A429" s="5" t="s">
        <v>3003</v>
      </c>
      <c r="B429" s="5" t="s">
        <v>3004</v>
      </c>
      <c r="C429" s="5">
        <v>1028</v>
      </c>
      <c r="D429" s="5">
        <v>1028</v>
      </c>
      <c r="E429" s="6">
        <v>0.98</v>
      </c>
      <c r="F429" s="5">
        <v>0</v>
      </c>
      <c r="G429" s="5">
        <v>63.43</v>
      </c>
      <c r="H429" s="5">
        <v>800</v>
      </c>
      <c r="I429" s="5" t="str">
        <f>HYPERLINK("https://www.ncbi.nlm.nih.gov/protein/WP_148801895.1?report=genbank&amp;log$=prottop&amp;blast_rank=39&amp;RID=7U875CNM013","WP_148801895.1")</f>
        <v>WP_148801895.1</v>
      </c>
      <c r="J429" s="5" t="s">
        <v>1087</v>
      </c>
    </row>
    <row r="430" spans="1:10" s="7" customFormat="1" x14ac:dyDescent="0.2">
      <c r="A430" s="5" t="s">
        <v>3005</v>
      </c>
      <c r="B430" s="5" t="s">
        <v>3006</v>
      </c>
      <c r="C430" s="5">
        <v>1039</v>
      </c>
      <c r="D430" s="5">
        <v>1039</v>
      </c>
      <c r="E430" s="6">
        <v>0.99</v>
      </c>
      <c r="F430" s="5">
        <v>0</v>
      </c>
      <c r="G430" s="5">
        <v>63.42</v>
      </c>
      <c r="H430" s="5">
        <v>798</v>
      </c>
      <c r="I430" s="5" t="str">
        <f>HYPERLINK("https://www.ncbi.nlm.nih.gov/protein/WP_018214699.1?report=genbank&amp;log$=prottop&amp;blast_rank=43&amp;RID=7U875CNM013","WP_018214699.1")</f>
        <v>WP_018214699.1</v>
      </c>
      <c r="J430" s="5" t="s">
        <v>1087</v>
      </c>
    </row>
    <row r="431" spans="1:10" s="7" customFormat="1" x14ac:dyDescent="0.2">
      <c r="A431" s="5" t="s">
        <v>3007</v>
      </c>
      <c r="B431" s="5" t="s">
        <v>3008</v>
      </c>
      <c r="C431" s="5">
        <v>1027</v>
      </c>
      <c r="D431" s="5">
        <v>1027</v>
      </c>
      <c r="E431" s="6">
        <v>0.97</v>
      </c>
      <c r="F431" s="5">
        <v>0</v>
      </c>
      <c r="G431" s="5">
        <v>63.41</v>
      </c>
      <c r="H431" s="5">
        <v>788</v>
      </c>
      <c r="I431" s="5" t="str">
        <f>HYPERLINK("https://www.ncbi.nlm.nih.gov/protein/WP_123741290.1?report=genbank&amp;log$=prottop&amp;blast_rank=48&amp;RID=7U875CNM013","WP_123741290.1")</f>
        <v>WP_123741290.1</v>
      </c>
      <c r="J431" s="5" t="s">
        <v>1087</v>
      </c>
    </row>
    <row r="432" spans="1:10" s="7" customFormat="1" x14ac:dyDescent="0.2">
      <c r="A432" s="5" t="s">
        <v>3009</v>
      </c>
      <c r="B432" s="5" t="s">
        <v>3010</v>
      </c>
      <c r="C432" s="5">
        <v>1027</v>
      </c>
      <c r="D432" s="5">
        <v>1027</v>
      </c>
      <c r="E432" s="6">
        <v>0.98</v>
      </c>
      <c r="F432" s="5">
        <v>0</v>
      </c>
      <c r="G432" s="5">
        <v>63.41</v>
      </c>
      <c r="H432" s="5">
        <v>783</v>
      </c>
      <c r="I432" s="5" t="str">
        <f>HYPERLINK("https://www.ncbi.nlm.nih.gov/protein/WP_112280174.1?report=genbank&amp;log$=prottop&amp;blast_rank=59&amp;RID=7U875CNM013","WP_112280174.1")</f>
        <v>WP_112280174.1</v>
      </c>
      <c r="J432" s="5" t="s">
        <v>1087</v>
      </c>
    </row>
    <row r="433" spans="1:10" s="7" customFormat="1" x14ac:dyDescent="0.2">
      <c r="A433" s="5" t="s">
        <v>3011</v>
      </c>
      <c r="B433" s="5" t="s">
        <v>3012</v>
      </c>
      <c r="C433" s="5">
        <v>1031</v>
      </c>
      <c r="D433" s="5">
        <v>1031</v>
      </c>
      <c r="E433" s="6">
        <v>0.98</v>
      </c>
      <c r="F433" s="5">
        <v>0</v>
      </c>
      <c r="G433" s="5">
        <v>63.39</v>
      </c>
      <c r="H433" s="5">
        <v>789</v>
      </c>
      <c r="I433" s="5" t="str">
        <f>HYPERLINK("https://www.ncbi.nlm.nih.gov/protein/WP_090364523.1?report=genbank&amp;log$=prottop&amp;blast_rank=84&amp;RID=7U875CNM013","WP_090364523.1")</f>
        <v>WP_090364523.1</v>
      </c>
      <c r="J433" s="5" t="s">
        <v>1087</v>
      </c>
    </row>
    <row r="434" spans="1:10" s="7" customFormat="1" x14ac:dyDescent="0.2">
      <c r="A434" s="5" t="s">
        <v>2848</v>
      </c>
      <c r="B434" s="5" t="s">
        <v>2634</v>
      </c>
      <c r="C434" s="5">
        <v>1025</v>
      </c>
      <c r="D434" s="5">
        <v>1025</v>
      </c>
      <c r="E434" s="6">
        <v>0.98</v>
      </c>
      <c r="F434" s="5">
        <v>0</v>
      </c>
      <c r="G434" s="5">
        <v>63.39</v>
      </c>
      <c r="H434" s="5">
        <v>797</v>
      </c>
      <c r="I434" s="5" t="str">
        <f>HYPERLINK("https://www.ncbi.nlm.nih.gov/protein/WP_088979988.1?report=genbank&amp;log$=prottop&amp;blast_rank=85&amp;RID=7U875CNM013","WP_088979988.1")</f>
        <v>WP_088979988.1</v>
      </c>
      <c r="J434" s="5" t="s">
        <v>1087</v>
      </c>
    </row>
    <row r="435" spans="1:10" s="7" customFormat="1" x14ac:dyDescent="0.2">
      <c r="A435" s="5" t="s">
        <v>3013</v>
      </c>
      <c r="B435" s="5" t="s">
        <v>3014</v>
      </c>
      <c r="C435" s="5">
        <v>1031</v>
      </c>
      <c r="D435" s="5">
        <v>1031</v>
      </c>
      <c r="E435" s="6">
        <v>0.98</v>
      </c>
      <c r="F435" s="5">
        <v>0</v>
      </c>
      <c r="G435" s="5">
        <v>63.38</v>
      </c>
      <c r="H435" s="5">
        <v>800</v>
      </c>
      <c r="I435" s="5" t="str">
        <f>HYPERLINK("https://www.ncbi.nlm.nih.gov/protein/WP_091340747.1?report=genbank&amp;log$=prottop&amp;blast_rank=89&amp;RID=7U875CNM013","WP_091340747.1")</f>
        <v>WP_091340747.1</v>
      </c>
      <c r="J435" s="5" t="s">
        <v>1087</v>
      </c>
    </row>
    <row r="436" spans="1:10" s="7" customFormat="1" x14ac:dyDescent="0.2">
      <c r="A436" s="5" t="s">
        <v>3015</v>
      </c>
      <c r="B436" s="5" t="s">
        <v>3016</v>
      </c>
      <c r="C436" s="5">
        <v>1028</v>
      </c>
      <c r="D436" s="5">
        <v>1028</v>
      </c>
      <c r="E436" s="6">
        <v>0.98</v>
      </c>
      <c r="F436" s="5">
        <v>0</v>
      </c>
      <c r="G436" s="5">
        <v>63.37</v>
      </c>
      <c r="H436" s="5">
        <v>800</v>
      </c>
      <c r="I436" s="5" t="str">
        <f>HYPERLINK("https://www.ncbi.nlm.nih.gov/protein/WP_120777899.1?report=genbank&amp;log$=prottop&amp;blast_rank=97&amp;RID=7U875CNM013","WP_120777899.1")</f>
        <v>WP_120777899.1</v>
      </c>
      <c r="J436" s="5" t="s">
        <v>1087</v>
      </c>
    </row>
    <row r="437" spans="1:10" s="7" customFormat="1" x14ac:dyDescent="0.2">
      <c r="A437" s="5" t="s">
        <v>3017</v>
      </c>
      <c r="B437" s="5" t="s">
        <v>3018</v>
      </c>
      <c r="C437" s="5">
        <v>1028</v>
      </c>
      <c r="D437" s="5">
        <v>1028</v>
      </c>
      <c r="E437" s="6">
        <v>0.99</v>
      </c>
      <c r="F437" s="5">
        <v>0</v>
      </c>
      <c r="G437" s="5">
        <v>63.35</v>
      </c>
      <c r="H437" s="5">
        <v>813</v>
      </c>
      <c r="I437" s="5" t="str">
        <f>HYPERLINK("https://www.ncbi.nlm.nih.gov/protein/WP_113796220.1?report=genbank&amp;log$=prottop&amp;blast_rank=117&amp;RID=7U875CNM013","WP_113796220.1")</f>
        <v>WP_113796220.1</v>
      </c>
      <c r="J437" s="5" t="s">
        <v>1087</v>
      </c>
    </row>
    <row r="438" spans="1:10" s="7" customFormat="1" x14ac:dyDescent="0.2">
      <c r="A438" s="5" t="s">
        <v>3019</v>
      </c>
      <c r="B438" s="5" t="s">
        <v>3020</v>
      </c>
      <c r="C438" s="5">
        <v>1027</v>
      </c>
      <c r="D438" s="5">
        <v>1027</v>
      </c>
      <c r="E438" s="6">
        <v>0.99</v>
      </c>
      <c r="F438" s="5">
        <v>0</v>
      </c>
      <c r="G438" s="5">
        <v>63.35</v>
      </c>
      <c r="H438" s="5">
        <v>810</v>
      </c>
      <c r="I438" s="5" t="str">
        <f>HYPERLINK("https://www.ncbi.nlm.nih.gov/protein/WP_134716236.1?report=genbank&amp;log$=prottop&amp;blast_rank=118&amp;RID=7U875CNM013","WP_134716236.1")</f>
        <v>WP_134716236.1</v>
      </c>
      <c r="J438" s="5" t="s">
        <v>1087</v>
      </c>
    </row>
    <row r="439" spans="1:10" s="7" customFormat="1" x14ac:dyDescent="0.2">
      <c r="A439" s="5" t="s">
        <v>3021</v>
      </c>
      <c r="B439" s="5"/>
      <c r="C439" s="5">
        <v>1027</v>
      </c>
      <c r="D439" s="5">
        <v>1027</v>
      </c>
      <c r="E439" s="6">
        <v>0.98</v>
      </c>
      <c r="F439" s="5">
        <v>0</v>
      </c>
      <c r="G439" s="5">
        <v>63.32</v>
      </c>
      <c r="H439" s="5">
        <v>789</v>
      </c>
      <c r="I439" s="5" t="str">
        <f>HYPERLINK("https://www.ncbi.nlm.nih.gov/protein/WP_209916148.1?report=genbank&amp;log$=prottop&amp;blast_rank=128&amp;RID=7U875CNM013","WP_209916148.1")</f>
        <v>WP_209916148.1</v>
      </c>
      <c r="J439" s="5" t="s">
        <v>1087</v>
      </c>
    </row>
    <row r="440" spans="1:10" s="7" customFormat="1" x14ac:dyDescent="0.2">
      <c r="A440" s="5" t="s">
        <v>3022</v>
      </c>
      <c r="B440" s="5" t="s">
        <v>3023</v>
      </c>
      <c r="C440" s="5">
        <v>1024</v>
      </c>
      <c r="D440" s="5">
        <v>1024</v>
      </c>
      <c r="E440" s="6">
        <v>0.97</v>
      </c>
      <c r="F440" s="5">
        <v>0</v>
      </c>
      <c r="G440" s="5">
        <v>63.32</v>
      </c>
      <c r="H440" s="5">
        <v>789</v>
      </c>
      <c r="I440" s="5" t="str">
        <f>HYPERLINK("https://www.ncbi.nlm.nih.gov/protein/WP_096492452.1?report=genbank&amp;log$=prottop&amp;blast_rank=130&amp;RID=7U875CNM013","WP_096492452.1")</f>
        <v>WP_096492452.1</v>
      </c>
      <c r="J440" s="5" t="s">
        <v>1087</v>
      </c>
    </row>
    <row r="441" spans="1:10" s="7" customFormat="1" x14ac:dyDescent="0.2">
      <c r="A441" s="5" t="s">
        <v>3024</v>
      </c>
      <c r="B441" s="5" t="s">
        <v>3025</v>
      </c>
      <c r="C441" s="5">
        <v>1026</v>
      </c>
      <c r="D441" s="5">
        <v>1026</v>
      </c>
      <c r="E441" s="6">
        <v>0.98</v>
      </c>
      <c r="F441" s="5">
        <v>0</v>
      </c>
      <c r="G441" s="5">
        <v>63.31</v>
      </c>
      <c r="H441" s="5">
        <v>808</v>
      </c>
      <c r="I441" s="5" t="str">
        <f>HYPERLINK("https://www.ncbi.nlm.nih.gov/protein/WP_093119040.1?report=genbank&amp;log$=prottop&amp;blast_rank=145&amp;RID=7U875CNM013","WP_093119040.1")</f>
        <v>WP_093119040.1</v>
      </c>
      <c r="J441" s="5" t="s">
        <v>1087</v>
      </c>
    </row>
    <row r="442" spans="1:10" s="7" customFormat="1" x14ac:dyDescent="0.2">
      <c r="A442" s="5" t="s">
        <v>3026</v>
      </c>
      <c r="B442" s="5" t="s">
        <v>3027</v>
      </c>
      <c r="C442" s="5">
        <v>1024</v>
      </c>
      <c r="D442" s="5">
        <v>1024</v>
      </c>
      <c r="E442" s="6">
        <v>0.98</v>
      </c>
      <c r="F442" s="5">
        <v>0</v>
      </c>
      <c r="G442" s="5">
        <v>63.3</v>
      </c>
      <c r="H442" s="5">
        <v>822</v>
      </c>
      <c r="I442" s="5" t="str">
        <f>HYPERLINK("https://www.ncbi.nlm.nih.gov/protein/WP_015307182.1?report=genbank&amp;log$=prottop&amp;blast_rank=149&amp;RID=7U875CNM013","WP_015307182.1")</f>
        <v>WP_015307182.1</v>
      </c>
      <c r="J442" s="5" t="s">
        <v>1087</v>
      </c>
    </row>
    <row r="443" spans="1:10" s="7" customFormat="1" x14ac:dyDescent="0.2">
      <c r="A443" s="5" t="s">
        <v>3028</v>
      </c>
      <c r="B443" s="5" t="s">
        <v>3029</v>
      </c>
      <c r="C443" s="5">
        <v>1044</v>
      </c>
      <c r="D443" s="5">
        <v>1044</v>
      </c>
      <c r="E443" s="6">
        <v>0.98</v>
      </c>
      <c r="F443" s="5">
        <v>0</v>
      </c>
      <c r="G443" s="5">
        <v>63.3</v>
      </c>
      <c r="H443" s="5">
        <v>800</v>
      </c>
      <c r="I443" s="5" t="str">
        <f>HYPERLINK("https://www.ncbi.nlm.nih.gov/protein/WP_148482527.1?report=genbank&amp;log$=prottop&amp;blast_rank=152&amp;RID=7U875CNM013","WP_148482527.1")</f>
        <v>WP_148482527.1</v>
      </c>
      <c r="J443" s="5" t="s">
        <v>1087</v>
      </c>
    </row>
    <row r="444" spans="1:10" s="7" customFormat="1" x14ac:dyDescent="0.2">
      <c r="A444" s="5" t="s">
        <v>3030</v>
      </c>
      <c r="B444" s="5" t="s">
        <v>3031</v>
      </c>
      <c r="C444" s="5">
        <v>1041</v>
      </c>
      <c r="D444" s="5">
        <v>1041</v>
      </c>
      <c r="E444" s="6">
        <v>0.98</v>
      </c>
      <c r="F444" s="5">
        <v>0</v>
      </c>
      <c r="G444" s="5">
        <v>63.3</v>
      </c>
      <c r="H444" s="5">
        <v>802</v>
      </c>
      <c r="I444" s="5" t="str">
        <f>HYPERLINK("https://www.ncbi.nlm.nih.gov/protein/WP_091620052.1?report=genbank&amp;log$=prottop&amp;blast_rank=153&amp;RID=7U875CNM013","WP_091620052.1")</f>
        <v>WP_091620052.1</v>
      </c>
      <c r="J444" s="5" t="s">
        <v>1087</v>
      </c>
    </row>
    <row r="445" spans="1:10" s="7" customFormat="1" x14ac:dyDescent="0.2">
      <c r="A445" s="5" t="s">
        <v>3032</v>
      </c>
      <c r="B445" s="5" t="s">
        <v>3033</v>
      </c>
      <c r="C445" s="5">
        <v>1039</v>
      </c>
      <c r="D445" s="5">
        <v>1039</v>
      </c>
      <c r="E445" s="6">
        <v>0.98</v>
      </c>
      <c r="F445" s="5">
        <v>0</v>
      </c>
      <c r="G445" s="5">
        <v>63.3</v>
      </c>
      <c r="H445" s="5">
        <v>797</v>
      </c>
      <c r="I445" s="5" t="str">
        <f>HYPERLINK("https://www.ncbi.nlm.nih.gov/protein/WP_030336070.1?report=genbank&amp;log$=prottop&amp;blast_rank=154&amp;RID=7U875CNM013","WP_030336070.1")</f>
        <v>WP_030336070.1</v>
      </c>
      <c r="J445" s="5" t="s">
        <v>1087</v>
      </c>
    </row>
    <row r="446" spans="1:10" s="7" customFormat="1" x14ac:dyDescent="0.2">
      <c r="A446" s="5" t="s">
        <v>3034</v>
      </c>
      <c r="B446" s="5" t="s">
        <v>3035</v>
      </c>
      <c r="C446" s="5">
        <v>1037</v>
      </c>
      <c r="D446" s="5">
        <v>1037</v>
      </c>
      <c r="E446" s="6">
        <v>0.98</v>
      </c>
      <c r="F446" s="5">
        <v>0</v>
      </c>
      <c r="G446" s="5">
        <v>63.3</v>
      </c>
      <c r="H446" s="5">
        <v>800</v>
      </c>
      <c r="I446" s="5" t="str">
        <f>HYPERLINK("https://www.ncbi.nlm.nih.gov/protein/WP_088995224.1?report=genbank&amp;log$=prottop&amp;blast_rank=155&amp;RID=7U875CNM013","WP_088995224.1")</f>
        <v>WP_088995224.1</v>
      </c>
      <c r="J446" s="5" t="s">
        <v>1087</v>
      </c>
    </row>
    <row r="447" spans="1:10" s="7" customFormat="1" x14ac:dyDescent="0.2">
      <c r="A447" s="5" t="s">
        <v>3036</v>
      </c>
      <c r="B447" s="5" t="s">
        <v>3037</v>
      </c>
      <c r="C447" s="5">
        <v>1035</v>
      </c>
      <c r="D447" s="5">
        <v>1035</v>
      </c>
      <c r="E447" s="6">
        <v>0.98</v>
      </c>
      <c r="F447" s="5">
        <v>0</v>
      </c>
      <c r="G447" s="5">
        <v>63.3</v>
      </c>
      <c r="H447" s="5">
        <v>797</v>
      </c>
      <c r="I447" s="5" t="str">
        <f>HYPERLINK("https://www.ncbi.nlm.nih.gov/protein/WP_204015212.1?report=genbank&amp;log$=prottop&amp;blast_rank=156&amp;RID=7U875CNM013","WP_204015212.1")</f>
        <v>WP_204015212.1</v>
      </c>
      <c r="J447" s="5" t="s">
        <v>1087</v>
      </c>
    </row>
    <row r="448" spans="1:10" s="7" customFormat="1" x14ac:dyDescent="0.2">
      <c r="A448" s="5" t="s">
        <v>3038</v>
      </c>
      <c r="B448" s="5" t="s">
        <v>3039</v>
      </c>
      <c r="C448" s="5">
        <v>1035</v>
      </c>
      <c r="D448" s="5">
        <v>1035</v>
      </c>
      <c r="E448" s="6">
        <v>0.98</v>
      </c>
      <c r="F448" s="5">
        <v>0</v>
      </c>
      <c r="G448" s="5">
        <v>63.3</v>
      </c>
      <c r="H448" s="5">
        <v>800</v>
      </c>
      <c r="I448" s="5" t="str">
        <f>HYPERLINK("https://www.ncbi.nlm.nih.gov/protein/WP_200215253.1?report=genbank&amp;log$=prottop&amp;blast_rank=157&amp;RID=7U875CNM013","WP_200215253.1")</f>
        <v>WP_200215253.1</v>
      </c>
      <c r="J448" s="5" t="s">
        <v>1087</v>
      </c>
    </row>
    <row r="449" spans="1:10" s="7" customFormat="1" x14ac:dyDescent="0.2">
      <c r="A449" s="5" t="s">
        <v>3040</v>
      </c>
      <c r="B449" s="5" t="s">
        <v>3041</v>
      </c>
      <c r="C449" s="5">
        <v>1035</v>
      </c>
      <c r="D449" s="5">
        <v>1035</v>
      </c>
      <c r="E449" s="6">
        <v>0.98</v>
      </c>
      <c r="F449" s="5">
        <v>0</v>
      </c>
      <c r="G449" s="5">
        <v>63.3</v>
      </c>
      <c r="H449" s="5">
        <v>797</v>
      </c>
      <c r="I449" s="5" t="str">
        <f>HYPERLINK("https://www.ncbi.nlm.nih.gov/protein/MBM0238566.1?report=genbank&amp;log$=prottop&amp;blast_rank=158&amp;RID=7U875CNM013","MBM0238566.1")</f>
        <v>MBM0238566.1</v>
      </c>
      <c r="J449" s="5" t="s">
        <v>1087</v>
      </c>
    </row>
    <row r="450" spans="1:10" s="7" customFormat="1" x14ac:dyDescent="0.2">
      <c r="A450" s="5" t="s">
        <v>3042</v>
      </c>
      <c r="B450" s="5" t="s">
        <v>3043</v>
      </c>
      <c r="C450" s="5">
        <v>1034</v>
      </c>
      <c r="D450" s="5">
        <v>1034</v>
      </c>
      <c r="E450" s="6">
        <v>0.98</v>
      </c>
      <c r="F450" s="5">
        <v>0</v>
      </c>
      <c r="G450" s="5">
        <v>63.3</v>
      </c>
      <c r="H450" s="5">
        <v>797</v>
      </c>
      <c r="I450" s="5" t="str">
        <f>HYPERLINK("https://www.ncbi.nlm.nih.gov/protein/WP_141908417.1?report=genbank&amp;log$=prottop&amp;blast_rank=160&amp;RID=7U875CNM013","WP_141908417.1")</f>
        <v>WP_141908417.1</v>
      </c>
      <c r="J450" s="5" t="s">
        <v>1087</v>
      </c>
    </row>
    <row r="451" spans="1:10" s="7" customFormat="1" x14ac:dyDescent="0.2">
      <c r="A451" s="5" t="s">
        <v>3044</v>
      </c>
      <c r="B451" s="5" t="s">
        <v>3045</v>
      </c>
      <c r="C451" s="5">
        <v>1033</v>
      </c>
      <c r="D451" s="5">
        <v>1033</v>
      </c>
      <c r="E451" s="6">
        <v>0.98</v>
      </c>
      <c r="F451" s="5">
        <v>0</v>
      </c>
      <c r="G451" s="5">
        <v>63.3</v>
      </c>
      <c r="H451" s="5">
        <v>797</v>
      </c>
      <c r="I451" s="5" t="str">
        <f>HYPERLINK("https://www.ncbi.nlm.nih.gov/protein/WP_124822850.1?report=genbank&amp;log$=prottop&amp;blast_rank=161&amp;RID=7U875CNM013","WP_124822850.1")</f>
        <v>WP_124822850.1</v>
      </c>
      <c r="J451" s="5" t="s">
        <v>1087</v>
      </c>
    </row>
    <row r="452" spans="1:10" s="7" customFormat="1" x14ac:dyDescent="0.2">
      <c r="A452" s="5" t="s">
        <v>3046</v>
      </c>
      <c r="B452" s="5" t="s">
        <v>3047</v>
      </c>
      <c r="C452" s="5">
        <v>1033</v>
      </c>
      <c r="D452" s="5">
        <v>1033</v>
      </c>
      <c r="E452" s="6">
        <v>0.98</v>
      </c>
      <c r="F452" s="5">
        <v>0</v>
      </c>
      <c r="G452" s="5">
        <v>63.3</v>
      </c>
      <c r="H452" s="5">
        <v>806</v>
      </c>
      <c r="I452" s="5" t="str">
        <f>HYPERLINK("https://www.ncbi.nlm.nih.gov/protein/WP_161692313.1?report=genbank&amp;log$=prottop&amp;blast_rank=162&amp;RID=7U875CNM013","WP_161692313.1")</f>
        <v>WP_161692313.1</v>
      </c>
      <c r="J452" s="5" t="s">
        <v>1087</v>
      </c>
    </row>
    <row r="453" spans="1:10" s="7" customFormat="1" x14ac:dyDescent="0.2">
      <c r="A453" s="5" t="s">
        <v>3048</v>
      </c>
      <c r="B453" s="5" t="s">
        <v>3049</v>
      </c>
      <c r="C453" s="5">
        <v>1032</v>
      </c>
      <c r="D453" s="5">
        <v>1032</v>
      </c>
      <c r="E453" s="6">
        <v>0.98</v>
      </c>
      <c r="F453" s="5">
        <v>0</v>
      </c>
      <c r="G453" s="5">
        <v>63.3</v>
      </c>
      <c r="H453" s="5">
        <v>800</v>
      </c>
      <c r="I453" s="5" t="str">
        <f>HYPERLINK("https://www.ncbi.nlm.nih.gov/protein/WP_018830470.1?report=genbank&amp;log$=prottop&amp;blast_rank=163&amp;RID=7U875CNM013","WP_018830470.1")</f>
        <v>WP_018830470.1</v>
      </c>
      <c r="J453" s="5" t="s">
        <v>1087</v>
      </c>
    </row>
    <row r="454" spans="1:10" s="7" customFormat="1" x14ac:dyDescent="0.2">
      <c r="A454" s="5" t="s">
        <v>3048</v>
      </c>
      <c r="B454" s="5" t="s">
        <v>3049</v>
      </c>
      <c r="C454" s="5">
        <v>1032</v>
      </c>
      <c r="D454" s="5">
        <v>1032</v>
      </c>
      <c r="E454" s="6">
        <v>0.98</v>
      </c>
      <c r="F454" s="5">
        <v>0</v>
      </c>
      <c r="G454" s="5">
        <v>63.3</v>
      </c>
      <c r="H454" s="5">
        <v>800</v>
      </c>
      <c r="I454" s="5" t="str">
        <f>HYPERLINK("https://www.ncbi.nlm.nih.gov/protein/WP_028569811.1?report=genbank&amp;log$=prottop&amp;blast_rank=164&amp;RID=7U875CNM013","WP_028569811.1")</f>
        <v>WP_028569811.1</v>
      </c>
      <c r="J454" s="5" t="s">
        <v>1087</v>
      </c>
    </row>
    <row r="455" spans="1:10" s="7" customFormat="1" x14ac:dyDescent="0.2">
      <c r="A455" s="5" t="s">
        <v>3048</v>
      </c>
      <c r="B455" s="5" t="s">
        <v>3049</v>
      </c>
      <c r="C455" s="5">
        <v>1032</v>
      </c>
      <c r="D455" s="5">
        <v>1032</v>
      </c>
      <c r="E455" s="6">
        <v>0.98</v>
      </c>
      <c r="F455" s="5">
        <v>0</v>
      </c>
      <c r="G455" s="5">
        <v>63.3</v>
      </c>
      <c r="H455" s="5">
        <v>800</v>
      </c>
      <c r="I455" s="5" t="str">
        <f>HYPERLINK("https://www.ncbi.nlm.nih.gov/protein/WP_011905480.1?report=genbank&amp;log$=prottop&amp;blast_rank=165&amp;RID=7U875CNM013","WP_011905480.1")</f>
        <v>WP_011905480.1</v>
      </c>
      <c r="J455" s="5" t="s">
        <v>1087</v>
      </c>
    </row>
    <row r="456" spans="1:10" s="7" customFormat="1" x14ac:dyDescent="0.2">
      <c r="A456" s="5" t="s">
        <v>3050</v>
      </c>
      <c r="B456" s="5" t="s">
        <v>3051</v>
      </c>
      <c r="C456" s="5">
        <v>1031</v>
      </c>
      <c r="D456" s="5">
        <v>1031</v>
      </c>
      <c r="E456" s="6">
        <v>0.98</v>
      </c>
      <c r="F456" s="5">
        <v>0</v>
      </c>
      <c r="G456" s="5">
        <v>63.3</v>
      </c>
      <c r="H456" s="5">
        <v>800</v>
      </c>
      <c r="I456" s="5" t="str">
        <f>HYPERLINK("https://www.ncbi.nlm.nih.gov/protein/WP_132400818.1?report=genbank&amp;log$=prottop&amp;blast_rank=166&amp;RID=7U875CNM013","WP_132400818.1")</f>
        <v>WP_132400818.1</v>
      </c>
      <c r="J456" s="5" t="s">
        <v>1087</v>
      </c>
    </row>
    <row r="457" spans="1:10" s="7" customFormat="1" x14ac:dyDescent="0.2">
      <c r="A457" s="5" t="s">
        <v>3052</v>
      </c>
      <c r="B457" s="5" t="s">
        <v>3053</v>
      </c>
      <c r="C457" s="5">
        <v>1026</v>
      </c>
      <c r="D457" s="5">
        <v>1026</v>
      </c>
      <c r="E457" s="6">
        <v>0.98</v>
      </c>
      <c r="F457" s="5">
        <v>0</v>
      </c>
      <c r="G457" s="5">
        <v>63.3</v>
      </c>
      <c r="H457" s="5">
        <v>799</v>
      </c>
      <c r="I457" s="5" t="str">
        <f>HYPERLINK("https://www.ncbi.nlm.nih.gov/protein/WP_194823118.1?report=genbank&amp;log$=prottop&amp;blast_rank=167&amp;RID=7U875CNM013","WP_194823118.1")</f>
        <v>WP_194823118.1</v>
      </c>
      <c r="J457" s="5" t="s">
        <v>1087</v>
      </c>
    </row>
    <row r="458" spans="1:10" s="7" customFormat="1" x14ac:dyDescent="0.2">
      <c r="A458" s="5" t="s">
        <v>3054</v>
      </c>
      <c r="B458" s="5" t="s">
        <v>3055</v>
      </c>
      <c r="C458" s="5">
        <v>1026</v>
      </c>
      <c r="D458" s="5">
        <v>1026</v>
      </c>
      <c r="E458" s="6">
        <v>0.98</v>
      </c>
      <c r="F458" s="5">
        <v>0</v>
      </c>
      <c r="G458" s="5">
        <v>63.3</v>
      </c>
      <c r="H458" s="5">
        <v>801</v>
      </c>
      <c r="I458" s="5" t="str">
        <f>HYPERLINK("https://www.ncbi.nlm.nih.gov/protein/WP_145775775.1?report=genbank&amp;log$=prottop&amp;blast_rank=168&amp;RID=7U875CNM013","WP_145775775.1")</f>
        <v>WP_145775775.1</v>
      </c>
      <c r="J458" s="5" t="s">
        <v>1087</v>
      </c>
    </row>
    <row r="459" spans="1:10" s="7" customFormat="1" x14ac:dyDescent="0.2">
      <c r="A459" s="5" t="s">
        <v>3056</v>
      </c>
      <c r="B459" s="5" t="s">
        <v>3057</v>
      </c>
      <c r="C459" s="5">
        <v>1025</v>
      </c>
      <c r="D459" s="5">
        <v>1025</v>
      </c>
      <c r="E459" s="6">
        <v>0.98</v>
      </c>
      <c r="F459" s="5">
        <v>0</v>
      </c>
      <c r="G459" s="5">
        <v>63.3</v>
      </c>
      <c r="H459" s="5">
        <v>800</v>
      </c>
      <c r="I459" s="5" t="str">
        <f>HYPERLINK("https://www.ncbi.nlm.nih.gov/protein/WP_204924058.1?report=genbank&amp;log$=prottop&amp;blast_rank=169&amp;RID=7U875CNM013","WP_204924058.1")</f>
        <v>WP_204924058.1</v>
      </c>
      <c r="J459" s="5" t="s">
        <v>1087</v>
      </c>
    </row>
    <row r="460" spans="1:10" s="7" customFormat="1" x14ac:dyDescent="0.2">
      <c r="A460" s="5" t="s">
        <v>3058</v>
      </c>
      <c r="B460" s="5" t="s">
        <v>3059</v>
      </c>
      <c r="C460" s="5">
        <v>1064</v>
      </c>
      <c r="D460" s="5">
        <v>1064</v>
      </c>
      <c r="E460" s="6">
        <v>0.97</v>
      </c>
      <c r="F460" s="5">
        <v>0</v>
      </c>
      <c r="G460" s="5">
        <v>63.27</v>
      </c>
      <c r="H460" s="5">
        <v>794</v>
      </c>
      <c r="I460" s="5" t="str">
        <f>HYPERLINK("https://www.ncbi.nlm.nih.gov/protein/PKQ29235.1?report=genbank&amp;log$=prottop&amp;blast_rank=192&amp;RID=7U875CNM013","PKQ29235.1")</f>
        <v>PKQ29235.1</v>
      </c>
      <c r="J460" s="5" t="s">
        <v>1087</v>
      </c>
    </row>
    <row r="461" spans="1:10" s="7" customFormat="1" x14ac:dyDescent="0.2">
      <c r="A461" s="5" t="s">
        <v>3060</v>
      </c>
      <c r="B461" s="5" t="s">
        <v>3061</v>
      </c>
      <c r="C461" s="5">
        <v>1045</v>
      </c>
      <c r="D461" s="5">
        <v>1045</v>
      </c>
      <c r="E461" s="6">
        <v>0.97</v>
      </c>
      <c r="F461" s="5">
        <v>0</v>
      </c>
      <c r="G461" s="5">
        <v>63.27</v>
      </c>
      <c r="H461" s="5">
        <v>786</v>
      </c>
      <c r="I461" s="5" t="str">
        <f>HYPERLINK("https://www.ncbi.nlm.nih.gov/protein/WP_021594614.1?report=genbank&amp;log$=prottop&amp;blast_rank=193&amp;RID=7U875CNM013","WP_021594614.1")</f>
        <v>WP_021594614.1</v>
      </c>
      <c r="J461" s="5" t="s">
        <v>1087</v>
      </c>
    </row>
    <row r="462" spans="1:10" s="7" customFormat="1" x14ac:dyDescent="0.2">
      <c r="A462" s="5" t="s">
        <v>3062</v>
      </c>
      <c r="B462" s="5" t="s">
        <v>3063</v>
      </c>
      <c r="C462" s="5">
        <v>1032</v>
      </c>
      <c r="D462" s="5">
        <v>1032</v>
      </c>
      <c r="E462" s="6">
        <v>0.97</v>
      </c>
      <c r="F462" s="5">
        <v>0</v>
      </c>
      <c r="G462" s="5">
        <v>63.27</v>
      </c>
      <c r="H462" s="5">
        <v>782</v>
      </c>
      <c r="I462" s="5" t="str">
        <f>HYPERLINK("https://www.ncbi.nlm.nih.gov/protein/WP_067598822.1?report=genbank&amp;log$=prottop&amp;blast_rank=195&amp;RID=7U875CNM013","WP_067598822.1")</f>
        <v>WP_067598822.1</v>
      </c>
      <c r="J462" s="5" t="s">
        <v>1087</v>
      </c>
    </row>
    <row r="463" spans="1:10" s="7" customFormat="1" x14ac:dyDescent="0.2">
      <c r="A463" s="5" t="s">
        <v>3066</v>
      </c>
      <c r="B463" s="5" t="s">
        <v>3067</v>
      </c>
      <c r="C463" s="5">
        <v>1041</v>
      </c>
      <c r="D463" s="5">
        <v>1041</v>
      </c>
      <c r="E463" s="6">
        <v>0.98</v>
      </c>
      <c r="F463" s="5">
        <v>0</v>
      </c>
      <c r="G463" s="5">
        <v>63.27</v>
      </c>
      <c r="H463" s="5">
        <v>796</v>
      </c>
      <c r="I463" s="5" t="str">
        <f>HYPERLINK("https://www.ncbi.nlm.nih.gov/protein/WP_111218255.1?report=genbank&amp;log$=prottop&amp;blast_rank=214&amp;RID=7U875CNM013","WP_111218255.1")</f>
        <v>WP_111218255.1</v>
      </c>
      <c r="J463" s="5" t="s">
        <v>1087</v>
      </c>
    </row>
    <row r="464" spans="1:10" s="7" customFormat="1" x14ac:dyDescent="0.2">
      <c r="A464" s="5" t="s">
        <v>3068</v>
      </c>
      <c r="B464" s="5" t="s">
        <v>3069</v>
      </c>
      <c r="C464" s="5">
        <v>1035</v>
      </c>
      <c r="D464" s="5">
        <v>1035</v>
      </c>
      <c r="E464" s="6">
        <v>0.98</v>
      </c>
      <c r="F464" s="5">
        <v>0</v>
      </c>
      <c r="G464" s="5">
        <v>63.27</v>
      </c>
      <c r="H464" s="5">
        <v>797</v>
      </c>
      <c r="I464" s="5" t="str">
        <f>HYPERLINK("https://www.ncbi.nlm.nih.gov/protein/WP_091435801.1?report=genbank&amp;log$=prottop&amp;blast_rank=218&amp;RID=7U875CNM013","WP_091435801.1")</f>
        <v>WP_091435801.1</v>
      </c>
      <c r="J464" s="5" t="s">
        <v>1087</v>
      </c>
    </row>
    <row r="465" spans="1:10" s="7" customFormat="1" x14ac:dyDescent="0.2">
      <c r="A465" s="5" t="s">
        <v>3070</v>
      </c>
      <c r="B465" s="5" t="s">
        <v>3071</v>
      </c>
      <c r="C465" s="5">
        <v>1035</v>
      </c>
      <c r="D465" s="5">
        <v>1035</v>
      </c>
      <c r="E465" s="6">
        <v>0.98</v>
      </c>
      <c r="F465" s="5">
        <v>0</v>
      </c>
      <c r="G465" s="5">
        <v>63.25</v>
      </c>
      <c r="H465" s="5">
        <v>781</v>
      </c>
      <c r="I465" s="5" t="str">
        <f>HYPERLINK("https://www.ncbi.nlm.nih.gov/protein/WP_151014292.1?report=genbank&amp;log$=prottop&amp;blast_rank=2&amp;RID=7U875CNM013","WP_151014292.1")</f>
        <v>WP_151014292.1</v>
      </c>
      <c r="J465" s="5" t="s">
        <v>1087</v>
      </c>
    </row>
    <row r="466" spans="1:10" s="7" customFormat="1" x14ac:dyDescent="0.2">
      <c r="A466" s="5" t="s">
        <v>3072</v>
      </c>
      <c r="B466" s="5" t="s">
        <v>3073</v>
      </c>
      <c r="C466" s="5">
        <v>1036</v>
      </c>
      <c r="D466" s="5">
        <v>1036</v>
      </c>
      <c r="E466" s="6">
        <v>0.98</v>
      </c>
      <c r="F466" s="5">
        <v>0</v>
      </c>
      <c r="G466" s="5">
        <v>63.23</v>
      </c>
      <c r="H466" s="5">
        <v>801</v>
      </c>
      <c r="I466" s="5" t="str">
        <f>HYPERLINK("https://www.ncbi.nlm.nih.gov/protein/WP_112237802.1?report=genbank&amp;log$=prottop&amp;blast_rank=24&amp;RID=7U875CNM013","WP_112237802.1")</f>
        <v>WP_112237802.1</v>
      </c>
      <c r="J466" s="5" t="s">
        <v>1087</v>
      </c>
    </row>
    <row r="467" spans="1:10" s="7" customFormat="1" x14ac:dyDescent="0.2">
      <c r="A467" s="5" t="s">
        <v>3074</v>
      </c>
      <c r="B467" s="5" t="s">
        <v>3075</v>
      </c>
      <c r="C467" s="5">
        <v>1029</v>
      </c>
      <c r="D467" s="5">
        <v>1029</v>
      </c>
      <c r="E467" s="6">
        <v>0.99</v>
      </c>
      <c r="F467" s="5">
        <v>0</v>
      </c>
      <c r="G467" s="5">
        <v>63.22</v>
      </c>
      <c r="H467" s="5">
        <v>795</v>
      </c>
      <c r="I467" s="5" t="str">
        <f>HYPERLINK("https://www.ncbi.nlm.nih.gov/protein/WP_090602329.1?report=genbank&amp;log$=prottop&amp;blast_rank=26&amp;RID=7U875CNM013","WP_090602329.1")</f>
        <v>WP_090602329.1</v>
      </c>
      <c r="J467" s="5" t="s">
        <v>1087</v>
      </c>
    </row>
    <row r="468" spans="1:10" s="7" customFormat="1" x14ac:dyDescent="0.2">
      <c r="A468" s="5" t="s">
        <v>3076</v>
      </c>
      <c r="B468" s="5" t="s">
        <v>3077</v>
      </c>
      <c r="C468" s="5">
        <v>1048</v>
      </c>
      <c r="D468" s="5">
        <v>1048</v>
      </c>
      <c r="E468" s="6">
        <v>0.98</v>
      </c>
      <c r="F468" s="5">
        <v>0</v>
      </c>
      <c r="G468" s="5">
        <v>63.22</v>
      </c>
      <c r="H468" s="5">
        <v>796</v>
      </c>
      <c r="I468" s="5" t="str">
        <f>HYPERLINK("https://www.ncbi.nlm.nih.gov/protein/WP_188893251.1?report=genbank&amp;log$=prottop&amp;blast_rank=30&amp;RID=7U875CNM013","WP_188893251.1")</f>
        <v>WP_188893251.1</v>
      </c>
      <c r="J468" s="5" t="s">
        <v>1087</v>
      </c>
    </row>
    <row r="469" spans="1:10" s="7" customFormat="1" x14ac:dyDescent="0.2">
      <c r="A469" s="5" t="s">
        <v>2365</v>
      </c>
      <c r="B469" s="5" t="s">
        <v>2366</v>
      </c>
      <c r="C469" s="5">
        <v>1032</v>
      </c>
      <c r="D469" s="5">
        <v>1032</v>
      </c>
      <c r="E469" s="6">
        <v>0.99</v>
      </c>
      <c r="F469" s="5">
        <v>0</v>
      </c>
      <c r="G469" s="5">
        <v>63.21</v>
      </c>
      <c r="H469" s="5">
        <v>789</v>
      </c>
      <c r="I469" s="5" t="str">
        <f>HYPERLINK("https://www.ncbi.nlm.nih.gov/protein/WP_131499089.1?report=genbank&amp;log$=prottop&amp;blast_rank=35&amp;RID=7U875CNM013","WP_131499089.1")</f>
        <v>WP_131499089.1</v>
      </c>
      <c r="J469" s="5" t="s">
        <v>1087</v>
      </c>
    </row>
    <row r="470" spans="1:10" s="7" customFormat="1" x14ac:dyDescent="0.2">
      <c r="A470" s="5" t="s">
        <v>2365</v>
      </c>
      <c r="B470" s="5" t="s">
        <v>2366</v>
      </c>
      <c r="C470" s="5">
        <v>1032</v>
      </c>
      <c r="D470" s="5">
        <v>1032</v>
      </c>
      <c r="E470" s="6">
        <v>0.99</v>
      </c>
      <c r="F470" s="5">
        <v>0</v>
      </c>
      <c r="G470" s="5">
        <v>63.21</v>
      </c>
      <c r="H470" s="5">
        <v>789</v>
      </c>
      <c r="I470" s="5" t="str">
        <f>HYPERLINK("https://www.ncbi.nlm.nih.gov/protein/WP_131461750.1?report=genbank&amp;log$=prottop&amp;blast_rank=36&amp;RID=7U875CNM013","WP_131461750.1")</f>
        <v>WP_131461750.1</v>
      </c>
      <c r="J470" s="5" t="s">
        <v>1087</v>
      </c>
    </row>
    <row r="471" spans="1:10" s="7" customFormat="1" x14ac:dyDescent="0.2">
      <c r="A471" s="5" t="s">
        <v>3078</v>
      </c>
      <c r="B471" s="5" t="s">
        <v>3079</v>
      </c>
      <c r="C471" s="5">
        <v>1051</v>
      </c>
      <c r="D471" s="5">
        <v>1051</v>
      </c>
      <c r="E471" s="6">
        <v>0.98</v>
      </c>
      <c r="F471" s="5">
        <v>0</v>
      </c>
      <c r="G471" s="5">
        <v>63.2</v>
      </c>
      <c r="H471" s="5">
        <v>787</v>
      </c>
      <c r="I471" s="5" t="str">
        <f>HYPERLINK("https://www.ncbi.nlm.nih.gov/protein/KYH45489.1?report=genbank&amp;log$=prottop&amp;blast_rank=45&amp;RID=7U875CNM013","KYH45489.1")</f>
        <v>KYH45489.1</v>
      </c>
      <c r="J471" s="5" t="s">
        <v>1087</v>
      </c>
    </row>
    <row r="472" spans="1:10" s="7" customFormat="1" x14ac:dyDescent="0.2">
      <c r="A472" s="5" t="s">
        <v>3080</v>
      </c>
      <c r="B472" s="5" t="s">
        <v>3081</v>
      </c>
      <c r="C472" s="5">
        <v>1028</v>
      </c>
      <c r="D472" s="5">
        <v>1028</v>
      </c>
      <c r="E472" s="6">
        <v>0.98</v>
      </c>
      <c r="F472" s="5">
        <v>0</v>
      </c>
      <c r="G472" s="5">
        <v>63.18</v>
      </c>
      <c r="H472" s="5">
        <v>805</v>
      </c>
      <c r="I472" s="5" t="str">
        <f>HYPERLINK("https://www.ncbi.nlm.nih.gov/protein/WP_172273323.1?report=genbank&amp;log$=prottop&amp;blast_rank=65&amp;RID=7U875CNM013","WP_172273323.1")</f>
        <v>WP_172273323.1</v>
      </c>
      <c r="J472" s="5" t="s">
        <v>1087</v>
      </c>
    </row>
    <row r="473" spans="1:10" s="7" customFormat="1" x14ac:dyDescent="0.2">
      <c r="A473" s="5" t="s">
        <v>3082</v>
      </c>
      <c r="B473" s="5" t="s">
        <v>3083</v>
      </c>
      <c r="C473" s="5">
        <v>1026</v>
      </c>
      <c r="D473" s="5">
        <v>1026</v>
      </c>
      <c r="E473" s="6">
        <v>0.97</v>
      </c>
      <c r="F473" s="5">
        <v>0</v>
      </c>
      <c r="G473" s="5">
        <v>63.18</v>
      </c>
      <c r="H473" s="5">
        <v>777</v>
      </c>
      <c r="I473" s="5" t="str">
        <f>HYPERLINK("https://www.ncbi.nlm.nih.gov/protein/NUS62966.1?report=genbank&amp;log$=prottop&amp;blast_rank=67&amp;RID=7U875CNM013","NUS62966.1")</f>
        <v>NUS62966.1</v>
      </c>
      <c r="J473" s="5" t="s">
        <v>1087</v>
      </c>
    </row>
    <row r="474" spans="1:10" s="7" customFormat="1" x14ac:dyDescent="0.2">
      <c r="A474" s="5" t="s">
        <v>3084</v>
      </c>
      <c r="B474" s="5" t="s">
        <v>3085</v>
      </c>
      <c r="C474" s="5">
        <v>1044</v>
      </c>
      <c r="D474" s="5">
        <v>1044</v>
      </c>
      <c r="E474" s="6">
        <v>0.98</v>
      </c>
      <c r="F474" s="5">
        <v>0</v>
      </c>
      <c r="G474" s="5">
        <v>63.17</v>
      </c>
      <c r="H474" s="5">
        <v>800</v>
      </c>
      <c r="I474" s="5" t="str">
        <f>HYPERLINK("https://www.ncbi.nlm.nih.gov/protein/WP_120684026.1?report=genbank&amp;log$=prottop&amp;blast_rank=72&amp;RID=7U875CNM013","WP_120684026.1")</f>
        <v>WP_120684026.1</v>
      </c>
      <c r="J474" s="5" t="s">
        <v>1087</v>
      </c>
    </row>
    <row r="475" spans="1:10" s="7" customFormat="1" x14ac:dyDescent="0.2">
      <c r="A475" s="5" t="s">
        <v>3086</v>
      </c>
      <c r="B475" s="5" t="s">
        <v>3087</v>
      </c>
      <c r="C475" s="5">
        <v>1042</v>
      </c>
      <c r="D475" s="5">
        <v>1042</v>
      </c>
      <c r="E475" s="6">
        <v>0.98</v>
      </c>
      <c r="F475" s="5">
        <v>0</v>
      </c>
      <c r="G475" s="5">
        <v>63.17</v>
      </c>
      <c r="H475" s="5">
        <v>800</v>
      </c>
      <c r="I475" s="5" t="str">
        <f>HYPERLINK("https://www.ncbi.nlm.nih.gov/protein/WP_120329434.1?report=genbank&amp;log$=prottop&amp;blast_rank=74&amp;RID=7U875CNM013","WP_120329434.1")</f>
        <v>WP_120329434.1</v>
      </c>
      <c r="J475" s="5" t="s">
        <v>1087</v>
      </c>
    </row>
    <row r="476" spans="1:10" s="7" customFormat="1" x14ac:dyDescent="0.2">
      <c r="A476" s="5" t="s">
        <v>3088</v>
      </c>
      <c r="B476" s="5" t="s">
        <v>3089</v>
      </c>
      <c r="C476" s="5">
        <v>1033</v>
      </c>
      <c r="D476" s="5">
        <v>1033</v>
      </c>
      <c r="E476" s="6">
        <v>0.98</v>
      </c>
      <c r="F476" s="5">
        <v>0</v>
      </c>
      <c r="G476" s="5">
        <v>63.17</v>
      </c>
      <c r="H476" s="5">
        <v>799</v>
      </c>
      <c r="I476" s="5" t="str">
        <f>HYPERLINK("https://www.ncbi.nlm.nih.gov/protein/WP_120732931.1?report=genbank&amp;log$=prottop&amp;blast_rank=75&amp;RID=7U875CNM013","WP_120732931.1")</f>
        <v>WP_120732931.1</v>
      </c>
      <c r="J476" s="5" t="s">
        <v>1087</v>
      </c>
    </row>
    <row r="477" spans="1:10" s="7" customFormat="1" x14ac:dyDescent="0.2">
      <c r="A477" s="5" t="s">
        <v>3090</v>
      </c>
      <c r="B477" s="5" t="s">
        <v>3091</v>
      </c>
      <c r="C477" s="5">
        <v>1028</v>
      </c>
      <c r="D477" s="5">
        <v>1028</v>
      </c>
      <c r="E477" s="6">
        <v>0.98</v>
      </c>
      <c r="F477" s="5">
        <v>0</v>
      </c>
      <c r="G477" s="5">
        <v>63.17</v>
      </c>
      <c r="H477" s="5">
        <v>800</v>
      </c>
      <c r="I477" s="5" t="str">
        <f>HYPERLINK("https://www.ncbi.nlm.nih.gov/protein/WP_091463074.1?report=genbank&amp;log$=prottop&amp;blast_rank=76&amp;RID=7U875CNM013","WP_091463074.1")</f>
        <v>WP_091463074.1</v>
      </c>
      <c r="J477" s="5" t="s">
        <v>1087</v>
      </c>
    </row>
    <row r="478" spans="1:10" s="7" customFormat="1" x14ac:dyDescent="0.2">
      <c r="A478" s="5" t="s">
        <v>3092</v>
      </c>
      <c r="B478" s="5" t="s">
        <v>3093</v>
      </c>
      <c r="C478" s="5">
        <v>1025</v>
      </c>
      <c r="D478" s="5">
        <v>1025</v>
      </c>
      <c r="E478" s="6">
        <v>0.98</v>
      </c>
      <c r="F478" s="5">
        <v>0</v>
      </c>
      <c r="G478" s="5">
        <v>63.17</v>
      </c>
      <c r="H478" s="5">
        <v>800</v>
      </c>
      <c r="I478" s="5" t="str">
        <f>HYPERLINK("https://www.ncbi.nlm.nih.gov/protein/WP_073836367.1?report=genbank&amp;log$=prottop&amp;blast_rank=77&amp;RID=7U875CNM013","WP_073836367.1")</f>
        <v>WP_073836367.1</v>
      </c>
      <c r="J478" s="5" t="s">
        <v>1087</v>
      </c>
    </row>
    <row r="479" spans="1:10" s="7" customFormat="1" x14ac:dyDescent="0.2">
      <c r="A479" s="5" t="s">
        <v>3094</v>
      </c>
      <c r="B479" s="5" t="s">
        <v>3095</v>
      </c>
      <c r="C479" s="5">
        <v>1023</v>
      </c>
      <c r="D479" s="5">
        <v>1023</v>
      </c>
      <c r="E479" s="6">
        <v>0.98</v>
      </c>
      <c r="F479" s="5">
        <v>0</v>
      </c>
      <c r="G479" s="5">
        <v>63.17</v>
      </c>
      <c r="H479" s="5">
        <v>799</v>
      </c>
      <c r="I479" s="5" t="str">
        <f>HYPERLINK("https://www.ncbi.nlm.nih.gov/protein/WP_145918588.1?report=genbank&amp;log$=prottop&amp;blast_rank=78&amp;RID=7U875CNM013","WP_145918588.1")</f>
        <v>WP_145918588.1</v>
      </c>
      <c r="J479" s="5" t="s">
        <v>1087</v>
      </c>
    </row>
    <row r="480" spans="1:10" s="7" customFormat="1" x14ac:dyDescent="0.2">
      <c r="A480" s="5" t="s">
        <v>1085</v>
      </c>
      <c r="B480" s="5" t="s">
        <v>1086</v>
      </c>
      <c r="C480" s="5">
        <v>1030</v>
      </c>
      <c r="D480" s="5">
        <v>1030</v>
      </c>
      <c r="E480" s="6">
        <v>0.97</v>
      </c>
      <c r="F480" s="5">
        <v>0</v>
      </c>
      <c r="G480" s="5">
        <v>63.16</v>
      </c>
      <c r="H480" s="5">
        <v>817</v>
      </c>
      <c r="I480" s="5" t="str">
        <f>HYPERLINK("https://www.ncbi.nlm.nih.gov/protein/NLE23718.1?report=genbank&amp;log$=prottop&amp;blast_rank=83&amp;RID=7U875CNM013","NLE23718.1")</f>
        <v>NLE23718.1</v>
      </c>
      <c r="J480" s="5" t="s">
        <v>1087</v>
      </c>
    </row>
    <row r="481" spans="1:10" s="7" customFormat="1" x14ac:dyDescent="0.2">
      <c r="A481" s="5" t="s">
        <v>3096</v>
      </c>
      <c r="B481" s="5" t="s">
        <v>3097</v>
      </c>
      <c r="C481" s="5">
        <v>1035</v>
      </c>
      <c r="D481" s="5">
        <v>1035</v>
      </c>
      <c r="E481" s="6">
        <v>0.97</v>
      </c>
      <c r="F481" s="5">
        <v>0</v>
      </c>
      <c r="G481" s="5">
        <v>63.16</v>
      </c>
      <c r="H481" s="5">
        <v>789</v>
      </c>
      <c r="I481" s="5" t="str">
        <f>HYPERLINK("https://www.ncbi.nlm.nih.gov/protein/WP_106614284.1?report=genbank&amp;log$=prottop&amp;blast_rank=85&amp;RID=7U875CNM013","WP_106614284.1")</f>
        <v>WP_106614284.1</v>
      </c>
      <c r="J481" s="5" t="s">
        <v>1087</v>
      </c>
    </row>
    <row r="482" spans="1:10" s="7" customFormat="1" x14ac:dyDescent="0.2">
      <c r="A482" s="5" t="s">
        <v>3098</v>
      </c>
      <c r="B482" s="5" t="s">
        <v>3012</v>
      </c>
      <c r="C482" s="5">
        <v>1030</v>
      </c>
      <c r="D482" s="5">
        <v>1030</v>
      </c>
      <c r="E482" s="6">
        <v>0.98</v>
      </c>
      <c r="F482" s="5">
        <v>0</v>
      </c>
      <c r="G482" s="5">
        <v>63.15</v>
      </c>
      <c r="H482" s="5">
        <v>788</v>
      </c>
      <c r="I482" s="5" t="str">
        <f>HYPERLINK("https://www.ncbi.nlm.nih.gov/protein/WP_187095271.1?report=genbank&amp;log$=prottop&amp;blast_rank=93&amp;RID=7U875CNM013","WP_187095271.1")</f>
        <v>WP_187095271.1</v>
      </c>
      <c r="J482" s="5" t="s">
        <v>1087</v>
      </c>
    </row>
    <row r="483" spans="1:10" s="7" customFormat="1" x14ac:dyDescent="0.2">
      <c r="A483" s="5" t="s">
        <v>3099</v>
      </c>
      <c r="B483" s="5" t="s">
        <v>2913</v>
      </c>
      <c r="C483" s="5">
        <v>1036</v>
      </c>
      <c r="D483" s="5">
        <v>1036</v>
      </c>
      <c r="E483" s="6">
        <v>0.99</v>
      </c>
      <c r="F483" s="5">
        <v>0</v>
      </c>
      <c r="G483" s="5">
        <v>63.14</v>
      </c>
      <c r="H483" s="5">
        <v>810</v>
      </c>
      <c r="I483" s="5" t="str">
        <f>HYPERLINK("https://www.ncbi.nlm.nih.gov/protein/VEG41624.1?report=genbank&amp;log$=prottop&amp;blast_rank=99&amp;RID=7U875CNM013","VEG41624.1")</f>
        <v>VEG41624.1</v>
      </c>
      <c r="J483" s="5" t="s">
        <v>1087</v>
      </c>
    </row>
    <row r="484" spans="1:10" s="7" customFormat="1" x14ac:dyDescent="0.2">
      <c r="A484" s="5" t="s">
        <v>3100</v>
      </c>
      <c r="B484" s="5" t="s">
        <v>3045</v>
      </c>
      <c r="C484" s="5">
        <v>1035</v>
      </c>
      <c r="D484" s="5">
        <v>1035</v>
      </c>
      <c r="E484" s="6">
        <v>0.98</v>
      </c>
      <c r="F484" s="5">
        <v>0</v>
      </c>
      <c r="G484" s="5">
        <v>63.14</v>
      </c>
      <c r="H484" s="5">
        <v>798</v>
      </c>
      <c r="I484" s="5" t="str">
        <f>HYPERLINK("https://www.ncbi.nlm.nih.gov/protein/MBG6067069.1?report=genbank&amp;log$=prottop&amp;blast_rank=117&amp;RID=7U875CNM013","MBG6067069.1")</f>
        <v>MBG6067069.1</v>
      </c>
      <c r="J484" s="5" t="s">
        <v>1087</v>
      </c>
    </row>
    <row r="485" spans="1:10" s="7" customFormat="1" x14ac:dyDescent="0.2">
      <c r="A485" s="5" t="s">
        <v>3101</v>
      </c>
      <c r="B485" s="5" t="s">
        <v>3045</v>
      </c>
      <c r="C485" s="5">
        <v>1035</v>
      </c>
      <c r="D485" s="5">
        <v>1035</v>
      </c>
      <c r="E485" s="6">
        <v>0.98</v>
      </c>
      <c r="F485" s="5">
        <v>0</v>
      </c>
      <c r="G485" s="5">
        <v>63.14</v>
      </c>
      <c r="H485" s="5">
        <v>797</v>
      </c>
      <c r="I485" s="5" t="str">
        <f>HYPERLINK("https://www.ncbi.nlm.nih.gov/protein/WP_196930234.1?report=genbank&amp;log$=prottop&amp;blast_rank=118&amp;RID=7U875CNM013","WP_196930234.1")</f>
        <v>WP_196930234.1</v>
      </c>
      <c r="J485" s="5" t="s">
        <v>1087</v>
      </c>
    </row>
    <row r="486" spans="1:10" s="7" customFormat="1" x14ac:dyDescent="0.2">
      <c r="A486" s="5" t="s">
        <v>3102</v>
      </c>
      <c r="B486" s="5" t="s">
        <v>3103</v>
      </c>
      <c r="C486" s="5">
        <v>1030</v>
      </c>
      <c r="D486" s="5">
        <v>1030</v>
      </c>
      <c r="E486" s="6">
        <v>0.98</v>
      </c>
      <c r="F486" s="5">
        <v>0</v>
      </c>
      <c r="G486" s="5">
        <v>63.14</v>
      </c>
      <c r="H486" s="5">
        <v>789</v>
      </c>
      <c r="I486" s="5" t="str">
        <f>HYPERLINK("https://www.ncbi.nlm.nih.gov/protein/WP_141996124.1?report=genbank&amp;log$=prottop&amp;blast_rank=121&amp;RID=7U875CNM013","WP_141996124.1")</f>
        <v>WP_141996124.1</v>
      </c>
      <c r="J486" s="5" t="s">
        <v>1087</v>
      </c>
    </row>
    <row r="487" spans="1:10" s="7" customFormat="1" x14ac:dyDescent="0.2">
      <c r="A487" s="5" t="s">
        <v>1085</v>
      </c>
      <c r="B487" s="5" t="s">
        <v>1086</v>
      </c>
      <c r="C487" s="5">
        <v>1052</v>
      </c>
      <c r="D487" s="5">
        <v>1052</v>
      </c>
      <c r="E487" s="6">
        <v>0.98</v>
      </c>
      <c r="F487" s="5">
        <v>0</v>
      </c>
      <c r="G487" s="5">
        <v>63.12</v>
      </c>
      <c r="H487" s="5">
        <v>792</v>
      </c>
      <c r="I487" s="5" t="str">
        <f>HYPERLINK("https://www.ncbi.nlm.nih.gov/protein/TMK69927.1?report=genbank&amp;log$=prottop&amp;blast_rank=134&amp;RID=7U875CNM013","TMK69927.1")</f>
        <v>TMK69927.1</v>
      </c>
      <c r="J487" s="5" t="s">
        <v>1087</v>
      </c>
    </row>
    <row r="488" spans="1:10" s="7" customFormat="1" x14ac:dyDescent="0.2">
      <c r="A488" s="5" t="s">
        <v>3104</v>
      </c>
      <c r="B488" s="5" t="s">
        <v>2836</v>
      </c>
      <c r="C488" s="5">
        <v>1034</v>
      </c>
      <c r="D488" s="5">
        <v>1034</v>
      </c>
      <c r="E488" s="6">
        <v>0.99</v>
      </c>
      <c r="F488" s="5">
        <v>0</v>
      </c>
      <c r="G488" s="5">
        <v>63.1</v>
      </c>
      <c r="H488" s="5">
        <v>795</v>
      </c>
      <c r="I488" s="5" t="str">
        <f>HYPERLINK("https://www.ncbi.nlm.nih.gov/protein/WP_096287817.1?report=genbank&amp;log$=prottop&amp;blast_rank=164&amp;RID=7U875CNM013","WP_096287817.1")</f>
        <v>WP_096287817.1</v>
      </c>
      <c r="J488" s="5" t="s">
        <v>1087</v>
      </c>
    </row>
    <row r="489" spans="1:10" s="7" customFormat="1" x14ac:dyDescent="0.2">
      <c r="A489" s="5" t="s">
        <v>3105</v>
      </c>
      <c r="B489" s="5" t="s">
        <v>3106</v>
      </c>
      <c r="C489" s="5">
        <v>1029</v>
      </c>
      <c r="D489" s="5">
        <v>1029</v>
      </c>
      <c r="E489" s="6">
        <v>0.99</v>
      </c>
      <c r="F489" s="5">
        <v>0</v>
      </c>
      <c r="G489" s="5">
        <v>63.1</v>
      </c>
      <c r="H489" s="5">
        <v>792</v>
      </c>
      <c r="I489" s="5" t="str">
        <f>HYPERLINK("https://www.ncbi.nlm.nih.gov/protein/WP_108923545.1?report=genbank&amp;log$=prottop&amp;blast_rank=166&amp;RID=7U875CNM013","WP_108923545.1")</f>
        <v>WP_108923545.1</v>
      </c>
      <c r="J489" s="5" t="s">
        <v>1087</v>
      </c>
    </row>
    <row r="490" spans="1:10" s="7" customFormat="1" x14ac:dyDescent="0.2">
      <c r="A490" s="5" t="s">
        <v>3107</v>
      </c>
      <c r="B490" s="5" t="s">
        <v>2944</v>
      </c>
      <c r="C490" s="5">
        <v>1028</v>
      </c>
      <c r="D490" s="5">
        <v>1028</v>
      </c>
      <c r="E490" s="6">
        <v>0.99</v>
      </c>
      <c r="F490" s="5">
        <v>0</v>
      </c>
      <c r="G490" s="5">
        <v>63.1</v>
      </c>
      <c r="H490" s="5">
        <v>813</v>
      </c>
      <c r="I490" s="5" t="str">
        <f>HYPERLINK("https://www.ncbi.nlm.nih.gov/protein/SCY17168.1?report=genbank&amp;log$=prottop&amp;blast_rank=167&amp;RID=7U875CNM013","SCY17168.1")</f>
        <v>SCY17168.1</v>
      </c>
      <c r="J490" s="5" t="s">
        <v>1087</v>
      </c>
    </row>
    <row r="491" spans="1:10" s="7" customFormat="1" x14ac:dyDescent="0.2">
      <c r="A491" s="5" t="s">
        <v>3108</v>
      </c>
      <c r="B491" s="5" t="s">
        <v>3109</v>
      </c>
      <c r="C491" s="5">
        <v>1029</v>
      </c>
      <c r="D491" s="5">
        <v>1029</v>
      </c>
      <c r="E491" s="6">
        <v>0.98</v>
      </c>
      <c r="F491" s="5">
        <v>0</v>
      </c>
      <c r="G491" s="5">
        <v>63.09</v>
      </c>
      <c r="H491" s="5">
        <v>806</v>
      </c>
      <c r="I491" s="5" t="str">
        <f>HYPERLINK("https://www.ncbi.nlm.nih.gov/protein/WP_059160586.1?report=genbank&amp;log$=prottop&amp;blast_rank=6&amp;RID=7U875CNM013","WP_059160586.1")</f>
        <v>WP_059160586.1</v>
      </c>
      <c r="J491" s="5" t="s">
        <v>1087</v>
      </c>
    </row>
    <row r="492" spans="1:10" s="7" customFormat="1" x14ac:dyDescent="0.2">
      <c r="A492" s="5" t="s">
        <v>2595</v>
      </c>
      <c r="B492" s="5" t="s">
        <v>2596</v>
      </c>
      <c r="C492" s="5">
        <v>1027</v>
      </c>
      <c r="D492" s="5">
        <v>1027</v>
      </c>
      <c r="E492" s="6">
        <v>0.98</v>
      </c>
      <c r="F492" s="5">
        <v>0</v>
      </c>
      <c r="G492" s="5">
        <v>63.07</v>
      </c>
      <c r="H492" s="5">
        <v>810</v>
      </c>
      <c r="I492" s="5" t="str">
        <f>HYPERLINK("https://www.ncbi.nlm.nih.gov/protein/WP_171586584.1?report=genbank&amp;log$=prottop&amp;blast_rank=20&amp;RID=7U875CNM013","WP_171586584.1")</f>
        <v>WP_171586584.1</v>
      </c>
      <c r="J492" s="5" t="s">
        <v>1087</v>
      </c>
    </row>
    <row r="493" spans="1:10" s="7" customFormat="1" x14ac:dyDescent="0.2">
      <c r="A493" s="5" t="s">
        <v>3110</v>
      </c>
      <c r="B493" s="5" t="s">
        <v>3111</v>
      </c>
      <c r="C493" s="5">
        <v>1037</v>
      </c>
      <c r="D493" s="5">
        <v>1037</v>
      </c>
      <c r="E493" s="6">
        <v>0.98</v>
      </c>
      <c r="F493" s="5">
        <v>0</v>
      </c>
      <c r="G493" s="5">
        <v>63.06</v>
      </c>
      <c r="H493" s="5">
        <v>794</v>
      </c>
      <c r="I493" s="5" t="str">
        <f>HYPERLINK("https://www.ncbi.nlm.nih.gov/protein/MBO0811319.1?report=genbank&amp;log$=prottop&amp;blast_rank=36&amp;RID=7U875CNM013","MBO0811319.1")</f>
        <v>MBO0811319.1</v>
      </c>
      <c r="J493" s="5" t="s">
        <v>1087</v>
      </c>
    </row>
    <row r="494" spans="1:10" s="7" customFormat="1" x14ac:dyDescent="0.2">
      <c r="A494" s="5" t="s">
        <v>3112</v>
      </c>
      <c r="B494" s="5" t="s">
        <v>3113</v>
      </c>
      <c r="C494" s="5">
        <v>1032</v>
      </c>
      <c r="D494" s="5">
        <v>1032</v>
      </c>
      <c r="E494" s="6">
        <v>0.99</v>
      </c>
      <c r="F494" s="5">
        <v>0</v>
      </c>
      <c r="G494" s="5">
        <v>63.05</v>
      </c>
      <c r="H494" s="5">
        <v>787</v>
      </c>
      <c r="I494" s="5" t="str">
        <f>HYPERLINK("https://www.ncbi.nlm.nih.gov/protein/WP_203924508.1?report=genbank&amp;log$=prottop&amp;blast_rank=41&amp;RID=7U875CNM013","WP_203924508.1")</f>
        <v>WP_203924508.1</v>
      </c>
      <c r="J494" s="5" t="s">
        <v>1087</v>
      </c>
    </row>
    <row r="495" spans="1:10" s="7" customFormat="1" x14ac:dyDescent="0.2">
      <c r="A495" s="5" t="s">
        <v>3114</v>
      </c>
      <c r="B495" s="5" t="s">
        <v>3115</v>
      </c>
      <c r="C495" s="5">
        <v>1041</v>
      </c>
      <c r="D495" s="5">
        <v>1041</v>
      </c>
      <c r="E495" s="6">
        <v>0.98</v>
      </c>
      <c r="F495" s="5">
        <v>0</v>
      </c>
      <c r="G495" s="5">
        <v>63.04</v>
      </c>
      <c r="H495" s="5">
        <v>797</v>
      </c>
      <c r="I495" s="5" t="str">
        <f>HYPERLINK("https://www.ncbi.nlm.nih.gov/protein/WP_167945265.1?report=genbank&amp;log$=prottop&amp;blast_rank=44&amp;RID=7U875CNM013","WP_167945265.1")</f>
        <v>WP_167945265.1</v>
      </c>
      <c r="J495" s="5" t="s">
        <v>1087</v>
      </c>
    </row>
    <row r="496" spans="1:10" s="7" customFormat="1" x14ac:dyDescent="0.2">
      <c r="A496" s="5" t="s">
        <v>3116</v>
      </c>
      <c r="B496" s="5" t="s">
        <v>3117</v>
      </c>
      <c r="C496" s="5">
        <v>1035</v>
      </c>
      <c r="D496" s="5">
        <v>1035</v>
      </c>
      <c r="E496" s="6">
        <v>0.98</v>
      </c>
      <c r="F496" s="5">
        <v>0</v>
      </c>
      <c r="G496" s="5">
        <v>63.04</v>
      </c>
      <c r="H496" s="5">
        <v>800</v>
      </c>
      <c r="I496" s="5" t="str">
        <f>HYPERLINK("https://www.ncbi.nlm.nih.gov/protein/WP_167187110.1?report=genbank&amp;log$=prottop&amp;blast_rank=46&amp;RID=7U875CNM013","WP_167187110.1")</f>
        <v>WP_167187110.1</v>
      </c>
      <c r="J496" s="5" t="s">
        <v>1087</v>
      </c>
    </row>
    <row r="497" spans="1:10" s="7" customFormat="1" x14ac:dyDescent="0.2">
      <c r="A497" s="5" t="s">
        <v>3118</v>
      </c>
      <c r="B497" s="5" t="s">
        <v>3119</v>
      </c>
      <c r="C497" s="5">
        <v>1032</v>
      </c>
      <c r="D497" s="5">
        <v>1032</v>
      </c>
      <c r="E497" s="6">
        <v>0.98</v>
      </c>
      <c r="F497" s="5">
        <v>0</v>
      </c>
      <c r="G497" s="5">
        <v>63.04</v>
      </c>
      <c r="H497" s="5">
        <v>800</v>
      </c>
      <c r="I497" s="5" t="str">
        <f>HYPERLINK("https://www.ncbi.nlm.nih.gov/protein/WP_124811743.1?report=genbank&amp;log$=prottop&amp;blast_rank=48&amp;RID=7U875CNM013","WP_124811743.1")</f>
        <v>WP_124811743.1</v>
      </c>
      <c r="J497" s="5" t="s">
        <v>1087</v>
      </c>
    </row>
    <row r="498" spans="1:10" s="7" customFormat="1" x14ac:dyDescent="0.2">
      <c r="A498" s="5" t="s">
        <v>3120</v>
      </c>
      <c r="B498" s="5" t="s">
        <v>3121</v>
      </c>
      <c r="C498" s="5">
        <v>1032</v>
      </c>
      <c r="D498" s="5">
        <v>1032</v>
      </c>
      <c r="E498" s="6">
        <v>0.98</v>
      </c>
      <c r="F498" s="5">
        <v>0</v>
      </c>
      <c r="G498" s="5">
        <v>63.04</v>
      </c>
      <c r="H498" s="5">
        <v>797</v>
      </c>
      <c r="I498" s="5" t="str">
        <f>HYPERLINK("https://www.ncbi.nlm.nih.gov/protein/WP_179782800.1?report=genbank&amp;log$=prottop&amp;blast_rank=49&amp;RID=7U875CNM013","WP_179782800.1")</f>
        <v>WP_179782800.1</v>
      </c>
      <c r="J498" s="5" t="s">
        <v>1087</v>
      </c>
    </row>
    <row r="499" spans="1:10" s="7" customFormat="1" x14ac:dyDescent="0.2">
      <c r="A499" s="5" t="s">
        <v>3118</v>
      </c>
      <c r="B499" s="5" t="s">
        <v>3119</v>
      </c>
      <c r="C499" s="5">
        <v>1030</v>
      </c>
      <c r="D499" s="5">
        <v>1030</v>
      </c>
      <c r="E499" s="6">
        <v>0.98</v>
      </c>
      <c r="F499" s="5">
        <v>0</v>
      </c>
      <c r="G499" s="5">
        <v>63.04</v>
      </c>
      <c r="H499" s="5">
        <v>800</v>
      </c>
      <c r="I499" s="5" t="str">
        <f>HYPERLINK("https://www.ncbi.nlm.nih.gov/protein/WP_109945780.1?report=genbank&amp;log$=prottop&amp;blast_rank=50&amp;RID=7U875CNM013","WP_109945780.1")</f>
        <v>WP_109945780.1</v>
      </c>
      <c r="J499" s="5" t="s">
        <v>1087</v>
      </c>
    </row>
    <row r="500" spans="1:10" s="7" customFormat="1" x14ac:dyDescent="0.2">
      <c r="A500" s="5" t="s">
        <v>2988</v>
      </c>
      <c r="B500" s="5" t="s">
        <v>2928</v>
      </c>
      <c r="C500" s="5">
        <v>1029</v>
      </c>
      <c r="D500" s="5">
        <v>1029</v>
      </c>
      <c r="E500" s="6">
        <v>0.98</v>
      </c>
      <c r="F500" s="5">
        <v>0</v>
      </c>
      <c r="G500" s="5">
        <v>63.04</v>
      </c>
      <c r="H500" s="5">
        <v>800</v>
      </c>
      <c r="I500" s="5" t="str">
        <f>HYPERLINK("https://www.ncbi.nlm.nih.gov/protein/QLK00074.1?report=genbank&amp;log$=prottop&amp;blast_rank=52&amp;RID=7U875CNM013","QLK00074.1")</f>
        <v>QLK00074.1</v>
      </c>
      <c r="J500" s="5" t="s">
        <v>1087</v>
      </c>
    </row>
    <row r="501" spans="1:10" s="7" customFormat="1" x14ac:dyDescent="0.2">
      <c r="A501" s="5" t="s">
        <v>3122</v>
      </c>
      <c r="B501" s="5" t="s">
        <v>2840</v>
      </c>
      <c r="C501" s="5">
        <v>1040</v>
      </c>
      <c r="D501" s="5">
        <v>1040</v>
      </c>
      <c r="E501" s="6">
        <v>0.99</v>
      </c>
      <c r="F501" s="5">
        <v>0</v>
      </c>
      <c r="G501" s="5">
        <v>63.03</v>
      </c>
      <c r="H501" s="5">
        <v>792</v>
      </c>
      <c r="I501" s="5" t="str">
        <f>HYPERLINK("https://www.ncbi.nlm.nih.gov/protein/WP_189210302.1?report=genbank&amp;log$=prottop&amp;blast_rank=65&amp;RID=7U875CNM013","WP_189210302.1")</f>
        <v>WP_189210302.1</v>
      </c>
      <c r="J501" s="5" t="s">
        <v>1087</v>
      </c>
    </row>
    <row r="502" spans="1:10" s="7" customFormat="1" x14ac:dyDescent="0.2">
      <c r="A502" s="5" t="s">
        <v>3123</v>
      </c>
      <c r="B502" s="5" t="s">
        <v>3124</v>
      </c>
      <c r="C502" s="5">
        <v>1028</v>
      </c>
      <c r="D502" s="5">
        <v>1028</v>
      </c>
      <c r="E502" s="6">
        <v>0.97</v>
      </c>
      <c r="F502" s="5">
        <v>0</v>
      </c>
      <c r="G502" s="5">
        <v>63.03</v>
      </c>
      <c r="H502" s="5">
        <v>771</v>
      </c>
      <c r="I502" s="5" t="str">
        <f>HYPERLINK("https://www.ncbi.nlm.nih.gov/protein/WP_189165510.1?report=genbank&amp;log$=prottop&amp;blast_rank=71&amp;RID=7U875CNM013","WP_189165510.1")</f>
        <v>WP_189165510.1</v>
      </c>
      <c r="J502" s="5" t="s">
        <v>1087</v>
      </c>
    </row>
    <row r="503" spans="1:10" s="7" customFormat="1" x14ac:dyDescent="0.2">
      <c r="A503" s="5" t="s">
        <v>3125</v>
      </c>
      <c r="B503" s="5" t="s">
        <v>3126</v>
      </c>
      <c r="C503" s="5">
        <v>1026</v>
      </c>
      <c r="D503" s="5">
        <v>1026</v>
      </c>
      <c r="E503" s="6">
        <v>0.98</v>
      </c>
      <c r="F503" s="5">
        <v>0</v>
      </c>
      <c r="G503" s="5">
        <v>63.02</v>
      </c>
      <c r="H503" s="5">
        <v>787</v>
      </c>
      <c r="I503" s="5" t="str">
        <f>HYPERLINK("https://www.ncbi.nlm.nih.gov/protein/WP_024452523.1?report=genbank&amp;log$=prottop&amp;blast_rank=79&amp;RID=7U875CNM013","WP_024452523.1")</f>
        <v>WP_024452523.1</v>
      </c>
      <c r="J503" s="5" t="s">
        <v>1087</v>
      </c>
    </row>
    <row r="504" spans="1:10" s="7" customFormat="1" x14ac:dyDescent="0.2">
      <c r="A504" s="5" t="s">
        <v>3127</v>
      </c>
      <c r="B504" s="5" t="s">
        <v>3128</v>
      </c>
      <c r="C504" s="5">
        <v>1040</v>
      </c>
      <c r="D504" s="5">
        <v>1040</v>
      </c>
      <c r="E504" s="6">
        <v>0.98</v>
      </c>
      <c r="F504" s="5">
        <v>0</v>
      </c>
      <c r="G504" s="5">
        <v>63.02</v>
      </c>
      <c r="H504" s="5">
        <v>810</v>
      </c>
      <c r="I504" s="5" t="str">
        <f>HYPERLINK("https://www.ncbi.nlm.nih.gov/protein/WP_105343375.1?report=genbank&amp;log$=prottop&amp;blast_rank=85&amp;RID=7U875CNM013","WP_105343375.1")</f>
        <v>WP_105343375.1</v>
      </c>
      <c r="J504" s="5" t="s">
        <v>1087</v>
      </c>
    </row>
    <row r="505" spans="1:10" s="7" customFormat="1" x14ac:dyDescent="0.2">
      <c r="A505" s="5" t="s">
        <v>3129</v>
      </c>
      <c r="B505" s="5" t="s">
        <v>3130</v>
      </c>
      <c r="C505" s="5">
        <v>1031</v>
      </c>
      <c r="D505" s="5">
        <v>1031</v>
      </c>
      <c r="E505" s="6">
        <v>0.98</v>
      </c>
      <c r="F505" s="5">
        <v>0</v>
      </c>
      <c r="G505" s="5">
        <v>63.01</v>
      </c>
      <c r="H505" s="5">
        <v>787</v>
      </c>
      <c r="I505" s="5" t="str">
        <f>HYPERLINK("https://www.ncbi.nlm.nih.gov/protein/WP_141869675.1?report=genbank&amp;log$=prottop&amp;blast_rank=118&amp;RID=7U875CNM013","WP_141869675.1")</f>
        <v>WP_141869675.1</v>
      </c>
      <c r="J505" s="5" t="s">
        <v>1087</v>
      </c>
    </row>
    <row r="506" spans="1:10" s="7" customFormat="1" x14ac:dyDescent="0.2">
      <c r="A506" s="5" t="s">
        <v>3131</v>
      </c>
      <c r="B506" s="5" t="s">
        <v>3132</v>
      </c>
      <c r="C506" s="5">
        <v>1030</v>
      </c>
      <c r="D506" s="5">
        <v>1030</v>
      </c>
      <c r="E506" s="6">
        <v>0.98</v>
      </c>
      <c r="F506" s="5">
        <v>0</v>
      </c>
      <c r="G506" s="5">
        <v>63.01</v>
      </c>
      <c r="H506" s="5">
        <v>787</v>
      </c>
      <c r="I506" s="5" t="str">
        <f>HYPERLINK("https://www.ncbi.nlm.nih.gov/protein/WP_019512672.1?report=genbank&amp;log$=prottop&amp;blast_rank=119&amp;RID=7U875CNM013","WP_019512672.1")</f>
        <v>WP_019512672.1</v>
      </c>
      <c r="J506" s="5" t="s">
        <v>1087</v>
      </c>
    </row>
    <row r="507" spans="1:10" s="7" customFormat="1" x14ac:dyDescent="0.2">
      <c r="A507" s="5" t="s">
        <v>3133</v>
      </c>
      <c r="B507" s="5" t="s">
        <v>3134</v>
      </c>
      <c r="C507" s="5">
        <v>1024</v>
      </c>
      <c r="D507" s="5">
        <v>1024</v>
      </c>
      <c r="E507" s="6">
        <v>0.98</v>
      </c>
      <c r="F507" s="5">
        <v>0</v>
      </c>
      <c r="G507" s="5">
        <v>63.01</v>
      </c>
      <c r="H507" s="5">
        <v>783</v>
      </c>
      <c r="I507" s="5" t="str">
        <f>HYPERLINK("https://www.ncbi.nlm.nih.gov/protein/WP_209617835.1?report=genbank&amp;log$=prottop&amp;blast_rank=121&amp;RID=7U875CNM013","WP_209617835.1")</f>
        <v>WP_209617835.1</v>
      </c>
      <c r="J507" s="5" t="s">
        <v>1087</v>
      </c>
    </row>
    <row r="508" spans="1:10" s="7" customFormat="1" x14ac:dyDescent="0.2">
      <c r="A508" s="5" t="s">
        <v>3135</v>
      </c>
      <c r="B508" s="5" t="s">
        <v>3136</v>
      </c>
      <c r="C508" s="5">
        <v>1033</v>
      </c>
      <c r="D508" s="5">
        <v>1033</v>
      </c>
      <c r="E508" s="6">
        <v>0.98</v>
      </c>
      <c r="F508" s="5">
        <v>0</v>
      </c>
      <c r="G508" s="5">
        <v>63</v>
      </c>
      <c r="H508" s="5">
        <v>813</v>
      </c>
      <c r="I508" s="5" t="str">
        <f>HYPERLINK("https://www.ncbi.nlm.nih.gov/protein/WP_084259388.1?report=genbank&amp;log$=prottop&amp;blast_rank=126&amp;RID=7U875CNM013","WP_084259388.1")</f>
        <v>WP_084259388.1</v>
      </c>
      <c r="J508" s="5" t="s">
        <v>1087</v>
      </c>
    </row>
    <row r="509" spans="1:10" s="7" customFormat="1" x14ac:dyDescent="0.2">
      <c r="A509" s="5" t="s">
        <v>3137</v>
      </c>
      <c r="B509" s="5" t="s">
        <v>3138</v>
      </c>
      <c r="C509" s="5">
        <v>1035</v>
      </c>
      <c r="D509" s="5">
        <v>1035</v>
      </c>
      <c r="E509" s="6">
        <v>0.99</v>
      </c>
      <c r="F509" s="5">
        <v>0</v>
      </c>
      <c r="G509" s="5">
        <v>62.99</v>
      </c>
      <c r="H509" s="5">
        <v>792</v>
      </c>
      <c r="I509" s="5" t="str">
        <f>HYPERLINK("https://www.ncbi.nlm.nih.gov/protein/WP_091036003.1?report=genbank&amp;log$=prottop&amp;blast_rank=135&amp;RID=7U875CNM013","WP_091036003.1")</f>
        <v>WP_091036003.1</v>
      </c>
      <c r="J509" s="5" t="s">
        <v>1087</v>
      </c>
    </row>
    <row r="510" spans="1:10" s="7" customFormat="1" x14ac:dyDescent="0.2">
      <c r="A510" s="5" t="s">
        <v>3139</v>
      </c>
      <c r="B510" s="5" t="s">
        <v>3140</v>
      </c>
      <c r="C510" s="5">
        <v>1028</v>
      </c>
      <c r="D510" s="5">
        <v>1028</v>
      </c>
      <c r="E510" s="6">
        <v>0.98</v>
      </c>
      <c r="F510" s="5">
        <v>0</v>
      </c>
      <c r="G510" s="5">
        <v>62.99</v>
      </c>
      <c r="H510" s="5">
        <v>800</v>
      </c>
      <c r="I510" s="5" t="str">
        <f>HYPERLINK("https://www.ncbi.nlm.nih.gov/protein/WP_155333274.1?report=genbank&amp;log$=prottop&amp;blast_rank=137&amp;RID=7U875CNM013","WP_155333274.1")</f>
        <v>WP_155333274.1</v>
      </c>
      <c r="J510" s="5" t="s">
        <v>1087</v>
      </c>
    </row>
    <row r="511" spans="1:10" s="7" customFormat="1" x14ac:dyDescent="0.2">
      <c r="A511" s="5" t="s">
        <v>3141</v>
      </c>
      <c r="B511" s="5" t="s">
        <v>3142</v>
      </c>
      <c r="C511" s="5">
        <v>1026</v>
      </c>
      <c r="D511" s="5">
        <v>1026</v>
      </c>
      <c r="E511" s="6">
        <v>0.99</v>
      </c>
      <c r="F511" s="5">
        <v>0</v>
      </c>
      <c r="G511" s="5">
        <v>62.97</v>
      </c>
      <c r="H511" s="5">
        <v>798</v>
      </c>
      <c r="I511" s="5" t="str">
        <f>HYPERLINK("https://www.ncbi.nlm.nih.gov/protein/WP_095564555.1?report=genbank&amp;log$=prottop&amp;blast_rank=154&amp;RID=7U875CNM013","WP_095564555.1")</f>
        <v>WP_095564555.1</v>
      </c>
      <c r="J511" s="5" t="s">
        <v>1087</v>
      </c>
    </row>
    <row r="512" spans="1:10" s="7" customFormat="1" x14ac:dyDescent="0.2">
      <c r="A512" s="5" t="s">
        <v>3143</v>
      </c>
      <c r="B512" s="5" t="s">
        <v>3144</v>
      </c>
      <c r="C512" s="5">
        <v>1044</v>
      </c>
      <c r="D512" s="5">
        <v>1044</v>
      </c>
      <c r="E512" s="6">
        <v>0.98</v>
      </c>
      <c r="F512" s="5">
        <v>0</v>
      </c>
      <c r="G512" s="5">
        <v>62.96</v>
      </c>
      <c r="H512" s="5">
        <v>788</v>
      </c>
      <c r="I512" s="5" t="str">
        <f>HYPERLINK("https://www.ncbi.nlm.nih.gov/protein/WP_026552379.1?report=genbank&amp;log$=prottop&amp;blast_rank=161&amp;RID=7U875CNM013","WP_026552379.1")</f>
        <v>WP_026552379.1</v>
      </c>
      <c r="J512" s="5" t="s">
        <v>1087</v>
      </c>
    </row>
    <row r="513" spans="1:10" s="7" customFormat="1" x14ac:dyDescent="0.2">
      <c r="A513" s="5" t="s">
        <v>3145</v>
      </c>
      <c r="B513" s="5" t="s">
        <v>3146</v>
      </c>
      <c r="C513" s="5">
        <v>1030</v>
      </c>
      <c r="D513" s="5">
        <v>1030</v>
      </c>
      <c r="E513" s="6">
        <v>0.98</v>
      </c>
      <c r="F513" s="5">
        <v>0</v>
      </c>
      <c r="G513" s="5">
        <v>62.96</v>
      </c>
      <c r="H513" s="5">
        <v>797</v>
      </c>
      <c r="I513" s="5" t="str">
        <f>HYPERLINK("https://www.ncbi.nlm.nih.gov/protein/WP_089021651.1?report=genbank&amp;log$=prottop&amp;blast_rank=164&amp;RID=7U875CNM013","WP_089021651.1")</f>
        <v>WP_089021651.1</v>
      </c>
      <c r="J513" s="5" t="s">
        <v>1087</v>
      </c>
    </row>
    <row r="514" spans="1:10" s="7" customFormat="1" x14ac:dyDescent="0.2">
      <c r="A514" s="5" t="s">
        <v>3147</v>
      </c>
      <c r="B514" s="5" t="s">
        <v>3146</v>
      </c>
      <c r="C514" s="5">
        <v>1029</v>
      </c>
      <c r="D514" s="5">
        <v>1029</v>
      </c>
      <c r="E514" s="6">
        <v>0.98</v>
      </c>
      <c r="F514" s="5">
        <v>0</v>
      </c>
      <c r="G514" s="5">
        <v>62.96</v>
      </c>
      <c r="H514" s="5">
        <v>809</v>
      </c>
      <c r="I514" s="5" t="str">
        <f>HYPERLINK("https://www.ncbi.nlm.nih.gov/protein/SCE72980.1?report=genbank&amp;log$=prottop&amp;blast_rank=165&amp;RID=7U875CNM013","SCE72980.1")</f>
        <v>SCE72980.1</v>
      </c>
      <c r="J514" s="5" t="s">
        <v>1087</v>
      </c>
    </row>
    <row r="515" spans="1:10" s="7" customFormat="1" x14ac:dyDescent="0.2">
      <c r="A515" s="5" t="s">
        <v>3148</v>
      </c>
      <c r="B515" s="5" t="s">
        <v>3149</v>
      </c>
      <c r="C515" s="5">
        <v>1031</v>
      </c>
      <c r="D515" s="5">
        <v>1031</v>
      </c>
      <c r="E515" s="6">
        <v>0.98</v>
      </c>
      <c r="F515" s="5">
        <v>0</v>
      </c>
      <c r="G515" s="5">
        <v>62.94</v>
      </c>
      <c r="H515" s="5">
        <v>790</v>
      </c>
      <c r="I515" s="5" t="str">
        <f>HYPERLINK("https://www.ncbi.nlm.nih.gov/protein/WP_011729203.1?report=genbank&amp;log$=prottop&amp;blast_rank=178&amp;RID=7U875CNM013","WP_011729203.1")</f>
        <v>WP_011729203.1</v>
      </c>
      <c r="J515" s="5" t="s">
        <v>1087</v>
      </c>
    </row>
    <row r="516" spans="1:10" s="7" customFormat="1" x14ac:dyDescent="0.2">
      <c r="A516" s="5" t="s">
        <v>3150</v>
      </c>
      <c r="B516" s="5" t="s">
        <v>3151</v>
      </c>
      <c r="C516" s="5">
        <v>1034</v>
      </c>
      <c r="D516" s="5">
        <v>1034</v>
      </c>
      <c r="E516" s="6">
        <v>0.99</v>
      </c>
      <c r="F516" s="5">
        <v>0</v>
      </c>
      <c r="G516" s="5">
        <v>62.94</v>
      </c>
      <c r="H516" s="5">
        <v>808</v>
      </c>
      <c r="I516" s="5" t="str">
        <f>HYPERLINK("https://www.ncbi.nlm.nih.gov/protein/WP_133906574.1?report=genbank&amp;log$=prottop&amp;blast_rank=182&amp;RID=7U875CNM013","WP_133906574.1")</f>
        <v>WP_133906574.1</v>
      </c>
      <c r="J516" s="5" t="s">
        <v>1087</v>
      </c>
    </row>
    <row r="517" spans="1:10" s="7" customFormat="1" x14ac:dyDescent="0.2">
      <c r="A517" s="5" t="s">
        <v>3152</v>
      </c>
      <c r="B517" s="5" t="s">
        <v>3153</v>
      </c>
      <c r="C517" s="5">
        <v>1030</v>
      </c>
      <c r="D517" s="5">
        <v>1030</v>
      </c>
      <c r="E517" s="6">
        <v>0.97</v>
      </c>
      <c r="F517" s="5">
        <v>0</v>
      </c>
      <c r="G517" s="5">
        <v>62.93</v>
      </c>
      <c r="H517" s="5">
        <v>789</v>
      </c>
      <c r="I517" s="5" t="str">
        <f>HYPERLINK("https://www.ncbi.nlm.nih.gov/protein/WP_015800755.1?report=genbank&amp;log$=prottop&amp;blast_rank=186&amp;RID=7U875CNM013","WP_015800755.1")</f>
        <v>WP_015800755.1</v>
      </c>
      <c r="J517" s="5" t="s">
        <v>1087</v>
      </c>
    </row>
    <row r="518" spans="1:10" s="7" customFormat="1" x14ac:dyDescent="0.2">
      <c r="A518" s="5" t="s">
        <v>2995</v>
      </c>
      <c r="B518" s="5" t="s">
        <v>2996</v>
      </c>
      <c r="C518" s="5">
        <v>1028</v>
      </c>
      <c r="D518" s="5">
        <v>1028</v>
      </c>
      <c r="E518" s="6">
        <v>0.98</v>
      </c>
      <c r="F518" s="5">
        <v>0</v>
      </c>
      <c r="G518" s="5">
        <v>62.92</v>
      </c>
      <c r="H518" s="5">
        <v>800</v>
      </c>
      <c r="I518" s="5" t="str">
        <f>HYPERLINK("https://www.ncbi.nlm.nih.gov/protein/WP_043962602.1?report=genbank&amp;log$=prottop&amp;blast_rank=206&amp;RID=7U875CNM013","WP_043962602.1")</f>
        <v>WP_043962602.1</v>
      </c>
      <c r="J518" s="5" t="s">
        <v>1087</v>
      </c>
    </row>
    <row r="519" spans="1:10" s="7" customFormat="1" x14ac:dyDescent="0.2">
      <c r="A519" s="5" t="s">
        <v>3154</v>
      </c>
      <c r="B519" s="5" t="s">
        <v>3155</v>
      </c>
      <c r="C519" s="5">
        <v>1024</v>
      </c>
      <c r="D519" s="5">
        <v>1024</v>
      </c>
      <c r="E519" s="6">
        <v>0.98</v>
      </c>
      <c r="F519" s="5">
        <v>0</v>
      </c>
      <c r="G519" s="5">
        <v>62.92</v>
      </c>
      <c r="H519" s="5">
        <v>800</v>
      </c>
      <c r="I519" s="5" t="str">
        <f>HYPERLINK("https://www.ncbi.nlm.nih.gov/protein/WP_109901484.1?report=genbank&amp;log$=prottop&amp;blast_rank=207&amp;RID=7U875CNM013","WP_109901484.1")</f>
        <v>WP_109901484.1</v>
      </c>
      <c r="J519" s="5" t="s">
        <v>1087</v>
      </c>
    </row>
    <row r="520" spans="1:10" s="7" customFormat="1" x14ac:dyDescent="0.2">
      <c r="A520" s="5" t="s">
        <v>3156</v>
      </c>
      <c r="B520" s="5" t="s">
        <v>3157</v>
      </c>
      <c r="C520" s="5">
        <v>1023</v>
      </c>
      <c r="D520" s="5">
        <v>1023</v>
      </c>
      <c r="E520" s="6">
        <v>0.98</v>
      </c>
      <c r="F520" s="5">
        <v>0</v>
      </c>
      <c r="G520" s="5">
        <v>62.92</v>
      </c>
      <c r="H520" s="5">
        <v>800</v>
      </c>
      <c r="I520" s="5" t="str">
        <f>HYPERLINK("https://www.ncbi.nlm.nih.gov/protein/WP_089010420.1?report=genbank&amp;log$=prottop&amp;blast_rank=208&amp;RID=7U875CNM013","WP_089010420.1")</f>
        <v>WP_089010420.1</v>
      </c>
      <c r="J520" s="5" t="s">
        <v>1087</v>
      </c>
    </row>
    <row r="521" spans="1:10" s="7" customFormat="1" x14ac:dyDescent="0.2">
      <c r="A521" s="5" t="s">
        <v>3158</v>
      </c>
      <c r="B521" s="5" t="s">
        <v>3159</v>
      </c>
      <c r="C521" s="5">
        <v>1024</v>
      </c>
      <c r="D521" s="5">
        <v>1024</v>
      </c>
      <c r="E521" s="6">
        <v>0.98</v>
      </c>
      <c r="F521" s="5">
        <v>0</v>
      </c>
      <c r="G521" s="5">
        <v>62.9</v>
      </c>
      <c r="H521" s="5">
        <v>787</v>
      </c>
      <c r="I521" s="5" t="str">
        <f>HYPERLINK("https://www.ncbi.nlm.nih.gov/protein/WP_036403561.1?report=genbank&amp;log$=prottop&amp;blast_rank=223&amp;RID=7U875CNM013","WP_036403561.1")</f>
        <v>WP_036403561.1</v>
      </c>
      <c r="J521" s="5" t="s">
        <v>1087</v>
      </c>
    </row>
    <row r="522" spans="1:10" s="8" customFormat="1" ht="14" customHeight="1" x14ac:dyDescent="0.2">
      <c r="A522" s="5" t="s">
        <v>1085</v>
      </c>
      <c r="B522" s="5" t="s">
        <v>1086</v>
      </c>
      <c r="C522" s="5">
        <v>1036</v>
      </c>
      <c r="D522" s="5">
        <v>1036</v>
      </c>
      <c r="E522" s="6">
        <v>0.99</v>
      </c>
      <c r="F522" s="5">
        <v>0</v>
      </c>
      <c r="G522" s="5">
        <v>62.89</v>
      </c>
      <c r="H522" s="5">
        <v>792</v>
      </c>
      <c r="I522" s="5" t="str">
        <f>HYPERLINK("https://www.ncbi.nlm.nih.gov/protein/TML66254.1?report=genbank&amp;log$=prottop&amp;blast_rank=3&amp;RID=7U875CNM013","TML66254.1")</f>
        <v>TML66254.1</v>
      </c>
      <c r="J522" s="5" t="s">
        <v>1087</v>
      </c>
    </row>
    <row r="523" spans="1:10" s="7" customFormat="1" x14ac:dyDescent="0.2">
      <c r="A523" s="5" t="s">
        <v>3160</v>
      </c>
      <c r="B523" s="5" t="s">
        <v>3161</v>
      </c>
      <c r="C523" s="5">
        <v>1033</v>
      </c>
      <c r="D523" s="5">
        <v>1033</v>
      </c>
      <c r="E523" s="6">
        <v>0.98</v>
      </c>
      <c r="F523" s="5">
        <v>0</v>
      </c>
      <c r="G523" s="5">
        <v>62.88</v>
      </c>
      <c r="H523" s="5">
        <v>782</v>
      </c>
      <c r="I523" s="5" t="str">
        <f>HYPERLINK("https://www.ncbi.nlm.nih.gov/protein/WP_073373818.1?report=genbank&amp;log$=prottop&amp;blast_rank=23&amp;RID=7U875CNM013","WP_073373818.1")</f>
        <v>WP_073373818.1</v>
      </c>
      <c r="J523" s="5" t="s">
        <v>1087</v>
      </c>
    </row>
    <row r="524" spans="1:10" s="7" customFormat="1" x14ac:dyDescent="0.2">
      <c r="A524" s="5" t="s">
        <v>3162</v>
      </c>
      <c r="B524" s="5" t="s">
        <v>3163</v>
      </c>
      <c r="C524" s="5">
        <v>1030</v>
      </c>
      <c r="D524" s="5">
        <v>1030</v>
      </c>
      <c r="E524" s="6">
        <v>0.98</v>
      </c>
      <c r="F524" s="5">
        <v>0</v>
      </c>
      <c r="G524" s="5">
        <v>62.88</v>
      </c>
      <c r="H524" s="5">
        <v>786</v>
      </c>
      <c r="I524" s="5" t="str">
        <f>HYPERLINK("https://www.ncbi.nlm.nih.gov/protein/WP_036461731.1?report=genbank&amp;log$=prottop&amp;blast_rank=25&amp;RID=7U875CNM013","WP_036461731.1")</f>
        <v>WP_036461731.1</v>
      </c>
      <c r="J524" s="5" t="s">
        <v>1087</v>
      </c>
    </row>
    <row r="525" spans="1:10" s="7" customFormat="1" x14ac:dyDescent="0.2">
      <c r="A525" s="5" t="s">
        <v>3162</v>
      </c>
      <c r="B525" s="5" t="s">
        <v>3163</v>
      </c>
      <c r="C525" s="5">
        <v>1030</v>
      </c>
      <c r="D525" s="5">
        <v>1030</v>
      </c>
      <c r="E525" s="6">
        <v>0.98</v>
      </c>
      <c r="F525" s="5">
        <v>0</v>
      </c>
      <c r="G525" s="5">
        <v>62.88</v>
      </c>
      <c r="H525" s="5">
        <v>786</v>
      </c>
      <c r="I525" s="5" t="str">
        <f>HYPERLINK("https://www.ncbi.nlm.nih.gov/protein/WP_030135164.1?report=genbank&amp;log$=prottop&amp;blast_rank=26&amp;RID=7U875CNM013","WP_030135164.1")</f>
        <v>WP_030135164.1</v>
      </c>
      <c r="J525" s="5" t="s">
        <v>1087</v>
      </c>
    </row>
    <row r="526" spans="1:10" s="7" customFormat="1" x14ac:dyDescent="0.2">
      <c r="A526" s="5" t="s">
        <v>3164</v>
      </c>
      <c r="B526" s="5" t="s">
        <v>3163</v>
      </c>
      <c r="C526" s="5">
        <v>1030</v>
      </c>
      <c r="D526" s="5">
        <v>1030</v>
      </c>
      <c r="E526" s="6">
        <v>0.98</v>
      </c>
      <c r="F526" s="5">
        <v>0</v>
      </c>
      <c r="G526" s="5">
        <v>62.88</v>
      </c>
      <c r="H526" s="5">
        <v>787</v>
      </c>
      <c r="I526" s="5" t="str">
        <f>HYPERLINK("https://www.ncbi.nlm.nih.gov/protein/CDQ43989.1?report=genbank&amp;log$=prottop&amp;blast_rank=27&amp;RID=7U875CNM013","CDQ43989.1")</f>
        <v>CDQ43989.1</v>
      </c>
      <c r="J526" s="5" t="s">
        <v>1087</v>
      </c>
    </row>
    <row r="527" spans="1:10" s="7" customFormat="1" x14ac:dyDescent="0.2">
      <c r="A527" s="5" t="s">
        <v>3165</v>
      </c>
      <c r="B527" s="5" t="s">
        <v>3163</v>
      </c>
      <c r="C527" s="5">
        <v>1030</v>
      </c>
      <c r="D527" s="5">
        <v>1030</v>
      </c>
      <c r="E527" s="6">
        <v>0.98</v>
      </c>
      <c r="F527" s="5">
        <v>0</v>
      </c>
      <c r="G527" s="5">
        <v>62.88</v>
      </c>
      <c r="H527" s="5">
        <v>787</v>
      </c>
      <c r="I527" s="5" t="str">
        <f>HYPERLINK("https://www.ncbi.nlm.nih.gov/protein/SDE27517.1?report=genbank&amp;log$=prottop&amp;blast_rank=28&amp;RID=7U875CNM013","SDE27517.1")</f>
        <v>SDE27517.1</v>
      </c>
      <c r="J527" s="5" t="s">
        <v>1087</v>
      </c>
    </row>
    <row r="528" spans="1:10" s="7" customFormat="1" x14ac:dyDescent="0.2">
      <c r="A528" s="5" t="s">
        <v>3166</v>
      </c>
      <c r="B528" s="5" t="s">
        <v>3167</v>
      </c>
      <c r="C528" s="5">
        <v>1025</v>
      </c>
      <c r="D528" s="5">
        <v>1025</v>
      </c>
      <c r="E528" s="6">
        <v>0.99</v>
      </c>
      <c r="F528" s="5">
        <v>0</v>
      </c>
      <c r="G528" s="5">
        <v>62.88</v>
      </c>
      <c r="H528" s="5">
        <v>807</v>
      </c>
      <c r="I528" s="5" t="str">
        <f>HYPERLINK("https://www.ncbi.nlm.nih.gov/protein/OYX58703.1?report=genbank&amp;log$=prottop&amp;blast_rank=32&amp;RID=7U875CNM013","OYX58703.1")</f>
        <v>OYX58703.1</v>
      </c>
      <c r="J528" s="5" t="s">
        <v>1087</v>
      </c>
    </row>
    <row r="529" spans="1:10" s="7" customFormat="1" x14ac:dyDescent="0.2">
      <c r="A529" s="5" t="s">
        <v>3168</v>
      </c>
      <c r="B529" s="5" t="s">
        <v>3151</v>
      </c>
      <c r="C529" s="5">
        <v>1034</v>
      </c>
      <c r="D529" s="5">
        <v>1034</v>
      </c>
      <c r="E529" s="6">
        <v>1</v>
      </c>
      <c r="F529" s="5">
        <v>0</v>
      </c>
      <c r="G529" s="5">
        <v>62.88</v>
      </c>
      <c r="H529" s="5">
        <v>791</v>
      </c>
      <c r="I529" s="5" t="str">
        <f>HYPERLINK("https://www.ncbi.nlm.nih.gov/protein/TDV44103.1?report=genbank&amp;log$=prottop&amp;blast_rank=33&amp;RID=7U875CNM013","TDV44103.1")</f>
        <v>TDV44103.1</v>
      </c>
      <c r="J529" s="5" t="s">
        <v>1087</v>
      </c>
    </row>
    <row r="530" spans="1:10" s="7" customFormat="1" x14ac:dyDescent="0.2">
      <c r="A530" s="5" t="s">
        <v>3169</v>
      </c>
      <c r="B530" s="5" t="s">
        <v>3170</v>
      </c>
      <c r="C530" s="5">
        <v>1030</v>
      </c>
      <c r="D530" s="5">
        <v>1030</v>
      </c>
      <c r="E530" s="6">
        <v>0.98</v>
      </c>
      <c r="F530" s="5">
        <v>0</v>
      </c>
      <c r="G530" s="5">
        <v>62.87</v>
      </c>
      <c r="H530" s="5">
        <v>771</v>
      </c>
      <c r="I530" s="5" t="str">
        <f>HYPERLINK("https://www.ncbi.nlm.nih.gov/protein/WP_067185123.1?report=genbank&amp;log$=prottop&amp;blast_rank=35&amp;RID=7U875CNM013","WP_067185123.1")</f>
        <v>WP_067185123.1</v>
      </c>
      <c r="J530" s="5" t="s">
        <v>1087</v>
      </c>
    </row>
    <row r="531" spans="1:10" s="7" customFormat="1" x14ac:dyDescent="0.2">
      <c r="A531" s="5" t="s">
        <v>3171</v>
      </c>
      <c r="B531" s="5" t="s">
        <v>3172</v>
      </c>
      <c r="C531" s="5">
        <v>1038</v>
      </c>
      <c r="D531" s="5">
        <v>1038</v>
      </c>
      <c r="E531" s="6">
        <v>0.98</v>
      </c>
      <c r="F531" s="5">
        <v>0</v>
      </c>
      <c r="G531" s="5">
        <v>62.86</v>
      </c>
      <c r="H531" s="5">
        <v>797</v>
      </c>
      <c r="I531" s="5" t="str">
        <f>HYPERLINK("https://www.ncbi.nlm.nih.gov/protein/WP_131051325.1?report=genbank&amp;log$=prottop&amp;blast_rank=38&amp;RID=7U875CNM013","WP_131051325.1")</f>
        <v>WP_131051325.1</v>
      </c>
      <c r="J531" s="5" t="s">
        <v>1087</v>
      </c>
    </row>
    <row r="532" spans="1:10" s="7" customFormat="1" x14ac:dyDescent="0.2">
      <c r="A532" s="5" t="s">
        <v>3173</v>
      </c>
      <c r="B532" s="5" t="s">
        <v>3174</v>
      </c>
      <c r="C532" s="5">
        <v>1048</v>
      </c>
      <c r="D532" s="5">
        <v>1048</v>
      </c>
      <c r="E532" s="6">
        <v>0.98</v>
      </c>
      <c r="F532" s="5">
        <v>0</v>
      </c>
      <c r="G532" s="5">
        <v>62.85</v>
      </c>
      <c r="H532" s="5">
        <v>811</v>
      </c>
      <c r="I532" s="5" t="str">
        <f>HYPERLINK("https://www.ncbi.nlm.nih.gov/protein/WP_131965472.1?report=genbank&amp;log$=prottop&amp;blast_rank=47&amp;RID=7U875CNM013","WP_131965472.1")</f>
        <v>WP_131965472.1</v>
      </c>
      <c r="J532" s="5" t="s">
        <v>1087</v>
      </c>
    </row>
    <row r="533" spans="1:10" s="7" customFormat="1" x14ac:dyDescent="0.2">
      <c r="A533" s="5" t="s">
        <v>3175</v>
      </c>
      <c r="B533" s="5" t="s">
        <v>3176</v>
      </c>
      <c r="C533" s="5">
        <v>1028</v>
      </c>
      <c r="D533" s="5">
        <v>1028</v>
      </c>
      <c r="E533" s="6">
        <v>0.98</v>
      </c>
      <c r="F533" s="5">
        <v>0</v>
      </c>
      <c r="G533" s="5">
        <v>62.85</v>
      </c>
      <c r="H533" s="5">
        <v>792</v>
      </c>
      <c r="I533" s="5" t="str">
        <f>HYPERLINK("https://www.ncbi.nlm.nih.gov/protein/WP_033385029.1?report=genbank&amp;log$=prottop&amp;blast_rank=53&amp;RID=7U875CNM013","WP_033385029.1")</f>
        <v>WP_033385029.1</v>
      </c>
      <c r="J533" s="5" t="s">
        <v>1087</v>
      </c>
    </row>
    <row r="534" spans="1:10" s="7" customFormat="1" x14ac:dyDescent="0.2">
      <c r="A534" s="5" t="s">
        <v>3177</v>
      </c>
      <c r="B534" s="5" t="s">
        <v>3178</v>
      </c>
      <c r="C534" s="5">
        <v>1035</v>
      </c>
      <c r="D534" s="5">
        <v>1035</v>
      </c>
      <c r="E534" s="6">
        <v>0.99</v>
      </c>
      <c r="F534" s="5">
        <v>0</v>
      </c>
      <c r="G534" s="5">
        <v>62.85</v>
      </c>
      <c r="H534" s="5">
        <v>793</v>
      </c>
      <c r="I534" s="5" t="str">
        <f>HYPERLINK("https://www.ncbi.nlm.nih.gov/protein/WP_020422884.1?report=genbank&amp;log$=prottop&amp;blast_rank=58&amp;RID=7U875CNM013","WP_020422884.1")</f>
        <v>WP_020422884.1</v>
      </c>
      <c r="J534" s="5" t="s">
        <v>1087</v>
      </c>
    </row>
    <row r="535" spans="1:10" s="7" customFormat="1" x14ac:dyDescent="0.2">
      <c r="A535" s="5" t="s">
        <v>3179</v>
      </c>
      <c r="B535" s="5" t="s">
        <v>3180</v>
      </c>
      <c r="C535" s="5">
        <v>1032</v>
      </c>
      <c r="D535" s="5">
        <v>1032</v>
      </c>
      <c r="E535" s="6">
        <v>0.99</v>
      </c>
      <c r="F535" s="5">
        <v>0</v>
      </c>
      <c r="G535" s="5">
        <v>62.85</v>
      </c>
      <c r="H535" s="5">
        <v>793</v>
      </c>
      <c r="I535" s="5" t="str">
        <f>HYPERLINK("https://www.ncbi.nlm.nih.gov/protein/WP_123687402.1?report=genbank&amp;log$=prottop&amp;blast_rank=59&amp;RID=7U875CNM013","WP_123687402.1")</f>
        <v>WP_123687402.1</v>
      </c>
      <c r="J535" s="5" t="s">
        <v>1087</v>
      </c>
    </row>
    <row r="536" spans="1:10" s="7" customFormat="1" x14ac:dyDescent="0.2">
      <c r="A536" s="5" t="s">
        <v>3181</v>
      </c>
      <c r="B536" s="5" t="s">
        <v>3182</v>
      </c>
      <c r="C536" s="5">
        <v>1026</v>
      </c>
      <c r="D536" s="5">
        <v>1026</v>
      </c>
      <c r="E536" s="6">
        <v>0.98</v>
      </c>
      <c r="F536" s="5">
        <v>0</v>
      </c>
      <c r="G536" s="5">
        <v>62.84</v>
      </c>
      <c r="H536" s="5">
        <v>816</v>
      </c>
      <c r="I536" s="5" t="str">
        <f>HYPERLINK("https://www.ncbi.nlm.nih.gov/protein/WP_130385865.1?report=genbank&amp;log$=prottop&amp;blast_rank=67&amp;RID=7U875CNM013","WP_130385865.1")</f>
        <v>WP_130385865.1</v>
      </c>
      <c r="J536" s="5" t="s">
        <v>1087</v>
      </c>
    </row>
    <row r="537" spans="1:10" s="7" customFormat="1" x14ac:dyDescent="0.2">
      <c r="A537" s="5" t="s">
        <v>3183</v>
      </c>
      <c r="B537" s="5" t="s">
        <v>3182</v>
      </c>
      <c r="C537" s="5">
        <v>1025</v>
      </c>
      <c r="D537" s="5">
        <v>1025</v>
      </c>
      <c r="E537" s="6">
        <v>0.98</v>
      </c>
      <c r="F537" s="5">
        <v>0</v>
      </c>
      <c r="G537" s="5">
        <v>62.84</v>
      </c>
      <c r="H537" s="5">
        <v>793</v>
      </c>
      <c r="I537" s="5" t="str">
        <f>HYPERLINK("https://www.ncbi.nlm.nih.gov/protein/RZT17374.1?report=genbank&amp;log$=prottop&amp;blast_rank=68&amp;RID=7U875CNM013","RZT17374.1")</f>
        <v>RZT17374.1</v>
      </c>
      <c r="J537" s="5" t="s">
        <v>1087</v>
      </c>
    </row>
    <row r="538" spans="1:10" s="7" customFormat="1" x14ac:dyDescent="0.2">
      <c r="A538" s="5" t="s">
        <v>3184</v>
      </c>
      <c r="B538" s="5" t="s">
        <v>3138</v>
      </c>
      <c r="C538" s="5">
        <v>1036</v>
      </c>
      <c r="D538" s="5">
        <v>1036</v>
      </c>
      <c r="E538" s="6">
        <v>0.99</v>
      </c>
      <c r="F538" s="5">
        <v>0</v>
      </c>
      <c r="G538" s="5">
        <v>62.83</v>
      </c>
      <c r="H538" s="5">
        <v>801</v>
      </c>
      <c r="I538" s="5" t="str">
        <f>HYPERLINK("https://www.ncbi.nlm.nih.gov/protein/SDD78796.1?report=genbank&amp;log$=prottop&amp;blast_rank=70&amp;RID=7U875CNM013","SDD78796.1")</f>
        <v>SDD78796.1</v>
      </c>
      <c r="J538" s="5" t="s">
        <v>1087</v>
      </c>
    </row>
    <row r="539" spans="1:10" s="7" customFormat="1" x14ac:dyDescent="0.2">
      <c r="A539" s="5" t="s">
        <v>3148</v>
      </c>
      <c r="B539" s="5" t="s">
        <v>3149</v>
      </c>
      <c r="C539" s="5">
        <v>1030</v>
      </c>
      <c r="D539" s="5">
        <v>1030</v>
      </c>
      <c r="E539" s="6">
        <v>0.98</v>
      </c>
      <c r="F539" s="5">
        <v>0</v>
      </c>
      <c r="G539" s="5">
        <v>62.82</v>
      </c>
      <c r="H539" s="5">
        <v>790</v>
      </c>
      <c r="I539" s="5" t="str">
        <f>HYPERLINK("https://www.ncbi.nlm.nih.gov/protein/WP_003895065.1?report=genbank&amp;log$=prottop&amp;blast_rank=75&amp;RID=7U875CNM013","WP_003895065.1")</f>
        <v>WP_003895065.1</v>
      </c>
      <c r="J539" s="5" t="s">
        <v>1087</v>
      </c>
    </row>
    <row r="540" spans="1:10" s="7" customFormat="1" x14ac:dyDescent="0.2">
      <c r="A540" s="5" t="s">
        <v>3185</v>
      </c>
      <c r="B540" s="5" t="s">
        <v>3186</v>
      </c>
      <c r="C540" s="5">
        <v>1031</v>
      </c>
      <c r="D540" s="5">
        <v>1031</v>
      </c>
      <c r="E540" s="6">
        <v>0.98</v>
      </c>
      <c r="F540" s="5">
        <v>0</v>
      </c>
      <c r="G540" s="5">
        <v>62.79</v>
      </c>
      <c r="H540" s="5">
        <v>797</v>
      </c>
      <c r="I540" s="5" t="str">
        <f>HYPERLINK("https://www.ncbi.nlm.nih.gov/protein/WP_151488859.1?report=genbank&amp;log$=prottop&amp;blast_rank=101&amp;RID=7U875CNM013","WP_151488859.1")</f>
        <v>WP_151488859.1</v>
      </c>
      <c r="J540" s="5" t="s">
        <v>1087</v>
      </c>
    </row>
    <row r="541" spans="1:10" s="7" customFormat="1" x14ac:dyDescent="0.2">
      <c r="A541" s="5" t="s">
        <v>3187</v>
      </c>
      <c r="B541" s="5" t="s">
        <v>3188</v>
      </c>
      <c r="C541" s="5">
        <v>1026</v>
      </c>
      <c r="D541" s="5">
        <v>1026</v>
      </c>
      <c r="E541" s="6">
        <v>0.98</v>
      </c>
      <c r="F541" s="5">
        <v>0</v>
      </c>
      <c r="G541" s="5">
        <v>62.79</v>
      </c>
      <c r="H541" s="5">
        <v>797</v>
      </c>
      <c r="I541" s="5" t="str">
        <f>HYPERLINK("https://www.ncbi.nlm.nih.gov/protein/WP_145793449.1?report=genbank&amp;log$=prottop&amp;blast_rank=102&amp;RID=7U875CNM013","WP_145793449.1")</f>
        <v>WP_145793449.1</v>
      </c>
      <c r="J541" s="5" t="s">
        <v>1087</v>
      </c>
    </row>
    <row r="542" spans="1:10" s="7" customFormat="1" x14ac:dyDescent="0.2">
      <c r="A542" s="5" t="s">
        <v>3189</v>
      </c>
      <c r="B542" s="5" t="s">
        <v>3190</v>
      </c>
      <c r="C542" s="5">
        <v>1024</v>
      </c>
      <c r="D542" s="5">
        <v>1024</v>
      </c>
      <c r="E542" s="6">
        <v>0.98</v>
      </c>
      <c r="F542" s="5">
        <v>0</v>
      </c>
      <c r="G542" s="5">
        <v>62.79</v>
      </c>
      <c r="H542" s="5">
        <v>797</v>
      </c>
      <c r="I542" s="5" t="str">
        <f>HYPERLINK("https://www.ncbi.nlm.nih.gov/protein/WP_130408325.1?report=genbank&amp;log$=prottop&amp;blast_rank=103&amp;RID=7U875CNM013","WP_130408325.1")</f>
        <v>WP_130408325.1</v>
      </c>
      <c r="J542" s="5" t="s">
        <v>1087</v>
      </c>
    </row>
    <row r="543" spans="1:10" s="7" customFormat="1" x14ac:dyDescent="0.2">
      <c r="A543" s="5" t="s">
        <v>3191</v>
      </c>
      <c r="B543" s="5" t="s">
        <v>3192</v>
      </c>
      <c r="C543" s="5">
        <v>1024</v>
      </c>
      <c r="D543" s="5">
        <v>1024</v>
      </c>
      <c r="E543" s="6">
        <v>0.98</v>
      </c>
      <c r="F543" s="5">
        <v>0</v>
      </c>
      <c r="G543" s="5">
        <v>62.79</v>
      </c>
      <c r="H543" s="5">
        <v>800</v>
      </c>
      <c r="I543" s="5" t="str">
        <f>HYPERLINK("https://www.ncbi.nlm.nih.gov/protein/WP_111136541.1?report=genbank&amp;log$=prottop&amp;blast_rank=104&amp;RID=7U875CNM013","WP_111136541.1")</f>
        <v>WP_111136541.1</v>
      </c>
      <c r="J543" s="5" t="s">
        <v>1087</v>
      </c>
    </row>
    <row r="544" spans="1:10" s="7" customFormat="1" x14ac:dyDescent="0.2">
      <c r="A544" s="5" t="s">
        <v>3193</v>
      </c>
      <c r="B544" s="5" t="s">
        <v>3194</v>
      </c>
      <c r="C544" s="5">
        <v>1025</v>
      </c>
      <c r="D544" s="5">
        <v>1025</v>
      </c>
      <c r="E544" s="6">
        <v>0.98</v>
      </c>
      <c r="F544" s="5">
        <v>0</v>
      </c>
      <c r="G544" s="5">
        <v>62.77</v>
      </c>
      <c r="H544" s="5">
        <v>787</v>
      </c>
      <c r="I544" s="5" t="str">
        <f>HYPERLINK("https://www.ncbi.nlm.nih.gov/protein/WP_062659326.1?report=genbank&amp;log$=prottop&amp;blast_rank=115&amp;RID=7U875CNM013","WP_062659326.1")</f>
        <v>WP_062659326.1</v>
      </c>
      <c r="J544" s="5" t="s">
        <v>1087</v>
      </c>
    </row>
    <row r="545" spans="1:10" s="7" customFormat="1" x14ac:dyDescent="0.2">
      <c r="A545" s="5" t="s">
        <v>3195</v>
      </c>
      <c r="B545" s="5" t="s">
        <v>3196</v>
      </c>
      <c r="C545" s="5">
        <v>1045</v>
      </c>
      <c r="D545" s="5">
        <v>1045</v>
      </c>
      <c r="E545" s="6">
        <v>0.99</v>
      </c>
      <c r="F545" s="5">
        <v>0</v>
      </c>
      <c r="G545" s="5">
        <v>62.77</v>
      </c>
      <c r="H545" s="5">
        <v>798</v>
      </c>
      <c r="I545" s="5" t="str">
        <f>HYPERLINK("https://www.ncbi.nlm.nih.gov/protein/WP_013018478.1?report=genbank&amp;log$=prottop&amp;blast_rank=120&amp;RID=7U875CNM013","WP_013018478.1")</f>
        <v>WP_013018478.1</v>
      </c>
      <c r="J545" s="5" t="s">
        <v>1087</v>
      </c>
    </row>
    <row r="546" spans="1:10" s="7" customFormat="1" ht="14" customHeight="1" x14ac:dyDescent="0.2">
      <c r="A546" s="5" t="s">
        <v>3197</v>
      </c>
      <c r="B546" s="5" t="s">
        <v>3198</v>
      </c>
      <c r="C546" s="5">
        <v>1034</v>
      </c>
      <c r="D546" s="5">
        <v>1034</v>
      </c>
      <c r="E546" s="6">
        <v>0.98</v>
      </c>
      <c r="F546" s="5">
        <v>0</v>
      </c>
      <c r="G546" s="5">
        <v>62.76</v>
      </c>
      <c r="H546" s="5">
        <v>783</v>
      </c>
      <c r="I546" s="5" t="str">
        <f>HYPERLINK("https://www.ncbi.nlm.nih.gov/protein/WP_086824094.1?report=genbank&amp;log$=prottop&amp;blast_rank=139&amp;RID=7U875CNM013","WP_086824094.1")</f>
        <v>WP_086824094.1</v>
      </c>
      <c r="J546" s="5" t="s">
        <v>1087</v>
      </c>
    </row>
    <row r="547" spans="1:10" s="7" customFormat="1" ht="15" customHeight="1" x14ac:dyDescent="0.2">
      <c r="A547" s="5" t="s">
        <v>3199</v>
      </c>
      <c r="B547" s="5" t="s">
        <v>3200</v>
      </c>
      <c r="C547" s="5">
        <v>1032</v>
      </c>
      <c r="D547" s="5">
        <v>1032</v>
      </c>
      <c r="E547" s="6">
        <v>0.98</v>
      </c>
      <c r="F547" s="5">
        <v>0</v>
      </c>
      <c r="G547" s="5">
        <v>62.76</v>
      </c>
      <c r="H547" s="5">
        <v>790</v>
      </c>
      <c r="I547" s="5" t="str">
        <f>HYPERLINK("https://www.ncbi.nlm.nih.gov/protein/WP_146922203.1?report=genbank&amp;log$=prottop&amp;blast_rank=140&amp;RID=7U875CNM013","WP_146922203.1")</f>
        <v>WP_146922203.1</v>
      </c>
      <c r="J547" s="5" t="s">
        <v>1087</v>
      </c>
    </row>
    <row r="548" spans="1:10" s="7" customFormat="1" x14ac:dyDescent="0.2">
      <c r="A548" s="5" t="s">
        <v>3201</v>
      </c>
      <c r="B548" s="5" t="s">
        <v>3202</v>
      </c>
      <c r="C548" s="5">
        <v>1038</v>
      </c>
      <c r="D548" s="5">
        <v>1038</v>
      </c>
      <c r="E548" s="6">
        <v>0.98</v>
      </c>
      <c r="F548" s="5">
        <v>0</v>
      </c>
      <c r="G548" s="5">
        <v>62.74</v>
      </c>
      <c r="H548" s="5">
        <v>782</v>
      </c>
      <c r="I548" s="5" t="str">
        <f>HYPERLINK("https://www.ncbi.nlm.nih.gov/protein/WP_191269656.1?report=genbank&amp;log$=prottop&amp;blast_rank=144&amp;RID=7U875CNM013","WP_191269656.1")</f>
        <v>WP_191269656.1</v>
      </c>
      <c r="J548" s="5" t="s">
        <v>1087</v>
      </c>
    </row>
    <row r="549" spans="1:10" s="7" customFormat="1" x14ac:dyDescent="0.2">
      <c r="A549" s="5" t="s">
        <v>3203</v>
      </c>
      <c r="B549" s="5" t="s">
        <v>3204</v>
      </c>
      <c r="C549" s="5">
        <v>1044</v>
      </c>
      <c r="D549" s="5">
        <v>1044</v>
      </c>
      <c r="E549" s="6">
        <v>0.99</v>
      </c>
      <c r="F549" s="5">
        <v>0</v>
      </c>
      <c r="G549" s="5">
        <v>62.72</v>
      </c>
      <c r="H549" s="5">
        <v>800</v>
      </c>
      <c r="I549" s="5" t="str">
        <f>HYPERLINK("https://www.ncbi.nlm.nih.gov/protein/WP_132345716.1?report=genbank&amp;log$=prottop&amp;blast_rank=159&amp;RID=7U875CNM013","WP_132345716.1")</f>
        <v>WP_132345716.1</v>
      </c>
      <c r="J549" s="5" t="s">
        <v>1087</v>
      </c>
    </row>
    <row r="550" spans="1:10" s="7" customFormat="1" x14ac:dyDescent="0.2">
      <c r="A550" s="5" t="s">
        <v>3205</v>
      </c>
      <c r="B550" s="5" t="s">
        <v>3206</v>
      </c>
      <c r="C550" s="5">
        <v>1037</v>
      </c>
      <c r="D550" s="5">
        <v>1037</v>
      </c>
      <c r="E550" s="6">
        <v>1</v>
      </c>
      <c r="F550" s="5">
        <v>0</v>
      </c>
      <c r="G550" s="5">
        <v>62.72</v>
      </c>
      <c r="H550" s="5">
        <v>798</v>
      </c>
      <c r="I550" s="5" t="str">
        <f>HYPERLINK("https://www.ncbi.nlm.nih.gov/protein/NUR28102.1?report=genbank&amp;log$=prottop&amp;blast_rank=164&amp;RID=7U875CNM013","NUR28102.1")</f>
        <v>NUR28102.1</v>
      </c>
      <c r="J550" s="5" t="s">
        <v>1087</v>
      </c>
    </row>
    <row r="551" spans="1:10" s="7" customFormat="1" x14ac:dyDescent="0.2">
      <c r="A551" s="5" t="s">
        <v>3207</v>
      </c>
      <c r="B551" s="5" t="s">
        <v>3208</v>
      </c>
      <c r="C551" s="5">
        <v>1031</v>
      </c>
      <c r="D551" s="5">
        <v>1031</v>
      </c>
      <c r="E551" s="6">
        <v>0.98</v>
      </c>
      <c r="F551" s="5">
        <v>0</v>
      </c>
      <c r="G551" s="5">
        <v>62.71</v>
      </c>
      <c r="H551" s="5">
        <v>797</v>
      </c>
      <c r="I551" s="5" t="str">
        <f>HYPERLINK("https://www.ncbi.nlm.nih.gov/protein/WP_145784800.1?report=genbank&amp;log$=prottop&amp;blast_rank=175&amp;RID=7U875CNM013","WP_145784800.1")</f>
        <v>WP_145784800.1</v>
      </c>
      <c r="J551" s="5" t="s">
        <v>1087</v>
      </c>
    </row>
    <row r="552" spans="1:10" s="7" customFormat="1" x14ac:dyDescent="0.2">
      <c r="A552" s="5" t="s">
        <v>3209</v>
      </c>
      <c r="B552" s="5" t="s">
        <v>3210</v>
      </c>
      <c r="C552" s="5">
        <v>1031</v>
      </c>
      <c r="D552" s="5">
        <v>1031</v>
      </c>
      <c r="E552" s="6">
        <v>0.98</v>
      </c>
      <c r="F552" s="5">
        <v>0</v>
      </c>
      <c r="G552" s="5">
        <v>62.71</v>
      </c>
      <c r="H552" s="5">
        <v>809</v>
      </c>
      <c r="I552" s="5" t="str">
        <f>HYPERLINK("https://www.ncbi.nlm.nih.gov/protein/SIN40370.1?report=genbank&amp;log$=prottop&amp;blast_rank=177&amp;RID=7U875CNM013","SIN40370.1")</f>
        <v>SIN40370.1</v>
      </c>
      <c r="J552" s="5" t="s">
        <v>1087</v>
      </c>
    </row>
    <row r="553" spans="1:10" s="7" customFormat="1" x14ac:dyDescent="0.2">
      <c r="A553" s="5" t="s">
        <v>3211</v>
      </c>
      <c r="B553" s="5" t="s">
        <v>3210</v>
      </c>
      <c r="C553" s="5">
        <v>1031</v>
      </c>
      <c r="D553" s="5">
        <v>1031</v>
      </c>
      <c r="E553" s="6">
        <v>0.98</v>
      </c>
      <c r="F553" s="5">
        <v>0</v>
      </c>
      <c r="G553" s="5">
        <v>62.71</v>
      </c>
      <c r="H553" s="5">
        <v>797</v>
      </c>
      <c r="I553" s="5" t="str">
        <f>HYPERLINK("https://www.ncbi.nlm.nih.gov/protein/WP_074318162.1?report=genbank&amp;log$=prottop&amp;blast_rank=178&amp;RID=7U875CNM013","WP_074318162.1")</f>
        <v>WP_074318162.1</v>
      </c>
      <c r="J553" s="5" t="s">
        <v>1087</v>
      </c>
    </row>
    <row r="554" spans="1:10" s="7" customFormat="1" x14ac:dyDescent="0.2">
      <c r="A554" s="5" t="s">
        <v>3212</v>
      </c>
      <c r="B554" s="5" t="s">
        <v>3213</v>
      </c>
      <c r="C554" s="5">
        <v>1024</v>
      </c>
      <c r="D554" s="5">
        <v>1024</v>
      </c>
      <c r="E554" s="6">
        <v>0.98</v>
      </c>
      <c r="F554" s="5">
        <v>0</v>
      </c>
      <c r="G554" s="5">
        <v>62.69</v>
      </c>
      <c r="H554" s="5">
        <v>802</v>
      </c>
      <c r="I554" s="5" t="str">
        <f>HYPERLINK("https://www.ncbi.nlm.nih.gov/protein/WP_018640664.1?report=genbank&amp;log$=prottop&amp;blast_rank=205&amp;RID=7U875CNM013","WP_018640664.1")</f>
        <v>WP_018640664.1</v>
      </c>
      <c r="J554" s="5" t="s">
        <v>1087</v>
      </c>
    </row>
    <row r="555" spans="1:10" s="7" customFormat="1" x14ac:dyDescent="0.2">
      <c r="A555" s="5" t="s">
        <v>3214</v>
      </c>
      <c r="B555" s="5" t="s">
        <v>3215</v>
      </c>
      <c r="C555" s="5">
        <v>1050</v>
      </c>
      <c r="D555" s="5">
        <v>1050</v>
      </c>
      <c r="E555" s="6">
        <v>0.99</v>
      </c>
      <c r="F555" s="5">
        <v>0</v>
      </c>
      <c r="G555" s="5">
        <v>62.69</v>
      </c>
      <c r="H555" s="5">
        <v>796</v>
      </c>
      <c r="I555" s="5" t="str">
        <f>HYPERLINK("https://www.ncbi.nlm.nih.gov/protein/WP_200071357.1?report=genbank&amp;log$=prottop&amp;blast_rank=207&amp;RID=7U875CNM013","WP_200071357.1")</f>
        <v>WP_200071357.1</v>
      </c>
      <c r="J555" s="5" t="s">
        <v>1087</v>
      </c>
    </row>
    <row r="556" spans="1:10" s="7" customFormat="1" x14ac:dyDescent="0.2">
      <c r="A556" s="5" t="s">
        <v>3216</v>
      </c>
      <c r="B556" s="5" t="s">
        <v>3217</v>
      </c>
      <c r="C556" s="5">
        <v>1028</v>
      </c>
      <c r="D556" s="5">
        <v>1028</v>
      </c>
      <c r="E556" s="6">
        <v>0.98</v>
      </c>
      <c r="F556" s="5">
        <v>0</v>
      </c>
      <c r="G556" s="5">
        <v>62.66</v>
      </c>
      <c r="H556" s="5">
        <v>797</v>
      </c>
      <c r="I556" s="5" t="str">
        <f>HYPERLINK("https://www.ncbi.nlm.nih.gov/protein/WP_007457147.1?report=genbank&amp;log$=prottop&amp;blast_rank=12&amp;RID=7U875CNM013","WP_007457147.1")</f>
        <v>WP_007457147.1</v>
      </c>
      <c r="J556" s="5" t="s">
        <v>1087</v>
      </c>
    </row>
    <row r="557" spans="1:10" s="7" customFormat="1" x14ac:dyDescent="0.2">
      <c r="A557" s="5" t="s">
        <v>3218</v>
      </c>
      <c r="B557" s="5" t="s">
        <v>3219</v>
      </c>
      <c r="C557" s="5">
        <v>1028</v>
      </c>
      <c r="D557" s="5">
        <v>1028</v>
      </c>
      <c r="E557" s="6">
        <v>0.98</v>
      </c>
      <c r="F557" s="5">
        <v>0</v>
      </c>
      <c r="G557" s="5">
        <v>62.66</v>
      </c>
      <c r="H557" s="5">
        <v>802</v>
      </c>
      <c r="I557" s="5" t="str">
        <f>HYPERLINK("https://www.ncbi.nlm.nih.gov/protein/WP_132265504.1?report=genbank&amp;log$=prottop&amp;blast_rank=13&amp;RID=7U875CNM013","WP_132265504.1")</f>
        <v>WP_132265504.1</v>
      </c>
      <c r="J557" s="5" t="s">
        <v>1087</v>
      </c>
    </row>
    <row r="558" spans="1:10" x14ac:dyDescent="0.2">
      <c r="A558" s="5" t="s">
        <v>3220</v>
      </c>
      <c r="B558" s="5" t="s">
        <v>3221</v>
      </c>
      <c r="C558" s="5">
        <v>1027</v>
      </c>
      <c r="D558" s="5">
        <v>1027</v>
      </c>
      <c r="E558" s="6">
        <v>0.98</v>
      </c>
      <c r="F558" s="5">
        <v>0</v>
      </c>
      <c r="G558" s="5">
        <v>62.66</v>
      </c>
      <c r="H558" s="5">
        <v>802</v>
      </c>
      <c r="I558" s="5" t="str">
        <f>HYPERLINK("https://www.ncbi.nlm.nih.gov/protein/WP_132390152.1?report=genbank&amp;log$=prottop&amp;blast_rank=14&amp;RID=7U875CNM013","WP_132390152.1")</f>
        <v>WP_132390152.1</v>
      </c>
      <c r="J558" s="5" t="s">
        <v>1087</v>
      </c>
    </row>
    <row r="559" spans="1:10" s="7" customFormat="1" x14ac:dyDescent="0.2">
      <c r="A559" s="5" t="s">
        <v>3222</v>
      </c>
      <c r="B559" s="5" t="s">
        <v>3223</v>
      </c>
      <c r="C559" s="5">
        <v>1023</v>
      </c>
      <c r="D559" s="5">
        <v>1023</v>
      </c>
      <c r="E559" s="6">
        <v>0.98</v>
      </c>
      <c r="F559" s="5">
        <v>0</v>
      </c>
      <c r="G559" s="5">
        <v>62.66</v>
      </c>
      <c r="H559" s="5">
        <v>797</v>
      </c>
      <c r="I559" s="5" t="str">
        <f>HYPERLINK("https://www.ncbi.nlm.nih.gov/protein/WP_112675682.1?report=genbank&amp;log$=prottop&amp;blast_rank=15&amp;RID=7U875CNM013","WP_112675682.1")</f>
        <v>WP_112675682.1</v>
      </c>
      <c r="J559" s="5" t="s">
        <v>1087</v>
      </c>
    </row>
    <row r="560" spans="1:10" x14ac:dyDescent="0.2">
      <c r="A560" s="5" t="s">
        <v>3224</v>
      </c>
      <c r="B560" s="5" t="s">
        <v>3225</v>
      </c>
      <c r="C560" s="5">
        <v>1039</v>
      </c>
      <c r="D560" s="5">
        <v>1039</v>
      </c>
      <c r="E560" s="6">
        <v>0.99</v>
      </c>
      <c r="F560" s="5">
        <v>0</v>
      </c>
      <c r="G560" s="5">
        <v>62.63</v>
      </c>
      <c r="H560" s="5">
        <v>812</v>
      </c>
      <c r="I560" s="5" t="str">
        <f>HYPERLINK("https://www.ncbi.nlm.nih.gov/protein/WP_134126389.1?report=genbank&amp;log$=prottop&amp;blast_rank=51&amp;RID=7U875CNM013","WP_134126389.1")</f>
        <v>WP_134126389.1</v>
      </c>
      <c r="J560" s="5" t="s">
        <v>1087</v>
      </c>
    </row>
    <row r="561" spans="1:10" x14ac:dyDescent="0.2">
      <c r="A561" s="5" t="s">
        <v>3226</v>
      </c>
      <c r="B561" s="5" t="s">
        <v>3225</v>
      </c>
      <c r="C561" s="5">
        <v>1038</v>
      </c>
      <c r="D561" s="5">
        <v>1038</v>
      </c>
      <c r="E561" s="6">
        <v>0.99</v>
      </c>
      <c r="F561" s="5">
        <v>0</v>
      </c>
      <c r="G561" s="5">
        <v>62.63</v>
      </c>
      <c r="H561" s="5">
        <v>819</v>
      </c>
      <c r="I561" s="5" t="str">
        <f>HYPERLINK("https://www.ncbi.nlm.nih.gov/protein/TDW93346.1?report=genbank&amp;log$=prottop&amp;blast_rank=52&amp;RID=7U875CNM013","TDW93346.1")</f>
        <v>TDW93346.1</v>
      </c>
      <c r="J561" s="5" t="s">
        <v>1087</v>
      </c>
    </row>
    <row r="562" spans="1:10" s="7" customFormat="1" x14ac:dyDescent="0.2">
      <c r="A562" s="5" t="s">
        <v>3082</v>
      </c>
      <c r="B562" s="5" t="s">
        <v>3083</v>
      </c>
      <c r="C562" s="5">
        <v>1024</v>
      </c>
      <c r="D562" s="5">
        <v>1024</v>
      </c>
      <c r="E562" s="6">
        <v>0.98</v>
      </c>
      <c r="F562" s="5">
        <v>0</v>
      </c>
      <c r="G562" s="5">
        <v>62.61</v>
      </c>
      <c r="H562" s="5">
        <v>777</v>
      </c>
      <c r="I562" s="5" t="str">
        <f>HYPERLINK("https://www.ncbi.nlm.nih.gov/protein/NUT48036.1?report=genbank&amp;log$=prottop&amp;blast_rank=55&amp;RID=7U875CNM013","NUT48036.1")</f>
        <v>NUT48036.1</v>
      </c>
      <c r="J562" s="5" t="s">
        <v>1087</v>
      </c>
    </row>
    <row r="563" spans="1:10" s="7" customFormat="1" x14ac:dyDescent="0.2">
      <c r="A563" s="5" t="s">
        <v>3179</v>
      </c>
      <c r="B563" s="5" t="s">
        <v>3180</v>
      </c>
      <c r="C563" s="5">
        <v>1028</v>
      </c>
      <c r="D563" s="5">
        <v>1028</v>
      </c>
      <c r="E563" s="6">
        <v>0.99</v>
      </c>
      <c r="F563" s="5">
        <v>0</v>
      </c>
      <c r="G563" s="5">
        <v>62.59</v>
      </c>
      <c r="H563" s="5">
        <v>793</v>
      </c>
      <c r="I563" s="5" t="str">
        <f>HYPERLINK("https://www.ncbi.nlm.nih.gov/protein/WP_027930322.1?report=genbank&amp;log$=prottop&amp;blast_rank=77&amp;RID=7U875CNM013","WP_027930322.1")</f>
        <v>WP_027930322.1</v>
      </c>
      <c r="J563" s="5" t="s">
        <v>1087</v>
      </c>
    </row>
    <row r="564" spans="1:10" x14ac:dyDescent="0.2">
      <c r="A564" s="5" t="s">
        <v>3227</v>
      </c>
      <c r="B564" s="5" t="s">
        <v>3228</v>
      </c>
      <c r="C564" s="5">
        <v>1035</v>
      </c>
      <c r="D564" s="5">
        <v>1035</v>
      </c>
      <c r="E564" s="6">
        <v>0.98</v>
      </c>
      <c r="F564" s="5">
        <v>0</v>
      </c>
      <c r="G564" s="5">
        <v>62.58</v>
      </c>
      <c r="H564" s="5">
        <v>788</v>
      </c>
      <c r="I564" s="5" t="str">
        <f>HYPERLINK("https://www.ncbi.nlm.nih.gov/protein/WP_028281179.1?report=genbank&amp;log$=prottop&amp;blast_rank=83&amp;RID=7U875CNM013","WP_028281179.1")</f>
        <v>WP_028281179.1</v>
      </c>
      <c r="J564" s="5" t="s">
        <v>1087</v>
      </c>
    </row>
    <row r="565" spans="1:10" x14ac:dyDescent="0.2">
      <c r="A565" s="5" t="s">
        <v>3229</v>
      </c>
      <c r="B565" s="5" t="s">
        <v>3230</v>
      </c>
      <c r="C565" s="5">
        <v>1031</v>
      </c>
      <c r="D565" s="5">
        <v>1031</v>
      </c>
      <c r="E565" s="6">
        <v>0.98</v>
      </c>
      <c r="F565" s="5">
        <v>0</v>
      </c>
      <c r="G565" s="5">
        <v>62.56</v>
      </c>
      <c r="H565" s="5">
        <v>787</v>
      </c>
      <c r="I565" s="5" t="str">
        <f>HYPERLINK("https://www.ncbi.nlm.nih.gov/protein/QSB13200.1?report=genbank&amp;log$=prottop&amp;blast_rank=104&amp;RID=7U875CNM013","QSB13200.1")</f>
        <v>QSB13200.1</v>
      </c>
      <c r="J565" s="5" t="s">
        <v>1087</v>
      </c>
    </row>
    <row r="566" spans="1:10" s="7" customFormat="1" x14ac:dyDescent="0.2">
      <c r="A566" s="5" t="s">
        <v>3231</v>
      </c>
      <c r="B566" s="5" t="s">
        <v>3232</v>
      </c>
      <c r="C566" s="5">
        <v>1030</v>
      </c>
      <c r="D566" s="5">
        <v>1030</v>
      </c>
      <c r="E566" s="6">
        <v>0.98</v>
      </c>
      <c r="F566" s="5">
        <v>0</v>
      </c>
      <c r="G566" s="5">
        <v>62.55</v>
      </c>
      <c r="H566" s="5">
        <v>798</v>
      </c>
      <c r="I566" s="5" t="str">
        <f>HYPERLINK("https://www.ncbi.nlm.nih.gov/protein/WP_077085759.1?report=genbank&amp;log$=prottop&amp;blast_rank=143&amp;RID=7U875CNM013","WP_077085759.1")</f>
        <v>WP_077085759.1</v>
      </c>
      <c r="J566" s="5" t="s">
        <v>1087</v>
      </c>
    </row>
    <row r="567" spans="1:10" s="7" customFormat="1" x14ac:dyDescent="0.2">
      <c r="A567" s="5" t="s">
        <v>3233</v>
      </c>
      <c r="B567" s="5" t="s">
        <v>3234</v>
      </c>
      <c r="C567" s="5">
        <v>1024</v>
      </c>
      <c r="D567" s="5">
        <v>1024</v>
      </c>
      <c r="E567" s="6">
        <v>0.99</v>
      </c>
      <c r="F567" s="5">
        <v>0</v>
      </c>
      <c r="G567" s="5">
        <v>62.55</v>
      </c>
      <c r="H567" s="5">
        <v>792</v>
      </c>
      <c r="I567" s="5" t="str">
        <f>HYPERLINK("https://www.ncbi.nlm.nih.gov/protein/TWD81455.1?report=genbank&amp;log$=prottop&amp;blast_rank=146&amp;RID=7U875CNM013","TWD81455.1")</f>
        <v>TWD81455.1</v>
      </c>
      <c r="J567" s="5" t="s">
        <v>1087</v>
      </c>
    </row>
    <row r="568" spans="1:10" s="7" customFormat="1" x14ac:dyDescent="0.2">
      <c r="A568" s="5" t="s">
        <v>3235</v>
      </c>
      <c r="B568" s="5" t="s">
        <v>3234</v>
      </c>
      <c r="C568" s="5">
        <v>1024</v>
      </c>
      <c r="D568" s="5">
        <v>1024</v>
      </c>
      <c r="E568" s="6">
        <v>0.99</v>
      </c>
      <c r="F568" s="5">
        <v>0</v>
      </c>
      <c r="G568" s="5">
        <v>62.55</v>
      </c>
      <c r="H568" s="5">
        <v>794</v>
      </c>
      <c r="I568" s="5" t="str">
        <f>HYPERLINK("https://www.ncbi.nlm.nih.gov/protein/WP_145806311.1?report=genbank&amp;log$=prottop&amp;blast_rank=147&amp;RID=7U875CNM013","WP_145806311.1")</f>
        <v>WP_145806311.1</v>
      </c>
      <c r="J568" s="5" t="s">
        <v>1087</v>
      </c>
    </row>
    <row r="569" spans="1:10" s="7" customFormat="1" x14ac:dyDescent="0.2">
      <c r="A569" s="5" t="s">
        <v>3236</v>
      </c>
      <c r="B569" s="5" t="s">
        <v>3237</v>
      </c>
      <c r="C569" s="5">
        <v>1030</v>
      </c>
      <c r="D569" s="5">
        <v>1030</v>
      </c>
      <c r="E569" s="6">
        <v>0.98</v>
      </c>
      <c r="F569" s="5">
        <v>0</v>
      </c>
      <c r="G569" s="5">
        <v>62.53</v>
      </c>
      <c r="H569" s="5">
        <v>797</v>
      </c>
      <c r="I569" s="5" t="str">
        <f>HYPERLINK("https://www.ncbi.nlm.nih.gov/protein/WP_139584438.1?report=genbank&amp;log$=prottop&amp;blast_rank=159&amp;RID=7U875CNM013","WP_139584438.1")</f>
        <v>WP_139584438.1</v>
      </c>
      <c r="J569" s="5" t="s">
        <v>1087</v>
      </c>
    </row>
    <row r="570" spans="1:10" s="7" customFormat="1" x14ac:dyDescent="0.2">
      <c r="A570" s="5" t="s">
        <v>3238</v>
      </c>
      <c r="B570" s="5" t="s">
        <v>3239</v>
      </c>
      <c r="C570" s="5">
        <v>1030</v>
      </c>
      <c r="D570" s="5">
        <v>1030</v>
      </c>
      <c r="E570" s="6">
        <v>0.97</v>
      </c>
      <c r="F570" s="5">
        <v>0</v>
      </c>
      <c r="G570" s="5">
        <v>62.53</v>
      </c>
      <c r="H570" s="5">
        <v>797</v>
      </c>
      <c r="I570" s="5" t="str">
        <f>HYPERLINK("https://www.ncbi.nlm.nih.gov/protein/WP_141776203.1?report=genbank&amp;log$=prottop&amp;blast_rank=160&amp;RID=7U875CNM013","WP_141776203.1")</f>
        <v>WP_141776203.1</v>
      </c>
      <c r="J570" s="5" t="s">
        <v>1087</v>
      </c>
    </row>
    <row r="571" spans="1:10" s="7" customFormat="1" x14ac:dyDescent="0.2">
      <c r="A571" s="5" t="s">
        <v>3240</v>
      </c>
      <c r="B571" s="5" t="s">
        <v>3241</v>
      </c>
      <c r="C571" s="5">
        <v>1026</v>
      </c>
      <c r="D571" s="5">
        <v>1026</v>
      </c>
      <c r="E571" s="6">
        <v>0.98</v>
      </c>
      <c r="F571" s="5">
        <v>0</v>
      </c>
      <c r="G571" s="5">
        <v>62.53</v>
      </c>
      <c r="H571" s="5">
        <v>802</v>
      </c>
      <c r="I571" s="5" t="str">
        <f>HYPERLINK("https://www.ncbi.nlm.nih.gov/protein/WP_132184008.1?report=genbank&amp;log$=prottop&amp;blast_rank=161&amp;RID=7U875CNM013","WP_132184008.1")</f>
        <v>WP_132184008.1</v>
      </c>
      <c r="J571" s="5" t="s">
        <v>1087</v>
      </c>
    </row>
    <row r="572" spans="1:10" s="7" customFormat="1" x14ac:dyDescent="0.2">
      <c r="A572" s="5" t="s">
        <v>3242</v>
      </c>
      <c r="B572" s="5" t="s">
        <v>3243</v>
      </c>
      <c r="C572" s="5">
        <v>1028</v>
      </c>
      <c r="D572" s="5">
        <v>1028</v>
      </c>
      <c r="E572" s="6">
        <v>0.99</v>
      </c>
      <c r="F572" s="5">
        <v>0</v>
      </c>
      <c r="G572" s="5">
        <v>62.52</v>
      </c>
      <c r="H572" s="5">
        <v>797</v>
      </c>
      <c r="I572" s="5" t="str">
        <f>HYPERLINK("https://www.ncbi.nlm.nih.gov/protein/WP_130512917.1?report=genbank&amp;log$=prottop&amp;blast_rank=181&amp;RID=7U875CNM013","WP_130512917.1")</f>
        <v>WP_130512917.1</v>
      </c>
      <c r="J572" s="5" t="s">
        <v>1087</v>
      </c>
    </row>
    <row r="573" spans="1:10" x14ac:dyDescent="0.2">
      <c r="A573" s="5" t="s">
        <v>3244</v>
      </c>
      <c r="B573" s="5" t="s">
        <v>3245</v>
      </c>
      <c r="C573" s="5">
        <v>1038</v>
      </c>
      <c r="D573" s="5">
        <v>1038</v>
      </c>
      <c r="E573" s="6">
        <v>0.99</v>
      </c>
      <c r="F573" s="5">
        <v>0</v>
      </c>
      <c r="G573" s="5">
        <v>62.5</v>
      </c>
      <c r="H573" s="5">
        <v>812</v>
      </c>
      <c r="I573" s="5" t="str">
        <f>HYPERLINK("https://www.ncbi.nlm.nih.gov/protein/WP_134009959.1?report=genbank&amp;log$=prottop&amp;blast_rank=190&amp;RID=7U875CNM013","WP_134009959.1")</f>
        <v>WP_134009959.1</v>
      </c>
      <c r="J573" s="5" t="s">
        <v>1087</v>
      </c>
    </row>
    <row r="574" spans="1:10" s="7" customFormat="1" x14ac:dyDescent="0.2">
      <c r="A574" s="5" t="s">
        <v>3246</v>
      </c>
      <c r="B574" s="5" t="s">
        <v>3247</v>
      </c>
      <c r="C574" s="5">
        <v>1026</v>
      </c>
      <c r="D574" s="5">
        <v>1026</v>
      </c>
      <c r="E574" s="6">
        <v>0.99</v>
      </c>
      <c r="F574" s="5">
        <v>0</v>
      </c>
      <c r="G574" s="5">
        <v>62.48</v>
      </c>
      <c r="H574" s="5">
        <v>796</v>
      </c>
      <c r="I574" s="5" t="str">
        <f>HYPERLINK("https://www.ncbi.nlm.nih.gov/protein/WP_028926351.1?report=genbank&amp;log$=prottop&amp;blast_rank=197&amp;RID=7U875CNM013","WP_028926351.1")</f>
        <v>WP_028926351.1</v>
      </c>
      <c r="J574" s="5" t="s">
        <v>1087</v>
      </c>
    </row>
    <row r="575" spans="1:10" s="7" customFormat="1" x14ac:dyDescent="0.2">
      <c r="A575" s="5" t="s">
        <v>3248</v>
      </c>
      <c r="B575" s="5" t="s">
        <v>3249</v>
      </c>
      <c r="C575" s="5">
        <v>1028</v>
      </c>
      <c r="D575" s="5">
        <v>1028</v>
      </c>
      <c r="E575" s="6">
        <v>0.99</v>
      </c>
      <c r="F575" s="5">
        <v>0</v>
      </c>
      <c r="G575" s="5">
        <v>62.48</v>
      </c>
      <c r="H575" s="5">
        <v>792</v>
      </c>
      <c r="I575" s="5" t="str">
        <f>HYPERLINK("https://www.ncbi.nlm.nih.gov/protein/WP_112134268.1?report=genbank&amp;log$=prottop&amp;blast_rank=201&amp;RID=7U875CNM013","WP_112134268.1")</f>
        <v>WP_112134268.1</v>
      </c>
      <c r="J575" s="5" t="s">
        <v>1087</v>
      </c>
    </row>
    <row r="576" spans="1:10" x14ac:dyDescent="0.2">
      <c r="A576" s="5" t="s">
        <v>3250</v>
      </c>
      <c r="B576" s="5" t="s">
        <v>2411</v>
      </c>
      <c r="C576" s="5">
        <v>1034</v>
      </c>
      <c r="D576" s="5">
        <v>1034</v>
      </c>
      <c r="E576" s="6">
        <v>0.99</v>
      </c>
      <c r="F576" s="5">
        <v>0</v>
      </c>
      <c r="G576" s="5">
        <v>62.45</v>
      </c>
      <c r="H576" s="5">
        <v>789</v>
      </c>
      <c r="I576" s="5" t="str">
        <f>HYPERLINK("https://www.ncbi.nlm.nih.gov/protein/TDO51158.1?report=genbank&amp;log$=prottop&amp;blast_rank=28&amp;RID=7U875CNM013","TDO51158.1")</f>
        <v>TDO51158.1</v>
      </c>
      <c r="J576" s="5" t="s">
        <v>1087</v>
      </c>
    </row>
    <row r="577" spans="1:10" x14ac:dyDescent="0.2">
      <c r="A577" s="5" t="s">
        <v>2410</v>
      </c>
      <c r="B577" s="5" t="s">
        <v>2411</v>
      </c>
      <c r="C577" s="5">
        <v>1035</v>
      </c>
      <c r="D577" s="5">
        <v>1035</v>
      </c>
      <c r="E577" s="6">
        <v>0.99</v>
      </c>
      <c r="F577" s="5">
        <v>0</v>
      </c>
      <c r="G577" s="5">
        <v>62.42</v>
      </c>
      <c r="H577" s="5">
        <v>812</v>
      </c>
      <c r="I577" s="5" t="str">
        <f>HYPERLINK("https://www.ncbi.nlm.nih.gov/protein/WP_133789251.1?report=genbank&amp;log$=prottop&amp;blast_rank=50&amp;RID=7U875CNM013","WP_133789251.1")</f>
        <v>WP_133789251.1</v>
      </c>
      <c r="J577" s="5" t="s">
        <v>1087</v>
      </c>
    </row>
    <row r="578" spans="1:10" x14ac:dyDescent="0.2">
      <c r="A578" s="5" t="s">
        <v>3251</v>
      </c>
      <c r="B578" s="5" t="s">
        <v>3252</v>
      </c>
      <c r="C578" s="5">
        <v>1024</v>
      </c>
      <c r="D578" s="5">
        <v>1024</v>
      </c>
      <c r="E578" s="6">
        <v>0.98</v>
      </c>
      <c r="F578" s="5">
        <v>0</v>
      </c>
      <c r="G578" s="5">
        <v>62.4</v>
      </c>
      <c r="H578" s="5">
        <v>797</v>
      </c>
      <c r="I578" s="5" t="str">
        <f>HYPERLINK("https://www.ncbi.nlm.nih.gov/protein/WP_030488580.1?report=genbank&amp;log$=prottop&amp;blast_rank=67&amp;RID=7U875CNM013","WP_030488580.1")</f>
        <v>WP_030488580.1</v>
      </c>
      <c r="J578" s="5" t="s">
        <v>1087</v>
      </c>
    </row>
    <row r="579" spans="1:10" x14ac:dyDescent="0.2">
      <c r="A579" s="5" t="s">
        <v>3253</v>
      </c>
      <c r="B579" s="5" t="s">
        <v>3254</v>
      </c>
      <c r="C579" s="5">
        <v>1023</v>
      </c>
      <c r="D579" s="5">
        <v>1023</v>
      </c>
      <c r="E579" s="6">
        <v>0.98</v>
      </c>
      <c r="F579" s="5">
        <v>0</v>
      </c>
      <c r="G579" s="5">
        <v>62.39</v>
      </c>
      <c r="H579" s="5">
        <v>785</v>
      </c>
      <c r="I579" s="5" t="str">
        <f>HYPERLINK("https://www.ncbi.nlm.nih.gov/protein/WP_017586572.1?report=genbank&amp;log$=prottop&amp;blast_rank=78&amp;RID=7U875CNM013","WP_017586572.1")</f>
        <v>WP_017586572.1</v>
      </c>
      <c r="J579" s="5" t="s">
        <v>1087</v>
      </c>
    </row>
    <row r="580" spans="1:10" x14ac:dyDescent="0.2">
      <c r="A580" s="5" t="s">
        <v>3251</v>
      </c>
      <c r="B580" s="5" t="s">
        <v>3252</v>
      </c>
      <c r="C580" s="5">
        <v>1023</v>
      </c>
      <c r="D580" s="5">
        <v>1023</v>
      </c>
      <c r="E580" s="6">
        <v>0.98</v>
      </c>
      <c r="F580" s="5">
        <v>0</v>
      </c>
      <c r="G580" s="5">
        <v>62.37</v>
      </c>
      <c r="H580" s="5">
        <v>797</v>
      </c>
      <c r="I580" s="5" t="str">
        <f>HYPERLINK("https://www.ncbi.nlm.nih.gov/protein/WP_088990774.1?report=genbank&amp;log$=prottop&amp;blast_rank=95&amp;RID=7U875CNM013","WP_088990774.1")</f>
        <v>WP_088990774.1</v>
      </c>
      <c r="J580" s="5" t="s">
        <v>1087</v>
      </c>
    </row>
    <row r="581" spans="1:10" x14ac:dyDescent="0.2">
      <c r="A581" s="5" t="s">
        <v>3255</v>
      </c>
      <c r="B581" s="5" t="s">
        <v>3256</v>
      </c>
      <c r="C581" s="5">
        <v>1035</v>
      </c>
      <c r="D581" s="5">
        <v>1035</v>
      </c>
      <c r="E581" s="6">
        <v>0.98</v>
      </c>
      <c r="F581" s="5">
        <v>0</v>
      </c>
      <c r="G581" s="5">
        <v>62.34</v>
      </c>
      <c r="H581" s="5">
        <v>798</v>
      </c>
      <c r="I581" s="5" t="str">
        <f>HYPERLINK("https://www.ncbi.nlm.nih.gov/protein/WP_034713500.1?report=genbank&amp;log$=prottop&amp;blast_rank=102&amp;RID=7U875CNM013","WP_034713500.1")</f>
        <v>WP_034713500.1</v>
      </c>
      <c r="J581" s="5" t="s">
        <v>1087</v>
      </c>
    </row>
    <row r="582" spans="1:10" x14ac:dyDescent="0.2">
      <c r="A582" s="5" t="s">
        <v>3257</v>
      </c>
      <c r="B582" s="5" t="s">
        <v>3258</v>
      </c>
      <c r="C582" s="5">
        <v>1024</v>
      </c>
      <c r="D582" s="5">
        <v>1024</v>
      </c>
      <c r="E582" s="6">
        <v>0.99</v>
      </c>
      <c r="F582" s="5">
        <v>0</v>
      </c>
      <c r="G582" s="5">
        <v>62.33</v>
      </c>
      <c r="H582" s="5">
        <v>789</v>
      </c>
      <c r="I582" s="5" t="str">
        <f>HYPERLINK("https://www.ncbi.nlm.nih.gov/protein/WP_131292170.1?report=genbank&amp;log$=prottop&amp;blast_rank=113&amp;RID=7U875CNM013","WP_131292170.1")</f>
        <v>WP_131292170.1</v>
      </c>
      <c r="J582" s="5" t="s">
        <v>1087</v>
      </c>
    </row>
    <row r="583" spans="1:10" x14ac:dyDescent="0.2">
      <c r="A583" s="5" t="s">
        <v>2567</v>
      </c>
      <c r="B583" s="5" t="s">
        <v>2568</v>
      </c>
      <c r="C583" s="5">
        <v>1023</v>
      </c>
      <c r="D583" s="5">
        <v>1023</v>
      </c>
      <c r="E583" s="6">
        <v>0.98</v>
      </c>
      <c r="F583" s="5">
        <v>0</v>
      </c>
      <c r="G583" s="5">
        <v>62.29</v>
      </c>
      <c r="H583" s="5">
        <v>775</v>
      </c>
      <c r="I583" s="5" t="str">
        <f>HYPERLINK("https://www.ncbi.nlm.nih.gov/protein/WP_184917728.1?report=genbank&amp;log$=prottop&amp;blast_rank=139&amp;RID=7U875CNM013","WP_184917728.1")</f>
        <v>WP_184917728.1</v>
      </c>
      <c r="J583" s="5" t="s">
        <v>1087</v>
      </c>
    </row>
    <row r="584" spans="1:10" x14ac:dyDescent="0.2">
      <c r="A584" s="5" t="s">
        <v>3259</v>
      </c>
      <c r="B584" s="5" t="s">
        <v>3260</v>
      </c>
      <c r="C584" s="5">
        <v>1025</v>
      </c>
      <c r="D584" s="5">
        <v>1025</v>
      </c>
      <c r="E584" s="6">
        <v>0.98</v>
      </c>
      <c r="F584" s="5">
        <v>0</v>
      </c>
      <c r="G584" s="5">
        <v>62.24</v>
      </c>
      <c r="H584" s="5">
        <v>797</v>
      </c>
      <c r="I584" s="5" t="str">
        <f>HYPERLINK("https://www.ncbi.nlm.nih.gov/protein/WP_203173702.1?report=genbank&amp;log$=prottop&amp;blast_rank=12&amp;RID=7U875CNM013","WP_203173702.1")</f>
        <v>WP_203173702.1</v>
      </c>
      <c r="J584" s="5" t="s">
        <v>1087</v>
      </c>
    </row>
    <row r="585" spans="1:10" x14ac:dyDescent="0.2">
      <c r="A585" s="5" t="s">
        <v>3261</v>
      </c>
      <c r="B585" s="5" t="s">
        <v>3262</v>
      </c>
      <c r="C585" s="5">
        <v>1027</v>
      </c>
      <c r="D585" s="5">
        <v>1027</v>
      </c>
      <c r="E585" s="6">
        <v>0.99</v>
      </c>
      <c r="F585" s="5">
        <v>0</v>
      </c>
      <c r="G585" s="5">
        <v>62.23</v>
      </c>
      <c r="H585" s="5">
        <v>802</v>
      </c>
      <c r="I585" s="5" t="str">
        <f>HYPERLINK("https://www.ncbi.nlm.nih.gov/protein/WP_071082555.1?report=genbank&amp;log$=prottop&amp;blast_rank=14&amp;RID=7U875CNM013","WP_071082555.1")</f>
        <v>WP_071082555.1</v>
      </c>
      <c r="J585" s="5" t="s">
        <v>1087</v>
      </c>
    </row>
    <row r="586" spans="1:10" x14ac:dyDescent="0.2">
      <c r="A586" s="5" t="s">
        <v>1085</v>
      </c>
      <c r="B586" s="5" t="s">
        <v>1086</v>
      </c>
      <c r="C586" s="5">
        <v>1030</v>
      </c>
      <c r="D586" s="5">
        <v>1030</v>
      </c>
      <c r="E586" s="6">
        <v>0.99</v>
      </c>
      <c r="F586" s="5">
        <v>0</v>
      </c>
      <c r="G586" s="5">
        <v>62.17</v>
      </c>
      <c r="H586" s="5">
        <v>789</v>
      </c>
      <c r="I586" s="5" t="str">
        <f>HYPERLINK("https://www.ncbi.nlm.nih.gov/protein/TML90355.1?report=genbank&amp;log$=prottop&amp;blast_rank=45&amp;RID=7U875CNM013","TML90355.1")</f>
        <v>TML90355.1</v>
      </c>
      <c r="J586" s="5" t="s">
        <v>1087</v>
      </c>
    </row>
    <row r="587" spans="1:10" x14ac:dyDescent="0.2">
      <c r="A587" s="5" t="s">
        <v>3263</v>
      </c>
      <c r="B587" s="5" t="s">
        <v>3264</v>
      </c>
      <c r="C587" s="5">
        <v>1026</v>
      </c>
      <c r="D587" s="5">
        <v>1026</v>
      </c>
      <c r="E587" s="6">
        <v>0.99</v>
      </c>
      <c r="F587" s="5">
        <v>0</v>
      </c>
      <c r="G587" s="5">
        <v>62.17</v>
      </c>
      <c r="H587" s="5">
        <v>790</v>
      </c>
      <c r="I587" s="5" t="str">
        <f>HYPERLINK("https://www.ncbi.nlm.nih.gov/protein/WP_184802501.1?report=genbank&amp;log$=prottop&amp;blast_rank=46&amp;RID=7U875CNM013","WP_184802501.1")</f>
        <v>WP_184802501.1</v>
      </c>
      <c r="J587" s="5" t="s">
        <v>1087</v>
      </c>
    </row>
    <row r="588" spans="1:10" x14ac:dyDescent="0.2">
      <c r="A588" s="5" t="s">
        <v>3265</v>
      </c>
      <c r="B588" s="5" t="s">
        <v>3266</v>
      </c>
      <c r="C588" s="5">
        <v>1031</v>
      </c>
      <c r="D588" s="5">
        <v>1031</v>
      </c>
      <c r="E588" s="6">
        <v>0.98</v>
      </c>
      <c r="F588" s="5">
        <v>0</v>
      </c>
      <c r="G588" s="5">
        <v>62.15</v>
      </c>
      <c r="H588" s="5">
        <v>798</v>
      </c>
      <c r="I588" s="5" t="str">
        <f>HYPERLINK("https://www.ncbi.nlm.nih.gov/protein/WP_194896820.1?report=genbank&amp;log$=prottop&amp;blast_rank=76&amp;RID=7U875CNM013","WP_194896820.1")</f>
        <v>WP_194896820.1</v>
      </c>
      <c r="J588" s="5" t="s">
        <v>1087</v>
      </c>
    </row>
    <row r="589" spans="1:10" x14ac:dyDescent="0.2">
      <c r="A589" s="5" t="s">
        <v>3265</v>
      </c>
      <c r="B589" s="5" t="s">
        <v>3266</v>
      </c>
      <c r="C589" s="5">
        <v>1031</v>
      </c>
      <c r="D589" s="5">
        <v>1031</v>
      </c>
      <c r="E589" s="6">
        <v>0.98</v>
      </c>
      <c r="F589" s="5">
        <v>0</v>
      </c>
      <c r="G589" s="5">
        <v>62.15</v>
      </c>
      <c r="H589" s="5">
        <v>798</v>
      </c>
      <c r="I589" s="5" t="str">
        <f>HYPERLINK("https://www.ncbi.nlm.nih.gov/protein/WP_194924483.1?report=genbank&amp;log$=prottop&amp;blast_rank=77&amp;RID=7U875CNM013","WP_194924483.1")</f>
        <v>WP_194924483.1</v>
      </c>
      <c r="J589" s="5" t="s">
        <v>1087</v>
      </c>
    </row>
    <row r="590" spans="1:10" x14ac:dyDescent="0.2">
      <c r="A590" s="5" t="s">
        <v>3205</v>
      </c>
      <c r="B590" s="5" t="s">
        <v>3206</v>
      </c>
      <c r="C590" s="5">
        <v>1032</v>
      </c>
      <c r="D590" s="5">
        <v>1032</v>
      </c>
      <c r="E590" s="6">
        <v>0.98</v>
      </c>
      <c r="F590" s="5">
        <v>0</v>
      </c>
      <c r="G590" s="5">
        <v>61.9</v>
      </c>
      <c r="H590" s="5">
        <v>794</v>
      </c>
      <c r="I590" s="5" t="str">
        <f>HYPERLINK("https://www.ncbi.nlm.nih.gov/protein/NUP47115.1?report=genbank&amp;log$=prottop&amp;blast_rank=56&amp;RID=7U875CNM013","NUP47115.1")</f>
        <v>NUP47115.1</v>
      </c>
      <c r="J590" s="5" t="s">
        <v>3267</v>
      </c>
    </row>
    <row r="591" spans="1:10" x14ac:dyDescent="0.2">
      <c r="A591" s="5" t="s">
        <v>3268</v>
      </c>
      <c r="B591" s="5" t="s">
        <v>3269</v>
      </c>
      <c r="C591" s="5">
        <v>1027</v>
      </c>
      <c r="D591" s="5">
        <v>1027</v>
      </c>
      <c r="E591" s="6">
        <v>0.99</v>
      </c>
      <c r="F591" s="5">
        <v>0</v>
      </c>
      <c r="G591" s="5">
        <v>61.89</v>
      </c>
      <c r="H591" s="5">
        <v>798</v>
      </c>
      <c r="I591" s="5" t="str">
        <f>HYPERLINK("https://www.ncbi.nlm.nih.gov/protein/TDU37656.1?report=genbank&amp;log$=prottop&amp;blast_rank=65&amp;RID=7U875CNM013","TDU37656.1")</f>
        <v>TDU37656.1</v>
      </c>
      <c r="J591" s="5" t="s">
        <v>1087</v>
      </c>
    </row>
    <row r="592" spans="1:10" x14ac:dyDescent="0.2">
      <c r="A592" s="5" t="s">
        <v>2550</v>
      </c>
      <c r="B592" s="5" t="s">
        <v>2551</v>
      </c>
      <c r="C592" s="5">
        <v>1023</v>
      </c>
      <c r="D592" s="5">
        <v>1023</v>
      </c>
      <c r="E592" s="6">
        <v>0.99</v>
      </c>
      <c r="F592" s="5">
        <v>0</v>
      </c>
      <c r="G592" s="5">
        <v>61.81</v>
      </c>
      <c r="H592" s="5">
        <v>793</v>
      </c>
      <c r="I592" s="5" t="str">
        <f>HYPERLINK("https://www.ncbi.nlm.nih.gov/protein/WP_199040730.1?report=genbank&amp;log$=prottop&amp;blast_rank=102&amp;RID=7U875CNM013","WP_199040730.1")</f>
        <v>WP_199040730.1</v>
      </c>
      <c r="J592" s="5" t="s">
        <v>1087</v>
      </c>
    </row>
    <row r="593" spans="1:10" x14ac:dyDescent="0.2">
      <c r="A593" s="5" t="s">
        <v>3205</v>
      </c>
      <c r="B593" s="5" t="s">
        <v>3206</v>
      </c>
      <c r="C593" s="5">
        <v>1025</v>
      </c>
      <c r="D593" s="5">
        <v>1025</v>
      </c>
      <c r="E593" s="6">
        <v>0.98</v>
      </c>
      <c r="F593" s="5">
        <v>0</v>
      </c>
      <c r="G593" s="5">
        <v>61.77</v>
      </c>
      <c r="H593" s="5">
        <v>810</v>
      </c>
      <c r="I593" s="5" t="str">
        <f>HYPERLINK("https://www.ncbi.nlm.nih.gov/protein/NUR58931.1?report=genbank&amp;log$=prottop&amp;blast_rank=134&amp;RID=7U875CNM013","NUR58931.1")</f>
        <v>NUR58931.1</v>
      </c>
      <c r="J593" s="5" t="s">
        <v>1087</v>
      </c>
    </row>
    <row r="594" spans="1:10" x14ac:dyDescent="0.2">
      <c r="A594" s="5" t="s">
        <v>3270</v>
      </c>
      <c r="B594" s="5" t="s">
        <v>3271</v>
      </c>
      <c r="C594" s="5">
        <v>1030</v>
      </c>
      <c r="D594" s="5">
        <v>1030</v>
      </c>
      <c r="E594" s="6">
        <v>0.99</v>
      </c>
      <c r="F594" s="5">
        <v>0</v>
      </c>
      <c r="G594" s="5">
        <v>61.73</v>
      </c>
      <c r="H594" s="5">
        <v>800</v>
      </c>
      <c r="I594" s="5" t="str">
        <f>HYPERLINK("https://www.ncbi.nlm.nih.gov/protein/WP_015794781.1?report=genbank&amp;log$=prottop&amp;blast_rank=156&amp;RID=7U875CNM013","WP_015794781.1")</f>
        <v>WP_015794781.1</v>
      </c>
      <c r="J594" s="5" t="s">
        <v>1087</v>
      </c>
    </row>
    <row r="595" spans="1:10" s="11" customFormat="1" x14ac:dyDescent="0.2">
      <c r="A595" s="5" t="s">
        <v>3272</v>
      </c>
      <c r="B595" s="5" t="s">
        <v>3273</v>
      </c>
      <c r="C595" s="5">
        <v>1031</v>
      </c>
      <c r="D595" s="5">
        <v>1031</v>
      </c>
      <c r="E595" s="6">
        <v>0.98</v>
      </c>
      <c r="F595" s="5">
        <v>0</v>
      </c>
      <c r="G595" s="5">
        <v>61.27</v>
      </c>
      <c r="H595" s="5">
        <v>783</v>
      </c>
      <c r="I595" s="5" t="str">
        <f>HYPERLINK("https://www.ncbi.nlm.nih.gov/protein/WP_030433355.1?report=genbank&amp;log$=prottop&amp;blast_rank=16&amp;RID=7U875CNM013","WP_030433355.1")</f>
        <v>WP_030433355.1</v>
      </c>
      <c r="J595" s="5" t="s">
        <v>1087</v>
      </c>
    </row>
    <row r="596" spans="1:10" s="11" customFormat="1" x14ac:dyDescent="0.2">
      <c r="A596" s="5" t="s">
        <v>3274</v>
      </c>
      <c r="B596" s="5" t="s">
        <v>3273</v>
      </c>
      <c r="C596" s="5">
        <v>1031</v>
      </c>
      <c r="D596" s="5">
        <v>1031</v>
      </c>
      <c r="E596" s="6">
        <v>0.98</v>
      </c>
      <c r="F596" s="5">
        <v>0</v>
      </c>
      <c r="G596" s="5">
        <v>61.27</v>
      </c>
      <c r="H596" s="5">
        <v>787</v>
      </c>
      <c r="I596" s="5" t="str">
        <f>HYPERLINK("https://www.ncbi.nlm.nih.gov/protein/SDM42801.1?report=genbank&amp;log$=prottop&amp;blast_rank=17&amp;RID=7U875CNM013","SDM42801.1")</f>
        <v>SDM42801.1</v>
      </c>
      <c r="J596" s="5" t="s">
        <v>1087</v>
      </c>
    </row>
    <row r="597" spans="1:10" s="7" customFormat="1" x14ac:dyDescent="0.2">
      <c r="A597" s="5" t="s">
        <v>3960</v>
      </c>
      <c r="B597" s="5" t="s">
        <v>3961</v>
      </c>
      <c r="C597" s="5">
        <v>1050</v>
      </c>
      <c r="D597" s="5">
        <v>1050</v>
      </c>
      <c r="E597" s="6">
        <v>0.99</v>
      </c>
      <c r="F597" s="5">
        <v>0</v>
      </c>
      <c r="G597" s="5">
        <v>63.92</v>
      </c>
      <c r="H597" s="5">
        <v>809</v>
      </c>
      <c r="I597" s="5" t="str">
        <f>HYPERLINK("https://www.ncbi.nlm.nih.gov/protein/WP_050055041.1?report=genbank&amp;log$=prottop&amp;blast_rank=94&amp;RID=7U875CNM013","WP_050055041.1")</f>
        <v>WP_050055041.1</v>
      </c>
      <c r="J597" s="5" t="s">
        <v>1087</v>
      </c>
    </row>
    <row r="598" spans="1:10" s="7" customFormat="1" x14ac:dyDescent="0.2">
      <c r="A598" s="5" t="s">
        <v>4222</v>
      </c>
      <c r="B598" s="5" t="s">
        <v>4223</v>
      </c>
      <c r="C598" s="5">
        <v>1025</v>
      </c>
      <c r="D598" s="5">
        <v>1025</v>
      </c>
      <c r="E598" s="6">
        <v>0.98</v>
      </c>
      <c r="F598" s="5">
        <v>0</v>
      </c>
      <c r="G598" s="5">
        <v>62.64</v>
      </c>
      <c r="H598" s="5">
        <v>786</v>
      </c>
      <c r="I598" s="5" t="str">
        <f>HYPERLINK("https://www.ncbi.nlm.nih.gov/protein/HHV22925.1?report=genbank&amp;log$=prottop&amp;blast_rank=22&amp;RID=7U875CNM013","HHV22925.1")</f>
        <v>HHV22925.1</v>
      </c>
      <c r="J598" s="5" t="s">
        <v>1087</v>
      </c>
    </row>
    <row r="599" spans="1:10" s="4" customFormat="1" x14ac:dyDescent="0.2">
      <c r="A599" s="1" t="s">
        <v>1730</v>
      </c>
      <c r="B599" s="1" t="s">
        <v>1731</v>
      </c>
      <c r="C599" s="1">
        <v>1073</v>
      </c>
      <c r="D599" s="1">
        <v>1073</v>
      </c>
      <c r="E599" s="2">
        <v>0.98</v>
      </c>
      <c r="F599" s="1">
        <v>0</v>
      </c>
      <c r="G599" s="1">
        <v>65.22</v>
      </c>
      <c r="H599" s="1">
        <v>809</v>
      </c>
      <c r="I599" s="1" t="str">
        <f>HYPERLINK("https://www.ncbi.nlm.nih.gov/protein/WP_113779906.1?report=genbank&amp;log$=prottop&amp;blast_rank=106&amp;RID=7U875CNM013","WP_113779906.1")</f>
        <v>WP_113779906.1</v>
      </c>
      <c r="J599" s="1" t="s">
        <v>1087</v>
      </c>
    </row>
    <row r="600" spans="1:10" s="4" customFormat="1" x14ac:dyDescent="0.2">
      <c r="A600" s="1" t="s">
        <v>1156</v>
      </c>
      <c r="B600" s="1" t="s">
        <v>1157</v>
      </c>
      <c r="C600" s="1">
        <v>1043</v>
      </c>
      <c r="D600" s="1">
        <v>1043</v>
      </c>
      <c r="E600" s="2">
        <v>0.98</v>
      </c>
      <c r="F600" s="1">
        <v>0</v>
      </c>
      <c r="G600" s="1">
        <v>63.81</v>
      </c>
      <c r="H600" s="1">
        <v>797</v>
      </c>
      <c r="I600" s="1" t="str">
        <f>HYPERLINK("https://www.ncbi.nlm.nih.gov/protein/WP_164445480.1?report=genbank&amp;log$=prottop&amp;blast_rank=19&amp;RID=7U875CNM013","WP_164445480.1")</f>
        <v>WP_164445480.1</v>
      </c>
      <c r="J600" s="1" t="s">
        <v>1087</v>
      </c>
    </row>
    <row r="601" spans="1:10" s="4" customFormat="1" x14ac:dyDescent="0.2">
      <c r="A601" s="1" t="s">
        <v>1085</v>
      </c>
      <c r="B601" s="1" t="s">
        <v>1086</v>
      </c>
      <c r="C601" s="1">
        <v>1079</v>
      </c>
      <c r="D601" s="1">
        <v>1079</v>
      </c>
      <c r="E601" s="2">
        <v>0.98</v>
      </c>
      <c r="F601" s="1">
        <v>0</v>
      </c>
      <c r="G601" s="1">
        <v>64.12</v>
      </c>
      <c r="H601" s="1">
        <v>794</v>
      </c>
      <c r="I601" s="1" t="str">
        <f>HYPERLINK("https://www.ncbi.nlm.nih.gov/protein/MBA3717026.1?report=genbank&amp;log$=prottop&amp;blast_rank=105&amp;RID=7U875CNM013","MBA3717026.1")</f>
        <v>MBA3717026.1</v>
      </c>
      <c r="J601" s="1" t="s">
        <v>1087</v>
      </c>
    </row>
    <row r="602" spans="1:10" s="4" customFormat="1" x14ac:dyDescent="0.2">
      <c r="A602" s="1" t="s">
        <v>1203</v>
      </c>
      <c r="B602" s="1" t="s">
        <v>1204</v>
      </c>
      <c r="C602" s="1">
        <v>1035</v>
      </c>
      <c r="D602" s="1">
        <v>1035</v>
      </c>
      <c r="E602" s="2">
        <v>0.99</v>
      </c>
      <c r="F602" s="1">
        <v>0</v>
      </c>
      <c r="G602" s="1">
        <v>63.48</v>
      </c>
      <c r="H602" s="1">
        <v>813</v>
      </c>
      <c r="I602" s="1" t="str">
        <f>HYPERLINK("https://www.ncbi.nlm.nih.gov/protein/WP_084151796.1?report=genbank&amp;log$=prottop&amp;blast_rank=218&amp;RID=7U875CNM013","WP_084151796.1")</f>
        <v>WP_084151796.1</v>
      </c>
      <c r="J602" s="1" t="s">
        <v>3279</v>
      </c>
    </row>
    <row r="603" spans="1:10" s="4" customFormat="1" x14ac:dyDescent="0.2">
      <c r="A603" s="1" t="s">
        <v>1226</v>
      </c>
      <c r="B603" s="1" t="s">
        <v>1227</v>
      </c>
      <c r="C603" s="1">
        <v>1030</v>
      </c>
      <c r="D603" s="1">
        <v>1030</v>
      </c>
      <c r="E603" s="2">
        <v>0.98</v>
      </c>
      <c r="F603" s="1">
        <v>0</v>
      </c>
      <c r="G603" s="1">
        <v>63.32</v>
      </c>
      <c r="H603" s="1">
        <v>818</v>
      </c>
      <c r="I603" s="1" t="str">
        <f>HYPERLINK("https://www.ncbi.nlm.nih.gov/protein/WP_055814598.1?report=genbank&amp;log$=prottop&amp;blast_rank=127&amp;RID=7U875CNM013","WP_055814598.1")</f>
        <v>WP_055814598.1</v>
      </c>
      <c r="J603" s="1" t="s">
        <v>1087</v>
      </c>
    </row>
    <row r="604" spans="1:10" s="4" customFormat="1" x14ac:dyDescent="0.2">
      <c r="A604" s="1" t="s">
        <v>1236</v>
      </c>
      <c r="B604" s="1" t="s">
        <v>1086</v>
      </c>
      <c r="C604" s="1">
        <v>1027</v>
      </c>
      <c r="D604" s="1">
        <v>1027</v>
      </c>
      <c r="E604" s="2">
        <v>0.97</v>
      </c>
      <c r="F604" s="1">
        <v>0</v>
      </c>
      <c r="G604" s="1">
        <v>63.27</v>
      </c>
      <c r="H604" s="1">
        <v>771</v>
      </c>
      <c r="I604" s="1" t="str">
        <f>HYPERLINK("https://www.ncbi.nlm.nih.gov/protein/PZN44371.1?report=genbank&amp;log$=prottop&amp;blast_rank=196&amp;RID=7U875CNM013","PZN44371.1")</f>
        <v>PZN44371.1</v>
      </c>
      <c r="J604" s="1" t="s">
        <v>1087</v>
      </c>
    </row>
    <row r="605" spans="1:10" s="4" customFormat="1" x14ac:dyDescent="0.2">
      <c r="A605" s="1" t="s">
        <v>1237</v>
      </c>
      <c r="B605" s="1" t="s">
        <v>1238</v>
      </c>
      <c r="C605" s="1">
        <v>1038</v>
      </c>
      <c r="D605" s="1">
        <v>1038</v>
      </c>
      <c r="E605" s="2">
        <v>0.99</v>
      </c>
      <c r="F605" s="1">
        <v>0</v>
      </c>
      <c r="G605" s="1">
        <v>63.26</v>
      </c>
      <c r="H605" s="1">
        <v>808</v>
      </c>
      <c r="I605" s="1" t="str">
        <f>HYPERLINK("https://www.ncbi.nlm.nih.gov/protein/MBO0846311.1?report=genbank&amp;log$=prottop&amp;blast_rank=222&amp;RID=7U875CNM013","MBO0846311.1")</f>
        <v>MBO0846311.1</v>
      </c>
      <c r="J605" s="1" t="s">
        <v>1087</v>
      </c>
    </row>
    <row r="606" spans="1:10" s="4" customFormat="1" x14ac:dyDescent="0.2">
      <c r="A606" s="1" t="s">
        <v>2289</v>
      </c>
      <c r="B606" s="1" t="s">
        <v>2290</v>
      </c>
      <c r="C606" s="1">
        <v>1025</v>
      </c>
      <c r="D606" s="1">
        <v>1025</v>
      </c>
      <c r="E606" s="2">
        <v>0.98</v>
      </c>
      <c r="F606" s="1">
        <v>0</v>
      </c>
      <c r="G606" s="1">
        <v>63.71</v>
      </c>
      <c r="H606" s="1">
        <v>804</v>
      </c>
      <c r="I606" s="1" t="str">
        <f>HYPERLINK("https://www.ncbi.nlm.nih.gov/protein/WP_159929608.1?report=genbank&amp;log$=prottop&amp;blast_rank=160&amp;RID=7U875CNM013","WP_159929608.1")</f>
        <v>WP_159929608.1</v>
      </c>
      <c r="J606" s="1" t="s">
        <v>1087</v>
      </c>
    </row>
    <row r="607" spans="1:10" s="7" customFormat="1" x14ac:dyDescent="0.2">
      <c r="A607" s="5" t="s">
        <v>4178</v>
      </c>
      <c r="B607" s="5" t="s">
        <v>4179</v>
      </c>
      <c r="C607" s="5">
        <v>1023</v>
      </c>
      <c r="D607" s="5">
        <v>1023</v>
      </c>
      <c r="E607" s="6">
        <v>1</v>
      </c>
      <c r="F607" s="5">
        <v>0</v>
      </c>
      <c r="G607" s="5">
        <v>62.72</v>
      </c>
      <c r="H607" s="5">
        <v>797</v>
      </c>
      <c r="I607" s="5" t="str">
        <f>HYPERLINK("https://www.ncbi.nlm.nih.gov/protein/WP_011719357.1?report=genbank&amp;log$=prottop&amp;blast_rank=165&amp;RID=7U875CNM013","WP_011719357.1")</f>
        <v>WP_011719357.1</v>
      </c>
      <c r="J607" s="5" t="s">
        <v>1087</v>
      </c>
    </row>
    <row r="608" spans="1:10" s="7" customFormat="1" x14ac:dyDescent="0.2">
      <c r="A608" s="5" t="s">
        <v>4178</v>
      </c>
      <c r="B608" s="5" t="s">
        <v>4179</v>
      </c>
      <c r="C608" s="5">
        <v>1023</v>
      </c>
      <c r="D608" s="5">
        <v>1023</v>
      </c>
      <c r="E608" s="6">
        <v>1</v>
      </c>
      <c r="F608" s="5">
        <v>0</v>
      </c>
      <c r="G608" s="5">
        <v>62.72</v>
      </c>
      <c r="H608" s="5">
        <v>797</v>
      </c>
      <c r="I608" s="5" t="str">
        <f>HYPERLINK("https://www.ncbi.nlm.nih.gov/protein/WP_011719357.1?report=genbank&amp;log$=prottop&amp;blast_rank=165&amp;RID=7U875CNM013","WP_011719357.1")</f>
        <v>WP_011719357.1</v>
      </c>
      <c r="J608" s="5" t="s">
        <v>854</v>
      </c>
    </row>
  </sheetData>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B20" sqref="B20"/>
    </sheetView>
  </sheetViews>
  <sheetFormatPr baseColWidth="10" defaultRowHeight="16" x14ac:dyDescent="0.2"/>
  <cols>
    <col min="1" max="1" width="57.1640625" style="33" customWidth="1"/>
    <col min="2" max="2" width="57.83203125" style="33" customWidth="1"/>
    <col min="3" max="8" width="10.83203125" style="33"/>
    <col min="9" max="9" width="31.5" style="33" customWidth="1"/>
    <col min="10" max="11" width="10.83203125" style="33"/>
  </cols>
  <sheetData>
    <row r="1" spans="1:10" s="3" customFormat="1" x14ac:dyDescent="0.2">
      <c r="A1" s="3" t="s">
        <v>5</v>
      </c>
      <c r="B1" s="3" t="s">
        <v>6</v>
      </c>
      <c r="C1" s="3" t="s">
        <v>7</v>
      </c>
      <c r="D1" s="3" t="s">
        <v>8</v>
      </c>
      <c r="E1" s="3" t="s">
        <v>9</v>
      </c>
      <c r="F1" s="3" t="s">
        <v>10</v>
      </c>
      <c r="G1" s="3" t="s">
        <v>11</v>
      </c>
      <c r="H1" s="3" t="s">
        <v>12</v>
      </c>
      <c r="I1" s="3" t="s">
        <v>13</v>
      </c>
      <c r="J1" s="1"/>
    </row>
    <row r="2" spans="1:10" s="4" customFormat="1" x14ac:dyDescent="0.2">
      <c r="A2" s="1" t="s">
        <v>1721</v>
      </c>
      <c r="B2" s="1" t="s">
        <v>1722</v>
      </c>
      <c r="C2" s="1">
        <v>1101</v>
      </c>
      <c r="D2" s="1">
        <v>1101</v>
      </c>
      <c r="E2" s="2">
        <v>0.98</v>
      </c>
      <c r="F2" s="1">
        <v>0</v>
      </c>
      <c r="G2" s="1">
        <v>65.430000000000007</v>
      </c>
      <c r="H2" s="1">
        <v>814</v>
      </c>
      <c r="I2" s="1" t="str">
        <f>HYPERLINK("https://www.ncbi.nlm.nih.gov/protein/KAF2267372.1?report=genbank&amp;log$=prottop&amp;blast_rank=19&amp;RID=7U875CNM013","KAF2267372.1")</f>
        <v>KAF2267372.1</v>
      </c>
      <c r="J2" s="1" t="s">
        <v>1723</v>
      </c>
    </row>
    <row r="3" spans="1:10" s="4" customFormat="1" x14ac:dyDescent="0.2">
      <c r="A3" s="1" t="s">
        <v>1760</v>
      </c>
      <c r="B3" s="1" t="s">
        <v>1761</v>
      </c>
      <c r="C3" s="1">
        <v>1101</v>
      </c>
      <c r="D3" s="1">
        <v>1101</v>
      </c>
      <c r="E3" s="2">
        <v>0.98</v>
      </c>
      <c r="F3" s="1">
        <v>0</v>
      </c>
      <c r="G3" s="1">
        <v>64.84</v>
      </c>
      <c r="H3" s="1">
        <v>814</v>
      </c>
      <c r="I3" s="1" t="str">
        <f>HYPERLINK("https://www.ncbi.nlm.nih.gov/protein/XP_033675732.1?report=genbank&amp;log$=prottop&amp;blast_rank=38&amp;RID=7U875CNM013","XP_033675732.1")</f>
        <v>XP_033675732.1</v>
      </c>
      <c r="J3" s="1" t="s">
        <v>1723</v>
      </c>
    </row>
    <row r="4" spans="1:10" s="4" customFormat="1" x14ac:dyDescent="0.2">
      <c r="A4" s="1" t="s">
        <v>1870</v>
      </c>
      <c r="B4" s="1" t="s">
        <v>1871</v>
      </c>
      <c r="C4" s="1">
        <v>1097</v>
      </c>
      <c r="D4" s="1">
        <v>1097</v>
      </c>
      <c r="E4" s="2">
        <v>0.99</v>
      </c>
      <c r="F4" s="1">
        <v>0</v>
      </c>
      <c r="G4" s="1">
        <v>63.98</v>
      </c>
      <c r="H4" s="1">
        <v>811</v>
      </c>
      <c r="I4" s="1" t="str">
        <f>HYPERLINK("https://www.ncbi.nlm.nih.gov/protein/XP_009159227.1?report=genbank&amp;log$=prottop&amp;blast_rank=35&amp;RID=7U875CNM013","XP_009159227.1")</f>
        <v>XP_009159227.1</v>
      </c>
      <c r="J4" s="1" t="s">
        <v>1723</v>
      </c>
    </row>
    <row r="5" spans="1:10" s="4" customFormat="1" x14ac:dyDescent="0.2">
      <c r="A5" s="1" t="s">
        <v>1879</v>
      </c>
      <c r="B5" s="1" t="s">
        <v>1880</v>
      </c>
      <c r="C5" s="1">
        <v>1083</v>
      </c>
      <c r="D5" s="1">
        <v>1083</v>
      </c>
      <c r="E5" s="2">
        <v>0.98</v>
      </c>
      <c r="F5" s="1">
        <v>0</v>
      </c>
      <c r="G5" s="1">
        <v>63.9</v>
      </c>
      <c r="H5" s="1">
        <v>814</v>
      </c>
      <c r="I5" s="1" t="str">
        <f>HYPERLINK("https://www.ncbi.nlm.nih.gov/protein/KAF2007887.1?report=genbank&amp;log$=prottop&amp;blast_rank=118&amp;RID=7U875CNM013","KAF2007887.1")</f>
        <v>KAF2007887.1</v>
      </c>
      <c r="J5" s="1" t="s">
        <v>1723</v>
      </c>
    </row>
    <row r="6" spans="1:10" s="4" customFormat="1" ht="15" customHeight="1" x14ac:dyDescent="0.2">
      <c r="A6" s="1" t="s">
        <v>1962</v>
      </c>
      <c r="B6" s="1" t="s">
        <v>1963</v>
      </c>
      <c r="C6" s="1">
        <v>1078</v>
      </c>
      <c r="D6" s="1">
        <v>1078</v>
      </c>
      <c r="E6" s="2">
        <v>0.98</v>
      </c>
      <c r="F6" s="1">
        <v>0</v>
      </c>
      <c r="G6" s="1">
        <v>63.49</v>
      </c>
      <c r="H6" s="1">
        <v>811</v>
      </c>
      <c r="I6" s="1" t="str">
        <f>HYPERLINK("https://www.ncbi.nlm.nih.gov/protein/XP_007722306.1?report=genbank&amp;log$=prottop&amp;blast_rank=197&amp;RID=7U875CNM013","XP_007722306.1")</f>
        <v>XP_007722306.1</v>
      </c>
      <c r="J6" s="1" t="s">
        <v>1723</v>
      </c>
    </row>
    <row r="7" spans="1:10" s="4" customFormat="1" x14ac:dyDescent="0.2">
      <c r="A7" s="1" t="s">
        <v>1980</v>
      </c>
      <c r="B7" s="1" t="s">
        <v>1981</v>
      </c>
      <c r="C7" s="1">
        <v>1080</v>
      </c>
      <c r="D7" s="1">
        <v>1080</v>
      </c>
      <c r="E7" s="2">
        <v>0.98</v>
      </c>
      <c r="F7" s="1">
        <v>0</v>
      </c>
      <c r="G7" s="1">
        <v>63.39</v>
      </c>
      <c r="H7" s="1">
        <v>821</v>
      </c>
      <c r="I7" s="1" t="str">
        <f>HYPERLINK("https://www.ncbi.nlm.nih.gov/protein/XP_033574715.1?report=genbank&amp;log$=prottop&amp;blast_rank=69&amp;RID=7U875CNM013","XP_033574715.1")</f>
        <v>XP_033574715.1</v>
      </c>
      <c r="J7" s="1" t="s">
        <v>1723</v>
      </c>
    </row>
    <row r="8" spans="1:10" s="4" customFormat="1" x14ac:dyDescent="0.2">
      <c r="A8" s="1" t="s">
        <v>2049</v>
      </c>
      <c r="B8" s="1" t="s">
        <v>2050</v>
      </c>
      <c r="C8" s="1">
        <v>1067</v>
      </c>
      <c r="D8" s="1">
        <v>1067</v>
      </c>
      <c r="E8" s="2">
        <v>0.98</v>
      </c>
      <c r="F8" s="1">
        <v>0</v>
      </c>
      <c r="G8" s="1">
        <v>63.04</v>
      </c>
      <c r="H8" s="1">
        <v>839</v>
      </c>
      <c r="I8" s="1" t="str">
        <f>HYPERLINK("https://www.ncbi.nlm.nih.gov/protein/XP_007002465.1?report=genbank&amp;log$=prottop&amp;blast_rank=42&amp;RID=7U875CNM013","XP_007002465.1")</f>
        <v>XP_007002465.1</v>
      </c>
      <c r="J8" s="1" t="s">
        <v>1723</v>
      </c>
    </row>
    <row r="9" spans="1:10" s="4" customFormat="1" x14ac:dyDescent="0.2">
      <c r="A9" s="1" t="s">
        <v>2057</v>
      </c>
      <c r="B9" s="1" t="s">
        <v>2058</v>
      </c>
      <c r="C9" s="1">
        <v>1083</v>
      </c>
      <c r="D9" s="1">
        <v>1083</v>
      </c>
      <c r="E9" s="2">
        <v>0.98</v>
      </c>
      <c r="F9" s="1">
        <v>0</v>
      </c>
      <c r="G9" s="1">
        <v>63.01</v>
      </c>
      <c r="H9" s="1">
        <v>816</v>
      </c>
      <c r="I9" s="1" t="str">
        <f>HYPERLINK("https://www.ncbi.nlm.nih.gov/protein/KAF2205034.1?report=genbank&amp;log$=prottop&amp;blast_rank=95&amp;RID=7U875CNM013","KAF2205034.1")</f>
        <v>KAF2205034.1</v>
      </c>
      <c r="J9" s="1" t="s">
        <v>1723</v>
      </c>
    </row>
    <row r="10" spans="1:10" s="4" customFormat="1" x14ac:dyDescent="0.2">
      <c r="A10" s="1" t="s">
        <v>2067</v>
      </c>
      <c r="B10" s="1" t="s">
        <v>2068</v>
      </c>
      <c r="C10" s="1">
        <v>1091</v>
      </c>
      <c r="D10" s="1">
        <v>1091</v>
      </c>
      <c r="E10" s="2">
        <v>0.99</v>
      </c>
      <c r="F10" s="1">
        <v>0</v>
      </c>
      <c r="G10" s="1">
        <v>62.97</v>
      </c>
      <c r="H10" s="1">
        <v>811</v>
      </c>
      <c r="I10" s="1" t="str">
        <f>HYPERLINK("https://www.ncbi.nlm.nih.gov/protein/XP_013267806.1?report=genbank&amp;log$=prottop&amp;blast_rank=147&amp;RID=7U875CNM013","XP_013267806.1")</f>
        <v>XP_013267806.1</v>
      </c>
      <c r="J10" s="1" t="s">
        <v>1723</v>
      </c>
    </row>
    <row r="11" spans="1:10" s="33" customFormat="1" x14ac:dyDescent="0.2">
      <c r="A11" s="1" t="s">
        <v>2154</v>
      </c>
      <c r="B11" s="1" t="s">
        <v>2155</v>
      </c>
      <c r="C11" s="1">
        <v>1048</v>
      </c>
      <c r="D11" s="1">
        <v>1048</v>
      </c>
      <c r="E11" s="2">
        <v>0.98</v>
      </c>
      <c r="F11" s="1">
        <v>0</v>
      </c>
      <c r="G11" s="1">
        <v>62.12</v>
      </c>
      <c r="H11" s="1">
        <v>813</v>
      </c>
      <c r="I11" s="1" t="str">
        <f>HYPERLINK("https://www.ncbi.nlm.nih.gov/protein/XP_024673765.1?report=genbank&amp;log$=prottop&amp;blast_rank=92&amp;RID=7U875CNM013","XP_024673765.1")</f>
        <v>XP_024673765.1</v>
      </c>
      <c r="J11" s="1" t="s">
        <v>1723</v>
      </c>
    </row>
    <row r="12" spans="1:10" s="4" customFormat="1" x14ac:dyDescent="0.2">
      <c r="A12" s="1" t="s">
        <v>2166</v>
      </c>
      <c r="B12" s="1" t="s">
        <v>2167</v>
      </c>
      <c r="C12" s="1">
        <v>1062</v>
      </c>
      <c r="D12" s="1">
        <v>1062</v>
      </c>
      <c r="E12" s="2">
        <v>0.98</v>
      </c>
      <c r="F12" s="1">
        <v>0</v>
      </c>
      <c r="G12" s="1">
        <v>61.78</v>
      </c>
      <c r="H12" s="1">
        <v>838</v>
      </c>
      <c r="I12" s="1" t="str">
        <f>HYPERLINK("https://www.ncbi.nlm.nih.gov/protein/KIR44508.1?report=genbank&amp;log$=prottop&amp;blast_rank=112&amp;RID=7U875CNM013","KIR44508.1")</f>
        <v>KIR44508.1</v>
      </c>
      <c r="J12" s="1" t="s">
        <v>1723</v>
      </c>
    </row>
    <row r="13" spans="1:10" s="4" customFormat="1" x14ac:dyDescent="0.2">
      <c r="A13" s="1" t="s">
        <v>2168</v>
      </c>
      <c r="B13" s="1" t="s">
        <v>2169</v>
      </c>
      <c r="C13" s="1">
        <v>1061</v>
      </c>
      <c r="D13" s="1">
        <v>1061</v>
      </c>
      <c r="E13" s="2">
        <v>0.98</v>
      </c>
      <c r="F13" s="1">
        <v>0</v>
      </c>
      <c r="G13" s="1">
        <v>61.78</v>
      </c>
      <c r="H13" s="1">
        <v>838</v>
      </c>
      <c r="I13" s="1" t="str">
        <f>HYPERLINK("https://www.ncbi.nlm.nih.gov/protein/KIR57564.1?report=genbank&amp;log$=prottop&amp;blast_rank=113&amp;RID=7U875CNM013","KIR57564.1")</f>
        <v>KIR57564.1</v>
      </c>
      <c r="J13" s="1" t="s">
        <v>1723</v>
      </c>
    </row>
    <row r="14" spans="1:10" s="4" customFormat="1" x14ac:dyDescent="0.2">
      <c r="A14" s="1" t="s">
        <v>2170</v>
      </c>
      <c r="B14" s="1" t="s">
        <v>2171</v>
      </c>
      <c r="C14" s="1">
        <v>1059</v>
      </c>
      <c r="D14" s="1">
        <v>1059</v>
      </c>
      <c r="E14" s="2">
        <v>0.98</v>
      </c>
      <c r="F14" s="1">
        <v>0</v>
      </c>
      <c r="G14" s="1">
        <v>61.78</v>
      </c>
      <c r="H14" s="1">
        <v>842</v>
      </c>
      <c r="I14" s="1" t="str">
        <f>HYPERLINK("https://www.ncbi.nlm.nih.gov/protein/KIR51125.1?report=genbank&amp;log$=prottop&amp;blast_rank=114&amp;RID=7U875CNM013","KIR51125.1")</f>
        <v>KIR51125.1</v>
      </c>
      <c r="J14" s="1" t="s">
        <v>1723</v>
      </c>
    </row>
    <row r="15" spans="1:10" s="4" customFormat="1" x14ac:dyDescent="0.2">
      <c r="A15" s="1" t="s">
        <v>2172</v>
      </c>
      <c r="B15" s="1" t="s">
        <v>2173</v>
      </c>
      <c r="C15" s="1">
        <v>1058</v>
      </c>
      <c r="D15" s="1">
        <v>1058</v>
      </c>
      <c r="E15" s="2">
        <v>0.98</v>
      </c>
      <c r="F15" s="1">
        <v>0</v>
      </c>
      <c r="G15" s="1">
        <v>61.78</v>
      </c>
      <c r="H15" s="1">
        <v>842</v>
      </c>
      <c r="I15" s="1" t="str">
        <f>HYPERLINK("https://www.ncbi.nlm.nih.gov/protein/KIY30858.1?report=genbank&amp;log$=prottop&amp;blast_rank=115&amp;RID=7U875CNM013","KIY30858.1")</f>
        <v>KIY30858.1</v>
      </c>
      <c r="J15" s="1" t="s">
        <v>1723</v>
      </c>
    </row>
    <row r="16" spans="1:10" s="33" customFormat="1" x14ac:dyDescent="0.2">
      <c r="A16" s="1" t="s">
        <v>2174</v>
      </c>
      <c r="B16" s="1" t="s">
        <v>2175</v>
      </c>
      <c r="C16" s="1">
        <v>1073</v>
      </c>
      <c r="D16" s="1">
        <v>1073</v>
      </c>
      <c r="E16" s="2">
        <v>0.98</v>
      </c>
      <c r="F16" s="1">
        <v>0</v>
      </c>
      <c r="G16" s="1">
        <v>62.17</v>
      </c>
      <c r="H16" s="1">
        <v>834</v>
      </c>
      <c r="I16" s="1" t="str">
        <f>HYPERLINK("https://www.ncbi.nlm.nih.gov/protein/XP_567776.1?report=genbank&amp;log$=prottop&amp;blast_rank=1&amp;RID=90NJMG2N013","XP_567776.1")</f>
        <v>XP_567776.1</v>
      </c>
      <c r="J16" s="1" t="s">
        <v>1723</v>
      </c>
    </row>
    <row r="17" spans="1:11" s="33" customFormat="1" x14ac:dyDescent="0.2">
      <c r="A17" s="1" t="s">
        <v>2176</v>
      </c>
      <c r="B17" s="1" t="s">
        <v>2177</v>
      </c>
      <c r="C17" s="1">
        <v>1072</v>
      </c>
      <c r="D17" s="1">
        <v>1072</v>
      </c>
      <c r="E17" s="2">
        <v>0.98</v>
      </c>
      <c r="F17" s="1">
        <v>0</v>
      </c>
      <c r="G17" s="1">
        <v>62.17</v>
      </c>
      <c r="H17" s="1">
        <v>834</v>
      </c>
      <c r="I17" s="1" t="str">
        <f>HYPERLINK("https://www.ncbi.nlm.nih.gov/protein/XP_772632.1?report=genbank&amp;log$=prottop&amp;blast_rank=2&amp;RID=90NJMG2N013","XP_772632.1")</f>
        <v>XP_772632.1</v>
      </c>
      <c r="J17" s="1" t="s">
        <v>1723</v>
      </c>
    </row>
    <row r="18" spans="1:11" s="33" customFormat="1" x14ac:dyDescent="0.2">
      <c r="A18" s="1" t="s">
        <v>2178</v>
      </c>
      <c r="B18" s="1" t="s">
        <v>2179</v>
      </c>
      <c r="C18" s="1">
        <v>1072</v>
      </c>
      <c r="D18" s="1">
        <v>1072</v>
      </c>
      <c r="E18" s="2">
        <v>0.98</v>
      </c>
      <c r="F18" s="1">
        <v>0</v>
      </c>
      <c r="G18" s="1">
        <v>62.17</v>
      </c>
      <c r="H18" s="1">
        <v>834</v>
      </c>
      <c r="I18" s="1" t="str">
        <f>HYPERLINK("https://www.ncbi.nlm.nih.gov/protein/OWZ64871.1?report=genbank&amp;log$=prottop&amp;blast_rank=3&amp;RID=90NJMG2N013","OWZ64871.1")</f>
        <v>OWZ64871.1</v>
      </c>
      <c r="J18" s="1" t="s">
        <v>1723</v>
      </c>
    </row>
    <row r="19" spans="1:11" s="33" customFormat="1" x14ac:dyDescent="0.2">
      <c r="A19" s="1" t="s">
        <v>2180</v>
      </c>
      <c r="B19" s="1" t="s">
        <v>2181</v>
      </c>
      <c r="C19" s="1">
        <v>1072</v>
      </c>
      <c r="D19" s="1">
        <v>1072</v>
      </c>
      <c r="E19" s="2">
        <v>0.98</v>
      </c>
      <c r="F19" s="1">
        <v>0</v>
      </c>
      <c r="G19" s="1">
        <v>62.04</v>
      </c>
      <c r="H19" s="1">
        <v>834</v>
      </c>
      <c r="I19" s="1" t="str">
        <f>HYPERLINK("https://www.ncbi.nlm.nih.gov/protein/OXG51936.1?report=genbank&amp;log$=prottop&amp;blast_rank=4&amp;RID=90NJMG2N013","OXG51936.1")</f>
        <v>OXG51936.1</v>
      </c>
      <c r="J19" s="1" t="s">
        <v>1723</v>
      </c>
    </row>
    <row r="20" spans="1:11" s="33" customFormat="1" x14ac:dyDescent="0.2">
      <c r="A20" s="1" t="s">
        <v>2182</v>
      </c>
      <c r="B20" s="1" t="s">
        <v>2183</v>
      </c>
      <c r="C20" s="1">
        <v>1072</v>
      </c>
      <c r="D20" s="1">
        <v>1072</v>
      </c>
      <c r="E20" s="2">
        <v>0.98</v>
      </c>
      <c r="F20" s="1">
        <v>0</v>
      </c>
      <c r="G20" s="1">
        <v>62.04</v>
      </c>
      <c r="H20" s="1">
        <v>834</v>
      </c>
      <c r="I20" s="1" t="str">
        <f>HYPERLINK("https://www.ncbi.nlm.nih.gov/protein/XP_012048352.1?report=genbank&amp;log$=prottop&amp;blast_rank=5&amp;RID=90NJMG2N013","XP_012048352.1")</f>
        <v>XP_012048352.1</v>
      </c>
      <c r="J20" s="1" t="s">
        <v>1723</v>
      </c>
    </row>
    <row r="21" spans="1:11" s="33" customFormat="1" x14ac:dyDescent="0.2">
      <c r="A21" s="1" t="s">
        <v>2184</v>
      </c>
      <c r="B21" s="1" t="s">
        <v>2179</v>
      </c>
      <c r="C21" s="1">
        <v>1072</v>
      </c>
      <c r="D21" s="1">
        <v>1072</v>
      </c>
      <c r="E21" s="2">
        <v>0.98</v>
      </c>
      <c r="F21" s="1">
        <v>0</v>
      </c>
      <c r="G21" s="1">
        <v>62.17</v>
      </c>
      <c r="H21" s="1">
        <v>889</v>
      </c>
      <c r="I21" s="1" t="str">
        <f>HYPERLINK("https://www.ncbi.nlm.nih.gov/protein/OXC65605.1?report=genbank&amp;log$=prottop&amp;blast_rank=6&amp;RID=90NJMG2N013","OXC65605.1")</f>
        <v>OXC65605.1</v>
      </c>
      <c r="J21" s="1" t="s">
        <v>1723</v>
      </c>
    </row>
    <row r="22" spans="1:11" s="33" customFormat="1" x14ac:dyDescent="0.2">
      <c r="A22" s="1" t="s">
        <v>2185</v>
      </c>
      <c r="B22" s="1" t="s">
        <v>2186</v>
      </c>
      <c r="C22" s="1">
        <v>1071</v>
      </c>
      <c r="D22" s="1">
        <v>1071</v>
      </c>
      <c r="E22" s="2">
        <v>0.98</v>
      </c>
      <c r="F22" s="1">
        <v>0</v>
      </c>
      <c r="G22" s="1">
        <v>62.04</v>
      </c>
      <c r="H22" s="1">
        <v>834</v>
      </c>
      <c r="I22" s="1" t="str">
        <f>HYPERLINK("https://www.ncbi.nlm.nih.gov/protein/OWT40626.1?report=genbank&amp;log$=prottop&amp;blast_rank=7&amp;RID=90NJMG2N013","OWT40626.1")</f>
        <v>OWT40626.1</v>
      </c>
      <c r="J22" s="1" t="s">
        <v>1723</v>
      </c>
    </row>
    <row r="23" spans="1:11" s="33" customFormat="1" x14ac:dyDescent="0.2">
      <c r="A23" s="1" t="s">
        <v>2187</v>
      </c>
      <c r="B23" s="1" t="s">
        <v>2179</v>
      </c>
      <c r="C23" s="1">
        <v>1070</v>
      </c>
      <c r="D23" s="1">
        <v>1070</v>
      </c>
      <c r="E23" s="2">
        <v>0.98</v>
      </c>
      <c r="F23" s="1">
        <v>0</v>
      </c>
      <c r="G23" s="1">
        <v>61.91</v>
      </c>
      <c r="H23" s="1">
        <v>834</v>
      </c>
      <c r="I23" s="1" t="str">
        <f>HYPERLINK("https://www.ncbi.nlm.nih.gov/protein/OXB38196.1?report=genbank&amp;log$=prottop&amp;blast_rank=8&amp;RID=90NJMG2N013","OXB38196.1")</f>
        <v>OXB38196.1</v>
      </c>
      <c r="J23" s="1" t="s">
        <v>1723</v>
      </c>
    </row>
    <row r="24" spans="1:11" s="33" customFormat="1" x14ac:dyDescent="0.2">
      <c r="A24" s="1" t="s">
        <v>2188</v>
      </c>
      <c r="B24" s="1" t="s">
        <v>2189</v>
      </c>
      <c r="C24" s="1">
        <v>1067</v>
      </c>
      <c r="D24" s="1">
        <v>1067</v>
      </c>
      <c r="E24" s="2">
        <v>0.98</v>
      </c>
      <c r="F24" s="1">
        <v>0</v>
      </c>
      <c r="G24" s="1">
        <v>61.78</v>
      </c>
      <c r="H24" s="1">
        <v>834</v>
      </c>
      <c r="I24" s="1" t="str">
        <f>HYPERLINK("https://www.ncbi.nlm.nih.gov/protein/OWZ52886.1?report=genbank&amp;log$=prottop&amp;blast_rank=9&amp;RID=90NJMG2N013","OWZ52886.1")</f>
        <v>OWZ52886.1</v>
      </c>
      <c r="J24" s="1" t="s">
        <v>1723</v>
      </c>
    </row>
    <row r="25" spans="1:11" s="3" customFormat="1" x14ac:dyDescent="0.2">
      <c r="A25" s="1" t="s">
        <v>2193</v>
      </c>
      <c r="B25" s="1" t="s">
        <v>2194</v>
      </c>
      <c r="C25" s="1">
        <v>1029</v>
      </c>
      <c r="D25" s="1">
        <v>1029</v>
      </c>
      <c r="E25" s="2">
        <v>0.98</v>
      </c>
      <c r="F25" s="1">
        <v>0</v>
      </c>
      <c r="G25" s="1">
        <v>61.48</v>
      </c>
      <c r="H25" s="1">
        <v>828</v>
      </c>
      <c r="I25" s="1" t="str">
        <f>HYPERLINK("https://www.ncbi.nlm.nih.gov/protein/KAF3025032.1?report=genbank&amp;log$=prottop&amp;blast_rank=44&amp;RID=7U875CNM013","KAF3025032.1")</f>
        <v>KAF3025032.1</v>
      </c>
      <c r="J25" s="1" t="s">
        <v>2195</v>
      </c>
    </row>
    <row r="26" spans="1:11" s="3" customFormat="1" x14ac:dyDescent="0.2">
      <c r="A26" s="1" t="s">
        <v>2196</v>
      </c>
      <c r="B26" s="1" t="s">
        <v>2197</v>
      </c>
      <c r="C26" s="1">
        <v>1029</v>
      </c>
      <c r="D26" s="1">
        <v>1029</v>
      </c>
      <c r="E26" s="2">
        <v>0.98</v>
      </c>
      <c r="F26" s="1">
        <v>0</v>
      </c>
      <c r="G26" s="1">
        <v>61.48</v>
      </c>
      <c r="H26" s="1">
        <v>828</v>
      </c>
      <c r="I26" s="1" t="str">
        <f>HYPERLINK("https://www.ncbi.nlm.nih.gov/protein/KAF7515066.1?report=genbank&amp;log$=prottop&amp;blast_rank=46&amp;RID=7U875CNM013","KAF7515066.1")</f>
        <v>KAF7515066.1</v>
      </c>
      <c r="J26" s="1" t="s">
        <v>2195</v>
      </c>
    </row>
    <row r="27" spans="1:11" s="1" customFormat="1" x14ac:dyDescent="0.2">
      <c r="A27" s="1" t="s">
        <v>2198</v>
      </c>
      <c r="B27" s="1" t="s">
        <v>2199</v>
      </c>
      <c r="C27" s="1">
        <v>1025</v>
      </c>
      <c r="D27" s="1">
        <v>1025</v>
      </c>
      <c r="E27" s="2">
        <v>0.98</v>
      </c>
      <c r="F27" s="1">
        <v>0</v>
      </c>
      <c r="G27" s="1">
        <v>61.35</v>
      </c>
      <c r="H27" s="1">
        <v>828</v>
      </c>
      <c r="I27" s="36" t="str">
        <f>HYPERLINK("https://www.ncbi.nlm.nih.gov/protein/XP_007841480.1?report=genbank&amp;log$=prottop&amp;blast_rank=94&amp;RID=7U875CNM013","XP_007841480.1")</f>
        <v>XP_007841480.1</v>
      </c>
      <c r="J27" s="1" t="s">
        <v>2200</v>
      </c>
    </row>
    <row r="28" spans="1:11" s="3" customFormat="1" x14ac:dyDescent="0.2">
      <c r="A28" s="1" t="s">
        <v>2201</v>
      </c>
      <c r="B28" s="1" t="s">
        <v>2202</v>
      </c>
      <c r="C28" s="1">
        <v>1035</v>
      </c>
      <c r="D28" s="1">
        <v>1035</v>
      </c>
      <c r="E28" s="2">
        <v>0.98</v>
      </c>
      <c r="F28" s="1">
        <v>0</v>
      </c>
      <c r="G28" s="1">
        <v>61.1</v>
      </c>
      <c r="H28" s="1">
        <v>810</v>
      </c>
      <c r="I28" s="1" t="str">
        <f>HYPERLINK("https://www.ncbi.nlm.nih.gov/protein/XP_024709449.1?report=genbank&amp;log$=prottop&amp;blast_rank=70&amp;RID=7U875CNM013","XP_024709449.1")</f>
        <v>XP_024709449.1</v>
      </c>
      <c r="J28" s="1" t="s">
        <v>2203</v>
      </c>
      <c r="K28" s="1"/>
    </row>
    <row r="29" spans="1:11" s="33" customFormat="1" x14ac:dyDescent="0.2"/>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tabSelected="1" topLeftCell="H79" workbookViewId="0">
      <selection activeCell="K107" sqref="K107"/>
    </sheetView>
  </sheetViews>
  <sheetFormatPr baseColWidth="10" defaultRowHeight="16" x14ac:dyDescent="0.2"/>
  <cols>
    <col min="1" max="1" width="41.5" customWidth="1"/>
    <col min="2" max="2" width="48" customWidth="1"/>
    <col min="9" max="9" width="25.1640625" customWidth="1"/>
  </cols>
  <sheetData>
    <row r="1" spans="1:10" s="3" customFormat="1" x14ac:dyDescent="0.2">
      <c r="A1" s="3" t="s">
        <v>5</v>
      </c>
      <c r="B1" s="3" t="s">
        <v>6</v>
      </c>
      <c r="C1" s="3" t="s">
        <v>7</v>
      </c>
      <c r="D1" s="3" t="s">
        <v>8</v>
      </c>
      <c r="E1" s="3" t="s">
        <v>9</v>
      </c>
      <c r="F1" s="3" t="s">
        <v>10</v>
      </c>
      <c r="G1" s="3" t="s">
        <v>11</v>
      </c>
      <c r="H1" s="3" t="s">
        <v>12</v>
      </c>
      <c r="I1" s="3" t="s">
        <v>13</v>
      </c>
      <c r="J1" s="1"/>
    </row>
    <row r="2" spans="1:10" s="1" customFormat="1" x14ac:dyDescent="0.2">
      <c r="A2" s="1" t="s">
        <v>1341</v>
      </c>
      <c r="B2" s="1" t="s">
        <v>17</v>
      </c>
      <c r="C2" s="1">
        <v>1211</v>
      </c>
      <c r="D2" s="1">
        <v>1211</v>
      </c>
      <c r="E2" s="2">
        <v>0.99</v>
      </c>
      <c r="F2" s="1">
        <v>0</v>
      </c>
      <c r="G2" s="1">
        <v>72.989999999999995</v>
      </c>
      <c r="H2" s="1">
        <v>801</v>
      </c>
      <c r="I2" s="1" t="str">
        <f>HYPERLINK("https://www.ncbi.nlm.nih.gov/protein/WP_153590400.1?report=genbank&amp;log$=prottop&amp;blast_rank=9&amp;RID=7U875CNM013","WP_153590400.1")</f>
        <v>WP_153590400.1</v>
      </c>
      <c r="J2" s="5" t="s">
        <v>1342</v>
      </c>
    </row>
    <row r="3" spans="1:10" s="1" customFormat="1" x14ac:dyDescent="0.2">
      <c r="A3" s="1" t="s">
        <v>1343</v>
      </c>
      <c r="B3" s="1" t="s">
        <v>1344</v>
      </c>
      <c r="C3" s="1">
        <v>1191</v>
      </c>
      <c r="D3" s="1">
        <v>1191</v>
      </c>
      <c r="E3" s="2">
        <v>0.98</v>
      </c>
      <c r="F3" s="1">
        <v>0</v>
      </c>
      <c r="G3" s="1">
        <v>72.959999999999994</v>
      </c>
      <c r="H3" s="1">
        <v>806</v>
      </c>
      <c r="I3" s="1" t="str">
        <f>HYPERLINK("https://www.ncbi.nlm.nih.gov/protein/MBL8201073.1?report=genbank&amp;log$=prottop&amp;blast_rank=10&amp;RID=7U875CNM013","MBL8201073.1")</f>
        <v>MBL8201073.1</v>
      </c>
      <c r="J3" s="5" t="s">
        <v>1345</v>
      </c>
    </row>
    <row r="4" spans="1:10" s="1" customFormat="1" x14ac:dyDescent="0.2">
      <c r="A4" s="1" t="s">
        <v>1341</v>
      </c>
      <c r="B4" s="1" t="s">
        <v>17</v>
      </c>
      <c r="C4" s="1">
        <v>1206</v>
      </c>
      <c r="D4" s="1">
        <v>1206</v>
      </c>
      <c r="E4" s="2">
        <v>0.99</v>
      </c>
      <c r="F4" s="1">
        <v>0</v>
      </c>
      <c r="G4" s="1">
        <v>72.89</v>
      </c>
      <c r="H4" s="1">
        <v>801</v>
      </c>
      <c r="I4" s="1" t="str">
        <f>HYPERLINK("https://www.ncbi.nlm.nih.gov/protein/WP_153115621.1?report=genbank&amp;log$=prottop&amp;blast_rank=11&amp;RID=7U875CNM013","WP_153115621.1")</f>
        <v>WP_153115621.1</v>
      </c>
      <c r="J4" s="5" t="s">
        <v>1342</v>
      </c>
    </row>
    <row r="5" spans="1:10" s="1" customFormat="1" x14ac:dyDescent="0.2">
      <c r="A5" s="1" t="s">
        <v>1341</v>
      </c>
      <c r="B5" s="1" t="s">
        <v>17</v>
      </c>
      <c r="C5" s="1">
        <v>1210</v>
      </c>
      <c r="D5" s="1">
        <v>1210</v>
      </c>
      <c r="E5" s="2">
        <v>0.99</v>
      </c>
      <c r="F5" s="1">
        <v>0</v>
      </c>
      <c r="G5" s="1">
        <v>72.86</v>
      </c>
      <c r="H5" s="1">
        <v>801</v>
      </c>
      <c r="I5" s="1" t="str">
        <f>HYPERLINK("https://www.ncbi.nlm.nih.gov/protein/WP_153469384.1?report=genbank&amp;log$=prottop&amp;blast_rank=12&amp;RID=7U875CNM013","WP_153469384.1")</f>
        <v>WP_153469384.1</v>
      </c>
      <c r="J5" s="5" t="s">
        <v>1342</v>
      </c>
    </row>
    <row r="6" spans="1:10" s="1" customFormat="1" x14ac:dyDescent="0.2">
      <c r="A6" s="1" t="s">
        <v>1346</v>
      </c>
      <c r="B6" s="1" t="s">
        <v>1347</v>
      </c>
      <c r="C6" s="1">
        <v>1157</v>
      </c>
      <c r="D6" s="1">
        <v>1157</v>
      </c>
      <c r="E6" s="2">
        <v>0.93</v>
      </c>
      <c r="F6" s="1">
        <v>0</v>
      </c>
      <c r="G6" s="1">
        <v>71.900000000000006</v>
      </c>
      <c r="H6" s="1">
        <v>766</v>
      </c>
      <c r="I6" s="1" t="str">
        <f>HYPERLINK("https://www.ncbi.nlm.nih.gov/protein/NJL82742.1?report=genbank&amp;log$=prottop&amp;blast_rank=45&amp;RID=7U875CNM013","NJL82742.1")</f>
        <v>NJL82742.1</v>
      </c>
      <c r="J6" s="5" t="s">
        <v>1348</v>
      </c>
    </row>
    <row r="7" spans="1:10" s="1" customFormat="1" x14ac:dyDescent="0.2">
      <c r="A7" s="1" t="s">
        <v>1349</v>
      </c>
      <c r="B7" s="1" t="s">
        <v>1350</v>
      </c>
      <c r="C7" s="1">
        <v>1181</v>
      </c>
      <c r="D7" s="1">
        <v>1181</v>
      </c>
      <c r="E7" s="2">
        <v>0.98</v>
      </c>
      <c r="F7" s="1">
        <v>0</v>
      </c>
      <c r="G7" s="1">
        <v>71.39</v>
      </c>
      <c r="H7" s="1">
        <v>797</v>
      </c>
      <c r="I7" s="1" t="str">
        <f>HYPERLINK("https://www.ncbi.nlm.nih.gov/protein/WP_200248920.1?report=genbank&amp;log$=prottop&amp;blast_rank=75&amp;RID=7U875CNM013","WP_200248920.1")</f>
        <v>WP_200248920.1</v>
      </c>
      <c r="J7" s="5" t="s">
        <v>1351</v>
      </c>
    </row>
    <row r="8" spans="1:10" s="4" customFormat="1" x14ac:dyDescent="0.2">
      <c r="A8" s="1" t="s">
        <v>1352</v>
      </c>
      <c r="B8" s="1" t="s">
        <v>1353</v>
      </c>
      <c r="C8" s="1">
        <v>1176</v>
      </c>
      <c r="D8" s="1">
        <v>1176</v>
      </c>
      <c r="E8" s="2">
        <v>1</v>
      </c>
      <c r="F8" s="1">
        <v>0</v>
      </c>
      <c r="G8" s="1">
        <v>70.099999999999994</v>
      </c>
      <c r="H8" s="1">
        <v>792</v>
      </c>
      <c r="I8" s="1" t="str">
        <f>HYPERLINK("https://www.ncbi.nlm.nih.gov/protein/QIK37787.1?report=genbank&amp;log$=prottop&amp;blast_rank=173&amp;RID=7U875CNM013","QIK37787.1")</f>
        <v>QIK37787.1</v>
      </c>
      <c r="J8" s="5" t="s">
        <v>1354</v>
      </c>
    </row>
    <row r="9" spans="1:10" s="7" customFormat="1" x14ac:dyDescent="0.2">
      <c r="A9" s="5" t="s">
        <v>1355</v>
      </c>
      <c r="B9" s="5" t="s">
        <v>1356</v>
      </c>
      <c r="C9" s="5">
        <v>1169</v>
      </c>
      <c r="D9" s="5">
        <v>1169</v>
      </c>
      <c r="E9" s="6">
        <v>0.98</v>
      </c>
      <c r="F9" s="5">
        <v>0</v>
      </c>
      <c r="G9" s="5">
        <v>69.77</v>
      </c>
      <c r="H9" s="5">
        <v>797</v>
      </c>
      <c r="I9" s="5" t="str">
        <f>HYPERLINK("https://www.ncbi.nlm.nih.gov/protein/WP_015280823.1?report=genbank&amp;log$=prottop&amp;blast_rank=59&amp;RID=7U875CNM013","WP_015280823.1")</f>
        <v>WP_015280823.1</v>
      </c>
      <c r="J9" s="5" t="s">
        <v>1357</v>
      </c>
    </row>
    <row r="10" spans="1:10" s="7" customFormat="1" x14ac:dyDescent="0.2">
      <c r="A10" s="5" t="s">
        <v>1358</v>
      </c>
      <c r="B10" s="5" t="s">
        <v>1359</v>
      </c>
      <c r="C10" s="5">
        <v>1168</v>
      </c>
      <c r="D10" s="5">
        <v>1168</v>
      </c>
      <c r="E10" s="6">
        <v>0.99</v>
      </c>
      <c r="F10" s="5">
        <v>0</v>
      </c>
      <c r="G10" s="5">
        <v>69.569999999999993</v>
      </c>
      <c r="H10" s="5">
        <v>792</v>
      </c>
      <c r="I10" s="5" t="str">
        <f>HYPERLINK("https://www.ncbi.nlm.nih.gov/protein/WP_132976215.1?report=genbank&amp;log$=prottop&amp;blast_rank=118&amp;RID=7U875CNM013","WP_132976215.1")</f>
        <v>WP_132976215.1</v>
      </c>
      <c r="J10" s="5" t="s">
        <v>1360</v>
      </c>
    </row>
    <row r="11" spans="1:10" s="4" customFormat="1" x14ac:dyDescent="0.2">
      <c r="A11" s="1" t="s">
        <v>1361</v>
      </c>
      <c r="B11" s="1" t="s">
        <v>1362</v>
      </c>
      <c r="C11" s="1">
        <v>1084</v>
      </c>
      <c r="D11" s="1">
        <v>1084</v>
      </c>
      <c r="E11" s="2">
        <v>0.97</v>
      </c>
      <c r="F11" s="1">
        <v>0</v>
      </c>
      <c r="G11" s="1">
        <v>65.98</v>
      </c>
      <c r="H11" s="1">
        <v>788</v>
      </c>
      <c r="I11" s="1" t="str">
        <f>HYPERLINK("https://www.ncbi.nlm.nih.gov/protein/TAK20450.1?report=genbank&amp;log$=prottop&amp;blast_rank=7&amp;RID=7U875CNM013","TAK20450.1")</f>
        <v>TAK20450.1</v>
      </c>
      <c r="J11" s="5" t="s">
        <v>1348</v>
      </c>
    </row>
    <row r="12" spans="1:10" s="4" customFormat="1" x14ac:dyDescent="0.2">
      <c r="A12" s="1" t="s">
        <v>1361</v>
      </c>
      <c r="B12" s="1" t="s">
        <v>1362</v>
      </c>
      <c r="C12" s="1">
        <v>1068</v>
      </c>
      <c r="D12" s="1">
        <v>1068</v>
      </c>
      <c r="E12" s="2">
        <v>0.98</v>
      </c>
      <c r="F12" s="1">
        <v>0</v>
      </c>
      <c r="G12" s="1">
        <v>65.64</v>
      </c>
      <c r="H12" s="1">
        <v>793</v>
      </c>
      <c r="I12" s="1" t="str">
        <f>HYPERLINK("https://www.ncbi.nlm.nih.gov/protein/TMG25665.1?report=genbank&amp;log$=prottop&amp;blast_rank=67&amp;RID=7U875CNM013","TMG25665.1")</f>
        <v>TMG25665.1</v>
      </c>
      <c r="J12" s="5" t="s">
        <v>1348</v>
      </c>
    </row>
    <row r="13" spans="1:10" s="4" customFormat="1" x14ac:dyDescent="0.2">
      <c r="A13" s="1" t="s">
        <v>1363</v>
      </c>
      <c r="B13" s="1" t="s">
        <v>1364</v>
      </c>
      <c r="C13" s="1">
        <v>1091</v>
      </c>
      <c r="D13" s="1">
        <v>1091</v>
      </c>
      <c r="E13" s="2">
        <v>0.98</v>
      </c>
      <c r="F13" s="1">
        <v>0</v>
      </c>
      <c r="G13" s="1">
        <v>65.52</v>
      </c>
      <c r="H13" s="1">
        <v>809</v>
      </c>
      <c r="I13" s="1" t="str">
        <f>HYPERLINK("https://www.ncbi.nlm.nih.gov/protein/KZK74021.1?report=genbank&amp;log$=prottop&amp;blast_rank=100&amp;RID=7U875CNM013","KZK74021.1")</f>
        <v>KZK74021.1</v>
      </c>
      <c r="J13" s="5" t="s">
        <v>1348</v>
      </c>
    </row>
    <row r="14" spans="1:10" s="7" customFormat="1" x14ac:dyDescent="0.2">
      <c r="A14" s="5" t="s">
        <v>1365</v>
      </c>
      <c r="B14" s="5" t="s">
        <v>1364</v>
      </c>
      <c r="C14" s="5">
        <v>1082</v>
      </c>
      <c r="D14" s="5">
        <v>1082</v>
      </c>
      <c r="E14" s="6">
        <v>0.98</v>
      </c>
      <c r="F14" s="5">
        <v>0</v>
      </c>
      <c r="G14" s="5">
        <v>65.31</v>
      </c>
      <c r="H14" s="5">
        <v>809</v>
      </c>
      <c r="I14" s="5" t="str">
        <f>HYPERLINK("https://www.ncbi.nlm.nih.gov/protein/WP_011358251.1?report=genbank&amp;log$=prottop&amp;blast_rank=61&amp;RID=7U875CNM013","WP_011358251.1")</f>
        <v>WP_011358251.1</v>
      </c>
      <c r="J14" s="5" t="s">
        <v>1348</v>
      </c>
    </row>
    <row r="15" spans="1:10" s="7" customFormat="1" x14ac:dyDescent="0.2">
      <c r="A15" s="5" t="s">
        <v>1361</v>
      </c>
      <c r="B15" s="5" t="s">
        <v>1362</v>
      </c>
      <c r="C15" s="5">
        <v>1073</v>
      </c>
      <c r="D15" s="5">
        <v>1073</v>
      </c>
      <c r="E15" s="6">
        <v>0.98</v>
      </c>
      <c r="F15" s="5">
        <v>0</v>
      </c>
      <c r="G15" s="5">
        <v>65.31</v>
      </c>
      <c r="H15" s="5">
        <v>794</v>
      </c>
      <c r="I15" s="5" t="str">
        <f>HYPERLINK("https://www.ncbi.nlm.nih.gov/protein/MBI2778131.1?report=genbank&amp;log$=prottop&amp;blast_rank=69&amp;RID=7U875CNM013","MBI2778131.1")</f>
        <v>MBI2778131.1</v>
      </c>
      <c r="J15" s="5" t="s">
        <v>1348</v>
      </c>
    </row>
    <row r="16" spans="1:10" s="7" customFormat="1" x14ac:dyDescent="0.2">
      <c r="A16" s="5" t="s">
        <v>1366</v>
      </c>
      <c r="B16" s="5" t="s">
        <v>1367</v>
      </c>
      <c r="C16" s="5">
        <v>1078</v>
      </c>
      <c r="D16" s="5">
        <v>1078</v>
      </c>
      <c r="E16" s="6">
        <v>0.98</v>
      </c>
      <c r="F16" s="5">
        <v>0</v>
      </c>
      <c r="G16" s="5">
        <v>65.23</v>
      </c>
      <c r="H16" s="5">
        <v>785</v>
      </c>
      <c r="I16" s="5" t="str">
        <f>HYPERLINK("https://www.ncbi.nlm.nih.gov/protein/WP_200388327.1?report=genbank&amp;log$=prottop&amp;blast_rank=96&amp;RID=7U875CNM013","WP_200388327.1")</f>
        <v>WP_200388327.1</v>
      </c>
      <c r="J16" s="5" t="s">
        <v>1368</v>
      </c>
    </row>
    <row r="17" spans="1:10" s="8" customFormat="1" x14ac:dyDescent="0.2">
      <c r="A17" s="5" t="s">
        <v>1369</v>
      </c>
      <c r="B17" s="5" t="s">
        <v>1370</v>
      </c>
      <c r="C17" s="5">
        <v>1067</v>
      </c>
      <c r="D17" s="5">
        <v>1067</v>
      </c>
      <c r="E17" s="6">
        <v>0.98</v>
      </c>
      <c r="F17" s="5">
        <v>0</v>
      </c>
      <c r="G17" s="5">
        <v>65.13</v>
      </c>
      <c r="H17" s="5">
        <v>793</v>
      </c>
      <c r="I17" s="5" t="str">
        <f>HYPERLINK("https://www.ncbi.nlm.nih.gov/protein/OGN86687.1?report=genbank&amp;log$=prottop&amp;blast_rank=37&amp;RID=7U875CNM013","OGN86687.1")</f>
        <v>OGN86687.1</v>
      </c>
      <c r="J17" s="5" t="s">
        <v>1348</v>
      </c>
    </row>
    <row r="18" spans="1:10" s="7" customFormat="1" x14ac:dyDescent="0.2">
      <c r="A18" s="5" t="s">
        <v>1361</v>
      </c>
      <c r="B18" s="5" t="s">
        <v>1362</v>
      </c>
      <c r="C18" s="5">
        <v>1046</v>
      </c>
      <c r="D18" s="5">
        <v>1046</v>
      </c>
      <c r="E18" s="6">
        <v>0.98</v>
      </c>
      <c r="F18" s="5">
        <v>0</v>
      </c>
      <c r="G18" s="5">
        <v>65.05</v>
      </c>
      <c r="H18" s="5">
        <v>799</v>
      </c>
      <c r="I18" s="5" t="str">
        <f>HYPERLINK("https://www.ncbi.nlm.nih.gov/protein/MBA3689572.1?report=genbank&amp;log$=prottop&amp;blast_rank=75&amp;RID=7U875CNM013","MBA3689572.1")</f>
        <v>MBA3689572.1</v>
      </c>
      <c r="J18" s="5" t="s">
        <v>1348</v>
      </c>
    </row>
    <row r="19" spans="1:10" s="7" customFormat="1" x14ac:dyDescent="0.2">
      <c r="A19" s="5" t="s">
        <v>1371</v>
      </c>
      <c r="B19" s="5" t="s">
        <v>1372</v>
      </c>
      <c r="C19" s="5">
        <v>1087</v>
      </c>
      <c r="D19" s="5">
        <v>1087</v>
      </c>
      <c r="E19" s="6">
        <v>0.98</v>
      </c>
      <c r="F19" s="5">
        <v>0</v>
      </c>
      <c r="G19" s="5">
        <v>64.930000000000007</v>
      </c>
      <c r="H19" s="5">
        <v>799</v>
      </c>
      <c r="I19" s="5" t="str">
        <f>HYPERLINK("https://www.ncbi.nlm.nih.gov/protein/NTW56708.1?report=genbank&amp;log$=prottop&amp;blast_rank=142&amp;RID=7U875CNM013","NTW56708.1")</f>
        <v>NTW56708.1</v>
      </c>
      <c r="J19" s="5" t="s">
        <v>1348</v>
      </c>
    </row>
    <row r="20" spans="1:10" s="7" customFormat="1" x14ac:dyDescent="0.2">
      <c r="A20" s="5" t="s">
        <v>1373</v>
      </c>
      <c r="B20" s="5" t="s">
        <v>1374</v>
      </c>
      <c r="C20" s="5">
        <v>1078</v>
      </c>
      <c r="D20" s="5">
        <v>1078</v>
      </c>
      <c r="E20" s="6">
        <v>0.98</v>
      </c>
      <c r="F20" s="5">
        <v>0</v>
      </c>
      <c r="G20" s="5">
        <v>64.8</v>
      </c>
      <c r="H20" s="5">
        <v>807</v>
      </c>
      <c r="I20" s="5" t="str">
        <f>HYPERLINK("https://www.ncbi.nlm.nih.gov/protein/EAT58960.1?report=genbank&amp;log$=prottop&amp;blast_rank=68&amp;RID=7U875CNM013","EAT58960.1")</f>
        <v>EAT58960.1</v>
      </c>
      <c r="J20" s="5" t="s">
        <v>1348</v>
      </c>
    </row>
    <row r="21" spans="1:10" s="7" customFormat="1" x14ac:dyDescent="0.2">
      <c r="A21" s="5" t="s">
        <v>1375</v>
      </c>
      <c r="B21" s="5" t="s">
        <v>1376</v>
      </c>
      <c r="C21" s="5">
        <v>1077</v>
      </c>
      <c r="D21" s="5">
        <v>1077</v>
      </c>
      <c r="E21" s="6">
        <v>0.98</v>
      </c>
      <c r="F21" s="5">
        <v>0</v>
      </c>
      <c r="G21" s="5">
        <v>64.8</v>
      </c>
      <c r="H21" s="5">
        <v>806</v>
      </c>
      <c r="I21" s="5" t="str">
        <f>HYPERLINK("https://www.ncbi.nlm.nih.gov/protein/WP_156778016.1?report=genbank&amp;log$=prottop&amp;blast_rank=69&amp;RID=7U875CNM013","WP_156778016.1")</f>
        <v>WP_156778016.1</v>
      </c>
      <c r="J21" s="5" t="s">
        <v>1348</v>
      </c>
    </row>
    <row r="22" spans="1:10" s="7" customFormat="1" x14ac:dyDescent="0.2">
      <c r="A22" s="5" t="s">
        <v>1377</v>
      </c>
      <c r="B22" s="5" t="s">
        <v>1378</v>
      </c>
      <c r="C22" s="5">
        <v>1076</v>
      </c>
      <c r="D22" s="5">
        <v>1076</v>
      </c>
      <c r="E22" s="6">
        <v>0.99</v>
      </c>
      <c r="F22" s="5">
        <v>0</v>
      </c>
      <c r="G22" s="5">
        <v>64.77</v>
      </c>
      <c r="H22" s="5">
        <v>794</v>
      </c>
      <c r="I22" s="5" t="str">
        <f>HYPERLINK("https://www.ncbi.nlm.nih.gov/protein/WP_131353995.1?report=genbank&amp;log$=prottop&amp;blast_rank=93&amp;RID=7U875CNM013","WP_131353995.1")</f>
        <v>WP_131353995.1</v>
      </c>
      <c r="J22" s="5" t="s">
        <v>1348</v>
      </c>
    </row>
    <row r="23" spans="1:10" s="7" customFormat="1" x14ac:dyDescent="0.2">
      <c r="A23" s="5" t="s">
        <v>1371</v>
      </c>
      <c r="B23" s="5" t="s">
        <v>1372</v>
      </c>
      <c r="C23" s="5">
        <v>1083</v>
      </c>
      <c r="D23" s="5">
        <v>1083</v>
      </c>
      <c r="E23" s="6">
        <v>0.98</v>
      </c>
      <c r="F23" s="5">
        <v>0</v>
      </c>
      <c r="G23" s="5">
        <v>64.709999999999994</v>
      </c>
      <c r="H23" s="5">
        <v>795</v>
      </c>
      <c r="I23" s="5" t="str">
        <f>HYPERLINK("https://www.ncbi.nlm.nih.gov/protein/NTV05397.1?report=genbank&amp;log$=prottop&amp;blast_rank=134&amp;RID=7U875CNM013","NTV05397.1")</f>
        <v>NTV05397.1</v>
      </c>
      <c r="J23" s="5" t="s">
        <v>1348</v>
      </c>
    </row>
    <row r="24" spans="1:10" s="7" customFormat="1" x14ac:dyDescent="0.2">
      <c r="A24" s="5" t="s">
        <v>1379</v>
      </c>
      <c r="B24" s="5" t="s">
        <v>1380</v>
      </c>
      <c r="C24" s="5">
        <v>1081</v>
      </c>
      <c r="D24" s="5">
        <v>1081</v>
      </c>
      <c r="E24" s="6">
        <v>0.98</v>
      </c>
      <c r="F24" s="5">
        <v>0</v>
      </c>
      <c r="G24" s="5">
        <v>64.709999999999994</v>
      </c>
      <c r="H24" s="5">
        <v>795</v>
      </c>
      <c r="I24" s="5" t="str">
        <f>HYPERLINK("https://www.ncbi.nlm.nih.gov/protein/WP_012508618.1?report=genbank&amp;log$=prottop&amp;blast_rank=135&amp;RID=7U875CNM013","WP_012508618.1")</f>
        <v>WP_012508618.1</v>
      </c>
      <c r="J24" s="5" t="s">
        <v>1348</v>
      </c>
    </row>
    <row r="25" spans="1:10" s="7" customFormat="1" x14ac:dyDescent="0.2">
      <c r="A25" s="5" t="s">
        <v>1371</v>
      </c>
      <c r="B25" s="5" t="s">
        <v>1372</v>
      </c>
      <c r="C25" s="5">
        <v>1078</v>
      </c>
      <c r="D25" s="5">
        <v>1078</v>
      </c>
      <c r="E25" s="6">
        <v>0.98</v>
      </c>
      <c r="F25" s="5">
        <v>0</v>
      </c>
      <c r="G25" s="5">
        <v>64.709999999999994</v>
      </c>
      <c r="H25" s="5">
        <v>799</v>
      </c>
      <c r="I25" s="5" t="str">
        <f>HYPERLINK("https://www.ncbi.nlm.nih.gov/protein/NTV98279.1?report=genbank&amp;log$=prottop&amp;blast_rank=137&amp;RID=7U875CNM013","NTV98279.1")</f>
        <v>NTV98279.1</v>
      </c>
      <c r="J25" s="5" t="s">
        <v>1348</v>
      </c>
    </row>
    <row r="26" spans="1:10" s="8" customFormat="1" x14ac:dyDescent="0.2">
      <c r="A26" s="5" t="s">
        <v>1361</v>
      </c>
      <c r="B26" s="5" t="s">
        <v>1362</v>
      </c>
      <c r="C26" s="5">
        <v>1048</v>
      </c>
      <c r="D26" s="5">
        <v>1048</v>
      </c>
      <c r="E26" s="6">
        <v>0.97</v>
      </c>
      <c r="F26" s="5">
        <v>0</v>
      </c>
      <c r="G26" s="5">
        <v>64.69</v>
      </c>
      <c r="H26" s="5">
        <v>785</v>
      </c>
      <c r="I26" s="5" t="str">
        <f>HYPERLINK("https://www.ncbi.nlm.nih.gov/protein/TMF37409.1?report=genbank&amp;log$=prottop&amp;blast_rank=6&amp;RID=7U875CNM013","TMF37409.1")</f>
        <v>TMF37409.1</v>
      </c>
      <c r="J26" s="5" t="s">
        <v>1348</v>
      </c>
    </row>
    <row r="27" spans="1:10" s="7" customFormat="1" x14ac:dyDescent="0.2">
      <c r="A27" s="5" t="s">
        <v>1361</v>
      </c>
      <c r="B27" s="5" t="s">
        <v>1362</v>
      </c>
      <c r="C27" s="5">
        <v>1036</v>
      </c>
      <c r="D27" s="5">
        <v>1036</v>
      </c>
      <c r="E27" s="6">
        <v>0.97</v>
      </c>
      <c r="F27" s="5">
        <v>0</v>
      </c>
      <c r="G27" s="5">
        <v>64.650000000000006</v>
      </c>
      <c r="H27" s="5">
        <v>794</v>
      </c>
      <c r="I27" s="5" t="str">
        <f>HYPERLINK("https://www.ncbi.nlm.nih.gov/protein/TMF89415.1?report=genbank&amp;log$=prottop&amp;blast_rank=29&amp;RID=7U875CNM013","TMF89415.1")</f>
        <v>TMF89415.1</v>
      </c>
      <c r="J27" s="5" t="s">
        <v>1348</v>
      </c>
    </row>
    <row r="28" spans="1:10" s="7" customFormat="1" x14ac:dyDescent="0.2">
      <c r="A28" s="5" t="s">
        <v>1371</v>
      </c>
      <c r="B28" s="5" t="s">
        <v>1372</v>
      </c>
      <c r="C28" s="5">
        <v>1087</v>
      </c>
      <c r="D28" s="5">
        <v>1087</v>
      </c>
      <c r="E28" s="6">
        <v>0.98</v>
      </c>
      <c r="F28" s="5">
        <v>0</v>
      </c>
      <c r="G28" s="5">
        <v>64.59</v>
      </c>
      <c r="H28" s="5">
        <v>795</v>
      </c>
      <c r="I28" s="5" t="str">
        <f>HYPERLINK("https://www.ncbi.nlm.nih.gov/protein/NTV01784.1?report=genbank&amp;log$=prottop&amp;blast_rank=68&amp;RID=7U875CNM013","NTV01784.1")</f>
        <v>NTV01784.1</v>
      </c>
      <c r="J28" s="5" t="s">
        <v>1348</v>
      </c>
    </row>
    <row r="29" spans="1:10" s="7" customFormat="1" x14ac:dyDescent="0.2">
      <c r="A29" s="5" t="s">
        <v>1361</v>
      </c>
      <c r="B29" s="5" t="s">
        <v>1362</v>
      </c>
      <c r="C29" s="5">
        <v>1080</v>
      </c>
      <c r="D29" s="5">
        <v>1080</v>
      </c>
      <c r="E29" s="6">
        <v>0.99</v>
      </c>
      <c r="F29" s="5">
        <v>0</v>
      </c>
      <c r="G29" s="5">
        <v>64.48</v>
      </c>
      <c r="H29" s="5">
        <v>794</v>
      </c>
      <c r="I29" s="5" t="str">
        <f>HYPERLINK("https://www.ncbi.nlm.nih.gov/protein/MBI3746922.1?report=genbank&amp;log$=prottop&amp;blast_rank=140&amp;RID=7U875CNM013","MBI3746922.1")</f>
        <v>MBI3746922.1</v>
      </c>
      <c r="J29" s="5" t="s">
        <v>1348</v>
      </c>
    </row>
    <row r="30" spans="1:10" s="7" customFormat="1" x14ac:dyDescent="0.2">
      <c r="A30" s="5" t="s">
        <v>1383</v>
      </c>
      <c r="B30" s="5" t="s">
        <v>1384</v>
      </c>
      <c r="C30" s="5">
        <v>1088</v>
      </c>
      <c r="D30" s="5">
        <v>1088</v>
      </c>
      <c r="E30" s="6">
        <v>0.98</v>
      </c>
      <c r="F30" s="5">
        <v>0</v>
      </c>
      <c r="G30" s="5">
        <v>64.459999999999994</v>
      </c>
      <c r="H30" s="5">
        <v>799</v>
      </c>
      <c r="I30" s="5" t="str">
        <f>HYPERLINK("https://www.ncbi.nlm.nih.gov/protein/PWW81401.1?report=genbank&amp;log$=prottop&amp;blast_rank=153&amp;RID=7U875CNM013","PWW81401.1")</f>
        <v>PWW81401.1</v>
      </c>
      <c r="J30" s="5" t="s">
        <v>1348</v>
      </c>
    </row>
    <row r="31" spans="1:10" s="7" customFormat="1" x14ac:dyDescent="0.2">
      <c r="A31" s="5" t="s">
        <v>1371</v>
      </c>
      <c r="B31" s="5" t="s">
        <v>1372</v>
      </c>
      <c r="C31" s="5">
        <v>1088</v>
      </c>
      <c r="D31" s="5">
        <v>1088</v>
      </c>
      <c r="E31" s="6">
        <v>0.98</v>
      </c>
      <c r="F31" s="5">
        <v>0</v>
      </c>
      <c r="G31" s="5">
        <v>64.459999999999994</v>
      </c>
      <c r="H31" s="5">
        <v>796</v>
      </c>
      <c r="I31" s="5" t="str">
        <f>HYPERLINK("https://www.ncbi.nlm.nih.gov/protein/NTW51104.1?report=genbank&amp;log$=prottop&amp;blast_rank=154&amp;RID=7U875CNM013","NTW51104.1")</f>
        <v>NTW51104.1</v>
      </c>
      <c r="J31" s="5" t="s">
        <v>1348</v>
      </c>
    </row>
    <row r="32" spans="1:10" s="7" customFormat="1" x14ac:dyDescent="0.2">
      <c r="A32" s="5" t="s">
        <v>1383</v>
      </c>
      <c r="B32" s="5" t="s">
        <v>1384</v>
      </c>
      <c r="C32" s="5">
        <v>1087</v>
      </c>
      <c r="D32" s="5">
        <v>1087</v>
      </c>
      <c r="E32" s="6">
        <v>0.98</v>
      </c>
      <c r="F32" s="5">
        <v>0</v>
      </c>
      <c r="G32" s="5">
        <v>64.459999999999994</v>
      </c>
      <c r="H32" s="5">
        <v>793</v>
      </c>
      <c r="I32" s="5" t="str">
        <f>HYPERLINK("https://www.ncbi.nlm.nih.gov/protein/WP_161953523.1?report=genbank&amp;log$=prottop&amp;blast_rank=155&amp;RID=7U875CNM013","WP_161953523.1")</f>
        <v>WP_161953523.1</v>
      </c>
      <c r="J32" s="5" t="s">
        <v>1348</v>
      </c>
    </row>
    <row r="33" spans="1:10" s="7" customFormat="1" x14ac:dyDescent="0.2">
      <c r="A33" s="5" t="s">
        <v>1371</v>
      </c>
      <c r="B33" s="5" t="s">
        <v>1372</v>
      </c>
      <c r="C33" s="5">
        <v>1087</v>
      </c>
      <c r="D33" s="5">
        <v>1087</v>
      </c>
      <c r="E33" s="6">
        <v>0.98</v>
      </c>
      <c r="F33" s="5">
        <v>0</v>
      </c>
      <c r="G33" s="5">
        <v>64.459999999999994</v>
      </c>
      <c r="H33" s="5">
        <v>796</v>
      </c>
      <c r="I33" s="5" t="str">
        <f>HYPERLINK("https://www.ncbi.nlm.nih.gov/protein/NTV25126.1?report=genbank&amp;log$=prottop&amp;blast_rank=156&amp;RID=7U875CNM013","NTV25126.1")</f>
        <v>NTV25126.1</v>
      </c>
      <c r="J33" s="5" t="s">
        <v>1348</v>
      </c>
    </row>
    <row r="34" spans="1:10" s="4" customFormat="1" x14ac:dyDescent="0.2">
      <c r="A34" s="1" t="s">
        <v>1371</v>
      </c>
      <c r="B34" s="1" t="s">
        <v>1372</v>
      </c>
      <c r="C34" s="1">
        <v>1077</v>
      </c>
      <c r="D34" s="1">
        <v>1077</v>
      </c>
      <c r="E34" s="2">
        <v>0.98</v>
      </c>
      <c r="F34" s="1">
        <v>0</v>
      </c>
      <c r="G34" s="1">
        <v>64.430000000000007</v>
      </c>
      <c r="H34" s="1">
        <v>807</v>
      </c>
      <c r="I34" s="1" t="str">
        <f>HYPERLINK("https://www.ncbi.nlm.nih.gov/protein/NTW64102.1?report=genbank&amp;log$=prottop&amp;blast_rank=9&amp;RID=7U875CNM013","NTW64102.1")</f>
        <v>NTW64102.1</v>
      </c>
      <c r="J34" s="5" t="s">
        <v>1348</v>
      </c>
    </row>
    <row r="35" spans="1:10" s="4" customFormat="1" x14ac:dyDescent="0.2">
      <c r="A35" s="1" t="s">
        <v>1371</v>
      </c>
      <c r="B35" s="1" t="s">
        <v>1372</v>
      </c>
      <c r="C35" s="1">
        <v>1084</v>
      </c>
      <c r="D35" s="1">
        <v>1084</v>
      </c>
      <c r="E35" s="2">
        <v>0.98</v>
      </c>
      <c r="F35" s="1">
        <v>0</v>
      </c>
      <c r="G35" s="1">
        <v>64.33</v>
      </c>
      <c r="H35" s="1">
        <v>796</v>
      </c>
      <c r="I35" s="1" t="str">
        <f>HYPERLINK("https://www.ncbi.nlm.nih.gov/protein/NTU91171.1?report=genbank&amp;log$=prottop&amp;blast_rank=98&amp;RID=7U875CNM013","NTU91171.1")</f>
        <v>NTU91171.1</v>
      </c>
      <c r="J35" s="5" t="s">
        <v>1348</v>
      </c>
    </row>
    <row r="36" spans="1:10" s="4" customFormat="1" x14ac:dyDescent="0.2">
      <c r="A36" s="1" t="s">
        <v>1371</v>
      </c>
      <c r="B36" s="1" t="s">
        <v>1372</v>
      </c>
      <c r="C36" s="1">
        <v>1052</v>
      </c>
      <c r="D36" s="1">
        <v>1052</v>
      </c>
      <c r="E36" s="2">
        <v>0.98</v>
      </c>
      <c r="F36" s="1">
        <v>0</v>
      </c>
      <c r="G36" s="1">
        <v>64.33</v>
      </c>
      <c r="H36" s="1">
        <v>793</v>
      </c>
      <c r="I36" s="1" t="str">
        <f>HYPERLINK("https://www.ncbi.nlm.nih.gov/protein/NTU67470.1?report=genbank&amp;log$=prottop&amp;blast_rank=101&amp;RID=7U875CNM013","NTU67470.1")</f>
        <v>NTU67470.1</v>
      </c>
      <c r="J36" s="5" t="s">
        <v>1348</v>
      </c>
    </row>
    <row r="37" spans="1:10" s="4" customFormat="1" x14ac:dyDescent="0.2">
      <c r="A37" s="1" t="s">
        <v>1361</v>
      </c>
      <c r="B37" s="1" t="s">
        <v>1362</v>
      </c>
      <c r="C37" s="1">
        <v>1032</v>
      </c>
      <c r="D37" s="1">
        <v>1032</v>
      </c>
      <c r="E37" s="2">
        <v>0.98</v>
      </c>
      <c r="F37" s="1">
        <v>0</v>
      </c>
      <c r="G37" s="1">
        <v>64.290000000000006</v>
      </c>
      <c r="H37" s="1">
        <v>792</v>
      </c>
      <c r="I37" s="1" t="str">
        <f>HYPERLINK("https://www.ncbi.nlm.nih.gov/protein/TME15771.1?report=genbank&amp;log$=prottop&amp;blast_rank=153&amp;RID=7U875CNM013","TME15771.1")</f>
        <v>TME15771.1</v>
      </c>
      <c r="J37" s="5" t="s">
        <v>1348</v>
      </c>
    </row>
    <row r="38" spans="1:10" s="4" customFormat="1" x14ac:dyDescent="0.2">
      <c r="A38" s="1" t="s">
        <v>1385</v>
      </c>
      <c r="B38" s="1" t="s">
        <v>1362</v>
      </c>
      <c r="C38" s="1">
        <v>1036</v>
      </c>
      <c r="D38" s="1">
        <v>1036</v>
      </c>
      <c r="E38" s="2">
        <v>0.99</v>
      </c>
      <c r="F38" s="1">
        <v>0</v>
      </c>
      <c r="G38" s="1">
        <v>64.28</v>
      </c>
      <c r="H38" s="1">
        <v>795</v>
      </c>
      <c r="I38" s="1" t="str">
        <f>HYPERLINK("https://www.ncbi.nlm.nih.gov/protein/PZR61176.1?report=genbank&amp;log$=prottop&amp;blast_rank=157&amp;RID=7U875CNM013","PZR61176.1")</f>
        <v>PZR61176.1</v>
      </c>
      <c r="J38" s="5" t="s">
        <v>1348</v>
      </c>
    </row>
    <row r="39" spans="1:10" s="7" customFormat="1" x14ac:dyDescent="0.2">
      <c r="A39" s="5" t="s">
        <v>1386</v>
      </c>
      <c r="B39" s="5" t="s">
        <v>1387</v>
      </c>
      <c r="C39" s="5">
        <v>1062</v>
      </c>
      <c r="D39" s="5">
        <v>1062</v>
      </c>
      <c r="E39" s="6">
        <v>0.98</v>
      </c>
      <c r="F39" s="5">
        <v>0</v>
      </c>
      <c r="G39" s="5">
        <v>64.239999999999995</v>
      </c>
      <c r="H39" s="5">
        <v>795</v>
      </c>
      <c r="I39" s="5" t="str">
        <f>HYPERLINK("https://www.ncbi.nlm.nih.gov/protein/OGO51908.1?report=genbank&amp;log$=prottop&amp;blast_rank=7&amp;RID=7U875CNM013","OGO51908.1")</f>
        <v>OGO51908.1</v>
      </c>
      <c r="J39" s="5" t="s">
        <v>1348</v>
      </c>
    </row>
    <row r="40" spans="1:10" s="7" customFormat="1" x14ac:dyDescent="0.2">
      <c r="A40" s="5" t="s">
        <v>1371</v>
      </c>
      <c r="B40" s="5" t="s">
        <v>1372</v>
      </c>
      <c r="C40" s="5">
        <v>1071</v>
      </c>
      <c r="D40" s="5">
        <v>1071</v>
      </c>
      <c r="E40" s="6">
        <v>0.98</v>
      </c>
      <c r="F40" s="5">
        <v>0</v>
      </c>
      <c r="G40" s="5">
        <v>64.2</v>
      </c>
      <c r="H40" s="5">
        <v>799</v>
      </c>
      <c r="I40" s="35" t="str">
        <f>HYPERLINK("https://www.ncbi.nlm.nih.gov/protein/NTV61129.1?report=genbank&amp;log$=prottop&amp;blast_rank=29&amp;RID=7U875CNM013","NTV61129.1")</f>
        <v>NTV61129.1</v>
      </c>
      <c r="J40" s="5" t="s">
        <v>1348</v>
      </c>
    </row>
    <row r="41" spans="1:10" s="7" customFormat="1" x14ac:dyDescent="0.2">
      <c r="A41" s="5" t="s">
        <v>1388</v>
      </c>
      <c r="B41" s="5" t="s">
        <v>1389</v>
      </c>
      <c r="C41" s="5">
        <v>1081</v>
      </c>
      <c r="D41" s="5">
        <v>1081</v>
      </c>
      <c r="E41" s="6">
        <v>0.98</v>
      </c>
      <c r="F41" s="5">
        <v>0</v>
      </c>
      <c r="G41" s="5">
        <v>64.17</v>
      </c>
      <c r="H41" s="5">
        <v>798</v>
      </c>
      <c r="I41" s="5" t="str">
        <f>HYPERLINK("https://www.ncbi.nlm.nih.gov/protein/WP_175187841.1?report=genbank&amp;log$=prottop&amp;blast_rank=56&amp;RID=7U875CNM013","WP_175187841.1")</f>
        <v>WP_175187841.1</v>
      </c>
      <c r="J41" s="5" t="s">
        <v>1348</v>
      </c>
    </row>
    <row r="42" spans="1:10" s="7" customFormat="1" x14ac:dyDescent="0.2">
      <c r="A42" s="5" t="s">
        <v>1390</v>
      </c>
      <c r="B42" s="5" t="s">
        <v>1391</v>
      </c>
      <c r="C42" s="5">
        <v>1077</v>
      </c>
      <c r="D42" s="5">
        <v>1077</v>
      </c>
      <c r="E42" s="6">
        <v>0.98</v>
      </c>
      <c r="F42" s="5">
        <v>0</v>
      </c>
      <c r="G42" s="5">
        <v>64.17</v>
      </c>
      <c r="H42" s="5">
        <v>799</v>
      </c>
      <c r="I42" s="5" t="str">
        <f>HYPERLINK("https://www.ncbi.nlm.nih.gov/protein/TLU83168.1?report=genbank&amp;log$=prottop&amp;blast_rank=57&amp;RID=7U875CNM013","TLU83168.1")</f>
        <v>TLU83168.1</v>
      </c>
      <c r="J42" s="5" t="s">
        <v>1348</v>
      </c>
    </row>
    <row r="43" spans="1:10" s="7" customFormat="1" x14ac:dyDescent="0.2">
      <c r="A43" s="5" t="s">
        <v>1361</v>
      </c>
      <c r="B43" s="5" t="s">
        <v>1362</v>
      </c>
      <c r="C43" s="5">
        <v>1032</v>
      </c>
      <c r="D43" s="5">
        <v>1032</v>
      </c>
      <c r="E43" s="6">
        <v>0.98</v>
      </c>
      <c r="F43" s="5">
        <v>0</v>
      </c>
      <c r="G43" s="5">
        <v>64.16</v>
      </c>
      <c r="H43" s="5">
        <v>792</v>
      </c>
      <c r="I43" s="5" t="str">
        <f>HYPERLINK("https://www.ncbi.nlm.nih.gov/protein/TMD10731.1?report=genbank&amp;log$=prottop&amp;blast_rank=81&amp;RID=7U875CNM013","TMD10731.1")</f>
        <v>TMD10731.1</v>
      </c>
      <c r="J43" s="5" t="s">
        <v>1348</v>
      </c>
    </row>
    <row r="44" spans="1:10" s="7" customFormat="1" x14ac:dyDescent="0.2">
      <c r="A44" s="5" t="s">
        <v>1361</v>
      </c>
      <c r="B44" s="5" t="s">
        <v>1362</v>
      </c>
      <c r="C44" s="5">
        <v>1036</v>
      </c>
      <c r="D44" s="5">
        <v>1036</v>
      </c>
      <c r="E44" s="6">
        <v>0.97</v>
      </c>
      <c r="F44" s="5">
        <v>0</v>
      </c>
      <c r="G44" s="5">
        <v>64.150000000000006</v>
      </c>
      <c r="H44" s="5">
        <v>793</v>
      </c>
      <c r="I44" s="5" t="str">
        <f>HYPERLINK("https://www.ncbi.nlm.nih.gov/protein/MBI2781364.1?report=genbank&amp;log$=prottop&amp;blast_rank=84&amp;RID=7U875CNM013","MBI2781364.1")</f>
        <v>MBI2781364.1</v>
      </c>
      <c r="J44" s="5" t="s">
        <v>1348</v>
      </c>
    </row>
    <row r="45" spans="1:10" s="7" customFormat="1" x14ac:dyDescent="0.2">
      <c r="A45" s="5" t="s">
        <v>1371</v>
      </c>
      <c r="B45" s="5" t="s">
        <v>1372</v>
      </c>
      <c r="C45" s="5">
        <v>1054</v>
      </c>
      <c r="D45" s="5">
        <v>1054</v>
      </c>
      <c r="E45" s="6">
        <v>0.97</v>
      </c>
      <c r="F45" s="5">
        <v>0</v>
      </c>
      <c r="G45" s="5">
        <v>63.96</v>
      </c>
      <c r="H45" s="5">
        <v>794</v>
      </c>
      <c r="I45" s="5" t="str">
        <f>HYPERLINK("https://www.ncbi.nlm.nih.gov/protein/NTU93240.1?report=genbank&amp;log$=prottop&amp;blast_rank=45&amp;RID=7U875CNM013","NTU93240.1")</f>
        <v>NTU93240.1</v>
      </c>
      <c r="J45" s="5" t="s">
        <v>1348</v>
      </c>
    </row>
    <row r="46" spans="1:10" s="7" customFormat="1" x14ac:dyDescent="0.2">
      <c r="A46" s="5" t="s">
        <v>1361</v>
      </c>
      <c r="B46" s="5" t="s">
        <v>1362</v>
      </c>
      <c r="C46" s="5">
        <v>1054</v>
      </c>
      <c r="D46" s="5">
        <v>1054</v>
      </c>
      <c r="E46" s="6">
        <v>0.98</v>
      </c>
      <c r="F46" s="5">
        <v>0</v>
      </c>
      <c r="G46" s="5">
        <v>63.96</v>
      </c>
      <c r="H46" s="5">
        <v>799</v>
      </c>
      <c r="I46" s="5" t="str">
        <f>HYPERLINK("https://www.ncbi.nlm.nih.gov/protein/MBI2763231.1?report=genbank&amp;log$=prottop&amp;blast_rank=48&amp;RID=7U875CNM013","MBI2763231.1")</f>
        <v>MBI2763231.1</v>
      </c>
      <c r="J46" s="5" t="s">
        <v>1348</v>
      </c>
    </row>
    <row r="47" spans="1:10" s="7" customFormat="1" x14ac:dyDescent="0.2">
      <c r="A47" s="5" t="s">
        <v>1371</v>
      </c>
      <c r="B47" s="5" t="s">
        <v>1372</v>
      </c>
      <c r="C47" s="5">
        <v>1079</v>
      </c>
      <c r="D47" s="5">
        <v>1079</v>
      </c>
      <c r="E47" s="6">
        <v>0.98</v>
      </c>
      <c r="F47" s="5">
        <v>0</v>
      </c>
      <c r="G47" s="5">
        <v>63.95</v>
      </c>
      <c r="H47" s="5">
        <v>789</v>
      </c>
      <c r="I47" s="5" t="str">
        <f>HYPERLINK("https://www.ncbi.nlm.nih.gov/protein/NTU59132.1?report=genbank&amp;log$=prottop&amp;blast_rank=52&amp;RID=7U875CNM013","NTU59132.1")</f>
        <v>NTU59132.1</v>
      </c>
      <c r="J47" s="5" t="s">
        <v>1348</v>
      </c>
    </row>
    <row r="48" spans="1:10" s="7" customFormat="1" x14ac:dyDescent="0.2">
      <c r="A48" s="5" t="s">
        <v>1371</v>
      </c>
      <c r="B48" s="5" t="s">
        <v>1372</v>
      </c>
      <c r="C48" s="5">
        <v>1075</v>
      </c>
      <c r="D48" s="5">
        <v>1075</v>
      </c>
      <c r="E48" s="6">
        <v>0.98</v>
      </c>
      <c r="F48" s="5">
        <v>0</v>
      </c>
      <c r="G48" s="5">
        <v>63.91</v>
      </c>
      <c r="H48" s="5">
        <v>799</v>
      </c>
      <c r="I48" s="5" t="str">
        <f>HYPERLINK("https://www.ncbi.nlm.nih.gov/protein/NTW82734.1?report=genbank&amp;log$=prottop&amp;blast_rank=100&amp;RID=7U875CNM013","NTW82734.1")</f>
        <v>NTW82734.1</v>
      </c>
      <c r="J48" s="5" t="s">
        <v>1348</v>
      </c>
    </row>
    <row r="49" spans="1:10" s="7" customFormat="1" x14ac:dyDescent="0.2">
      <c r="A49" s="5" t="s">
        <v>1361</v>
      </c>
      <c r="B49" s="5" t="s">
        <v>1362</v>
      </c>
      <c r="C49" s="5">
        <v>1074</v>
      </c>
      <c r="D49" s="5">
        <v>1074</v>
      </c>
      <c r="E49" s="6">
        <v>0.99</v>
      </c>
      <c r="F49" s="5">
        <v>0</v>
      </c>
      <c r="G49" s="5">
        <v>63.9</v>
      </c>
      <c r="H49" s="5">
        <v>796</v>
      </c>
      <c r="I49" s="5" t="str">
        <f>HYPERLINK("https://www.ncbi.nlm.nih.gov/protein/TAK02592.1?report=genbank&amp;log$=prottop&amp;blast_rank=154&amp;RID=7U875CNM013","TAK02592.1")</f>
        <v>TAK02592.1</v>
      </c>
      <c r="J49" s="5" t="s">
        <v>1348</v>
      </c>
    </row>
    <row r="50" spans="1:10" s="7" customFormat="1" x14ac:dyDescent="0.2">
      <c r="A50" s="5" t="s">
        <v>1371</v>
      </c>
      <c r="B50" s="5" t="s">
        <v>1372</v>
      </c>
      <c r="C50" s="5">
        <v>1063</v>
      </c>
      <c r="D50" s="5">
        <v>1063</v>
      </c>
      <c r="E50" s="6">
        <v>0.98</v>
      </c>
      <c r="F50" s="5">
        <v>0</v>
      </c>
      <c r="G50" s="5">
        <v>63.82</v>
      </c>
      <c r="H50" s="5">
        <v>787</v>
      </c>
      <c r="I50" s="5" t="str">
        <f>HYPERLINK("https://www.ncbi.nlm.nih.gov/protein/NMW19885.1?report=genbank&amp;log$=prottop&amp;blast_rank=8&amp;RID=7U875CNM013","NMW19885.1")</f>
        <v>NMW19885.1</v>
      </c>
      <c r="J50" s="5" t="s">
        <v>1348</v>
      </c>
    </row>
    <row r="51" spans="1:10" s="7" customFormat="1" x14ac:dyDescent="0.2">
      <c r="A51" s="5" t="s">
        <v>1390</v>
      </c>
      <c r="B51" s="5" t="s">
        <v>1391</v>
      </c>
      <c r="C51" s="5">
        <v>1080</v>
      </c>
      <c r="D51" s="5">
        <v>1080</v>
      </c>
      <c r="E51" s="6">
        <v>0.99</v>
      </c>
      <c r="F51" s="5">
        <v>0</v>
      </c>
      <c r="G51" s="5">
        <v>63.69</v>
      </c>
      <c r="H51" s="5">
        <v>799</v>
      </c>
      <c r="I51" s="5" t="str">
        <f>HYPERLINK("https://www.ncbi.nlm.nih.gov/protein/TLU56480.1?report=genbank&amp;log$=prottop&amp;blast_rank=170&amp;RID=7U875CNM013","TLU56480.1")</f>
        <v>TLU56480.1</v>
      </c>
      <c r="J51" s="5" t="s">
        <v>1348</v>
      </c>
    </row>
    <row r="52" spans="1:10" s="7" customFormat="1" x14ac:dyDescent="0.2">
      <c r="A52" s="5" t="s">
        <v>1392</v>
      </c>
      <c r="B52" s="5" t="s">
        <v>1393</v>
      </c>
      <c r="C52" s="5">
        <v>1070</v>
      </c>
      <c r="D52" s="5">
        <v>1070</v>
      </c>
      <c r="E52" s="6">
        <v>0.98</v>
      </c>
      <c r="F52" s="5">
        <v>0</v>
      </c>
      <c r="G52" s="5">
        <v>63.61</v>
      </c>
      <c r="H52" s="5">
        <v>790</v>
      </c>
      <c r="I52" s="5" t="str">
        <f>HYPERLINK("https://www.ncbi.nlm.nih.gov/protein/NTV67445.1?report=genbank&amp;log$=prottop&amp;blast_rank=34&amp;RID=7U875CNM013","NTV67445.1")</f>
        <v>NTV67445.1</v>
      </c>
      <c r="J52" s="5" t="s">
        <v>1348</v>
      </c>
    </row>
    <row r="53" spans="1:10" s="7" customFormat="1" x14ac:dyDescent="0.2">
      <c r="A53" s="5" t="s">
        <v>1361</v>
      </c>
      <c r="B53" s="5" t="s">
        <v>1362</v>
      </c>
      <c r="C53" s="5">
        <v>1046</v>
      </c>
      <c r="D53" s="5">
        <v>1046</v>
      </c>
      <c r="E53" s="6">
        <v>0.97</v>
      </c>
      <c r="F53" s="5">
        <v>0</v>
      </c>
      <c r="G53" s="5">
        <v>63.46</v>
      </c>
      <c r="H53" s="5">
        <v>793</v>
      </c>
      <c r="I53" s="5" t="str">
        <f>HYPERLINK("https://www.ncbi.nlm.nih.gov/protein/TMF61218.1?report=genbank&amp;log$=prottop&amp;blast_rank=6&amp;RID=7U875CNM013","TMF61218.1")</f>
        <v>TMF61218.1</v>
      </c>
      <c r="J53" s="5" t="s">
        <v>1348</v>
      </c>
    </row>
    <row r="54" spans="1:10" s="7" customFormat="1" x14ac:dyDescent="0.2">
      <c r="A54" s="5" t="s">
        <v>1371</v>
      </c>
      <c r="B54" s="5" t="s">
        <v>1372</v>
      </c>
      <c r="C54" s="5">
        <v>1048</v>
      </c>
      <c r="D54" s="5">
        <v>1048</v>
      </c>
      <c r="E54" s="6">
        <v>0.99</v>
      </c>
      <c r="F54" s="5">
        <v>0</v>
      </c>
      <c r="G54" s="5">
        <v>63.41</v>
      </c>
      <c r="H54" s="5">
        <v>802</v>
      </c>
      <c r="I54" s="5" t="str">
        <f>HYPERLINK("https://www.ncbi.nlm.nih.gov/protein/NTW68788.1?report=genbank&amp;log$=prottop&amp;blast_rank=54&amp;RID=7U875CNM013","NTW68788.1")</f>
        <v>NTW68788.1</v>
      </c>
      <c r="J54" s="5" t="s">
        <v>1348</v>
      </c>
    </row>
    <row r="55" spans="1:10" s="7" customFormat="1" x14ac:dyDescent="0.2">
      <c r="A55" s="5" t="s">
        <v>1361</v>
      </c>
      <c r="B55" s="5" t="s">
        <v>1362</v>
      </c>
      <c r="C55" s="5">
        <v>1040</v>
      </c>
      <c r="D55" s="5">
        <v>1040</v>
      </c>
      <c r="E55" s="6">
        <v>0.97</v>
      </c>
      <c r="F55" s="5">
        <v>0</v>
      </c>
      <c r="G55" s="5">
        <v>63.33</v>
      </c>
      <c r="H55" s="5">
        <v>796</v>
      </c>
      <c r="I55" s="5" t="str">
        <f>HYPERLINK("https://www.ncbi.nlm.nih.gov/protein/TMG41729.1?report=genbank&amp;log$=prottop&amp;blast_rank=123&amp;RID=7U875CNM013","TMG41729.1")</f>
        <v>TMG41729.1</v>
      </c>
      <c r="J55" s="5" t="s">
        <v>1348</v>
      </c>
    </row>
    <row r="56" spans="1:10" s="7" customFormat="1" x14ac:dyDescent="0.2">
      <c r="A56" s="5" t="s">
        <v>1371</v>
      </c>
      <c r="B56" s="5" t="s">
        <v>1372</v>
      </c>
      <c r="C56" s="5">
        <v>1072</v>
      </c>
      <c r="D56" s="5">
        <v>1072</v>
      </c>
      <c r="E56" s="6">
        <v>0.98</v>
      </c>
      <c r="F56" s="5">
        <v>0</v>
      </c>
      <c r="G56" s="5">
        <v>63.31</v>
      </c>
      <c r="H56" s="5">
        <v>791</v>
      </c>
      <c r="I56" s="5" t="str">
        <f>HYPERLINK("https://www.ncbi.nlm.nih.gov/protein/NTU53971.1?report=genbank&amp;log$=prottop&amp;blast_rank=137&amp;RID=7U875CNM013","NTU53971.1")</f>
        <v>NTU53971.1</v>
      </c>
      <c r="J56" s="5" t="s">
        <v>1394</v>
      </c>
    </row>
    <row r="57" spans="1:10" s="7" customFormat="1" x14ac:dyDescent="0.2">
      <c r="A57" s="5" t="s">
        <v>1395</v>
      </c>
      <c r="B57" s="5" t="s">
        <v>1396</v>
      </c>
      <c r="C57" s="5">
        <v>1066</v>
      </c>
      <c r="D57" s="5">
        <v>1066</v>
      </c>
      <c r="E57" s="6">
        <v>0.98</v>
      </c>
      <c r="F57" s="5">
        <v>0</v>
      </c>
      <c r="G57" s="5">
        <v>63.31</v>
      </c>
      <c r="H57" s="5">
        <v>791</v>
      </c>
      <c r="I57" s="5" t="str">
        <f>HYPERLINK("https://www.ncbi.nlm.nih.gov/protein/WP_139457100.1?report=genbank&amp;log$=prottop&amp;blast_rank=138&amp;RID=7U875CNM013","WP_139457100.1")</f>
        <v>WP_139457100.1</v>
      </c>
      <c r="J57" s="5" t="s">
        <v>1394</v>
      </c>
    </row>
    <row r="58" spans="1:10" s="7" customFormat="1" x14ac:dyDescent="0.2">
      <c r="A58" s="5" t="s">
        <v>1397</v>
      </c>
      <c r="B58" s="5" t="s">
        <v>1398</v>
      </c>
      <c r="C58" s="5">
        <v>1059</v>
      </c>
      <c r="D58" s="5">
        <v>1059</v>
      </c>
      <c r="E58" s="6">
        <v>0.98</v>
      </c>
      <c r="F58" s="5">
        <v>0</v>
      </c>
      <c r="G58" s="5">
        <v>63.31</v>
      </c>
      <c r="H58" s="5">
        <v>797</v>
      </c>
      <c r="I58" s="5" t="str">
        <f>HYPERLINK("https://www.ncbi.nlm.nih.gov/protein/WP_085659272.1?report=genbank&amp;log$=prottop&amp;blast_rank=139&amp;RID=7U875CNM013","WP_085659272.1")</f>
        <v>WP_085659272.1</v>
      </c>
      <c r="J58" s="5" t="s">
        <v>1399</v>
      </c>
    </row>
    <row r="59" spans="1:10" s="7" customFormat="1" x14ac:dyDescent="0.2">
      <c r="A59" s="5" t="s">
        <v>1400</v>
      </c>
      <c r="B59" s="5" t="s">
        <v>1401</v>
      </c>
      <c r="C59" s="5">
        <v>1060</v>
      </c>
      <c r="D59" s="5">
        <v>1060</v>
      </c>
      <c r="E59" s="6">
        <v>0.98</v>
      </c>
      <c r="F59" s="5">
        <v>0</v>
      </c>
      <c r="G59" s="5">
        <v>63.28</v>
      </c>
      <c r="H59" s="5">
        <v>797</v>
      </c>
      <c r="I59" s="5" t="str">
        <f>HYPERLINK("https://www.ncbi.nlm.nih.gov/protein/MBO8093269.1?report=genbank&amp;log$=prottop&amp;blast_rank=186&amp;RID=7U875CNM013","MBO8093269.1")</f>
        <v>MBO8093269.1</v>
      </c>
      <c r="J59" s="5" t="s">
        <v>1394</v>
      </c>
    </row>
    <row r="60" spans="1:10" s="7" customFormat="1" x14ac:dyDescent="0.2">
      <c r="A60" s="5" t="s">
        <v>1402</v>
      </c>
      <c r="B60" s="5" t="s">
        <v>1403</v>
      </c>
      <c r="C60" s="5">
        <v>1058</v>
      </c>
      <c r="D60" s="5">
        <v>1058</v>
      </c>
      <c r="E60" s="6">
        <v>0.98</v>
      </c>
      <c r="F60" s="5">
        <v>0</v>
      </c>
      <c r="G60" s="5">
        <v>63.28</v>
      </c>
      <c r="H60" s="5">
        <v>797</v>
      </c>
      <c r="I60" s="5" t="str">
        <f>HYPERLINK("https://www.ncbi.nlm.nih.gov/protein/HED31391.1?report=genbank&amp;log$=prottop&amp;blast_rank=187&amp;RID=7U875CNM013","HED31391.1")</f>
        <v>HED31391.1</v>
      </c>
      <c r="J60" s="5" t="s">
        <v>1394</v>
      </c>
    </row>
    <row r="61" spans="1:10" s="7" customFormat="1" x14ac:dyDescent="0.2">
      <c r="A61" s="5" t="s">
        <v>1361</v>
      </c>
      <c r="B61" s="5" t="s">
        <v>1362</v>
      </c>
      <c r="C61" s="5">
        <v>1052</v>
      </c>
      <c r="D61" s="5">
        <v>1052</v>
      </c>
      <c r="E61" s="6">
        <v>0.98</v>
      </c>
      <c r="F61" s="5">
        <v>0</v>
      </c>
      <c r="G61" s="5">
        <v>63.27</v>
      </c>
      <c r="H61" s="5">
        <v>793</v>
      </c>
      <c r="I61" s="5" t="str">
        <f>HYPERLINK("https://www.ncbi.nlm.nih.gov/protein/TMD48640.1?report=genbank&amp;log$=prottop&amp;blast_rank=209&amp;RID=7U875CNM013","TMD48640.1")</f>
        <v>TMD48640.1</v>
      </c>
      <c r="J61" s="5" t="s">
        <v>1348</v>
      </c>
    </row>
    <row r="62" spans="1:10" s="7" customFormat="1" x14ac:dyDescent="0.2">
      <c r="A62" s="5" t="s">
        <v>1361</v>
      </c>
      <c r="B62" s="5" t="s">
        <v>1362</v>
      </c>
      <c r="C62" s="5">
        <v>1050</v>
      </c>
      <c r="D62" s="5">
        <v>1050</v>
      </c>
      <c r="E62" s="6">
        <v>0.98</v>
      </c>
      <c r="F62" s="5">
        <v>0</v>
      </c>
      <c r="G62" s="5">
        <v>63.27</v>
      </c>
      <c r="H62" s="5">
        <v>793</v>
      </c>
      <c r="I62" s="5" t="str">
        <f>HYPERLINK("https://www.ncbi.nlm.nih.gov/protein/TMB70496.1?report=genbank&amp;log$=prottop&amp;blast_rank=211&amp;RID=7U875CNM013","TMB70496.1")</f>
        <v>TMB70496.1</v>
      </c>
      <c r="J62" s="5" t="s">
        <v>1348</v>
      </c>
    </row>
    <row r="63" spans="1:10" s="7" customFormat="1" x14ac:dyDescent="0.2">
      <c r="A63" s="5" t="s">
        <v>1361</v>
      </c>
      <c r="B63" s="5" t="s">
        <v>1362</v>
      </c>
      <c r="C63" s="5">
        <v>1046</v>
      </c>
      <c r="D63" s="5">
        <v>1046</v>
      </c>
      <c r="E63" s="6">
        <v>0.98</v>
      </c>
      <c r="F63" s="5">
        <v>0</v>
      </c>
      <c r="G63" s="5">
        <v>63.23</v>
      </c>
      <c r="H63" s="5">
        <v>799</v>
      </c>
      <c r="I63" s="5" t="str">
        <f>HYPERLINK("https://www.ncbi.nlm.nih.gov/protein/TMD09739.1?report=genbank&amp;log$=prottop&amp;blast_rank=23&amp;RID=7U875CNM013","TMD09739.1")</f>
        <v>TMD09739.1</v>
      </c>
      <c r="J63" s="5" t="s">
        <v>1348</v>
      </c>
    </row>
    <row r="64" spans="1:10" s="7" customFormat="1" x14ac:dyDescent="0.2">
      <c r="A64" s="5" t="s">
        <v>1404</v>
      </c>
      <c r="B64" s="5" t="s">
        <v>1405</v>
      </c>
      <c r="C64" s="5">
        <v>1071</v>
      </c>
      <c r="D64" s="5">
        <v>1071</v>
      </c>
      <c r="E64" s="6">
        <v>0.98</v>
      </c>
      <c r="F64" s="5">
        <v>0</v>
      </c>
      <c r="G64" s="5">
        <v>63.21</v>
      </c>
      <c r="H64" s="5">
        <v>791</v>
      </c>
      <c r="I64" s="5" t="str">
        <f>HYPERLINK("https://www.ncbi.nlm.nih.gov/protein/WP_164927044.1?report=genbank&amp;log$=prottop&amp;blast_rank=34&amp;RID=7U875CNM013","WP_164927044.1")</f>
        <v>WP_164927044.1</v>
      </c>
      <c r="J64" s="5" t="s">
        <v>1394</v>
      </c>
    </row>
    <row r="65" spans="1:10" s="7" customFormat="1" x14ac:dyDescent="0.2">
      <c r="A65" s="5" t="s">
        <v>1371</v>
      </c>
      <c r="B65" s="5" t="s">
        <v>1372</v>
      </c>
      <c r="C65" s="5">
        <v>1063</v>
      </c>
      <c r="D65" s="5">
        <v>1063</v>
      </c>
      <c r="E65" s="6">
        <v>0.97</v>
      </c>
      <c r="F65" s="5">
        <v>0</v>
      </c>
      <c r="G65" s="5">
        <v>63.21</v>
      </c>
      <c r="H65" s="5">
        <v>782</v>
      </c>
      <c r="I65" s="5" t="str">
        <f>HYPERLINK("https://www.ncbi.nlm.nih.gov/protein/NTU88172.1?report=genbank&amp;log$=prottop&amp;blast_rank=37&amp;RID=7U875CNM013","NTU88172.1")</f>
        <v>NTU88172.1</v>
      </c>
      <c r="J65" s="5" t="s">
        <v>1394</v>
      </c>
    </row>
    <row r="66" spans="1:10" s="7" customFormat="1" x14ac:dyDescent="0.2">
      <c r="A66" s="5" t="s">
        <v>1361</v>
      </c>
      <c r="B66" s="5" t="s">
        <v>1362</v>
      </c>
      <c r="C66" s="5">
        <v>1038</v>
      </c>
      <c r="D66" s="5">
        <v>1038</v>
      </c>
      <c r="E66" s="6">
        <v>0.97</v>
      </c>
      <c r="F66" s="5">
        <v>0</v>
      </c>
      <c r="G66" s="5">
        <v>63.21</v>
      </c>
      <c r="H66" s="5">
        <v>793</v>
      </c>
      <c r="I66" s="5" t="str">
        <f>HYPERLINK("https://www.ncbi.nlm.nih.gov/protein/TMG15755.1?report=genbank&amp;log$=prottop&amp;blast_rank=38&amp;RID=7U875CNM013","TMG15755.1")</f>
        <v>TMG15755.1</v>
      </c>
      <c r="J66" s="5" t="s">
        <v>1348</v>
      </c>
    </row>
    <row r="67" spans="1:10" s="7" customFormat="1" x14ac:dyDescent="0.2">
      <c r="A67" s="5" t="s">
        <v>1406</v>
      </c>
      <c r="B67" s="5" t="s">
        <v>1407</v>
      </c>
      <c r="C67" s="5">
        <v>1037</v>
      </c>
      <c r="D67" s="5">
        <v>1037</v>
      </c>
      <c r="E67" s="6">
        <v>0.97</v>
      </c>
      <c r="F67" s="5">
        <v>0</v>
      </c>
      <c r="G67" s="5">
        <v>63.21</v>
      </c>
      <c r="H67" s="5">
        <v>793</v>
      </c>
      <c r="I67" s="5" t="str">
        <f>HYPERLINK("https://www.ncbi.nlm.nih.gov/protein/OLD91682.1?report=genbank&amp;log$=prottop&amp;blast_rank=40&amp;RID=7U875CNM013","OLD91682.1")</f>
        <v>OLD91682.1</v>
      </c>
      <c r="J67" s="5" t="s">
        <v>1348</v>
      </c>
    </row>
    <row r="68" spans="1:10" s="7" customFormat="1" x14ac:dyDescent="0.2">
      <c r="A68" s="5" t="s">
        <v>1371</v>
      </c>
      <c r="B68" s="5" t="s">
        <v>1372</v>
      </c>
      <c r="C68" s="5">
        <v>1066</v>
      </c>
      <c r="D68" s="5">
        <v>1066</v>
      </c>
      <c r="E68" s="6">
        <v>0.98</v>
      </c>
      <c r="F68" s="5">
        <v>0</v>
      </c>
      <c r="G68" s="5">
        <v>63.15</v>
      </c>
      <c r="H68" s="5">
        <v>790</v>
      </c>
      <c r="I68" s="5" t="str">
        <f>HYPERLINK("https://www.ncbi.nlm.nih.gov/protein/MBN1927988.1?report=genbank&amp;log$=prottop&amp;blast_rank=91&amp;RID=7U875CNM013","MBN1927988.1")</f>
        <v>MBN1927988.1</v>
      </c>
      <c r="J68" s="5" t="s">
        <v>1408</v>
      </c>
    </row>
    <row r="69" spans="1:10" s="7" customFormat="1" x14ac:dyDescent="0.2">
      <c r="A69" s="5" t="s">
        <v>1361</v>
      </c>
      <c r="B69" s="5" t="s">
        <v>1362</v>
      </c>
      <c r="C69" s="5">
        <v>1042</v>
      </c>
      <c r="D69" s="5">
        <v>1042</v>
      </c>
      <c r="E69" s="6">
        <v>0.99</v>
      </c>
      <c r="F69" s="5">
        <v>0</v>
      </c>
      <c r="G69" s="5">
        <v>63.14</v>
      </c>
      <c r="H69" s="5">
        <v>808</v>
      </c>
      <c r="I69" s="5" t="str">
        <f>HYPERLINK("https://www.ncbi.nlm.nih.gov/protein/MBI3752399.1?report=genbank&amp;log$=prottop&amp;blast_rank=98&amp;RID=7U875CNM013","MBI3752399.1")</f>
        <v>MBI3752399.1</v>
      </c>
      <c r="J69" s="5" t="s">
        <v>1348</v>
      </c>
    </row>
    <row r="70" spans="1:10" s="7" customFormat="1" x14ac:dyDescent="0.2">
      <c r="A70" s="5" t="s">
        <v>1361</v>
      </c>
      <c r="B70" s="5" t="s">
        <v>1362</v>
      </c>
      <c r="C70" s="5">
        <v>1040</v>
      </c>
      <c r="D70" s="5">
        <v>1040</v>
      </c>
      <c r="E70" s="6">
        <v>0.98</v>
      </c>
      <c r="F70" s="5">
        <v>0</v>
      </c>
      <c r="G70" s="5">
        <v>63.14</v>
      </c>
      <c r="H70" s="5">
        <v>799</v>
      </c>
      <c r="I70" s="5" t="str">
        <f>HYPERLINK("https://www.ncbi.nlm.nih.gov/protein/TMB47218.1?report=genbank&amp;log$=prottop&amp;blast_rank=112&amp;RID=7U875CNM013","TMB47218.1")</f>
        <v>TMB47218.1</v>
      </c>
      <c r="J70" s="5" t="s">
        <v>1348</v>
      </c>
    </row>
    <row r="71" spans="1:10" s="7" customFormat="1" x14ac:dyDescent="0.2">
      <c r="A71" s="5" t="s">
        <v>1409</v>
      </c>
      <c r="B71" s="5" t="s">
        <v>1410</v>
      </c>
      <c r="C71" s="5">
        <v>1023</v>
      </c>
      <c r="D71" s="5">
        <v>1023</v>
      </c>
      <c r="E71" s="6">
        <v>0.98</v>
      </c>
      <c r="F71" s="5">
        <v>0</v>
      </c>
      <c r="G71" s="5">
        <v>63.02</v>
      </c>
      <c r="H71" s="5">
        <v>783</v>
      </c>
      <c r="I71" s="5" t="str">
        <f>HYPERLINK("https://www.ncbi.nlm.nih.gov/protein/WP_119019539.1?report=genbank&amp;log$=prottop&amp;blast_rank=81&amp;RID=7U875CNM013","WP_119019539.1")</f>
        <v>WP_119019539.1</v>
      </c>
      <c r="J71" s="5" t="s">
        <v>1411</v>
      </c>
    </row>
    <row r="72" spans="1:10" s="7" customFormat="1" x14ac:dyDescent="0.2">
      <c r="A72" s="5" t="s">
        <v>1361</v>
      </c>
      <c r="B72" s="5" t="s">
        <v>1362</v>
      </c>
      <c r="C72" s="5">
        <v>1045</v>
      </c>
      <c r="D72" s="5">
        <v>1045</v>
      </c>
      <c r="E72" s="6">
        <v>0.98</v>
      </c>
      <c r="F72" s="5">
        <v>0</v>
      </c>
      <c r="G72" s="5">
        <v>63.01</v>
      </c>
      <c r="H72" s="5">
        <v>793</v>
      </c>
      <c r="I72" s="5" t="str">
        <f>HYPERLINK("https://www.ncbi.nlm.nih.gov/protein/TMF09305.1?report=genbank&amp;log$=prottop&amp;blast_rank=105&amp;RID=7U875CNM013","TMF09305.1")</f>
        <v>TMF09305.1</v>
      </c>
      <c r="J72" s="5" t="s">
        <v>1348</v>
      </c>
    </row>
    <row r="73" spans="1:10" s="7" customFormat="1" x14ac:dyDescent="0.2">
      <c r="A73" s="5" t="s">
        <v>1361</v>
      </c>
      <c r="B73" s="5" t="s">
        <v>1362</v>
      </c>
      <c r="C73" s="5">
        <v>1044</v>
      </c>
      <c r="D73" s="5">
        <v>1044</v>
      </c>
      <c r="E73" s="6">
        <v>0.98</v>
      </c>
      <c r="F73" s="5">
        <v>0</v>
      </c>
      <c r="G73" s="5">
        <v>63.01</v>
      </c>
      <c r="H73" s="5">
        <v>793</v>
      </c>
      <c r="I73" s="5" t="str">
        <f>HYPERLINK("https://www.ncbi.nlm.nih.gov/protein/TMD20788.1?report=genbank&amp;log$=prottop&amp;blast_rank=107&amp;RID=7U875CNM013","TMD20788.1")</f>
        <v>TMD20788.1</v>
      </c>
      <c r="J73" s="5" t="s">
        <v>1348</v>
      </c>
    </row>
    <row r="74" spans="1:10" s="7" customFormat="1" x14ac:dyDescent="0.2">
      <c r="A74" s="5" t="s">
        <v>1361</v>
      </c>
      <c r="B74" s="5" t="s">
        <v>1362</v>
      </c>
      <c r="C74" s="5">
        <v>1044</v>
      </c>
      <c r="D74" s="5">
        <v>1044</v>
      </c>
      <c r="E74" s="6">
        <v>0.98</v>
      </c>
      <c r="F74" s="5">
        <v>0</v>
      </c>
      <c r="G74" s="5">
        <v>63.01</v>
      </c>
      <c r="H74" s="5">
        <v>793</v>
      </c>
      <c r="I74" s="5" t="str">
        <f>HYPERLINK("https://www.ncbi.nlm.nih.gov/protein/TME24184.1?report=genbank&amp;log$=prottop&amp;blast_rank=108&amp;RID=7U875CNM013","TME24184.1")</f>
        <v>TME24184.1</v>
      </c>
      <c r="J74" s="5" t="s">
        <v>1348</v>
      </c>
    </row>
    <row r="75" spans="1:10" s="7" customFormat="1" x14ac:dyDescent="0.2">
      <c r="A75" s="5" t="s">
        <v>1361</v>
      </c>
      <c r="B75" s="5" t="s">
        <v>1362</v>
      </c>
      <c r="C75" s="5">
        <v>1029</v>
      </c>
      <c r="D75" s="5">
        <v>1029</v>
      </c>
      <c r="E75" s="6">
        <v>0.99</v>
      </c>
      <c r="F75" s="5">
        <v>0</v>
      </c>
      <c r="G75" s="5">
        <v>62.94</v>
      </c>
      <c r="H75" s="5">
        <v>803</v>
      </c>
      <c r="I75" s="5" t="str">
        <f>HYPERLINK("https://www.ncbi.nlm.nih.gov/protein/NJD26799.1?report=genbank&amp;log$=prottop&amp;blast_rank=184&amp;RID=7U875CNM013","NJD26799.1")</f>
        <v>NJD26799.1</v>
      </c>
      <c r="J75" s="5" t="s">
        <v>1348</v>
      </c>
    </row>
    <row r="76" spans="1:10" s="7" customFormat="1" x14ac:dyDescent="0.2">
      <c r="A76" s="5" t="s">
        <v>1412</v>
      </c>
      <c r="B76" s="5" t="s">
        <v>1413</v>
      </c>
      <c r="C76" s="5">
        <v>1058</v>
      </c>
      <c r="D76" s="5">
        <v>1058</v>
      </c>
      <c r="E76" s="6">
        <v>0.98</v>
      </c>
      <c r="F76" s="5">
        <v>0</v>
      </c>
      <c r="G76" s="5">
        <v>62.88</v>
      </c>
      <c r="H76" s="5">
        <v>789</v>
      </c>
      <c r="I76" s="5" t="str">
        <f>HYPERLINK("https://www.ncbi.nlm.nih.gov/protein/MBM3423148.1?report=genbank&amp;log$=prottop&amp;blast_rank=14&amp;RID=7U875CNM013","MBM3423148.1")</f>
        <v>MBM3423148.1</v>
      </c>
      <c r="J76" s="5" t="s">
        <v>1414</v>
      </c>
    </row>
    <row r="77" spans="1:10" s="7" customFormat="1" x14ac:dyDescent="0.2">
      <c r="A77" s="5" t="s">
        <v>1361</v>
      </c>
      <c r="B77" s="5" t="s">
        <v>1362</v>
      </c>
      <c r="C77" s="5">
        <v>1038</v>
      </c>
      <c r="D77" s="5">
        <v>1038</v>
      </c>
      <c r="E77" s="6">
        <v>0.98</v>
      </c>
      <c r="F77" s="5">
        <v>0</v>
      </c>
      <c r="G77" s="5">
        <v>62.88</v>
      </c>
      <c r="H77" s="5">
        <v>785</v>
      </c>
      <c r="I77" s="5" t="str">
        <f>HYPERLINK("https://www.ncbi.nlm.nih.gov/protein/TMD82194.1?report=genbank&amp;log$=prottop&amp;blast_rank=17&amp;RID=7U875CNM013","TMD82194.1")</f>
        <v>TMD82194.1</v>
      </c>
      <c r="J77" s="5" t="s">
        <v>1414</v>
      </c>
    </row>
    <row r="78" spans="1:10" s="7" customFormat="1" x14ac:dyDescent="0.2">
      <c r="A78" s="5" t="s">
        <v>1415</v>
      </c>
      <c r="B78" s="5" t="s">
        <v>1416</v>
      </c>
      <c r="C78" s="5">
        <v>1036</v>
      </c>
      <c r="D78" s="5">
        <v>1036</v>
      </c>
      <c r="E78" s="6">
        <v>0.98</v>
      </c>
      <c r="F78" s="5">
        <v>0</v>
      </c>
      <c r="G78" s="5">
        <v>62.88</v>
      </c>
      <c r="H78" s="5">
        <v>818</v>
      </c>
      <c r="I78" s="5" t="str">
        <f>HYPERLINK("https://www.ncbi.nlm.nih.gov/protein/NNJ12345.1?report=genbank&amp;log$=prottop&amp;blast_rank=18&amp;RID=7U875CNM013","NNJ12345.1")</f>
        <v>NNJ12345.1</v>
      </c>
      <c r="J78" s="5" t="s">
        <v>1414</v>
      </c>
    </row>
    <row r="79" spans="1:10" s="7" customFormat="1" x14ac:dyDescent="0.2">
      <c r="A79" s="5" t="s">
        <v>1361</v>
      </c>
      <c r="B79" s="5" t="s">
        <v>1362</v>
      </c>
      <c r="C79" s="5">
        <v>1034</v>
      </c>
      <c r="D79" s="5">
        <v>1034</v>
      </c>
      <c r="E79" s="6">
        <v>0.98</v>
      </c>
      <c r="F79" s="5">
        <v>0</v>
      </c>
      <c r="G79" s="5">
        <v>62.88</v>
      </c>
      <c r="H79" s="5">
        <v>794</v>
      </c>
      <c r="I79" s="5" t="str">
        <f>HYPERLINK("https://www.ncbi.nlm.nih.gov/protein/TMG32603.1?report=genbank&amp;log$=prottop&amp;blast_rank=21&amp;RID=7U875CNM013","TMG32603.1")</f>
        <v>TMG32603.1</v>
      </c>
      <c r="J79" s="5" t="s">
        <v>1414</v>
      </c>
    </row>
    <row r="80" spans="1:10" s="7" customFormat="1" x14ac:dyDescent="0.2">
      <c r="A80" s="5" t="s">
        <v>1417</v>
      </c>
      <c r="B80" s="5" t="s">
        <v>1418</v>
      </c>
      <c r="C80" s="5">
        <v>1048</v>
      </c>
      <c r="D80" s="5">
        <v>1048</v>
      </c>
      <c r="E80" s="6">
        <v>0.98</v>
      </c>
      <c r="F80" s="5">
        <v>0</v>
      </c>
      <c r="G80" s="5">
        <v>62.85</v>
      </c>
      <c r="H80" s="5">
        <v>798</v>
      </c>
      <c r="I80" s="5" t="str">
        <f>HYPERLINK("https://www.ncbi.nlm.nih.gov/protein/WP_114616924.1?report=genbank&amp;log$=prottop&amp;blast_rank=46&amp;RID=7U875CNM013","WP_114616924.1")</f>
        <v>WP_114616924.1</v>
      </c>
      <c r="J80" s="5" t="s">
        <v>1414</v>
      </c>
    </row>
    <row r="81" spans="1:10" s="7" customFormat="1" x14ac:dyDescent="0.2">
      <c r="A81" s="5" t="s">
        <v>1419</v>
      </c>
      <c r="B81" s="5" t="s">
        <v>1403</v>
      </c>
      <c r="C81" s="5">
        <v>1050</v>
      </c>
      <c r="D81" s="5">
        <v>1050</v>
      </c>
      <c r="E81" s="6">
        <v>0.98</v>
      </c>
      <c r="F81" s="5">
        <v>0</v>
      </c>
      <c r="G81" s="5">
        <v>62.72</v>
      </c>
      <c r="H81" s="5">
        <v>798</v>
      </c>
      <c r="I81" s="5" t="str">
        <f>HYPERLINK("https://www.ncbi.nlm.nih.gov/protein/WP_012506171.1?report=genbank&amp;log$=prottop&amp;blast_rank=154&amp;RID=7U875CNM013","WP_012506171.1")</f>
        <v>WP_012506171.1</v>
      </c>
      <c r="J81" s="5" t="s">
        <v>1414</v>
      </c>
    </row>
    <row r="82" spans="1:10" s="7" customFormat="1" x14ac:dyDescent="0.2">
      <c r="A82" s="5" t="s">
        <v>1361</v>
      </c>
      <c r="B82" s="5" t="s">
        <v>1362</v>
      </c>
      <c r="C82" s="5">
        <v>1053</v>
      </c>
      <c r="D82" s="5">
        <v>1053</v>
      </c>
      <c r="E82" s="6">
        <v>0.99</v>
      </c>
      <c r="F82" s="5">
        <v>0</v>
      </c>
      <c r="G82" s="5">
        <v>62.71</v>
      </c>
      <c r="H82" s="5">
        <v>793</v>
      </c>
      <c r="I82" s="5" t="str">
        <f>HYPERLINK("https://www.ncbi.nlm.nih.gov/protein/TMG35959.1?report=genbank&amp;log$=prottop&amp;blast_rank=180&amp;RID=7U875CNM013","TMG35959.1")</f>
        <v>TMG35959.1</v>
      </c>
      <c r="J82" s="5" t="s">
        <v>1414</v>
      </c>
    </row>
    <row r="83" spans="1:10" x14ac:dyDescent="0.2">
      <c r="A83" s="5" t="s">
        <v>1420</v>
      </c>
      <c r="B83" s="5" t="s">
        <v>1401</v>
      </c>
      <c r="C83" s="5">
        <v>1048</v>
      </c>
      <c r="D83" s="5">
        <v>1048</v>
      </c>
      <c r="E83" s="6">
        <v>0.98</v>
      </c>
      <c r="F83" s="5">
        <v>0</v>
      </c>
      <c r="G83" s="5">
        <v>62.6</v>
      </c>
      <c r="H83" s="5">
        <v>798</v>
      </c>
      <c r="I83" s="5" t="str">
        <f>HYPERLINK("https://www.ncbi.nlm.nih.gov/protein/NEX12030.1?report=genbank&amp;log$=prottop&amp;blast_rank=64&amp;RID=7U875CNM013","NEX12030.1")</f>
        <v>NEX12030.1</v>
      </c>
      <c r="J83" s="5" t="s">
        <v>1421</v>
      </c>
    </row>
    <row r="84" spans="1:10" x14ac:dyDescent="0.2">
      <c r="A84" s="5" t="s">
        <v>1422</v>
      </c>
      <c r="B84" s="5" t="s">
        <v>1423</v>
      </c>
      <c r="C84" s="5">
        <v>1045</v>
      </c>
      <c r="D84" s="5">
        <v>1045</v>
      </c>
      <c r="E84" s="6">
        <v>0.98</v>
      </c>
      <c r="F84" s="5">
        <v>0</v>
      </c>
      <c r="G84" s="5">
        <v>62.55</v>
      </c>
      <c r="H84" s="5">
        <v>789</v>
      </c>
      <c r="I84" s="5" t="str">
        <f>HYPERLINK("https://www.ncbi.nlm.nih.gov/protein/MBA3945937.1?report=genbank&amp;log$=prottop&amp;blast_rank=137&amp;RID=7U875CNM013","MBA3945937.1")</f>
        <v>MBA3945937.1</v>
      </c>
      <c r="J84" s="5" t="s">
        <v>1414</v>
      </c>
    </row>
    <row r="85" spans="1:10" x14ac:dyDescent="0.2">
      <c r="A85" s="5" t="s">
        <v>1424</v>
      </c>
      <c r="B85" s="5" t="s">
        <v>1425</v>
      </c>
      <c r="C85" s="5">
        <v>1068</v>
      </c>
      <c r="D85" s="5">
        <v>1068</v>
      </c>
      <c r="E85" s="6">
        <v>0.98</v>
      </c>
      <c r="F85" s="5">
        <v>0</v>
      </c>
      <c r="G85" s="5">
        <v>62.45</v>
      </c>
      <c r="H85" s="5">
        <v>791</v>
      </c>
      <c r="I85" s="5" t="str">
        <f>HYPERLINK("https://www.ncbi.nlm.nih.gov/protein/HHE32137.1?report=genbank&amp;log$=prottop&amp;blast_rank=26&amp;RID=7U875CNM013","HHE32137.1")</f>
        <v>HHE32137.1</v>
      </c>
      <c r="J85" s="5" t="s">
        <v>1426</v>
      </c>
    </row>
    <row r="86" spans="1:10" x14ac:dyDescent="0.2">
      <c r="A86" s="5" t="s">
        <v>1427</v>
      </c>
      <c r="B86" s="5" t="s">
        <v>1425</v>
      </c>
      <c r="C86" s="5">
        <v>1068</v>
      </c>
      <c r="D86" s="5">
        <v>1068</v>
      </c>
      <c r="E86" s="6">
        <v>0.98</v>
      </c>
      <c r="F86" s="5">
        <v>0</v>
      </c>
      <c r="G86" s="5">
        <v>62.45</v>
      </c>
      <c r="H86" s="5">
        <v>791</v>
      </c>
      <c r="I86" s="5" t="str">
        <f>HYPERLINK("https://www.ncbi.nlm.nih.gov/protein/WP_012502842.1?report=genbank&amp;log$=prottop&amp;blast_rank=27&amp;RID=7U875CNM013","WP_012502842.1")</f>
        <v>WP_012502842.1</v>
      </c>
      <c r="J86" s="5" t="s">
        <v>1426</v>
      </c>
    </row>
    <row r="87" spans="1:10" x14ac:dyDescent="0.2">
      <c r="A87" s="5" t="s">
        <v>1361</v>
      </c>
      <c r="B87" s="5" t="s">
        <v>1362</v>
      </c>
      <c r="C87" s="5">
        <v>1026</v>
      </c>
      <c r="D87" s="5">
        <v>1026</v>
      </c>
      <c r="E87" s="6">
        <v>0.98</v>
      </c>
      <c r="F87" s="5">
        <v>0</v>
      </c>
      <c r="G87" s="5">
        <v>62.2</v>
      </c>
      <c r="H87" s="5">
        <v>797</v>
      </c>
      <c r="I87" s="5" t="str">
        <f>HYPERLINK("https://www.ncbi.nlm.nih.gov/protein/TMG11174.1?report=genbank&amp;log$=prottop&amp;blast_rank=29&amp;RID=7U875CNM013","TMG11174.1")</f>
        <v>TMG11174.1</v>
      </c>
      <c r="J87" s="5" t="s">
        <v>1428</v>
      </c>
    </row>
    <row r="88" spans="1:10" x14ac:dyDescent="0.2">
      <c r="A88" s="5" t="s">
        <v>1361</v>
      </c>
      <c r="B88" s="5" t="s">
        <v>1362</v>
      </c>
      <c r="C88" s="5">
        <v>1026</v>
      </c>
      <c r="D88" s="5">
        <v>1026</v>
      </c>
      <c r="E88" s="6">
        <v>0.98</v>
      </c>
      <c r="F88" s="5">
        <v>0</v>
      </c>
      <c r="G88" s="5">
        <v>62.2</v>
      </c>
      <c r="H88" s="5">
        <v>797</v>
      </c>
      <c r="I88" s="5" t="str">
        <f>HYPERLINK("https://www.ncbi.nlm.nih.gov/protein/TMG21296.1?report=genbank&amp;log$=prottop&amp;blast_rank=30&amp;RID=7U875CNM013","TMG21296.1")</f>
        <v>TMG21296.1</v>
      </c>
      <c r="J88" s="5" t="s">
        <v>1428</v>
      </c>
    </row>
    <row r="89" spans="1:10" x14ac:dyDescent="0.2">
      <c r="A89" s="5" t="s">
        <v>1361</v>
      </c>
      <c r="B89" s="5" t="s">
        <v>1362</v>
      </c>
      <c r="C89" s="5">
        <v>1027</v>
      </c>
      <c r="D89" s="5">
        <v>1027</v>
      </c>
      <c r="E89" s="6">
        <v>0.98</v>
      </c>
      <c r="F89" s="5">
        <v>0</v>
      </c>
      <c r="G89" s="5">
        <v>61.78</v>
      </c>
      <c r="H89" s="5">
        <v>793</v>
      </c>
      <c r="I89" s="5" t="str">
        <f>HYPERLINK("https://www.ncbi.nlm.nih.gov/protein/TMD43090.1?report=genbank&amp;log$=prottop&amp;blast_rank=127&amp;RID=7U875CNM013","TMD43090.1")</f>
        <v>TMD43090.1</v>
      </c>
      <c r="J89" s="5" t="s">
        <v>1428</v>
      </c>
    </row>
    <row r="90" spans="1:10" s="5" customFormat="1" x14ac:dyDescent="0.2">
      <c r="A90" s="5" t="s">
        <v>1699</v>
      </c>
      <c r="B90" s="5" t="s">
        <v>1700</v>
      </c>
      <c r="C90" s="5">
        <v>1132</v>
      </c>
      <c r="D90" s="5">
        <v>1132</v>
      </c>
      <c r="E90" s="6">
        <v>0.99</v>
      </c>
      <c r="F90" s="5">
        <v>0</v>
      </c>
      <c r="G90" s="5">
        <v>67.05</v>
      </c>
      <c r="H90" s="5">
        <v>803</v>
      </c>
      <c r="I90" s="5" t="str">
        <f>HYPERLINK("https://www.ncbi.nlm.nih.gov/protein/QQO56928.1?report=genbank&amp;log$=prottop&amp;blast_rank=220&amp;RID=7U875CNM013","QQO56928.1")</f>
        <v>QQO56928.1</v>
      </c>
      <c r="J90" s="5" t="s">
        <v>1701</v>
      </c>
    </row>
    <row r="91" spans="1:10" s="5" customFormat="1" x14ac:dyDescent="0.2">
      <c r="A91" s="5" t="s">
        <v>1702</v>
      </c>
      <c r="B91" s="5" t="s">
        <v>1700</v>
      </c>
      <c r="C91" s="5">
        <v>1130</v>
      </c>
      <c r="D91" s="5">
        <v>1130</v>
      </c>
      <c r="E91" s="6">
        <v>0.99</v>
      </c>
      <c r="F91" s="5">
        <v>0</v>
      </c>
      <c r="G91" s="5">
        <v>67.05</v>
      </c>
      <c r="H91" s="5">
        <v>795</v>
      </c>
      <c r="I91" s="5" t="str">
        <f>HYPERLINK("https://www.ncbi.nlm.nih.gov/protein/ESQ14298.1?report=genbank&amp;log$=prottop&amp;blast_rank=221&amp;RID=7U875CNM013","ESQ14298.1")</f>
        <v>ESQ14298.1</v>
      </c>
      <c r="J91" s="5" t="s">
        <v>1701</v>
      </c>
    </row>
    <row r="92" spans="1:10" s="7" customFormat="1" x14ac:dyDescent="0.2">
      <c r="A92" s="5" t="s">
        <v>2293</v>
      </c>
      <c r="B92" s="5" t="s">
        <v>2294</v>
      </c>
      <c r="C92" s="5">
        <v>1066</v>
      </c>
      <c r="D92" s="5">
        <v>1066</v>
      </c>
      <c r="E92" s="6">
        <v>0.98</v>
      </c>
      <c r="F92" s="5">
        <v>0</v>
      </c>
      <c r="G92" s="5">
        <v>63.69</v>
      </c>
      <c r="H92" s="5">
        <v>789</v>
      </c>
      <c r="I92" s="5" t="str">
        <f>HYPERLINK("https://www.ncbi.nlm.nih.gov/protein/WP_094082892.1?report=genbank&amp;log$=prottop&amp;blast_rank=164&amp;RID=7U875CNM013","WP_094082892.1")</f>
        <v>WP_094082892.1</v>
      </c>
      <c r="J92" s="5" t="s">
        <v>1348</v>
      </c>
    </row>
    <row r="93" spans="1:10" s="1" customFormat="1" x14ac:dyDescent="0.2">
      <c r="A93" s="1" t="s">
        <v>3291</v>
      </c>
      <c r="B93" s="1" t="s">
        <v>3292</v>
      </c>
      <c r="C93" s="1">
        <v>1189</v>
      </c>
      <c r="D93" s="1">
        <v>1189</v>
      </c>
      <c r="E93" s="2">
        <v>0.98</v>
      </c>
      <c r="F93" s="1">
        <v>0</v>
      </c>
      <c r="G93" s="1">
        <v>71.680000000000007</v>
      </c>
      <c r="H93" s="1">
        <v>800</v>
      </c>
      <c r="I93" s="1" t="str">
        <f>HYPERLINK("https://www.ncbi.nlm.nih.gov/protein/WP_201209870.1?report=genbank&amp;log$=prottop&amp;blast_rank=58&amp;RID=7U875CNM013","WP_201209870.1")</f>
        <v>WP_201209870.1</v>
      </c>
      <c r="J93" s="5" t="s">
        <v>3293</v>
      </c>
    </row>
    <row r="94" spans="1:10" s="7" customFormat="1" x14ac:dyDescent="0.2">
      <c r="A94" s="5" t="s">
        <v>3557</v>
      </c>
      <c r="B94" s="5" t="s">
        <v>3558</v>
      </c>
      <c r="C94" s="5">
        <v>1157</v>
      </c>
      <c r="D94" s="5">
        <v>1157</v>
      </c>
      <c r="E94" s="6">
        <v>0.98</v>
      </c>
      <c r="F94" s="5">
        <v>0</v>
      </c>
      <c r="G94" s="5">
        <v>68.88</v>
      </c>
      <c r="H94" s="5">
        <v>795</v>
      </c>
      <c r="I94" s="5" t="str">
        <f>HYPERLINK("https://www.ncbi.nlm.nih.gov/protein/WP_201091773.1?report=genbank&amp;log$=prottop&amp;blast_rank=106&amp;RID=7U875CNM013","WP_201091773.1")</f>
        <v>WP_201091773.1</v>
      </c>
      <c r="J94" s="5" t="s">
        <v>3559</v>
      </c>
    </row>
    <row r="95" spans="1:10" s="7" customFormat="1" x14ac:dyDescent="0.2">
      <c r="A95" s="5" t="s">
        <v>3583</v>
      </c>
      <c r="B95" s="5" t="s">
        <v>3584</v>
      </c>
      <c r="C95" s="5">
        <v>1159</v>
      </c>
      <c r="D95" s="5">
        <v>1159</v>
      </c>
      <c r="E95" s="6">
        <v>0.98</v>
      </c>
      <c r="F95" s="5">
        <v>0</v>
      </c>
      <c r="G95" s="5">
        <v>68.62</v>
      </c>
      <c r="H95" s="5">
        <v>791</v>
      </c>
      <c r="I95" s="5" t="str">
        <f>HYPERLINK("https://www.ncbi.nlm.nih.gov/protein/MBK1720381.1?report=genbank&amp;log$=prottop&amp;blast_rank=193&amp;RID=7U875CNM013","MBK1720381.1")</f>
        <v>MBK1720381.1</v>
      </c>
      <c r="J95" s="5" t="s">
        <v>3559</v>
      </c>
    </row>
    <row r="96" spans="1:10" s="7" customFormat="1" x14ac:dyDescent="0.2">
      <c r="A96" s="5" t="s">
        <v>3583</v>
      </c>
      <c r="B96" s="5" t="s">
        <v>3584</v>
      </c>
      <c r="C96" s="5">
        <v>1157</v>
      </c>
      <c r="D96" s="5">
        <v>1157</v>
      </c>
      <c r="E96" s="6">
        <v>0.98</v>
      </c>
      <c r="F96" s="5">
        <v>0</v>
      </c>
      <c r="G96" s="5">
        <v>68.489999999999995</v>
      </c>
      <c r="H96" s="5">
        <v>783</v>
      </c>
      <c r="I96" s="5" t="str">
        <f>HYPERLINK("https://www.ncbi.nlm.nih.gov/protein/WP_207281069.1?report=genbank&amp;log$=prottop&amp;blast_rank=2&amp;RID=7U875CNM013","WP_207281069.1")</f>
        <v>WP_207281069.1</v>
      </c>
      <c r="J96" s="5" t="s">
        <v>3559</v>
      </c>
    </row>
    <row r="97" spans="1:10" s="7" customFormat="1" x14ac:dyDescent="0.2">
      <c r="A97" s="5" t="s">
        <v>3605</v>
      </c>
      <c r="B97" s="5" t="s">
        <v>3606</v>
      </c>
      <c r="C97" s="5">
        <v>1135</v>
      </c>
      <c r="D97" s="5">
        <v>1135</v>
      </c>
      <c r="E97" s="6">
        <v>0.98</v>
      </c>
      <c r="F97" s="5">
        <v>0</v>
      </c>
      <c r="G97" s="5">
        <v>68.33</v>
      </c>
      <c r="H97" s="5">
        <v>795</v>
      </c>
      <c r="I97" s="5" t="str">
        <f>HYPERLINK("https://www.ncbi.nlm.nih.gov/protein/WP_014778518.1?report=genbank&amp;log$=prottop&amp;blast_rank=53&amp;RID=7U875CNM013","WP_014778518.1")</f>
        <v>WP_014778518.1</v>
      </c>
      <c r="J97" s="5" t="s">
        <v>3559</v>
      </c>
    </row>
    <row r="98" spans="1:10" s="7" customFormat="1" x14ac:dyDescent="0.2">
      <c r="A98" s="5" t="s">
        <v>3583</v>
      </c>
      <c r="B98" s="5" t="s">
        <v>3584</v>
      </c>
      <c r="C98" s="5">
        <v>1151</v>
      </c>
      <c r="D98" s="5">
        <v>1151</v>
      </c>
      <c r="E98" s="6">
        <v>1</v>
      </c>
      <c r="F98" s="5">
        <v>0</v>
      </c>
      <c r="G98" s="5">
        <v>67.92</v>
      </c>
      <c r="H98" s="5">
        <v>797</v>
      </c>
      <c r="I98" s="5" t="str">
        <f>HYPERLINK("https://www.ncbi.nlm.nih.gov/protein/WP_200327912.1?report=genbank&amp;log$=prottop&amp;blast_rank=161&amp;RID=7U875CNM013","WP_200327912.1")</f>
        <v>WP_200327912.1</v>
      </c>
      <c r="J98" s="5" t="s">
        <v>3559</v>
      </c>
    </row>
    <row r="99" spans="1:10" s="5" customFormat="1" x14ac:dyDescent="0.2">
      <c r="A99" s="5" t="s">
        <v>3557</v>
      </c>
      <c r="B99" s="5" t="s">
        <v>3558</v>
      </c>
      <c r="C99" s="5">
        <v>1093</v>
      </c>
      <c r="D99" s="5">
        <v>1093</v>
      </c>
      <c r="E99" s="6">
        <v>0.98</v>
      </c>
      <c r="F99" s="5">
        <v>0</v>
      </c>
      <c r="G99" s="5">
        <v>66.709999999999994</v>
      </c>
      <c r="H99" s="5">
        <v>785</v>
      </c>
      <c r="I99" s="37" t="str">
        <f>HYPERLINK("https://www.ncbi.nlm.nih.gov/protein/WP_201097746.1?report=genbank&amp;log$=prottop&amp;blast_rank=58&amp;RID=7U875CNM013","WP_201097746.1")</f>
        <v>WP_201097746.1</v>
      </c>
      <c r="J99" s="5" t="s">
        <v>3559</v>
      </c>
    </row>
    <row r="100" spans="1:10" s="5" customFormat="1" x14ac:dyDescent="0.2">
      <c r="A100" s="5" t="s">
        <v>3583</v>
      </c>
      <c r="B100" s="5" t="s">
        <v>3584</v>
      </c>
      <c r="C100" s="5">
        <v>1094</v>
      </c>
      <c r="D100" s="5">
        <v>1094</v>
      </c>
      <c r="E100" s="6">
        <v>0.98</v>
      </c>
      <c r="F100" s="5">
        <v>0</v>
      </c>
      <c r="G100" s="5">
        <v>66.2</v>
      </c>
      <c r="H100" s="5">
        <v>786</v>
      </c>
      <c r="I100" s="5" t="str">
        <f>HYPERLINK("https://www.ncbi.nlm.nih.gov/protein/WP_200373758.1?report=genbank&amp;log$=prottop&amp;blast_rank=118&amp;RID=7U875CNM013","WP_200373758.1")</f>
        <v>WP_200373758.1</v>
      </c>
      <c r="J100" s="5" t="s">
        <v>3559</v>
      </c>
    </row>
    <row r="101" spans="1:10" s="7" customFormat="1" x14ac:dyDescent="0.2">
      <c r="A101" s="5" t="s">
        <v>3775</v>
      </c>
      <c r="B101" s="5" t="s">
        <v>3776</v>
      </c>
      <c r="C101" s="5">
        <v>1071</v>
      </c>
      <c r="D101" s="5">
        <v>1071</v>
      </c>
      <c r="E101" s="6">
        <v>0.98</v>
      </c>
      <c r="F101" s="5">
        <v>0</v>
      </c>
      <c r="G101" s="5">
        <v>65.23</v>
      </c>
      <c r="H101" s="5">
        <v>786</v>
      </c>
      <c r="I101" s="5" t="str">
        <f>HYPERLINK("https://www.ncbi.nlm.nih.gov/protein/WP_009151165.1?report=genbank&amp;log$=prottop&amp;blast_rank=97&amp;RID=7U875CNM013","WP_009151165.1")</f>
        <v>WP_009151165.1</v>
      </c>
      <c r="J101" s="5" t="s">
        <v>3559</v>
      </c>
    </row>
    <row r="102" spans="1:10" s="4" customFormat="1" x14ac:dyDescent="0.2">
      <c r="A102" s="1" t="s">
        <v>913</v>
      </c>
      <c r="B102" s="1" t="s">
        <v>914</v>
      </c>
      <c r="C102" s="1">
        <v>1071</v>
      </c>
      <c r="D102" s="1">
        <v>1071</v>
      </c>
      <c r="E102" s="2">
        <v>0.98</v>
      </c>
      <c r="F102" s="1">
        <v>0</v>
      </c>
      <c r="G102" s="1">
        <v>64.709999999999994</v>
      </c>
      <c r="H102" s="1">
        <v>796</v>
      </c>
      <c r="I102" s="1" t="str">
        <f>HYPERLINK("https://www.ncbi.nlm.nih.gov/protein/MBA3877490.1?report=genbank&amp;log$=prottop&amp;blast_rank=148&amp;RID=7U875CNM013","MBA3877490.1")</f>
        <v>MBA3877490.1</v>
      </c>
      <c r="J102" s="1" t="s">
        <v>3278</v>
      </c>
    </row>
    <row r="103" spans="1:10" s="7" customFormat="1" x14ac:dyDescent="0.2">
      <c r="A103" s="5" t="s">
        <v>1992</v>
      </c>
      <c r="B103" s="5" t="s">
        <v>1993</v>
      </c>
      <c r="C103" s="5">
        <v>1071</v>
      </c>
      <c r="D103" s="5">
        <v>1071</v>
      </c>
      <c r="E103" s="6">
        <v>0.98</v>
      </c>
      <c r="F103" s="5">
        <v>0</v>
      </c>
      <c r="G103" s="5">
        <v>63.36</v>
      </c>
      <c r="H103" s="5">
        <v>790</v>
      </c>
      <c r="I103" s="5" t="str">
        <f>HYPERLINK("https://www.ncbi.nlm.nih.gov/protein/WP_069808931.1?report=genbank&amp;log$=prottop&amp;blast_rank=105&amp;RID=7U875CNM013","WP_069808931.1")</f>
        <v>WP_069808931.1</v>
      </c>
      <c r="J103" s="5" t="s">
        <v>1394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topLeftCell="B1" workbookViewId="0">
      <selection activeCell="I113" sqref="I113"/>
    </sheetView>
  </sheetViews>
  <sheetFormatPr baseColWidth="10" defaultRowHeight="18" x14ac:dyDescent="0.2"/>
  <cols>
    <col min="1" max="1" width="10.83203125" style="25"/>
    <col min="2" max="2" width="35.5" style="25" customWidth="1"/>
    <col min="3" max="7" width="10.83203125" style="25"/>
    <col min="8" max="8" width="28" style="25" customWidth="1"/>
    <col min="9" max="9" width="37.1640625" style="25" customWidth="1"/>
    <col min="10" max="11" width="10.83203125" style="25"/>
    <col min="12" max="12" width="17.5" style="25" customWidth="1"/>
    <col min="13" max="16384" width="10.83203125" style="25"/>
  </cols>
  <sheetData>
    <row r="1" spans="1:10" s="12" customFormat="1" x14ac:dyDescent="0.2">
      <c r="A1" s="12" t="s">
        <v>5</v>
      </c>
      <c r="B1" s="12" t="s">
        <v>6</v>
      </c>
      <c r="C1" s="12" t="s">
        <v>7</v>
      </c>
      <c r="D1" s="12" t="s">
        <v>8</v>
      </c>
      <c r="E1" s="12" t="s">
        <v>9</v>
      </c>
      <c r="F1" s="12" t="s">
        <v>10</v>
      </c>
      <c r="G1" s="12" t="s">
        <v>11</v>
      </c>
      <c r="H1" s="12" t="s">
        <v>12</v>
      </c>
      <c r="I1" s="12" t="s">
        <v>13</v>
      </c>
      <c r="J1" s="13"/>
    </row>
    <row r="2" spans="1:10" s="13" customFormat="1" x14ac:dyDescent="0.2">
      <c r="A2" s="13" t="s">
        <v>1429</v>
      </c>
      <c r="B2" s="13" t="s">
        <v>1430</v>
      </c>
      <c r="C2" s="13">
        <v>1186</v>
      </c>
      <c r="D2" s="13">
        <v>1186</v>
      </c>
      <c r="E2" s="14">
        <v>0.98</v>
      </c>
      <c r="F2" s="13">
        <v>0</v>
      </c>
      <c r="G2" s="13">
        <v>72.19</v>
      </c>
      <c r="H2" s="13">
        <v>796</v>
      </c>
      <c r="I2" s="13" t="str">
        <f>HYPERLINK("https://www.ncbi.nlm.nih.gov/protein/WP_125218620.1?report=genbank&amp;log$=prottop&amp;blast_rank=32&amp;RID=7U875CNM013","WP_125218620.1")</f>
        <v>WP_125218620.1</v>
      </c>
      <c r="J2" s="13" t="s">
        <v>1431</v>
      </c>
    </row>
    <row r="3" spans="1:10" s="13" customFormat="1" ht="21" x14ac:dyDescent="0.25">
      <c r="A3" s="13" t="s">
        <v>1432</v>
      </c>
      <c r="B3" s="13" t="s">
        <v>1433</v>
      </c>
      <c r="C3" s="13">
        <v>1185</v>
      </c>
      <c r="D3" s="13">
        <v>1185</v>
      </c>
      <c r="E3" s="14">
        <v>0.98</v>
      </c>
      <c r="F3" s="13">
        <v>0</v>
      </c>
      <c r="G3" s="13">
        <v>72.19</v>
      </c>
      <c r="H3" s="13">
        <v>796</v>
      </c>
      <c r="I3" s="34" t="str">
        <f>HYPERLINK("https://www.ncbi.nlm.nih.gov/protein/WP_014149282.1?report=genbank&amp;log$=prottop&amp;blast_rank=33&amp;RID=7U875CNM013","WP_014149282.1")</f>
        <v>WP_014149282.1</v>
      </c>
      <c r="J3" s="13" t="s">
        <v>1434</v>
      </c>
    </row>
    <row r="4" spans="1:10" s="13" customFormat="1" x14ac:dyDescent="0.2">
      <c r="A4" s="13" t="s">
        <v>1435</v>
      </c>
      <c r="B4" s="13" t="s">
        <v>1436</v>
      </c>
      <c r="C4" s="13">
        <v>1190</v>
      </c>
      <c r="D4" s="13">
        <v>1190</v>
      </c>
      <c r="E4" s="14">
        <v>0.98</v>
      </c>
      <c r="F4" s="13">
        <v>0</v>
      </c>
      <c r="G4" s="13">
        <v>72.319999999999993</v>
      </c>
      <c r="H4" s="13">
        <v>796</v>
      </c>
      <c r="I4" s="13" t="str">
        <f>HYPERLINK("https://www.ncbi.nlm.nih.gov/protein/MBE0436343.1?report=genbank&amp;log$=prottop&amp;blast_rank=23&amp;RID=7U875CNM013","MBE0436343.1")</f>
        <v>MBE0436343.1</v>
      </c>
      <c r="J4" s="15" t="s">
        <v>1434</v>
      </c>
    </row>
    <row r="5" spans="1:10" s="13" customFormat="1" x14ac:dyDescent="0.2">
      <c r="A5" s="13" t="s">
        <v>1437</v>
      </c>
      <c r="B5" s="13" t="s">
        <v>1438</v>
      </c>
      <c r="C5" s="13">
        <v>1187</v>
      </c>
      <c r="D5" s="13">
        <v>1187</v>
      </c>
      <c r="E5" s="14">
        <v>0.98</v>
      </c>
      <c r="F5" s="13">
        <v>0</v>
      </c>
      <c r="G5" s="13">
        <v>72.069999999999993</v>
      </c>
      <c r="H5" s="13">
        <v>796</v>
      </c>
      <c r="I5" s="13" t="str">
        <f>HYPERLINK("https://www.ncbi.nlm.nih.gov/protein/HBA66185.1?report=genbank&amp;log$=prottop&amp;blast_rank=40&amp;RID=7U875CNM013","HBA66185.1")</f>
        <v>HBA66185.1</v>
      </c>
      <c r="J5" s="13" t="s">
        <v>1434</v>
      </c>
    </row>
    <row r="6" spans="1:10" s="13" customFormat="1" x14ac:dyDescent="0.2">
      <c r="A6" s="13" t="s">
        <v>1439</v>
      </c>
      <c r="B6" s="13" t="s">
        <v>1440</v>
      </c>
      <c r="C6" s="13">
        <v>1194</v>
      </c>
      <c r="D6" s="13">
        <v>1194</v>
      </c>
      <c r="E6" s="14">
        <v>0.97</v>
      </c>
      <c r="F6" s="13">
        <v>0</v>
      </c>
      <c r="G6" s="13">
        <v>71.48</v>
      </c>
      <c r="H6" s="13">
        <v>794</v>
      </c>
      <c r="I6" s="13" t="str">
        <f>HYPERLINK("https://www.ncbi.nlm.nih.gov/protein/WP_020563938.1?report=genbank&amp;log$=prottop&amp;blast_rank=66&amp;RID=7U875CNM013","WP_020563938.1")</f>
        <v>WP_020563938.1</v>
      </c>
      <c r="J6" s="13" t="s">
        <v>1434</v>
      </c>
    </row>
    <row r="7" spans="1:10" s="13" customFormat="1" x14ac:dyDescent="0.2">
      <c r="A7" s="13" t="s">
        <v>1441</v>
      </c>
      <c r="B7" s="13" t="s">
        <v>1442</v>
      </c>
      <c r="C7" s="13">
        <v>1191</v>
      </c>
      <c r="D7" s="13">
        <v>1191</v>
      </c>
      <c r="E7" s="14">
        <v>1</v>
      </c>
      <c r="F7" s="13">
        <v>0</v>
      </c>
      <c r="G7" s="13">
        <v>71.48</v>
      </c>
      <c r="H7" s="13">
        <v>796</v>
      </c>
      <c r="I7" s="13" t="str">
        <f>HYPERLINK("https://www.ncbi.nlm.nih.gov/protein/WP_017840010.1?report=genbank&amp;log$=prottop&amp;blast_rank=68&amp;RID=7U875CNM013","WP_017840010.1")</f>
        <v>WP_017840010.1</v>
      </c>
      <c r="J7" s="13" t="s">
        <v>1434</v>
      </c>
    </row>
    <row r="8" spans="1:10" s="13" customFormat="1" x14ac:dyDescent="0.2">
      <c r="A8" s="13" t="s">
        <v>1443</v>
      </c>
      <c r="B8" s="13" t="s">
        <v>1444</v>
      </c>
      <c r="C8" s="13">
        <v>1201</v>
      </c>
      <c r="D8" s="13">
        <v>1201</v>
      </c>
      <c r="E8" s="14">
        <v>0.98</v>
      </c>
      <c r="F8" s="13">
        <v>0</v>
      </c>
      <c r="G8" s="13">
        <v>71.28</v>
      </c>
      <c r="H8" s="13">
        <v>797</v>
      </c>
      <c r="I8" s="13" t="str">
        <f>HYPERLINK("https://www.ncbi.nlm.nih.gov/protein/WP_205450211.1?report=genbank&amp;log$=prottop&amp;blast_rank=81&amp;RID=7U875CNM013","WP_205450211.1")</f>
        <v>WP_205450211.1</v>
      </c>
      <c r="J8" s="13" t="s">
        <v>1434</v>
      </c>
    </row>
    <row r="9" spans="1:10" s="13" customFormat="1" x14ac:dyDescent="0.2">
      <c r="A9" s="13" t="s">
        <v>1445</v>
      </c>
      <c r="B9" s="13" t="s">
        <v>1446</v>
      </c>
      <c r="C9" s="13">
        <v>1190</v>
      </c>
      <c r="D9" s="13">
        <v>1190</v>
      </c>
      <c r="E9" s="14">
        <v>0.97</v>
      </c>
      <c r="F9" s="13">
        <v>0</v>
      </c>
      <c r="G9" s="13">
        <v>71.28</v>
      </c>
      <c r="H9" s="13">
        <v>798</v>
      </c>
      <c r="I9" s="13" t="str">
        <f>HYPERLINK("https://www.ncbi.nlm.nih.gov/protein/WP_150049079.1?report=genbank&amp;log$=prottop&amp;blast_rank=82&amp;RID=7U875CNM013","WP_150049079.1")</f>
        <v>WP_150049079.1</v>
      </c>
      <c r="J9" s="13" t="s">
        <v>1434</v>
      </c>
    </row>
    <row r="10" spans="1:10" s="13" customFormat="1" x14ac:dyDescent="0.2">
      <c r="A10" s="13" t="s">
        <v>1447</v>
      </c>
      <c r="B10" s="13" t="s">
        <v>1448</v>
      </c>
      <c r="C10" s="13">
        <v>1201</v>
      </c>
      <c r="D10" s="13">
        <v>1201</v>
      </c>
      <c r="E10" s="14">
        <v>0.98</v>
      </c>
      <c r="F10" s="13">
        <v>0</v>
      </c>
      <c r="G10" s="13">
        <v>71.16</v>
      </c>
      <c r="H10" s="13">
        <v>797</v>
      </c>
      <c r="I10" s="13" t="str">
        <f>HYPERLINK("https://www.ncbi.nlm.nih.gov/protein/WP_033156250.1?report=genbank&amp;log$=prottop&amp;blast_rank=92&amp;RID=7U875CNM013","WP_033156250.1")</f>
        <v>WP_033156250.1</v>
      </c>
      <c r="J10" s="13" t="s">
        <v>1434</v>
      </c>
    </row>
    <row r="11" spans="1:10" s="13" customFormat="1" x14ac:dyDescent="0.2">
      <c r="A11" s="13" t="s">
        <v>1449</v>
      </c>
      <c r="B11" s="13" t="s">
        <v>1450</v>
      </c>
      <c r="C11" s="13">
        <v>1199</v>
      </c>
      <c r="D11" s="13">
        <v>1199</v>
      </c>
      <c r="E11" s="14">
        <v>0.98</v>
      </c>
      <c r="F11" s="13">
        <v>0</v>
      </c>
      <c r="G11" s="13">
        <v>71.05</v>
      </c>
      <c r="H11" s="13">
        <v>797</v>
      </c>
      <c r="I11" s="13" t="str">
        <f>HYPERLINK("https://www.ncbi.nlm.nih.gov/protein/WP_064038729.1?report=genbank&amp;log$=prottop&amp;blast_rank=99&amp;RID=7U875CNM013","WP_064038729.1")</f>
        <v>WP_064038729.1</v>
      </c>
      <c r="J11" s="13" t="s">
        <v>1434</v>
      </c>
    </row>
    <row r="12" spans="1:10" s="13" customFormat="1" x14ac:dyDescent="0.2">
      <c r="A12" s="13" t="s">
        <v>1451</v>
      </c>
      <c r="B12" s="13" t="s">
        <v>1452</v>
      </c>
      <c r="C12" s="13">
        <v>1204</v>
      </c>
      <c r="D12" s="13">
        <v>1204</v>
      </c>
      <c r="E12" s="14">
        <v>0.98</v>
      </c>
      <c r="F12" s="13">
        <v>0</v>
      </c>
      <c r="G12" s="13">
        <v>71.03</v>
      </c>
      <c r="H12" s="13">
        <v>797</v>
      </c>
      <c r="I12" s="13" t="str">
        <f>HYPERLINK("https://www.ncbi.nlm.nih.gov/protein/WP_052141934.1?report=genbank&amp;log$=prottop&amp;blast_rank=101&amp;RID=7U875CNM013","WP_052141934.1")</f>
        <v>WP_052141934.1</v>
      </c>
      <c r="J12" s="13" t="s">
        <v>1434</v>
      </c>
    </row>
    <row r="13" spans="1:10" s="13" customFormat="1" x14ac:dyDescent="0.2">
      <c r="A13" s="13" t="s">
        <v>1453</v>
      </c>
      <c r="B13" s="13" t="s">
        <v>1454</v>
      </c>
      <c r="C13" s="13">
        <v>1184</v>
      </c>
      <c r="D13" s="13">
        <v>1184</v>
      </c>
      <c r="E13" s="14">
        <v>1</v>
      </c>
      <c r="F13" s="13">
        <v>0</v>
      </c>
      <c r="G13" s="13">
        <v>70.98</v>
      </c>
      <c r="H13" s="13">
        <v>796</v>
      </c>
      <c r="I13" s="13" t="str">
        <f>HYPERLINK("https://www.ncbi.nlm.nih.gov/protein/WP_141900511.1?report=genbank&amp;log$=prottop&amp;blast_rank=2&amp;RID=7U875CNM013","WP_141900511.1")</f>
        <v>WP_141900511.1</v>
      </c>
      <c r="J13" s="13" t="s">
        <v>1434</v>
      </c>
    </row>
    <row r="14" spans="1:10" s="13" customFormat="1" x14ac:dyDescent="0.2">
      <c r="A14" s="13" t="s">
        <v>1455</v>
      </c>
      <c r="B14" s="13" t="s">
        <v>1456</v>
      </c>
      <c r="C14" s="13">
        <v>1197</v>
      </c>
      <c r="D14" s="13">
        <v>1197</v>
      </c>
      <c r="E14" s="14">
        <v>0.98</v>
      </c>
      <c r="F14" s="13">
        <v>0</v>
      </c>
      <c r="G14" s="13">
        <v>70.900000000000006</v>
      </c>
      <c r="H14" s="13">
        <v>797</v>
      </c>
      <c r="I14" s="13" t="str">
        <f>HYPERLINK("https://www.ncbi.nlm.nih.gov/protein/WP_171695420.1?report=genbank&amp;log$=prottop&amp;blast_rank=15&amp;RID=7U875CNM013","WP_171695420.1")</f>
        <v>WP_171695420.1</v>
      </c>
      <c r="J14" s="13" t="s">
        <v>1434</v>
      </c>
    </row>
    <row r="15" spans="1:10" s="13" customFormat="1" x14ac:dyDescent="0.2">
      <c r="A15" s="13" t="s">
        <v>1457</v>
      </c>
      <c r="B15" s="13" t="s">
        <v>1458</v>
      </c>
      <c r="C15" s="13">
        <v>1197</v>
      </c>
      <c r="D15" s="13">
        <v>1197</v>
      </c>
      <c r="E15" s="14">
        <v>0.98</v>
      </c>
      <c r="F15" s="13">
        <v>0</v>
      </c>
      <c r="G15" s="13">
        <v>70.88</v>
      </c>
      <c r="H15" s="13">
        <v>792</v>
      </c>
      <c r="I15" s="13" t="str">
        <f>HYPERLINK("https://www.ncbi.nlm.nih.gov/protein/MVF24394.1?report=genbank&amp;log$=prottop&amp;blast_rank=17&amp;RID=7U875CNM013","MVF24394.1")</f>
        <v>MVF24394.1</v>
      </c>
      <c r="J15" s="13" t="s">
        <v>1434</v>
      </c>
    </row>
    <row r="16" spans="1:10" s="13" customFormat="1" x14ac:dyDescent="0.2">
      <c r="A16" s="13" t="s">
        <v>1459</v>
      </c>
      <c r="B16" s="13" t="s">
        <v>1460</v>
      </c>
      <c r="C16" s="13">
        <v>1192</v>
      </c>
      <c r="D16" s="13">
        <v>1192</v>
      </c>
      <c r="E16" s="14">
        <v>0.98</v>
      </c>
      <c r="F16" s="13">
        <v>0</v>
      </c>
      <c r="G16" s="13">
        <v>70.87</v>
      </c>
      <c r="H16" s="13">
        <v>799</v>
      </c>
      <c r="I16" s="13" t="str">
        <f>HYPERLINK("https://www.ncbi.nlm.nih.gov/protein/WP_023494262.1?report=genbank&amp;log$=prottop&amp;blast_rank=19&amp;RID=7U875CNM013","WP_023494262.1")</f>
        <v>WP_023494262.1</v>
      </c>
      <c r="J16" s="13" t="s">
        <v>1434</v>
      </c>
    </row>
    <row r="17" spans="1:13" s="13" customFormat="1" x14ac:dyDescent="0.2">
      <c r="A17" s="13" t="s">
        <v>1461</v>
      </c>
      <c r="B17" s="13" t="s">
        <v>1462</v>
      </c>
      <c r="C17" s="13">
        <v>1179</v>
      </c>
      <c r="D17" s="13">
        <v>1179</v>
      </c>
      <c r="E17" s="14">
        <v>0.97</v>
      </c>
      <c r="F17" s="13">
        <v>0</v>
      </c>
      <c r="G17" s="13">
        <v>70.84</v>
      </c>
      <c r="H17" s="13">
        <v>788</v>
      </c>
      <c r="I17" s="13" t="str">
        <f>HYPERLINK("https://www.ncbi.nlm.nih.gov/protein/PPC91638.1?report=genbank&amp;log$=prottop&amp;blast_rank=24&amp;RID=7U875CNM013","PPC91638.1")</f>
        <v>PPC91638.1</v>
      </c>
      <c r="J17" s="13" t="s">
        <v>1434</v>
      </c>
    </row>
    <row r="18" spans="1:13" s="13" customFormat="1" x14ac:dyDescent="0.2">
      <c r="A18" s="13" t="s">
        <v>1461</v>
      </c>
      <c r="B18" s="13" t="s">
        <v>1462</v>
      </c>
      <c r="C18" s="13">
        <v>1176</v>
      </c>
      <c r="D18" s="13">
        <v>1176</v>
      </c>
      <c r="E18" s="14">
        <v>0.97</v>
      </c>
      <c r="F18" s="13">
        <v>0</v>
      </c>
      <c r="G18" s="13">
        <v>70.84</v>
      </c>
      <c r="H18" s="13">
        <v>788</v>
      </c>
      <c r="I18" s="13" t="str">
        <f>HYPERLINK("https://www.ncbi.nlm.nih.gov/protein/PPD05539.1?report=genbank&amp;log$=prottop&amp;blast_rank=25&amp;RID=7U875CNM013","PPD05539.1")</f>
        <v>PPD05539.1</v>
      </c>
      <c r="J18" s="13" t="s">
        <v>1434</v>
      </c>
    </row>
    <row r="19" spans="1:13" s="13" customFormat="1" x14ac:dyDescent="0.2">
      <c r="A19" s="13" t="s">
        <v>1463</v>
      </c>
      <c r="B19" s="13" t="s">
        <v>1464</v>
      </c>
      <c r="C19" s="13">
        <v>1165</v>
      </c>
      <c r="D19" s="13">
        <v>1165</v>
      </c>
      <c r="E19" s="14">
        <v>0.97</v>
      </c>
      <c r="F19" s="13">
        <v>0</v>
      </c>
      <c r="G19" s="13">
        <v>70.819999999999993</v>
      </c>
      <c r="H19" s="13">
        <v>802</v>
      </c>
      <c r="I19" s="13" t="str">
        <f>HYPERLINK("https://www.ncbi.nlm.nih.gov/protein/WP_159658078.1?report=genbank&amp;log$=prottop&amp;blast_rank=29&amp;RID=7U875CNM013","WP_159658078.1")</f>
        <v>WP_159658078.1</v>
      </c>
      <c r="J19" s="13" t="s">
        <v>1434</v>
      </c>
    </row>
    <row r="20" spans="1:13" s="13" customFormat="1" x14ac:dyDescent="0.2">
      <c r="A20" s="13" t="s">
        <v>1465</v>
      </c>
      <c r="B20" s="13" t="s">
        <v>1466</v>
      </c>
      <c r="C20" s="13">
        <v>1195</v>
      </c>
      <c r="D20" s="13">
        <v>1195</v>
      </c>
      <c r="E20" s="14">
        <v>0.98</v>
      </c>
      <c r="F20" s="13">
        <v>0</v>
      </c>
      <c r="G20" s="13">
        <v>70.790000000000006</v>
      </c>
      <c r="H20" s="13">
        <v>797</v>
      </c>
      <c r="I20" s="13" t="str">
        <f>HYPERLINK("https://www.ncbi.nlm.nih.gov/protein/WP_192395166.1?report=genbank&amp;log$=prottop&amp;blast_rank=31&amp;RID=7U875CNM013","WP_192395166.1")</f>
        <v>WP_192395166.1</v>
      </c>
      <c r="J20" s="13" t="s">
        <v>1434</v>
      </c>
    </row>
    <row r="21" spans="1:13" s="13" customFormat="1" x14ac:dyDescent="0.2">
      <c r="A21" s="13" t="s">
        <v>1467</v>
      </c>
      <c r="B21" s="13" t="s">
        <v>1468</v>
      </c>
      <c r="C21" s="13">
        <v>1196</v>
      </c>
      <c r="D21" s="13">
        <v>1196</v>
      </c>
      <c r="E21" s="14">
        <v>0.99</v>
      </c>
      <c r="F21" s="13">
        <v>0</v>
      </c>
      <c r="G21" s="13">
        <v>70.760000000000005</v>
      </c>
      <c r="H21" s="13">
        <v>788</v>
      </c>
      <c r="I21" s="13" t="str">
        <f>HYPERLINK("https://www.ncbi.nlm.nih.gov/protein/WP_064031577.1?report=genbank&amp;log$=prottop&amp;blast_rank=36&amp;RID=7U875CNM013","WP_064031577.1")</f>
        <v>WP_064031577.1</v>
      </c>
      <c r="J21" s="13" t="s">
        <v>1434</v>
      </c>
    </row>
    <row r="22" spans="1:13" s="13" customFormat="1" x14ac:dyDescent="0.2">
      <c r="A22" s="13" t="s">
        <v>1469</v>
      </c>
      <c r="B22" s="13" t="s">
        <v>1470</v>
      </c>
      <c r="C22" s="13">
        <v>1195</v>
      </c>
      <c r="D22" s="13">
        <v>1195</v>
      </c>
      <c r="E22" s="14">
        <v>0.99</v>
      </c>
      <c r="F22" s="13">
        <v>0</v>
      </c>
      <c r="G22" s="13">
        <v>70.760000000000005</v>
      </c>
      <c r="H22" s="13">
        <v>788</v>
      </c>
      <c r="I22" s="13" t="str">
        <f>HYPERLINK("https://www.ncbi.nlm.nih.gov/protein/WP_071155871.1?report=genbank&amp;log$=prottop&amp;blast_rank=37&amp;RID=7U875CNM013","WP_071155871.1")</f>
        <v>WP_071155871.1</v>
      </c>
      <c r="J22" s="13" t="s">
        <v>1434</v>
      </c>
    </row>
    <row r="23" spans="1:13" s="13" customFormat="1" x14ac:dyDescent="0.2">
      <c r="A23" s="13" t="s">
        <v>1471</v>
      </c>
      <c r="B23" s="13" t="s">
        <v>1472</v>
      </c>
      <c r="C23" s="13">
        <v>1194</v>
      </c>
      <c r="D23" s="13">
        <v>1194</v>
      </c>
      <c r="E23" s="14">
        <v>0.99</v>
      </c>
      <c r="F23" s="13">
        <v>0</v>
      </c>
      <c r="G23" s="13">
        <v>70.760000000000005</v>
      </c>
      <c r="H23" s="13">
        <v>788</v>
      </c>
      <c r="I23" s="13" t="str">
        <f>HYPERLINK("https://www.ncbi.nlm.nih.gov/protein/NJA05712.1?report=genbank&amp;log$=prottop&amp;blast_rank=38&amp;RID=7U875CNM013","NJA05712.1")</f>
        <v>NJA05712.1</v>
      </c>
      <c r="J23" s="13" t="s">
        <v>1434</v>
      </c>
    </row>
    <row r="24" spans="1:13" s="13" customFormat="1" x14ac:dyDescent="0.2">
      <c r="A24" s="13" t="s">
        <v>1473</v>
      </c>
      <c r="B24" s="13" t="s">
        <v>1474</v>
      </c>
      <c r="C24" s="13">
        <v>1196</v>
      </c>
      <c r="D24" s="13">
        <v>1196</v>
      </c>
      <c r="E24" s="14">
        <v>0.98</v>
      </c>
      <c r="F24" s="13">
        <v>0</v>
      </c>
      <c r="G24" s="13">
        <v>70.75</v>
      </c>
      <c r="H24" s="13">
        <v>792</v>
      </c>
      <c r="I24" s="13" t="str">
        <f>HYPERLINK("https://www.ncbi.nlm.nih.gov/protein/WP_077730891.1?report=genbank&amp;log$=prottop&amp;blast_rank=39&amp;RID=7U875CNM013","WP_077730891.1")</f>
        <v>WP_077730891.1</v>
      </c>
      <c r="J24" s="13" t="s">
        <v>1434</v>
      </c>
    </row>
    <row r="25" spans="1:13" s="13" customFormat="1" x14ac:dyDescent="0.2">
      <c r="A25" s="13" t="s">
        <v>1475</v>
      </c>
      <c r="B25" s="13" t="s">
        <v>1476</v>
      </c>
      <c r="C25" s="13">
        <v>1195</v>
      </c>
      <c r="D25" s="13">
        <v>1195</v>
      </c>
      <c r="E25" s="14">
        <v>0.98</v>
      </c>
      <c r="F25" s="13">
        <v>0</v>
      </c>
      <c r="G25" s="13">
        <v>70.739999999999995</v>
      </c>
      <c r="H25" s="13">
        <v>797</v>
      </c>
      <c r="I25" s="13" t="str">
        <f>HYPERLINK("https://www.ncbi.nlm.nih.gov/protein/WP_033194295.1?report=genbank&amp;log$=prottop&amp;blast_rank=42&amp;RID=7U875CNM013","WP_033194295.1")</f>
        <v>WP_033194295.1</v>
      </c>
      <c r="J25" s="13" t="s">
        <v>1434</v>
      </c>
    </row>
    <row r="26" spans="1:13" s="13" customFormat="1" x14ac:dyDescent="0.2">
      <c r="A26" s="13" t="s">
        <v>1477</v>
      </c>
      <c r="B26" s="13" t="s">
        <v>1478</v>
      </c>
      <c r="C26" s="13">
        <v>1192</v>
      </c>
      <c r="D26" s="13">
        <v>1192</v>
      </c>
      <c r="E26" s="14">
        <v>0.98</v>
      </c>
      <c r="F26" s="13">
        <v>0</v>
      </c>
      <c r="G26" s="13">
        <v>70.66</v>
      </c>
      <c r="H26" s="13">
        <v>792</v>
      </c>
      <c r="I26" s="13" t="str">
        <f>HYPERLINK("https://www.ncbi.nlm.nih.gov/protein/WP_026611001.1?report=genbank&amp;log$=prottop&amp;blast_rank=49&amp;RID=7U875CNM013","WP_026611001.1")</f>
        <v>WP_026611001.1</v>
      </c>
      <c r="J26" s="13" t="s">
        <v>1434</v>
      </c>
    </row>
    <row r="27" spans="1:13" s="13" customFormat="1" x14ac:dyDescent="0.2">
      <c r="A27" s="13" t="s">
        <v>1465</v>
      </c>
      <c r="B27" s="13" t="s">
        <v>1466</v>
      </c>
      <c r="C27" s="13">
        <v>1202</v>
      </c>
      <c r="D27" s="13">
        <v>1202</v>
      </c>
      <c r="E27" s="14">
        <v>0.99</v>
      </c>
      <c r="F27" s="13">
        <v>0</v>
      </c>
      <c r="G27" s="13">
        <v>70.64</v>
      </c>
      <c r="H27" s="13">
        <v>797</v>
      </c>
      <c r="I27" s="13" t="str">
        <f>HYPERLINK("https://www.ncbi.nlm.nih.gov/protein/WP_192395472.1?report=genbank&amp;log$=prottop&amp;blast_rank=52&amp;RID=7U875CNM013","WP_192395472.1")</f>
        <v>WP_192395472.1</v>
      </c>
      <c r="J27" s="13" t="s">
        <v>1434</v>
      </c>
    </row>
    <row r="28" spans="1:13" s="13" customFormat="1" x14ac:dyDescent="0.2">
      <c r="A28" s="13" t="s">
        <v>1479</v>
      </c>
      <c r="B28" s="13" t="s">
        <v>1480</v>
      </c>
      <c r="C28" s="13">
        <v>1196</v>
      </c>
      <c r="D28" s="13">
        <v>1196</v>
      </c>
      <c r="E28" s="14">
        <v>0.98</v>
      </c>
      <c r="F28" s="13">
        <v>0</v>
      </c>
      <c r="G28" s="13">
        <v>70.63</v>
      </c>
      <c r="H28" s="13">
        <v>792</v>
      </c>
      <c r="I28" s="13" t="str">
        <f>HYPERLINK("https://www.ncbi.nlm.nih.gov/protein/WP_086133484.1?report=genbank&amp;log$=prottop&amp;blast_rank=53&amp;RID=7U875CNM013","WP_086133484.1")</f>
        <v>WP_086133484.1</v>
      </c>
      <c r="J28" s="13" t="s">
        <v>1434</v>
      </c>
    </row>
    <row r="29" spans="1:13" s="13" customFormat="1" x14ac:dyDescent="0.2">
      <c r="A29" s="13" t="s">
        <v>1479</v>
      </c>
      <c r="B29" s="13" t="s">
        <v>1480</v>
      </c>
      <c r="C29" s="13">
        <v>1195</v>
      </c>
      <c r="D29" s="13">
        <v>1195</v>
      </c>
      <c r="E29" s="14">
        <v>0.98</v>
      </c>
      <c r="F29" s="13">
        <v>0</v>
      </c>
      <c r="G29" s="13">
        <v>70.63</v>
      </c>
      <c r="H29" s="13">
        <v>792</v>
      </c>
      <c r="I29" s="13" t="str">
        <f>HYPERLINK("https://www.ncbi.nlm.nih.gov/protein/WP_133718108.1?report=genbank&amp;log$=prottop&amp;blast_rank=54&amp;RID=7U875CNM013","WP_133718108.1")</f>
        <v>WP_133718108.1</v>
      </c>
      <c r="J29" s="13" t="s">
        <v>1434</v>
      </c>
    </row>
    <row r="30" spans="1:13" s="13" customFormat="1" x14ac:dyDescent="0.2">
      <c r="A30" s="13" t="s">
        <v>1481</v>
      </c>
      <c r="B30" s="13" t="s">
        <v>1438</v>
      </c>
      <c r="C30" s="13">
        <v>1190</v>
      </c>
      <c r="D30" s="13">
        <v>1190</v>
      </c>
      <c r="E30" s="14">
        <v>0.98</v>
      </c>
      <c r="F30" s="13">
        <v>0</v>
      </c>
      <c r="G30" s="13">
        <v>70.63</v>
      </c>
      <c r="H30" s="13">
        <v>795</v>
      </c>
      <c r="I30" s="13" t="str">
        <f>HYPERLINK("https://www.ncbi.nlm.nih.gov/protein/NOU15260.1?report=genbank&amp;log$=prottop&amp;blast_rank=55&amp;RID=7U875CNM013","NOU15260.1")</f>
        <v>NOU15260.1</v>
      </c>
      <c r="J30" s="13" t="s">
        <v>1434</v>
      </c>
    </row>
    <row r="31" spans="1:13" s="13" customFormat="1" x14ac:dyDescent="0.2">
      <c r="A31" s="13" t="s">
        <v>1467</v>
      </c>
      <c r="B31" s="13" t="s">
        <v>1468</v>
      </c>
      <c r="C31" s="13">
        <v>1196</v>
      </c>
      <c r="D31" s="13">
        <v>1196</v>
      </c>
      <c r="E31" s="14">
        <v>0.98</v>
      </c>
      <c r="F31" s="13">
        <v>0</v>
      </c>
      <c r="G31" s="13">
        <v>70.56</v>
      </c>
      <c r="H31" s="13">
        <v>788</v>
      </c>
      <c r="I31" s="13" t="str">
        <f>HYPERLINK("https://www.ncbi.nlm.nih.gov/protein/WP_064039499.1?report=genbank&amp;log$=prottop&amp;blast_rank=66&amp;RID=7U875CNM013","WP_064039499.1")</f>
        <v>WP_064039499.1</v>
      </c>
      <c r="J31" s="13" t="s">
        <v>1434</v>
      </c>
      <c r="M31" s="16" t="s">
        <v>1482</v>
      </c>
    </row>
    <row r="32" spans="1:13" s="13" customFormat="1" x14ac:dyDescent="0.2">
      <c r="A32" s="13" t="s">
        <v>1483</v>
      </c>
      <c r="B32" s="13" t="s">
        <v>1484</v>
      </c>
      <c r="C32" s="13">
        <v>1176</v>
      </c>
      <c r="D32" s="13">
        <v>1176</v>
      </c>
      <c r="E32" s="14">
        <v>0.98</v>
      </c>
      <c r="F32" s="13">
        <v>0</v>
      </c>
      <c r="G32" s="13">
        <v>70.540000000000006</v>
      </c>
      <c r="H32" s="13">
        <v>795</v>
      </c>
      <c r="I32" s="13" t="str">
        <f>HYPERLINK("https://www.ncbi.nlm.nih.gov/protein/WP_194972063.1?report=genbank&amp;log$=prottop&amp;blast_rank=72&amp;RID=7U875CNM013","WP_194972063.1")</f>
        <v>WP_194972063.1</v>
      </c>
      <c r="J32" s="13" t="s">
        <v>1434</v>
      </c>
    </row>
    <row r="33" spans="1:27" s="13" customFormat="1" x14ac:dyDescent="0.2">
      <c r="A33" s="13" t="s">
        <v>1467</v>
      </c>
      <c r="B33" s="13" t="s">
        <v>1468</v>
      </c>
      <c r="C33" s="13">
        <v>1192</v>
      </c>
      <c r="D33" s="13">
        <v>1192</v>
      </c>
      <c r="E33" s="14">
        <v>0.98</v>
      </c>
      <c r="F33" s="13">
        <v>0</v>
      </c>
      <c r="G33" s="13">
        <v>70.5</v>
      </c>
      <c r="H33" s="13">
        <v>788</v>
      </c>
      <c r="I33" s="13" t="str">
        <f>HYPERLINK("https://www.ncbi.nlm.nih.gov/protein/WP_140914384.1?report=genbank&amp;log$=prottop&amp;blast_rank=80&amp;RID=7U875CNM013","WP_140914384.1")</f>
        <v>WP_140914384.1</v>
      </c>
      <c r="J33" s="13" t="s">
        <v>1434</v>
      </c>
      <c r="M33" s="16" t="s">
        <v>1482</v>
      </c>
    </row>
    <row r="34" spans="1:27" s="13" customFormat="1" x14ac:dyDescent="0.2">
      <c r="A34" s="13" t="s">
        <v>1467</v>
      </c>
      <c r="B34" s="13" t="s">
        <v>1468</v>
      </c>
      <c r="C34" s="13">
        <v>1193</v>
      </c>
      <c r="D34" s="13">
        <v>1193</v>
      </c>
      <c r="E34" s="14">
        <v>0.98</v>
      </c>
      <c r="F34" s="13">
        <v>0</v>
      </c>
      <c r="G34" s="13">
        <v>70.430000000000007</v>
      </c>
      <c r="H34" s="13">
        <v>788</v>
      </c>
      <c r="I34" s="13" t="str">
        <f>HYPERLINK("https://www.ncbi.nlm.nih.gov/protein/WP_064027739.1?report=genbank&amp;log$=prottop&amp;blast_rank=94&amp;RID=7U875CNM013","WP_064027739.1")</f>
        <v>WP_064027739.1</v>
      </c>
      <c r="J34" s="13" t="s">
        <v>1434</v>
      </c>
      <c r="M34" s="16" t="s">
        <v>1482</v>
      </c>
    </row>
    <row r="35" spans="1:27" s="13" customFormat="1" x14ac:dyDescent="0.2">
      <c r="A35" s="13" t="s">
        <v>1485</v>
      </c>
      <c r="B35" s="17" t="s">
        <v>1486</v>
      </c>
      <c r="C35" s="17">
        <v>1192</v>
      </c>
      <c r="D35" s="17">
        <v>1192</v>
      </c>
      <c r="E35" s="18">
        <v>0.98</v>
      </c>
      <c r="F35" s="17">
        <v>0</v>
      </c>
      <c r="G35" s="17">
        <v>70.430000000000007</v>
      </c>
      <c r="H35" s="17">
        <v>788</v>
      </c>
      <c r="I35" s="17" t="str">
        <f>HYPERLINK("https://www.ncbi.nlm.nih.gov/protein/WP_064022864.1?report=genbank&amp;log$=prottop&amp;blast_rank=95&amp;RID=7U875CNM013","WP_064022864.1")</f>
        <v>WP_064022864.1</v>
      </c>
      <c r="J35" s="17" t="s">
        <v>1434</v>
      </c>
      <c r="K35" s="17"/>
      <c r="L35" s="17"/>
      <c r="M35" s="19" t="s">
        <v>1487</v>
      </c>
      <c r="N35" s="17"/>
      <c r="O35" s="17"/>
      <c r="P35" s="17"/>
      <c r="Q35" s="17"/>
      <c r="R35" s="17"/>
      <c r="S35" s="17"/>
      <c r="T35" s="17"/>
      <c r="U35" s="17"/>
      <c r="V35" s="17"/>
      <c r="W35" s="17"/>
      <c r="X35" s="17"/>
      <c r="Y35" s="17"/>
      <c r="Z35" s="17"/>
      <c r="AA35" s="17"/>
    </row>
    <row r="36" spans="1:27" s="13" customFormat="1" x14ac:dyDescent="0.2">
      <c r="A36" s="13" t="s">
        <v>1488</v>
      </c>
      <c r="B36" s="13" t="s">
        <v>1489</v>
      </c>
      <c r="C36" s="13">
        <v>1198</v>
      </c>
      <c r="D36" s="13">
        <v>1198</v>
      </c>
      <c r="E36" s="14">
        <v>1</v>
      </c>
      <c r="F36" s="13">
        <v>0</v>
      </c>
      <c r="G36" s="13">
        <v>70.349999999999994</v>
      </c>
      <c r="H36" s="13">
        <v>794</v>
      </c>
      <c r="I36" s="13" t="str">
        <f>HYPERLINK("https://www.ncbi.nlm.nih.gov/protein/NOU21566.1?report=genbank&amp;log$=prottop&amp;blast_rank=112&amp;RID=7U875CNM013","NOU21566.1")</f>
        <v>NOU21566.1</v>
      </c>
      <c r="J36" s="13" t="s">
        <v>1434</v>
      </c>
    </row>
    <row r="37" spans="1:27" s="13" customFormat="1" x14ac:dyDescent="0.2">
      <c r="A37" s="13" t="s">
        <v>1490</v>
      </c>
      <c r="B37" s="13" t="s">
        <v>1491</v>
      </c>
      <c r="C37" s="13">
        <v>1177</v>
      </c>
      <c r="D37" s="13">
        <v>1177</v>
      </c>
      <c r="E37" s="14">
        <v>0.98</v>
      </c>
      <c r="F37" s="13">
        <v>0</v>
      </c>
      <c r="G37" s="13">
        <v>70.28</v>
      </c>
      <c r="H37" s="13">
        <v>788</v>
      </c>
      <c r="I37" s="13" t="str">
        <f>HYPERLINK("https://www.ncbi.nlm.nih.gov/protein/VUZ84593.1?report=genbank&amp;log$=prottop&amp;blast_rank=126&amp;RID=7U875CNM013","VUZ84593.1")</f>
        <v>VUZ84593.1</v>
      </c>
      <c r="J37" s="13" t="s">
        <v>1434</v>
      </c>
      <c r="M37" s="20" t="s">
        <v>1492</v>
      </c>
    </row>
    <row r="38" spans="1:27" s="13" customFormat="1" x14ac:dyDescent="0.2">
      <c r="A38" s="13" t="s">
        <v>1493</v>
      </c>
      <c r="B38" s="13" t="s">
        <v>1494</v>
      </c>
      <c r="C38" s="13">
        <v>1197</v>
      </c>
      <c r="D38" s="13">
        <v>1197</v>
      </c>
      <c r="E38" s="14">
        <v>0.99</v>
      </c>
      <c r="F38" s="13">
        <v>0</v>
      </c>
      <c r="G38" s="13">
        <v>70.19</v>
      </c>
      <c r="H38" s="13">
        <v>797</v>
      </c>
      <c r="I38" s="13" t="str">
        <f>HYPERLINK("https://www.ncbi.nlm.nih.gov/protein/WP_036275715.1?report=genbank&amp;log$=prottop&amp;blast_rank=149&amp;RID=7U875CNM013","WP_036275715.1")</f>
        <v>WP_036275715.1</v>
      </c>
      <c r="J38" s="13" t="s">
        <v>1434</v>
      </c>
    </row>
    <row r="39" spans="1:27" s="13" customFormat="1" x14ac:dyDescent="0.2">
      <c r="A39" s="13" t="s">
        <v>1495</v>
      </c>
      <c r="B39" s="13" t="s">
        <v>1496</v>
      </c>
      <c r="C39" s="13">
        <v>1186</v>
      </c>
      <c r="D39" s="13">
        <v>1186</v>
      </c>
      <c r="E39" s="14">
        <v>0.98</v>
      </c>
      <c r="F39" s="13">
        <v>0</v>
      </c>
      <c r="G39" s="13">
        <v>70.11</v>
      </c>
      <c r="H39" s="13">
        <v>792</v>
      </c>
      <c r="I39" s="13" t="str">
        <f>HYPERLINK("https://www.ncbi.nlm.nih.gov/protein/WP_119631178.1?report=genbank&amp;log$=prottop&amp;blast_rank=167&amp;RID=7U875CNM013","WP_119631178.1")</f>
        <v>WP_119631178.1</v>
      </c>
      <c r="J39" s="13" t="s">
        <v>1434</v>
      </c>
      <c r="M39" s="16" t="s">
        <v>1497</v>
      </c>
    </row>
    <row r="40" spans="1:27" s="13" customFormat="1" x14ac:dyDescent="0.2">
      <c r="A40" s="13" t="s">
        <v>1498</v>
      </c>
      <c r="B40" s="13" t="s">
        <v>1499</v>
      </c>
      <c r="C40" s="13">
        <v>1162</v>
      </c>
      <c r="D40" s="13">
        <v>1162</v>
      </c>
      <c r="E40" s="14">
        <v>0.98</v>
      </c>
      <c r="F40" s="13">
        <v>0</v>
      </c>
      <c r="G40" s="13">
        <v>70.03</v>
      </c>
      <c r="H40" s="13">
        <v>808</v>
      </c>
      <c r="I40" s="13" t="str">
        <f>HYPERLINK("https://www.ncbi.nlm.nih.gov/protein/WP_085212062.1?report=genbank&amp;log$=prottop&amp;blast_rank=186&amp;RID=7U875CNM013","WP_085212062.1")</f>
        <v>WP_085212062.1</v>
      </c>
      <c r="J40" s="13" t="s">
        <v>1434</v>
      </c>
    </row>
    <row r="41" spans="1:27" s="15" customFormat="1" x14ac:dyDescent="0.2">
      <c r="A41" s="15" t="s">
        <v>1500</v>
      </c>
      <c r="B41" s="15" t="s">
        <v>1501</v>
      </c>
      <c r="C41" s="15">
        <v>1176</v>
      </c>
      <c r="D41" s="15">
        <v>1176</v>
      </c>
      <c r="E41" s="21">
        <v>0.98</v>
      </c>
      <c r="F41" s="15">
        <v>0</v>
      </c>
      <c r="G41" s="15">
        <v>69.989999999999995</v>
      </c>
      <c r="H41" s="15">
        <v>792</v>
      </c>
      <c r="I41" s="15" t="str">
        <f>HYPERLINK("https://www.ncbi.nlm.nih.gov/protein/PPD22839.1?report=genbank&amp;log$=prottop&amp;blast_rank=5&amp;RID=7U875CNM013","PPD22839.1")</f>
        <v>PPD22839.1</v>
      </c>
      <c r="J41" s="13" t="s">
        <v>1434</v>
      </c>
    </row>
    <row r="42" spans="1:27" s="15" customFormat="1" x14ac:dyDescent="0.2">
      <c r="A42" s="15" t="s">
        <v>1481</v>
      </c>
      <c r="B42" s="15" t="s">
        <v>1438</v>
      </c>
      <c r="C42" s="15">
        <v>1184</v>
      </c>
      <c r="D42" s="15">
        <v>1184</v>
      </c>
      <c r="E42" s="21">
        <v>0.99</v>
      </c>
      <c r="F42" s="15">
        <v>0</v>
      </c>
      <c r="G42" s="15">
        <v>69.87</v>
      </c>
      <c r="H42" s="15">
        <v>798</v>
      </c>
      <c r="I42" s="15" t="str">
        <f>HYPERLINK("https://www.ncbi.nlm.nih.gov/protein/MBK8814006.1?report=genbank&amp;log$=prottop&amp;blast_rank=29&amp;RID=7U875CNM013","MBK8814006.1")</f>
        <v>MBK8814006.1</v>
      </c>
      <c r="J42" s="13" t="s">
        <v>1434</v>
      </c>
    </row>
    <row r="43" spans="1:27" s="15" customFormat="1" x14ac:dyDescent="0.2">
      <c r="A43" s="15" t="s">
        <v>1502</v>
      </c>
      <c r="B43" s="15" t="s">
        <v>1503</v>
      </c>
      <c r="C43" s="15">
        <v>1188</v>
      </c>
      <c r="D43" s="15">
        <v>1188</v>
      </c>
      <c r="E43" s="21">
        <v>0.99</v>
      </c>
      <c r="F43" s="15">
        <v>0</v>
      </c>
      <c r="G43" s="15">
        <v>69.84</v>
      </c>
      <c r="H43" s="15">
        <v>794</v>
      </c>
      <c r="I43" s="15" t="str">
        <f>HYPERLINK("https://www.ncbi.nlm.nih.gov/protein/WP_196436009.1?report=genbank&amp;log$=prottop&amp;blast_rank=48&amp;RID=7U875CNM013","WP_196436009.1")</f>
        <v>WP_196436009.1</v>
      </c>
      <c r="J43" s="13" t="s">
        <v>1434</v>
      </c>
    </row>
    <row r="44" spans="1:27" s="15" customFormat="1" x14ac:dyDescent="0.2">
      <c r="A44" s="15" t="s">
        <v>1504</v>
      </c>
      <c r="B44" s="15" t="s">
        <v>1505</v>
      </c>
      <c r="C44" s="15">
        <v>1183</v>
      </c>
      <c r="D44" s="15">
        <v>1183</v>
      </c>
      <c r="E44" s="21">
        <v>0.98</v>
      </c>
      <c r="F44" s="15">
        <v>0</v>
      </c>
      <c r="G44" s="15">
        <v>69.81</v>
      </c>
      <c r="H44" s="15">
        <v>787</v>
      </c>
      <c r="I44" s="15" t="str">
        <f>HYPERLINK("https://www.ncbi.nlm.nih.gov/protein/HDY84484.1?report=genbank&amp;log$=prottop&amp;blast_rank=53&amp;RID=7U875CNM013","HDY84484.1")</f>
        <v>HDY84484.1</v>
      </c>
      <c r="J44" s="15" t="s">
        <v>1506</v>
      </c>
      <c r="M44" s="22" t="s">
        <v>1507</v>
      </c>
    </row>
    <row r="45" spans="1:27" s="15" customFormat="1" x14ac:dyDescent="0.2">
      <c r="A45" s="15" t="s">
        <v>1508</v>
      </c>
      <c r="B45" s="15" t="s">
        <v>1509</v>
      </c>
      <c r="C45" s="15">
        <v>1176</v>
      </c>
      <c r="D45" s="15">
        <v>1176</v>
      </c>
      <c r="E45" s="21">
        <v>0.98</v>
      </c>
      <c r="F45" s="15">
        <v>0</v>
      </c>
      <c r="G45" s="15">
        <v>69.81</v>
      </c>
      <c r="H45" s="15">
        <v>794</v>
      </c>
      <c r="I45" s="15" t="str">
        <f>HYPERLINK("https://www.ncbi.nlm.nih.gov/protein/WP_051906474.1?report=genbank&amp;log$=prottop&amp;blast_rank=54&amp;RID=7U875CNM013","WP_051906474.1")</f>
        <v>WP_051906474.1</v>
      </c>
      <c r="J45" s="15" t="s">
        <v>1434</v>
      </c>
    </row>
    <row r="46" spans="1:27" s="15" customFormat="1" x14ac:dyDescent="0.2">
      <c r="A46" s="15" t="s">
        <v>1481</v>
      </c>
      <c r="B46" s="15" t="s">
        <v>1438</v>
      </c>
      <c r="C46" s="15">
        <v>1186</v>
      </c>
      <c r="D46" s="15">
        <v>1186</v>
      </c>
      <c r="E46" s="21">
        <v>0.99</v>
      </c>
      <c r="F46" s="15">
        <v>0</v>
      </c>
      <c r="G46" s="15">
        <v>69.650000000000006</v>
      </c>
      <c r="H46" s="15">
        <v>798</v>
      </c>
      <c r="I46" s="15" t="str">
        <f>HYPERLINK("https://www.ncbi.nlm.nih.gov/protein/NOT12245.1?report=genbank&amp;log$=prottop&amp;blast_rank=95&amp;RID=7U875CNM013","NOT12245.1")</f>
        <v>NOT12245.1</v>
      </c>
      <c r="J46" s="15" t="s">
        <v>1434</v>
      </c>
    </row>
    <row r="47" spans="1:27" s="15" customFormat="1" x14ac:dyDescent="0.2">
      <c r="A47" s="15" t="s">
        <v>1510</v>
      </c>
      <c r="B47" s="15" t="s">
        <v>1511</v>
      </c>
      <c r="C47" s="15">
        <v>1179</v>
      </c>
      <c r="D47" s="15">
        <v>1179</v>
      </c>
      <c r="E47" s="21">
        <v>0.98</v>
      </c>
      <c r="F47" s="15">
        <v>0</v>
      </c>
      <c r="G47" s="15">
        <v>69.64</v>
      </c>
      <c r="H47" s="15">
        <v>788</v>
      </c>
      <c r="I47" s="15" t="str">
        <f>HYPERLINK("https://www.ncbi.nlm.nih.gov/protein/AEG02602.1?report=genbank&amp;log$=prottop&amp;blast_rank=97&amp;RID=7U875CNM013","AEG02602.1")</f>
        <v>AEG02602.1</v>
      </c>
      <c r="J47" s="15" t="s">
        <v>1434</v>
      </c>
    </row>
    <row r="48" spans="1:27" s="15" customFormat="1" x14ac:dyDescent="0.2">
      <c r="A48" s="15" t="s">
        <v>1512</v>
      </c>
      <c r="B48" s="15" t="s">
        <v>1450</v>
      </c>
      <c r="C48" s="15">
        <v>1179</v>
      </c>
      <c r="D48" s="15">
        <v>1179</v>
      </c>
      <c r="E48" s="21">
        <v>0.98</v>
      </c>
      <c r="F48" s="15">
        <v>0</v>
      </c>
      <c r="G48" s="15">
        <v>69.64</v>
      </c>
      <c r="H48" s="15">
        <v>791</v>
      </c>
      <c r="I48" s="15" t="str">
        <f>HYPERLINK("https://www.ncbi.nlm.nih.gov/protein/WP_202945115.1?report=genbank&amp;log$=prottop&amp;blast_rank=98&amp;RID=7U875CNM013","WP_202945115.1")</f>
        <v>WP_202945115.1</v>
      </c>
      <c r="J48" s="15" t="s">
        <v>1434</v>
      </c>
    </row>
    <row r="49" spans="1:10" s="15" customFormat="1" x14ac:dyDescent="0.2">
      <c r="A49" s="15" t="s">
        <v>1513</v>
      </c>
      <c r="B49" s="15" t="s">
        <v>1514</v>
      </c>
      <c r="C49" s="15">
        <v>1173</v>
      </c>
      <c r="D49" s="15">
        <v>1173</v>
      </c>
      <c r="E49" s="21">
        <v>0.98</v>
      </c>
      <c r="F49" s="15">
        <v>0</v>
      </c>
      <c r="G49" s="15">
        <v>69.64</v>
      </c>
      <c r="H49" s="15">
        <v>798</v>
      </c>
      <c r="I49" s="15" t="str">
        <f>HYPERLINK("https://www.ncbi.nlm.nih.gov/protein/WP_080523087.1?report=genbank&amp;log$=prottop&amp;blast_rank=99&amp;RID=7U875CNM013","WP_080523087.1")</f>
        <v>WP_080523087.1</v>
      </c>
      <c r="J49" s="15" t="s">
        <v>1434</v>
      </c>
    </row>
    <row r="50" spans="1:10" s="15" customFormat="1" x14ac:dyDescent="0.2">
      <c r="A50" s="15" t="s">
        <v>1449</v>
      </c>
      <c r="B50" s="15" t="s">
        <v>1450</v>
      </c>
      <c r="C50" s="15">
        <v>1191</v>
      </c>
      <c r="D50" s="15">
        <v>1191</v>
      </c>
      <c r="E50" s="21">
        <v>0.99</v>
      </c>
      <c r="F50" s="15">
        <v>0</v>
      </c>
      <c r="G50" s="15">
        <v>69.64</v>
      </c>
      <c r="H50" s="15">
        <v>797</v>
      </c>
      <c r="I50" s="15" t="str">
        <f>HYPERLINK("https://www.ncbi.nlm.nih.gov/protein/WP_064010901.1?report=genbank&amp;log$=prottop&amp;blast_rank=102&amp;RID=7U875CNM013","WP_064010901.1")</f>
        <v>WP_064010901.1</v>
      </c>
      <c r="J50" s="15" t="s">
        <v>1434</v>
      </c>
    </row>
    <row r="51" spans="1:10" s="15" customFormat="1" x14ac:dyDescent="0.2">
      <c r="A51" s="15" t="s">
        <v>1515</v>
      </c>
      <c r="B51" s="15" t="s">
        <v>1516</v>
      </c>
      <c r="C51" s="15">
        <v>1180</v>
      </c>
      <c r="D51" s="15">
        <v>1180</v>
      </c>
      <c r="E51" s="21">
        <v>0.99</v>
      </c>
      <c r="F51" s="15">
        <v>0</v>
      </c>
      <c r="G51" s="15">
        <v>69.62</v>
      </c>
      <c r="H51" s="15">
        <v>790</v>
      </c>
      <c r="I51" s="15" t="str">
        <f>HYPERLINK("https://www.ncbi.nlm.nih.gov/protein/WP_027149854.1?report=genbank&amp;log$=prottop&amp;blast_rank=105&amp;RID=7U875CNM013","WP_027149854.1")</f>
        <v>WP_027149854.1</v>
      </c>
      <c r="J51" s="15" t="s">
        <v>1434</v>
      </c>
    </row>
    <row r="52" spans="1:10" s="15" customFormat="1" x14ac:dyDescent="0.2">
      <c r="A52" s="15" t="s">
        <v>1515</v>
      </c>
      <c r="B52" s="15" t="s">
        <v>1516</v>
      </c>
      <c r="C52" s="15">
        <v>1176</v>
      </c>
      <c r="D52" s="15">
        <v>1176</v>
      </c>
      <c r="E52" s="21">
        <v>0.99</v>
      </c>
      <c r="F52" s="15">
        <v>0</v>
      </c>
      <c r="G52" s="15">
        <v>69.489999999999995</v>
      </c>
      <c r="H52" s="15">
        <v>790</v>
      </c>
      <c r="I52" s="15" t="str">
        <f>HYPERLINK("https://www.ncbi.nlm.nih.gov/protein/WP_031438281.1?report=genbank&amp;log$=prottop&amp;blast_rank=137&amp;RID=7U875CNM013","WP_031438281.1")</f>
        <v>WP_031438281.1</v>
      </c>
      <c r="J52" s="15" t="s">
        <v>1434</v>
      </c>
    </row>
    <row r="53" spans="1:10" s="15" customFormat="1" x14ac:dyDescent="0.2">
      <c r="A53" s="15" t="s">
        <v>1515</v>
      </c>
      <c r="B53" s="15" t="s">
        <v>1516</v>
      </c>
      <c r="C53" s="15">
        <v>1177</v>
      </c>
      <c r="D53" s="15">
        <v>1177</v>
      </c>
      <c r="E53" s="21">
        <v>0.99</v>
      </c>
      <c r="F53" s="15">
        <v>0</v>
      </c>
      <c r="G53" s="15">
        <v>69.37</v>
      </c>
      <c r="H53" s="15">
        <v>790</v>
      </c>
      <c r="I53" s="15" t="str">
        <f>HYPERLINK("https://www.ncbi.nlm.nih.gov/protein/WP_104428674.1?report=genbank&amp;log$=prottop&amp;blast_rank=160&amp;RID=7U875CNM013","WP_104428674.1")</f>
        <v>WP_104428674.1</v>
      </c>
      <c r="J53" s="15" t="s">
        <v>1434</v>
      </c>
    </row>
    <row r="54" spans="1:10" s="15" customFormat="1" x14ac:dyDescent="0.2">
      <c r="A54" s="15" t="s">
        <v>1515</v>
      </c>
      <c r="B54" s="15" t="s">
        <v>1516</v>
      </c>
      <c r="C54" s="15">
        <v>1166</v>
      </c>
      <c r="D54" s="15">
        <v>1166</v>
      </c>
      <c r="E54" s="21">
        <v>0.99</v>
      </c>
      <c r="F54" s="15">
        <v>0</v>
      </c>
      <c r="G54" s="15">
        <v>69.37</v>
      </c>
      <c r="H54" s="15">
        <v>790</v>
      </c>
      <c r="I54" s="15" t="str">
        <f>HYPERLINK("https://www.ncbi.nlm.nih.gov/protein/WP_104422392.1?report=genbank&amp;log$=prottop&amp;blast_rank=161&amp;RID=7U875CNM013","WP_104422392.1")</f>
        <v>WP_104422392.1</v>
      </c>
      <c r="J54" s="15" t="s">
        <v>1434</v>
      </c>
    </row>
    <row r="55" spans="1:10" s="15" customFormat="1" x14ac:dyDescent="0.2">
      <c r="A55" s="15" t="s">
        <v>1517</v>
      </c>
      <c r="B55" s="15" t="s">
        <v>1518</v>
      </c>
      <c r="C55" s="15">
        <v>1180</v>
      </c>
      <c r="D55" s="15">
        <v>1180</v>
      </c>
      <c r="E55" s="21">
        <v>0.99</v>
      </c>
      <c r="F55" s="15">
        <v>0</v>
      </c>
      <c r="G55" s="15">
        <v>69.36</v>
      </c>
      <c r="H55" s="15">
        <v>790</v>
      </c>
      <c r="I55" s="15" t="str">
        <f>HYPERLINK("https://www.ncbi.nlm.nih.gov/protein/WP_127029893.1?report=genbank&amp;log$=prottop&amp;blast_rank=169&amp;RID=7U875CNM013","WP_127029893.1")</f>
        <v>WP_127029893.1</v>
      </c>
      <c r="J55" s="15" t="s">
        <v>1434</v>
      </c>
    </row>
    <row r="56" spans="1:10" s="15" customFormat="1" x14ac:dyDescent="0.2">
      <c r="A56" s="15" t="s">
        <v>1519</v>
      </c>
      <c r="B56" s="15" t="s">
        <v>1462</v>
      </c>
      <c r="C56" s="15">
        <v>1173</v>
      </c>
      <c r="D56" s="15">
        <v>1173</v>
      </c>
      <c r="E56" s="21">
        <v>0.98</v>
      </c>
      <c r="F56" s="15">
        <v>0</v>
      </c>
      <c r="G56" s="15">
        <v>69.34</v>
      </c>
      <c r="H56" s="15">
        <v>790</v>
      </c>
      <c r="I56" s="15" t="str">
        <f>HYPERLINK("https://www.ncbi.nlm.nih.gov/protein/MBL6987532.1?report=genbank&amp;log$=prottop&amp;blast_rank=175&amp;RID=7U875CNM013","MBL6987532.1")</f>
        <v>MBL6987532.1</v>
      </c>
      <c r="J56" s="15" t="s">
        <v>1434</v>
      </c>
    </row>
    <row r="57" spans="1:10" s="15" customFormat="1" x14ac:dyDescent="0.2">
      <c r="A57" s="15" t="s">
        <v>1488</v>
      </c>
      <c r="B57" s="15" t="s">
        <v>1489</v>
      </c>
      <c r="C57" s="15">
        <v>1191</v>
      </c>
      <c r="D57" s="15">
        <v>1191</v>
      </c>
      <c r="E57" s="21">
        <v>0.99</v>
      </c>
      <c r="F57" s="15">
        <v>0</v>
      </c>
      <c r="G57" s="15">
        <v>69.27</v>
      </c>
      <c r="H57" s="15">
        <v>799</v>
      </c>
      <c r="I57" s="15" t="str">
        <f>HYPERLINK("https://www.ncbi.nlm.nih.gov/protein/NOS73799.1?report=genbank&amp;log$=prottop&amp;blast_rank=193&amp;RID=7U875CNM013","NOS73799.1")</f>
        <v>NOS73799.1</v>
      </c>
      <c r="J57" s="15" t="s">
        <v>1434</v>
      </c>
    </row>
    <row r="58" spans="1:10" s="15" customFormat="1" x14ac:dyDescent="0.2">
      <c r="A58" s="15" t="s">
        <v>1481</v>
      </c>
      <c r="B58" s="15" t="s">
        <v>1438</v>
      </c>
      <c r="C58" s="15">
        <v>1162</v>
      </c>
      <c r="D58" s="15">
        <v>1162</v>
      </c>
      <c r="E58" s="21">
        <v>0.99</v>
      </c>
      <c r="F58" s="15">
        <v>0</v>
      </c>
      <c r="G58" s="15">
        <v>69.27</v>
      </c>
      <c r="H58" s="15">
        <v>813</v>
      </c>
      <c r="I58" s="15" t="str">
        <f>HYPERLINK("https://www.ncbi.nlm.nih.gov/protein/NJD08749.1?report=genbank&amp;log$=prottop&amp;blast_rank=195&amp;RID=7U875CNM013","NJD08749.1")</f>
        <v>NJD08749.1</v>
      </c>
      <c r="J58" s="15" t="s">
        <v>1434</v>
      </c>
    </row>
    <row r="59" spans="1:10" s="15" customFormat="1" x14ac:dyDescent="0.2">
      <c r="A59" s="15" t="s">
        <v>1488</v>
      </c>
      <c r="B59" s="15" t="s">
        <v>1489</v>
      </c>
      <c r="C59" s="15">
        <v>1195</v>
      </c>
      <c r="D59" s="15">
        <v>1195</v>
      </c>
      <c r="E59" s="21">
        <v>1</v>
      </c>
      <c r="F59" s="15">
        <v>0</v>
      </c>
      <c r="G59" s="15">
        <v>69.12</v>
      </c>
      <c r="H59" s="15">
        <v>799</v>
      </c>
      <c r="I59" s="15" t="str">
        <f>HYPERLINK("https://www.ncbi.nlm.nih.gov/protein/NOU42753.1?report=genbank&amp;log$=prottop&amp;blast_rank=14&amp;RID=7U875CNM013","NOU42753.1")</f>
        <v>NOU42753.1</v>
      </c>
      <c r="J59" s="15" t="s">
        <v>1434</v>
      </c>
    </row>
    <row r="60" spans="1:10" s="15" customFormat="1" x14ac:dyDescent="0.2">
      <c r="A60" s="15" t="s">
        <v>1519</v>
      </c>
      <c r="B60" s="15" t="s">
        <v>1462</v>
      </c>
      <c r="C60" s="15">
        <v>1177</v>
      </c>
      <c r="D60" s="15">
        <v>1177</v>
      </c>
      <c r="E60" s="21">
        <v>0.98</v>
      </c>
      <c r="F60" s="15">
        <v>0</v>
      </c>
      <c r="G60" s="15">
        <v>69.12</v>
      </c>
      <c r="H60" s="15">
        <v>790</v>
      </c>
      <c r="I60" s="15" t="str">
        <f>HYPERLINK("https://www.ncbi.nlm.nih.gov/protein/TAN67545.1?report=genbank&amp;log$=prottop&amp;blast_rank=15&amp;RID=7U875CNM013","TAN67545.1")</f>
        <v>TAN67545.1</v>
      </c>
      <c r="J60" s="15" t="s">
        <v>1434</v>
      </c>
    </row>
    <row r="61" spans="1:10" s="15" customFormat="1" x14ac:dyDescent="0.2">
      <c r="A61" s="15" t="s">
        <v>1515</v>
      </c>
      <c r="B61" s="15" t="s">
        <v>1516</v>
      </c>
      <c r="C61" s="15">
        <v>1173</v>
      </c>
      <c r="D61" s="15">
        <v>1173</v>
      </c>
      <c r="E61" s="21">
        <v>0.99</v>
      </c>
      <c r="F61" s="15">
        <v>0</v>
      </c>
      <c r="G61" s="15">
        <v>69.11</v>
      </c>
      <c r="H61" s="15">
        <v>790</v>
      </c>
      <c r="I61" s="15" t="str">
        <f>HYPERLINK("https://www.ncbi.nlm.nih.gov/protein/WP_006889644.1?report=genbank&amp;log$=prottop&amp;blast_rank=19&amp;RID=7U875CNM013","WP_006889644.1")</f>
        <v>WP_006889644.1</v>
      </c>
      <c r="J61" s="15" t="s">
        <v>1434</v>
      </c>
    </row>
    <row r="62" spans="1:10" s="15" customFormat="1" x14ac:dyDescent="0.2">
      <c r="A62" s="15" t="s">
        <v>1520</v>
      </c>
      <c r="B62" s="15" t="s">
        <v>1521</v>
      </c>
      <c r="C62" s="15">
        <v>1171</v>
      </c>
      <c r="D62" s="15">
        <v>1171</v>
      </c>
      <c r="E62" s="21">
        <v>1</v>
      </c>
      <c r="F62" s="15">
        <v>0</v>
      </c>
      <c r="G62" s="15">
        <v>69.099999999999994</v>
      </c>
      <c r="H62" s="15">
        <v>793</v>
      </c>
      <c r="I62" s="15" t="str">
        <f>HYPERLINK("https://www.ncbi.nlm.nih.gov/protein/WP_205433323.1?report=genbank&amp;log$=prottop&amp;blast_rank=25&amp;RID=7U875CNM013","WP_205433323.1")</f>
        <v>WP_205433323.1</v>
      </c>
      <c r="J62" s="15" t="s">
        <v>1434</v>
      </c>
    </row>
    <row r="63" spans="1:10" s="15" customFormat="1" x14ac:dyDescent="0.2">
      <c r="A63" s="15" t="s">
        <v>1522</v>
      </c>
      <c r="B63" s="15" t="s">
        <v>1523</v>
      </c>
      <c r="C63" s="15">
        <v>1172</v>
      </c>
      <c r="D63" s="15">
        <v>1172</v>
      </c>
      <c r="E63" s="21">
        <v>0.98</v>
      </c>
      <c r="F63" s="15">
        <v>0</v>
      </c>
      <c r="G63" s="15">
        <v>69.08</v>
      </c>
      <c r="H63" s="15">
        <v>809</v>
      </c>
      <c r="I63" s="15" t="str">
        <f>HYPERLINK("https://www.ncbi.nlm.nih.gov/protein/WP_045226586.1?report=genbank&amp;log$=prottop&amp;blast_rank=31&amp;RID=7U875CNM013","WP_045226586.1")</f>
        <v>WP_045226586.1</v>
      </c>
      <c r="J63" s="15" t="s">
        <v>1434</v>
      </c>
    </row>
    <row r="64" spans="1:10" s="15" customFormat="1" x14ac:dyDescent="0.2">
      <c r="A64" s="15" t="s">
        <v>1500</v>
      </c>
      <c r="B64" s="15" t="s">
        <v>1501</v>
      </c>
      <c r="C64" s="15">
        <v>1162</v>
      </c>
      <c r="D64" s="15">
        <v>1162</v>
      </c>
      <c r="E64" s="21">
        <v>0.97</v>
      </c>
      <c r="F64" s="15">
        <v>0</v>
      </c>
      <c r="G64" s="15">
        <v>69.069999999999993</v>
      </c>
      <c r="H64" s="15">
        <v>786</v>
      </c>
      <c r="I64" s="15" t="str">
        <f>HYPERLINK("https://www.ncbi.nlm.nih.gov/protein/PPD31913.1?report=genbank&amp;log$=prottop&amp;blast_rank=37&amp;RID=7U875CNM013","PPD31913.1")</f>
        <v>PPD31913.1</v>
      </c>
      <c r="J64" s="15" t="s">
        <v>1434</v>
      </c>
    </row>
    <row r="65" spans="1:10" s="15" customFormat="1" x14ac:dyDescent="0.2">
      <c r="A65" s="15" t="s">
        <v>1520</v>
      </c>
      <c r="B65" s="15" t="s">
        <v>1521</v>
      </c>
      <c r="C65" s="15">
        <v>1156</v>
      </c>
      <c r="D65" s="15">
        <v>1156</v>
      </c>
      <c r="E65" s="21">
        <v>0.98</v>
      </c>
      <c r="F65" s="15">
        <v>0</v>
      </c>
      <c r="G65" s="15">
        <v>68.66</v>
      </c>
      <c r="H65" s="15">
        <v>810</v>
      </c>
      <c r="I65" s="15" t="str">
        <f>HYPERLINK("https://www.ncbi.nlm.nih.gov/protein/WP_205430057.1?report=genbank&amp;log$=prottop&amp;blast_rank=181&amp;RID=7U875CNM013","WP_205430057.1")</f>
        <v>WP_205430057.1</v>
      </c>
      <c r="J65" s="15" t="s">
        <v>1434</v>
      </c>
    </row>
    <row r="66" spans="1:10" s="15" customFormat="1" x14ac:dyDescent="0.2">
      <c r="A66" s="15" t="s">
        <v>1524</v>
      </c>
      <c r="B66" s="15" t="s">
        <v>1525</v>
      </c>
      <c r="C66" s="15">
        <v>1168</v>
      </c>
      <c r="D66" s="15">
        <v>1168</v>
      </c>
      <c r="E66" s="21">
        <v>0.98</v>
      </c>
      <c r="F66" s="15">
        <v>0</v>
      </c>
      <c r="G66" s="15">
        <v>68.41</v>
      </c>
      <c r="H66" s="15">
        <v>785</v>
      </c>
      <c r="I66" s="15" t="str">
        <f>HYPERLINK("https://www.ncbi.nlm.nih.gov/protein/WP_066986073.1?report=genbank&amp;log$=prottop&amp;blast_rank=34&amp;RID=7U875CNM013","WP_066986073.1")</f>
        <v>WP_066986073.1</v>
      </c>
      <c r="J66" s="15" t="s">
        <v>1434</v>
      </c>
    </row>
    <row r="67" spans="1:10" s="15" customFormat="1" x14ac:dyDescent="0.2">
      <c r="A67" s="15" t="s">
        <v>1481</v>
      </c>
      <c r="B67" s="15" t="s">
        <v>1438</v>
      </c>
      <c r="C67" s="15">
        <v>1158</v>
      </c>
      <c r="D67" s="15">
        <v>1158</v>
      </c>
      <c r="E67" s="21">
        <v>0.98</v>
      </c>
      <c r="F67" s="15">
        <v>0</v>
      </c>
      <c r="G67" s="15">
        <v>68.319999999999993</v>
      </c>
      <c r="H67" s="15">
        <v>812</v>
      </c>
      <c r="I67" s="15" t="str">
        <f>HYPERLINK("https://www.ncbi.nlm.nih.gov/protein/TAN46485.1?report=genbank&amp;log$=prottop&amp;blast_rank=55&amp;RID=7U875CNM013","TAN46485.1")</f>
        <v>TAN46485.1</v>
      </c>
      <c r="J67" s="15" t="s">
        <v>1434</v>
      </c>
    </row>
    <row r="68" spans="1:10" s="15" customFormat="1" x14ac:dyDescent="0.2">
      <c r="A68" s="15" t="s">
        <v>1526</v>
      </c>
      <c r="B68" s="15" t="s">
        <v>1527</v>
      </c>
      <c r="C68" s="15">
        <v>1144</v>
      </c>
      <c r="D68" s="15">
        <v>1144</v>
      </c>
      <c r="E68" s="21">
        <v>0.98</v>
      </c>
      <c r="F68" s="15">
        <v>0</v>
      </c>
      <c r="G68" s="15">
        <v>68.069999999999993</v>
      </c>
      <c r="H68" s="15">
        <v>811</v>
      </c>
      <c r="I68" s="15" t="str">
        <f>HYPERLINK("https://www.ncbi.nlm.nih.gov/protein/WP_198321494.1?report=genbank&amp;log$=prottop&amp;blast_rank=125&amp;RID=7U875CNM013","WP_198321494.1")</f>
        <v>WP_198321494.1</v>
      </c>
      <c r="J68" s="15" t="s">
        <v>1434</v>
      </c>
    </row>
    <row r="69" spans="1:10" s="15" customFormat="1" x14ac:dyDescent="0.2">
      <c r="A69" s="15" t="s">
        <v>1528</v>
      </c>
      <c r="B69" s="15" t="s">
        <v>1529</v>
      </c>
      <c r="C69" s="15">
        <v>1119</v>
      </c>
      <c r="D69" s="15">
        <v>1119</v>
      </c>
      <c r="E69" s="21">
        <v>0.98</v>
      </c>
      <c r="F69" s="15">
        <v>0</v>
      </c>
      <c r="G69" s="15">
        <v>68.069999999999993</v>
      </c>
      <c r="H69" s="15">
        <v>811</v>
      </c>
      <c r="I69" s="15" t="str">
        <f>HYPERLINK("https://www.ncbi.nlm.nih.gov/protein/WP_010960853.1?report=genbank&amp;log$=prottop&amp;blast_rank=126&amp;RID=7U875CNM013","WP_010960853.1")</f>
        <v>WP_010960853.1</v>
      </c>
      <c r="J69" s="15" t="s">
        <v>1434</v>
      </c>
    </row>
    <row r="70" spans="1:10" s="15" customFormat="1" x14ac:dyDescent="0.2">
      <c r="A70" s="15" t="s">
        <v>1528</v>
      </c>
      <c r="B70" s="15" t="s">
        <v>1529</v>
      </c>
      <c r="C70" s="15">
        <v>1117</v>
      </c>
      <c r="D70" s="15">
        <v>1117</v>
      </c>
      <c r="E70" s="21">
        <v>0.98</v>
      </c>
      <c r="F70" s="15">
        <v>0</v>
      </c>
      <c r="G70" s="15">
        <v>68.069999999999993</v>
      </c>
      <c r="H70" s="15">
        <v>811</v>
      </c>
      <c r="I70" s="15" t="str">
        <f>HYPERLINK("https://www.ncbi.nlm.nih.gov/protein/WP_017365304.1?report=genbank&amp;log$=prottop&amp;blast_rank=127&amp;RID=7U875CNM013","WP_017365304.1")</f>
        <v>WP_017365304.1</v>
      </c>
      <c r="J70" s="15" t="s">
        <v>1434</v>
      </c>
    </row>
    <row r="71" spans="1:10" s="15" customFormat="1" x14ac:dyDescent="0.2">
      <c r="A71" s="15" t="s">
        <v>1481</v>
      </c>
      <c r="B71" s="15" t="s">
        <v>1438</v>
      </c>
      <c r="C71" s="15">
        <v>1158</v>
      </c>
      <c r="D71" s="15">
        <v>1158</v>
      </c>
      <c r="E71" s="21">
        <v>0.98</v>
      </c>
      <c r="F71" s="15">
        <v>0</v>
      </c>
      <c r="G71" s="15">
        <v>68.03</v>
      </c>
      <c r="H71" s="15">
        <v>789</v>
      </c>
      <c r="I71" s="15" t="str">
        <f>HYPERLINK("https://www.ncbi.nlm.nih.gov/protein/NBV74469.1?report=genbank&amp;log$=prottop&amp;blast_rank=140&amp;RID=7U875CNM013","NBV74469.1")</f>
        <v>NBV74469.1</v>
      </c>
      <c r="J71" s="15" t="s">
        <v>1434</v>
      </c>
    </row>
    <row r="72" spans="1:10" s="15" customFormat="1" x14ac:dyDescent="0.2">
      <c r="A72" s="15" t="s">
        <v>1530</v>
      </c>
      <c r="B72" s="15" t="s">
        <v>1531</v>
      </c>
      <c r="C72" s="15">
        <v>1147</v>
      </c>
      <c r="D72" s="15">
        <v>1147</v>
      </c>
      <c r="E72" s="21">
        <v>0.98</v>
      </c>
      <c r="F72" s="15">
        <v>0</v>
      </c>
      <c r="G72" s="15">
        <v>67.98</v>
      </c>
      <c r="H72" s="15">
        <v>811</v>
      </c>
      <c r="I72" s="15" t="str">
        <f>HYPERLINK("https://www.ncbi.nlm.nih.gov/protein/WP_169603736.1?report=genbank&amp;log$=prottop&amp;blast_rank=152&amp;RID=7U875CNM013","WP_169603736.1")</f>
        <v>WP_169603736.1</v>
      </c>
      <c r="J72" s="15" t="s">
        <v>1434</v>
      </c>
    </row>
    <row r="73" spans="1:10" s="15" customFormat="1" x14ac:dyDescent="0.2">
      <c r="A73" s="15" t="s">
        <v>1532</v>
      </c>
      <c r="B73" s="15" t="s">
        <v>1505</v>
      </c>
      <c r="C73" s="15">
        <v>1156</v>
      </c>
      <c r="D73" s="15">
        <v>1156</v>
      </c>
      <c r="E73" s="21">
        <v>0.98</v>
      </c>
      <c r="F73" s="15">
        <v>0</v>
      </c>
      <c r="G73" s="15">
        <v>67.94</v>
      </c>
      <c r="H73" s="15">
        <v>793</v>
      </c>
      <c r="I73" s="15" t="str">
        <f>HYPERLINK("https://www.ncbi.nlm.nih.gov/protein/PHS22312.1?report=genbank&amp;log$=prottop&amp;blast_rank=159&amp;RID=7U875CNM013","PHS22312.1")</f>
        <v>PHS22312.1</v>
      </c>
      <c r="J73" s="15" t="s">
        <v>1506</v>
      </c>
    </row>
    <row r="74" spans="1:10" s="15" customFormat="1" x14ac:dyDescent="0.2">
      <c r="A74" s="15" t="s">
        <v>1533</v>
      </c>
      <c r="B74" s="15" t="s">
        <v>1534</v>
      </c>
      <c r="C74" s="15">
        <v>1154</v>
      </c>
      <c r="D74" s="15">
        <v>1154</v>
      </c>
      <c r="E74" s="21">
        <v>0.99</v>
      </c>
      <c r="F74" s="15">
        <v>0</v>
      </c>
      <c r="G74" s="15">
        <v>67.05</v>
      </c>
      <c r="H74" s="15">
        <v>790</v>
      </c>
      <c r="I74" s="15" t="str">
        <f>HYPERLINK("https://www.ncbi.nlm.nih.gov/protein/OZA08113.1?report=genbank&amp;log$=prottop&amp;blast_rank=217&amp;RID=7U875CNM013","OZA08113.1")</f>
        <v>OZA08113.1</v>
      </c>
      <c r="J74" s="15" t="s">
        <v>1535</v>
      </c>
    </row>
    <row r="75" spans="1:10" s="15" customFormat="1" x14ac:dyDescent="0.2">
      <c r="A75" s="15" t="s">
        <v>1536</v>
      </c>
      <c r="B75" s="15" t="s">
        <v>1537</v>
      </c>
      <c r="C75" s="15">
        <v>1119</v>
      </c>
      <c r="D75" s="15">
        <v>1119</v>
      </c>
      <c r="E75" s="21">
        <v>0.98</v>
      </c>
      <c r="F75" s="15">
        <v>0</v>
      </c>
      <c r="G75" s="15">
        <v>66.62</v>
      </c>
      <c r="H75" s="15">
        <v>790</v>
      </c>
      <c r="I75" s="15" t="str">
        <f>HYPERLINK("https://www.ncbi.nlm.nih.gov/protein/WP_018985575.1?report=genbank&amp;log$=prottop&amp;blast_rank=75&amp;RID=7U875CNM013","WP_018985575.1")</f>
        <v>WP_018985575.1</v>
      </c>
      <c r="J75" s="15" t="s">
        <v>1538</v>
      </c>
    </row>
    <row r="76" spans="1:10" s="13" customFormat="1" x14ac:dyDescent="0.2">
      <c r="A76" s="13" t="s">
        <v>1539</v>
      </c>
      <c r="B76" s="13" t="s">
        <v>1540</v>
      </c>
      <c r="C76" s="13">
        <v>1085</v>
      </c>
      <c r="D76" s="13">
        <v>1085</v>
      </c>
      <c r="E76" s="14">
        <v>0.98</v>
      </c>
      <c r="F76" s="13">
        <v>0</v>
      </c>
      <c r="G76" s="13">
        <v>65.69</v>
      </c>
      <c r="H76" s="13">
        <v>801</v>
      </c>
      <c r="I76" s="13" t="str">
        <f>HYPERLINK("https://www.ncbi.nlm.nih.gov/protein/WP_202051198.1?report=genbank&amp;log$=prottop&amp;blast_rank=50&amp;RID=7U875CNM013","WP_202051198.1")</f>
        <v>WP_202051198.1</v>
      </c>
      <c r="J76" s="15" t="s">
        <v>1434</v>
      </c>
    </row>
    <row r="77" spans="1:10" s="13" customFormat="1" x14ac:dyDescent="0.2">
      <c r="A77" s="13" t="s">
        <v>1541</v>
      </c>
      <c r="B77" s="13" t="s">
        <v>1542</v>
      </c>
      <c r="C77" s="13">
        <v>1093</v>
      </c>
      <c r="D77" s="13">
        <v>1093</v>
      </c>
      <c r="E77" s="14">
        <v>0.99</v>
      </c>
      <c r="F77" s="13">
        <v>0</v>
      </c>
      <c r="G77" s="13">
        <v>65.66</v>
      </c>
      <c r="H77" s="13">
        <v>794</v>
      </c>
      <c r="I77" s="13" t="str">
        <f>HYPERLINK("https://www.ncbi.nlm.nih.gov/protein/WP_027157437.1?report=genbank&amp;log$=prottop&amp;blast_rank=56&amp;RID=7U875CNM013","WP_027157437.1")</f>
        <v>WP_027157437.1</v>
      </c>
      <c r="J77" s="15" t="s">
        <v>1434</v>
      </c>
    </row>
    <row r="78" spans="1:10" s="13" customFormat="1" x14ac:dyDescent="0.2">
      <c r="A78" s="13" t="s">
        <v>1543</v>
      </c>
      <c r="B78" s="13" t="s">
        <v>1544</v>
      </c>
      <c r="C78" s="13">
        <v>1087</v>
      </c>
      <c r="D78" s="13">
        <v>1087</v>
      </c>
      <c r="E78" s="14">
        <v>0.98</v>
      </c>
      <c r="F78" s="13">
        <v>0</v>
      </c>
      <c r="G78" s="13">
        <v>65.61</v>
      </c>
      <c r="H78" s="13">
        <v>794</v>
      </c>
      <c r="I78" s="13" t="str">
        <f>HYPERLINK("https://www.ncbi.nlm.nih.gov/protein/WP_036298712.1?report=genbank&amp;log$=prottop&amp;blast_rank=72&amp;RID=7U875CNM013","WP_036298712.1")</f>
        <v>WP_036298712.1</v>
      </c>
      <c r="J78" s="15" t="s">
        <v>1434</v>
      </c>
    </row>
    <row r="79" spans="1:10" s="13" customFormat="1" x14ac:dyDescent="0.2">
      <c r="A79" s="13" t="s">
        <v>1545</v>
      </c>
      <c r="B79" s="13" t="s">
        <v>1546</v>
      </c>
      <c r="C79" s="13">
        <v>1101</v>
      </c>
      <c r="D79" s="13">
        <v>1101</v>
      </c>
      <c r="E79" s="14">
        <v>0.99</v>
      </c>
      <c r="F79" s="13">
        <v>0</v>
      </c>
      <c r="G79" s="13">
        <v>65.58</v>
      </c>
      <c r="H79" s="13">
        <v>794</v>
      </c>
      <c r="I79" s="13" t="str">
        <f>HYPERLINK("https://www.ncbi.nlm.nih.gov/protein/WP_139558679.1?report=genbank&amp;log$=prottop&amp;blast_rank=80&amp;RID=7U875CNM013","WP_139558679.1")</f>
        <v>WP_139558679.1</v>
      </c>
      <c r="J79" s="15" t="s">
        <v>1434</v>
      </c>
    </row>
    <row r="80" spans="1:10" s="15" customFormat="1" x14ac:dyDescent="0.2">
      <c r="A80" s="15" t="s">
        <v>1547</v>
      </c>
      <c r="B80" s="15" t="s">
        <v>1548</v>
      </c>
      <c r="C80" s="15">
        <v>1088</v>
      </c>
      <c r="D80" s="15">
        <v>1088</v>
      </c>
      <c r="E80" s="21">
        <v>0.98</v>
      </c>
      <c r="F80" s="15">
        <v>0</v>
      </c>
      <c r="G80" s="15">
        <v>65.349999999999994</v>
      </c>
      <c r="H80" s="15">
        <v>794</v>
      </c>
      <c r="I80" s="15" t="str">
        <f>HYPERLINK("https://www.ncbi.nlm.nih.gov/protein/WP_020160498.1?report=genbank&amp;log$=prottop&amp;blast_rank=54&amp;RID=7U875CNM013","WP_020160498.1")</f>
        <v>WP_020160498.1</v>
      </c>
      <c r="J80" s="15" t="s">
        <v>1434</v>
      </c>
    </row>
    <row r="81" spans="1:13" s="15" customFormat="1" x14ac:dyDescent="0.2">
      <c r="A81" s="15" t="s">
        <v>1549</v>
      </c>
      <c r="B81" s="15" t="s">
        <v>1550</v>
      </c>
      <c r="C81" s="15">
        <v>1076</v>
      </c>
      <c r="D81" s="15">
        <v>1076</v>
      </c>
      <c r="E81" s="21">
        <v>0.98</v>
      </c>
      <c r="F81" s="15">
        <v>0</v>
      </c>
      <c r="G81" s="15">
        <v>65.349999999999994</v>
      </c>
      <c r="H81" s="15">
        <v>798</v>
      </c>
      <c r="I81" s="15" t="str">
        <f>HYPERLINK("https://www.ncbi.nlm.nih.gov/protein/KXJ41794.1?report=genbank&amp;log$=prottop&amp;blast_rank=56&amp;RID=7U875CNM013","KXJ41794.1")</f>
        <v>KXJ41794.1</v>
      </c>
      <c r="J81" s="15" t="s">
        <v>1434</v>
      </c>
    </row>
    <row r="82" spans="1:13" s="15" customFormat="1" x14ac:dyDescent="0.2">
      <c r="A82" s="15" t="s">
        <v>1457</v>
      </c>
      <c r="B82" s="15" t="s">
        <v>1458</v>
      </c>
      <c r="C82" s="15">
        <v>1070</v>
      </c>
      <c r="D82" s="15">
        <v>1070</v>
      </c>
      <c r="E82" s="21">
        <v>0.98</v>
      </c>
      <c r="F82" s="15">
        <v>0</v>
      </c>
      <c r="G82" s="15">
        <v>65.31</v>
      </c>
      <c r="H82" s="15">
        <v>792</v>
      </c>
      <c r="I82" s="15" t="str">
        <f>HYPERLINK("https://www.ncbi.nlm.nih.gov/protein/MVF23153.1?report=genbank&amp;log$=prottop&amp;blast_rank=71&amp;RID=7U875CNM013","MVF23153.1")</f>
        <v>MVF23153.1</v>
      </c>
      <c r="J82" s="15" t="s">
        <v>1434</v>
      </c>
    </row>
    <row r="83" spans="1:13" s="15" customFormat="1" ht="20" x14ac:dyDescent="0.25">
      <c r="A83" s="15" t="s">
        <v>1551</v>
      </c>
      <c r="B83" s="15" t="s">
        <v>1552</v>
      </c>
      <c r="C83" s="15">
        <v>1066</v>
      </c>
      <c r="D83" s="15">
        <v>1066</v>
      </c>
      <c r="E83" s="21">
        <v>0.97</v>
      </c>
      <c r="F83" s="15">
        <v>0</v>
      </c>
      <c r="G83" s="15">
        <v>65.3</v>
      </c>
      <c r="H83" s="15">
        <v>811</v>
      </c>
      <c r="I83" s="15" t="str">
        <f>HYPERLINK("https://www.ncbi.nlm.nih.gov/protein/WP_017487038.1?report=genbank&amp;log$=prottop&amp;blast_rank=77&amp;RID=7U875CNM013","WP_017487038.1")</f>
        <v>WP_017487038.1</v>
      </c>
      <c r="J83" s="15" t="s">
        <v>1553</v>
      </c>
      <c r="M83" s="23" t="s">
        <v>1554</v>
      </c>
    </row>
    <row r="84" spans="1:13" s="15" customFormat="1" x14ac:dyDescent="0.2">
      <c r="A84" s="15" t="s">
        <v>1555</v>
      </c>
      <c r="B84" s="15" t="s">
        <v>1556</v>
      </c>
      <c r="C84" s="15">
        <v>1066</v>
      </c>
      <c r="D84" s="15">
        <v>1066</v>
      </c>
      <c r="E84" s="21">
        <v>0.97</v>
      </c>
      <c r="F84" s="15">
        <v>0</v>
      </c>
      <c r="G84" s="15">
        <v>65.3</v>
      </c>
      <c r="H84" s="15">
        <v>811</v>
      </c>
      <c r="I84" s="15" t="str">
        <f>HYPERLINK("https://www.ncbi.nlm.nih.gov/protein/WP_183669602.1?report=genbank&amp;log$=prottop&amp;blast_rank=78&amp;RID=7U875CNM013","WP_183669602.1")</f>
        <v>WP_183669602.1</v>
      </c>
      <c r="J84" s="15" t="s">
        <v>1557</v>
      </c>
      <c r="M84" s="24" t="s">
        <v>1558</v>
      </c>
    </row>
    <row r="85" spans="1:13" s="15" customFormat="1" ht="20" x14ac:dyDescent="0.25">
      <c r="A85" s="15" t="s">
        <v>1559</v>
      </c>
      <c r="B85" s="15" t="s">
        <v>1560</v>
      </c>
      <c r="C85" s="15">
        <v>1065</v>
      </c>
      <c r="D85" s="15">
        <v>1065</v>
      </c>
      <c r="E85" s="21">
        <v>0.97</v>
      </c>
      <c r="F85" s="15">
        <v>0</v>
      </c>
      <c r="G85" s="15">
        <v>65.3</v>
      </c>
      <c r="H85" s="15">
        <v>811</v>
      </c>
      <c r="I85" s="15" t="str">
        <f>HYPERLINK("https://www.ncbi.nlm.nih.gov/protein/WP_153876342.1?report=genbank&amp;log$=prottop&amp;blast_rank=79&amp;RID=7U875CNM013","WP_153876342.1")</f>
        <v>WP_153876342.1</v>
      </c>
      <c r="J85" s="15" t="s">
        <v>1553</v>
      </c>
      <c r="M85" s="23" t="s">
        <v>1554</v>
      </c>
    </row>
    <row r="86" spans="1:13" s="15" customFormat="1" x14ac:dyDescent="0.2">
      <c r="A86" s="15" t="s">
        <v>1561</v>
      </c>
      <c r="B86" s="15" t="s">
        <v>1562</v>
      </c>
      <c r="C86" s="15">
        <v>1066</v>
      </c>
      <c r="D86" s="15">
        <v>1066</v>
      </c>
      <c r="E86" s="21">
        <v>0.98</v>
      </c>
      <c r="F86" s="15">
        <v>0</v>
      </c>
      <c r="G86" s="15">
        <v>65.22</v>
      </c>
      <c r="H86" s="15">
        <v>811</v>
      </c>
      <c r="I86" s="15" t="str">
        <f>HYPERLINK("https://www.ncbi.nlm.nih.gov/protein/WP_012251864.1?report=genbank&amp;log$=prottop&amp;blast_rank=103&amp;RID=7U875CNM013","WP_012251864.1")</f>
        <v>WP_012251864.1</v>
      </c>
      <c r="J86" s="15" t="s">
        <v>1557</v>
      </c>
      <c r="M86" s="24" t="s">
        <v>1558</v>
      </c>
    </row>
    <row r="87" spans="1:13" s="15" customFormat="1" ht="20" x14ac:dyDescent="0.25">
      <c r="A87" s="15" t="s">
        <v>1563</v>
      </c>
      <c r="B87" s="15" t="s">
        <v>1564</v>
      </c>
      <c r="C87" s="15">
        <v>1065</v>
      </c>
      <c r="D87" s="15">
        <v>1065</v>
      </c>
      <c r="E87" s="21">
        <v>0.98</v>
      </c>
      <c r="F87" s="15">
        <v>0</v>
      </c>
      <c r="G87" s="15">
        <v>65.22</v>
      </c>
      <c r="H87" s="15">
        <v>811</v>
      </c>
      <c r="I87" s="15" t="str">
        <f>HYPERLINK("https://www.ncbi.nlm.nih.gov/protein/KQO89610.1?report=genbank&amp;log$=prottop&amp;blast_rank=104&amp;RID=7U875CNM013","KQO89610.1")</f>
        <v>KQO89610.1</v>
      </c>
      <c r="J87" s="15" t="s">
        <v>1557</v>
      </c>
      <c r="M87" s="23" t="s">
        <v>1554</v>
      </c>
    </row>
    <row r="88" spans="1:13" x14ac:dyDescent="0.2">
      <c r="A88" s="15" t="s">
        <v>1565</v>
      </c>
      <c r="B88" s="15" t="s">
        <v>1562</v>
      </c>
      <c r="C88" s="15">
        <v>1058</v>
      </c>
      <c r="D88" s="15">
        <v>1058</v>
      </c>
      <c r="E88" s="21">
        <v>0.97</v>
      </c>
      <c r="F88" s="15">
        <v>0</v>
      </c>
      <c r="G88" s="15">
        <v>65.13</v>
      </c>
      <c r="H88" s="15">
        <v>811</v>
      </c>
      <c r="I88" s="15" t="str">
        <f>HYPERLINK("https://www.ncbi.nlm.nih.gov/protein/WP_209688128.1?report=genbank&amp;log$=prottop&amp;blast_rank=38&amp;RID=7U875CNM013","WP_209688128.1")</f>
        <v>WP_209688128.1</v>
      </c>
      <c r="J88" s="15" t="s">
        <v>1566</v>
      </c>
      <c r="M88" s="24" t="s">
        <v>1558</v>
      </c>
    </row>
    <row r="89" spans="1:13" s="15" customFormat="1" x14ac:dyDescent="0.2">
      <c r="A89" s="15" t="s">
        <v>1567</v>
      </c>
      <c r="B89" s="15" t="s">
        <v>1568</v>
      </c>
      <c r="C89" s="15">
        <v>1082</v>
      </c>
      <c r="D89" s="15">
        <v>1082</v>
      </c>
      <c r="E89" s="21">
        <v>0.98</v>
      </c>
      <c r="F89" s="15">
        <v>0</v>
      </c>
      <c r="G89" s="15">
        <v>65.099999999999994</v>
      </c>
      <c r="H89" s="15">
        <v>794</v>
      </c>
      <c r="I89" s="15" t="str">
        <f>HYPERLINK("https://www.ncbi.nlm.nih.gov/protein/WP_036249435.1?report=genbank&amp;log$=prottop&amp;blast_rank=54&amp;RID=7U875CNM013","WP_036249435.1")</f>
        <v>WP_036249435.1</v>
      </c>
      <c r="J89" s="15" t="s">
        <v>1557</v>
      </c>
    </row>
    <row r="90" spans="1:13" s="15" customFormat="1" x14ac:dyDescent="0.2">
      <c r="A90" s="15" t="s">
        <v>1561</v>
      </c>
      <c r="B90" s="15" t="s">
        <v>1562</v>
      </c>
      <c r="C90" s="15">
        <v>1064</v>
      </c>
      <c r="D90" s="15">
        <v>1064</v>
      </c>
      <c r="E90" s="21">
        <v>0.98</v>
      </c>
      <c r="F90" s="15">
        <v>0</v>
      </c>
      <c r="G90" s="15">
        <v>65.099999999999994</v>
      </c>
      <c r="H90" s="15">
        <v>811</v>
      </c>
      <c r="I90" s="15" t="str">
        <f>HYPERLINK("https://www.ncbi.nlm.nih.gov/protein/WP_015950073.1?report=genbank&amp;log$=prottop&amp;blast_rank=55&amp;RID=7U875CNM013","WP_015950073.1")</f>
        <v>WP_015950073.1</v>
      </c>
      <c r="J90" s="15" t="s">
        <v>1557</v>
      </c>
    </row>
    <row r="91" spans="1:13" s="15" customFormat="1" x14ac:dyDescent="0.2">
      <c r="A91" s="15" t="s">
        <v>1561</v>
      </c>
      <c r="B91" s="15" t="s">
        <v>1562</v>
      </c>
      <c r="C91" s="15">
        <v>1064</v>
      </c>
      <c r="D91" s="15">
        <v>1064</v>
      </c>
      <c r="E91" s="21">
        <v>0.98</v>
      </c>
      <c r="F91" s="15">
        <v>0</v>
      </c>
      <c r="G91" s="15">
        <v>65.099999999999994</v>
      </c>
      <c r="H91" s="15">
        <v>811</v>
      </c>
      <c r="I91" s="15" t="str">
        <f>HYPERLINK("https://www.ncbi.nlm.nih.gov/protein/WP_056115275.1?report=genbank&amp;log$=prottop&amp;blast_rank=56&amp;RID=7U875CNM013","WP_056115275.1")</f>
        <v>WP_056115275.1</v>
      </c>
      <c r="J91" s="15" t="s">
        <v>1557</v>
      </c>
    </row>
    <row r="92" spans="1:13" s="15" customFormat="1" x14ac:dyDescent="0.2">
      <c r="A92" s="15" t="s">
        <v>1569</v>
      </c>
      <c r="B92" s="15" t="s">
        <v>1570</v>
      </c>
      <c r="C92" s="15">
        <v>1058</v>
      </c>
      <c r="D92" s="15">
        <v>1058</v>
      </c>
      <c r="E92" s="21">
        <v>0.97</v>
      </c>
      <c r="F92" s="15">
        <v>0</v>
      </c>
      <c r="G92" s="15">
        <v>65</v>
      </c>
      <c r="H92" s="15">
        <v>811</v>
      </c>
      <c r="I92" s="15" t="str">
        <f>HYPERLINK("https://www.ncbi.nlm.nih.gov/protein/WP_132250898.1?report=genbank&amp;log$=prottop&amp;blast_rank=106&amp;RID=7U875CNM013","WP_132250898.1")</f>
        <v>WP_132250898.1</v>
      </c>
      <c r="J92" s="15" t="s">
        <v>1557</v>
      </c>
    </row>
    <row r="93" spans="1:13" s="15" customFormat="1" x14ac:dyDescent="0.2">
      <c r="A93" s="15" t="s">
        <v>1571</v>
      </c>
      <c r="B93" s="15" t="s">
        <v>1572</v>
      </c>
      <c r="C93" s="15">
        <v>1064</v>
      </c>
      <c r="D93" s="15">
        <v>1064</v>
      </c>
      <c r="E93" s="21">
        <v>0.98</v>
      </c>
      <c r="F93" s="15">
        <v>0</v>
      </c>
      <c r="G93" s="15">
        <v>64.97</v>
      </c>
      <c r="H93" s="15">
        <v>811</v>
      </c>
      <c r="I93" s="15" t="str">
        <f>HYPERLINK("https://www.ncbi.nlm.nih.gov/protein/WP_060770700.1?report=genbank&amp;log$=prottop&amp;blast_rank=120&amp;RID=7U875CNM013","WP_060770700.1")</f>
        <v>WP_060770700.1</v>
      </c>
      <c r="J93" s="15" t="s">
        <v>1557</v>
      </c>
    </row>
    <row r="94" spans="1:13" s="15" customFormat="1" x14ac:dyDescent="0.2">
      <c r="A94" s="15" t="s">
        <v>1573</v>
      </c>
      <c r="B94" s="15" t="s">
        <v>1574</v>
      </c>
      <c r="C94" s="15">
        <v>1064</v>
      </c>
      <c r="D94" s="15">
        <v>1064</v>
      </c>
      <c r="E94" s="21">
        <v>0.98</v>
      </c>
      <c r="F94" s="15">
        <v>0</v>
      </c>
      <c r="G94" s="15">
        <v>64.97</v>
      </c>
      <c r="H94" s="15">
        <v>811</v>
      </c>
      <c r="I94" s="15" t="str">
        <f>HYPERLINK("https://www.ncbi.nlm.nih.gov/protein/KQQ04993.1?report=genbank&amp;log$=prottop&amp;blast_rank=121&amp;RID=7U875CNM013","KQQ04993.1")</f>
        <v>KQQ04993.1</v>
      </c>
      <c r="J94" s="15" t="s">
        <v>1557</v>
      </c>
    </row>
    <row r="95" spans="1:13" s="15" customFormat="1" x14ac:dyDescent="0.2">
      <c r="A95" s="15" t="s">
        <v>1575</v>
      </c>
      <c r="B95" s="15" t="s">
        <v>1576</v>
      </c>
      <c r="C95" s="15">
        <v>1062</v>
      </c>
      <c r="D95" s="15">
        <v>1062</v>
      </c>
      <c r="E95" s="21">
        <v>0.98</v>
      </c>
      <c r="F95" s="15">
        <v>0</v>
      </c>
      <c r="G95" s="15">
        <v>64.97</v>
      </c>
      <c r="H95" s="15">
        <v>811</v>
      </c>
      <c r="I95" s="15" t="str">
        <f>HYPERLINK("https://www.ncbi.nlm.nih.gov/protein/WP_085856892.1?report=genbank&amp;log$=prottop&amp;blast_rank=122&amp;RID=7U875CNM013","WP_085856892.1")</f>
        <v>WP_085856892.1</v>
      </c>
      <c r="J95" s="15" t="s">
        <v>1557</v>
      </c>
    </row>
    <row r="96" spans="1:13" s="15" customFormat="1" x14ac:dyDescent="0.2">
      <c r="A96" s="15" t="s">
        <v>1577</v>
      </c>
      <c r="B96" s="15" t="s">
        <v>1578</v>
      </c>
      <c r="C96" s="15">
        <v>1058</v>
      </c>
      <c r="D96" s="15">
        <v>1058</v>
      </c>
      <c r="E96" s="21">
        <v>0.97</v>
      </c>
      <c r="F96" s="15">
        <v>0</v>
      </c>
      <c r="G96" s="15">
        <v>64.87</v>
      </c>
      <c r="H96" s="15">
        <v>811</v>
      </c>
      <c r="I96" s="15" t="str">
        <f>HYPERLINK("https://www.ncbi.nlm.nih.gov/protein/WP_109893150.1?report=genbank&amp;log$=prottop&amp;blast_rank=34&amp;RID=7U875CNM013","WP_109893150.1")</f>
        <v>WP_109893150.1</v>
      </c>
      <c r="J96" s="15" t="s">
        <v>1557</v>
      </c>
      <c r="M96" s="16" t="s">
        <v>1579</v>
      </c>
    </row>
    <row r="97" spans="1:12" s="15" customFormat="1" x14ac:dyDescent="0.2">
      <c r="A97" s="15" t="s">
        <v>1580</v>
      </c>
      <c r="B97" s="15" t="s">
        <v>1581</v>
      </c>
      <c r="C97" s="15">
        <v>1082</v>
      </c>
      <c r="D97" s="15">
        <v>1082</v>
      </c>
      <c r="E97" s="21">
        <v>0.99</v>
      </c>
      <c r="F97" s="15">
        <v>0</v>
      </c>
      <c r="G97" s="15">
        <v>64.849999999999994</v>
      </c>
      <c r="H97" s="15">
        <v>801</v>
      </c>
      <c r="I97" s="15" t="str">
        <f>HYPERLINK("https://www.ncbi.nlm.nih.gov/protein/WP_031431356.1?report=genbank&amp;log$=prottop&amp;blast_rank=35&amp;RID=7U875CNM013","WP_031431356.1")</f>
        <v>WP_031431356.1</v>
      </c>
      <c r="J97" s="15" t="s">
        <v>1557</v>
      </c>
    </row>
    <row r="98" spans="1:12" s="15" customFormat="1" x14ac:dyDescent="0.2">
      <c r="A98" s="15" t="s">
        <v>1561</v>
      </c>
      <c r="B98" s="15" t="s">
        <v>1562</v>
      </c>
      <c r="C98" s="15">
        <v>1063</v>
      </c>
      <c r="D98" s="15">
        <v>1063</v>
      </c>
      <c r="E98" s="21">
        <v>0.98</v>
      </c>
      <c r="F98" s="15">
        <v>0</v>
      </c>
      <c r="G98" s="15">
        <v>64.84</v>
      </c>
      <c r="H98" s="15">
        <v>811</v>
      </c>
      <c r="I98" s="15" t="str">
        <f>HYPERLINK("https://www.ncbi.nlm.nih.gov/protein/WP_147019393.1?report=genbank&amp;log$=prottop&amp;blast_rank=45&amp;RID=7U875CNM013","WP_147019393.1")</f>
        <v>WP_147019393.1</v>
      </c>
      <c r="J98" s="15" t="s">
        <v>1557</v>
      </c>
    </row>
    <row r="99" spans="1:12" s="15" customFormat="1" x14ac:dyDescent="0.2">
      <c r="A99" s="15" t="s">
        <v>1582</v>
      </c>
      <c r="B99" s="15" t="s">
        <v>1583</v>
      </c>
      <c r="C99" s="15">
        <v>1060</v>
      </c>
      <c r="D99" s="15">
        <v>1060</v>
      </c>
      <c r="E99" s="21">
        <v>0.98</v>
      </c>
      <c r="F99" s="15">
        <v>0</v>
      </c>
      <c r="G99" s="15">
        <v>64.84</v>
      </c>
      <c r="H99" s="15">
        <v>811</v>
      </c>
      <c r="I99" s="15" t="str">
        <f>HYPERLINK("https://www.ncbi.nlm.nih.gov/protein/WP_135300059.1?report=genbank&amp;log$=prottop&amp;blast_rank=46&amp;RID=7U875CNM013","WP_135300059.1")</f>
        <v>WP_135300059.1</v>
      </c>
      <c r="J99" s="15" t="s">
        <v>1557</v>
      </c>
    </row>
    <row r="100" spans="1:12" s="15" customFormat="1" x14ac:dyDescent="0.2">
      <c r="A100" s="15" t="s">
        <v>1584</v>
      </c>
      <c r="B100" s="15" t="s">
        <v>1585</v>
      </c>
      <c r="C100" s="15">
        <v>1057</v>
      </c>
      <c r="D100" s="15">
        <v>1057</v>
      </c>
      <c r="E100" s="21">
        <v>0.98</v>
      </c>
      <c r="F100" s="15">
        <v>0</v>
      </c>
      <c r="G100" s="15">
        <v>64.75</v>
      </c>
      <c r="H100" s="15">
        <v>811</v>
      </c>
      <c r="I100" s="15" t="str">
        <f>HYPERLINK("https://www.ncbi.nlm.nih.gov/protein/WP_141954288.1?report=genbank&amp;log$=prottop&amp;blast_rank=115&amp;RID=7U875CNM013","WP_141954288.1")</f>
        <v>WP_141954288.1</v>
      </c>
      <c r="J100" s="15" t="s">
        <v>1557</v>
      </c>
    </row>
    <row r="101" spans="1:12" s="15" customFormat="1" x14ac:dyDescent="0.2">
      <c r="A101" s="15" t="s">
        <v>1586</v>
      </c>
      <c r="B101" s="15" t="s">
        <v>1587</v>
      </c>
      <c r="C101" s="15">
        <v>1060</v>
      </c>
      <c r="D101" s="15">
        <v>1060</v>
      </c>
      <c r="E101" s="21">
        <v>0.97</v>
      </c>
      <c r="F101" s="15">
        <v>0</v>
      </c>
      <c r="G101" s="15">
        <v>64.739999999999995</v>
      </c>
      <c r="H101" s="15">
        <v>811</v>
      </c>
      <c r="I101" s="15" t="str">
        <f>HYPERLINK("https://www.ncbi.nlm.nih.gov/protein/WP_147028710.1?report=genbank&amp;log$=prottop&amp;blast_rank=119&amp;RID=7U875CNM013","WP_147028710.1")</f>
        <v>WP_147028710.1</v>
      </c>
      <c r="J101" s="15" t="s">
        <v>1553</v>
      </c>
    </row>
    <row r="102" spans="1:12" s="15" customFormat="1" x14ac:dyDescent="0.2">
      <c r="A102" s="15" t="s">
        <v>1588</v>
      </c>
      <c r="B102" s="15" t="s">
        <v>1589</v>
      </c>
      <c r="C102" s="15">
        <v>1056</v>
      </c>
      <c r="D102" s="15">
        <v>1056</v>
      </c>
      <c r="E102" s="21">
        <v>0.97</v>
      </c>
      <c r="F102" s="15">
        <v>0</v>
      </c>
      <c r="G102" s="15">
        <v>64.739999999999995</v>
      </c>
      <c r="H102" s="15">
        <v>807</v>
      </c>
      <c r="I102" s="15" t="str">
        <f>HYPERLINK("https://www.ncbi.nlm.nih.gov/protein/TAL51603.1?report=genbank&amp;log$=prottop&amp;blast_rank=120&amp;RID=7U875CNM013","TAL51603.1")</f>
        <v>TAL51603.1</v>
      </c>
      <c r="J102" s="15" t="s">
        <v>1434</v>
      </c>
    </row>
    <row r="103" spans="1:12" s="15" customFormat="1" x14ac:dyDescent="0.2">
      <c r="A103" s="15" t="s">
        <v>1590</v>
      </c>
      <c r="B103" s="15" t="s">
        <v>1591</v>
      </c>
      <c r="C103" s="15">
        <v>1084</v>
      </c>
      <c r="D103" s="15">
        <v>1084</v>
      </c>
      <c r="E103" s="21">
        <v>0.99</v>
      </c>
      <c r="F103" s="15">
        <v>0</v>
      </c>
      <c r="G103" s="15">
        <v>64.73</v>
      </c>
      <c r="H103" s="15">
        <v>801</v>
      </c>
      <c r="I103" s="15" t="str">
        <f>HYPERLINK("https://www.ncbi.nlm.nih.gov/protein/EIC29203.1?report=genbank&amp;log$=prottop&amp;blast_rank=125&amp;RID=7U875CNM013","EIC29203.1")</f>
        <v>EIC29203.1</v>
      </c>
      <c r="J103" s="15" t="s">
        <v>1434</v>
      </c>
    </row>
    <row r="104" spans="1:12" s="15" customFormat="1" x14ac:dyDescent="0.2">
      <c r="A104" s="15" t="s">
        <v>1545</v>
      </c>
      <c r="B104" s="15" t="s">
        <v>1546</v>
      </c>
      <c r="C104" s="15">
        <v>1066</v>
      </c>
      <c r="D104" s="15">
        <v>1066</v>
      </c>
      <c r="E104" s="21">
        <v>0.98</v>
      </c>
      <c r="F104" s="15">
        <v>0</v>
      </c>
      <c r="G104" s="15">
        <v>64.709999999999994</v>
      </c>
      <c r="H104" s="15">
        <v>805</v>
      </c>
      <c r="I104" s="15" t="str">
        <f>HYPERLINK("https://www.ncbi.nlm.nih.gov/protein/WP_139556729.1?report=genbank&amp;log$=prottop&amp;blast_rank=138&amp;RID=7U875CNM013","WP_139556729.1")</f>
        <v>WP_139556729.1</v>
      </c>
      <c r="J104" s="15" t="s">
        <v>1557</v>
      </c>
    </row>
    <row r="105" spans="1:12" s="15" customFormat="1" x14ac:dyDescent="0.2">
      <c r="A105" s="15" t="s">
        <v>1592</v>
      </c>
      <c r="B105" s="15" t="s">
        <v>1593</v>
      </c>
      <c r="C105" s="15">
        <v>1061</v>
      </c>
      <c r="D105" s="15">
        <v>1061</v>
      </c>
      <c r="E105" s="21">
        <v>0.98</v>
      </c>
      <c r="F105" s="15">
        <v>0</v>
      </c>
      <c r="G105" s="15">
        <v>64.59</v>
      </c>
      <c r="H105" s="15">
        <v>801</v>
      </c>
      <c r="I105" s="15" t="str">
        <f>HYPERLINK("https://www.ncbi.nlm.nih.gov/protein/WP_085772820.1?report=genbank&amp;log$=prottop&amp;blast_rank=73&amp;RID=7U875CNM013","WP_085772820.1")</f>
        <v>WP_085772820.1</v>
      </c>
      <c r="J105" s="15" t="s">
        <v>1557</v>
      </c>
    </row>
    <row r="106" spans="1:12" s="15" customFormat="1" x14ac:dyDescent="0.2">
      <c r="A106" s="15" t="s">
        <v>1483</v>
      </c>
      <c r="B106" s="15" t="s">
        <v>1484</v>
      </c>
      <c r="C106" s="15">
        <v>1093</v>
      </c>
      <c r="D106" s="15">
        <v>1093</v>
      </c>
      <c r="E106" s="21">
        <v>0.99</v>
      </c>
      <c r="F106" s="15">
        <v>0</v>
      </c>
      <c r="G106" s="15">
        <v>64.53</v>
      </c>
      <c r="H106" s="15">
        <v>794</v>
      </c>
      <c r="I106" s="15" t="str">
        <f>HYPERLINK("https://www.ncbi.nlm.nih.gov/protein/WP_194970611.1?report=genbank&amp;log$=prottop&amp;blast_rank=112&amp;RID=7U875CNM013","WP_194970611.1")</f>
        <v>WP_194970611.1</v>
      </c>
      <c r="J106" s="15" t="s">
        <v>1557</v>
      </c>
    </row>
    <row r="107" spans="1:12" s="15" customFormat="1" x14ac:dyDescent="0.2">
      <c r="A107" s="15" t="s">
        <v>1592</v>
      </c>
      <c r="B107" s="15" t="s">
        <v>1593</v>
      </c>
      <c r="C107" s="15">
        <v>1061</v>
      </c>
      <c r="D107" s="15">
        <v>1061</v>
      </c>
      <c r="E107" s="21">
        <v>0.98</v>
      </c>
      <c r="F107" s="15">
        <v>0</v>
      </c>
      <c r="G107" s="15">
        <v>64.59</v>
      </c>
      <c r="H107" s="15">
        <v>801</v>
      </c>
      <c r="I107" s="15" t="str">
        <f>HYPERLINK("https://www.ncbi.nlm.nih.gov/protein/WP_085772820.1?report=genbank&amp;log$=prottop&amp;blast_rank=73&amp;RID=7U875CNM013","WP_085772820.1")</f>
        <v>WP_085772820.1</v>
      </c>
      <c r="J107" s="15" t="s">
        <v>1557</v>
      </c>
      <c r="L107" s="15" t="s">
        <v>1594</v>
      </c>
    </row>
    <row r="108" spans="1:12" s="13" customFormat="1" x14ac:dyDescent="0.2">
      <c r="A108" s="13" t="s">
        <v>1595</v>
      </c>
      <c r="B108" s="13" t="s">
        <v>1596</v>
      </c>
      <c r="C108" s="13">
        <v>1055</v>
      </c>
      <c r="D108" s="13">
        <v>1055</v>
      </c>
      <c r="E108" s="14">
        <v>0.97</v>
      </c>
      <c r="F108" s="13">
        <v>0</v>
      </c>
      <c r="G108" s="13">
        <v>64.400000000000006</v>
      </c>
      <c r="H108" s="13">
        <v>792</v>
      </c>
      <c r="I108" s="13" t="str">
        <f>HYPERLINK("https://www.ncbi.nlm.nih.gov/protein/MBN9203679.1?report=genbank&amp;log$=prottop&amp;blast_rank=51&amp;RID=7U875CNM013","MBN9203679.1")</f>
        <v>MBN9203679.1</v>
      </c>
      <c r="J108" s="15" t="s">
        <v>1557</v>
      </c>
      <c r="L108" s="15" t="s">
        <v>1597</v>
      </c>
    </row>
    <row r="109" spans="1:12" s="13" customFormat="1" x14ac:dyDescent="0.2">
      <c r="A109" s="13" t="s">
        <v>1598</v>
      </c>
      <c r="B109" s="13" t="s">
        <v>1599</v>
      </c>
      <c r="C109" s="13">
        <v>1051</v>
      </c>
      <c r="D109" s="13">
        <v>1051</v>
      </c>
      <c r="E109" s="14">
        <v>0.98</v>
      </c>
      <c r="F109" s="13">
        <v>0</v>
      </c>
      <c r="G109" s="13">
        <v>64.38</v>
      </c>
      <c r="H109" s="13">
        <v>790</v>
      </c>
      <c r="I109" s="13" t="str">
        <f>HYPERLINK("https://www.ncbi.nlm.nih.gov/protein/MBK5198003.1?report=genbank&amp;log$=prottop&amp;blast_rank=71&amp;RID=7U875CNM013","MBK5198003.1")</f>
        <v>MBK5198003.1</v>
      </c>
      <c r="J109" s="15" t="s">
        <v>1557</v>
      </c>
    </row>
    <row r="110" spans="1:12" s="15" customFormat="1" x14ac:dyDescent="0.2">
      <c r="A110" s="15" t="s">
        <v>1600</v>
      </c>
      <c r="B110" s="15" t="s">
        <v>1601</v>
      </c>
      <c r="C110" s="15">
        <v>1073</v>
      </c>
      <c r="D110" s="15">
        <v>1073</v>
      </c>
      <c r="E110" s="21">
        <v>0.98</v>
      </c>
      <c r="F110" s="15">
        <v>0</v>
      </c>
      <c r="G110" s="15">
        <v>64.2</v>
      </c>
      <c r="H110" s="15">
        <v>794</v>
      </c>
      <c r="I110" s="15" t="str">
        <f>HYPERLINK("https://www.ncbi.nlm.nih.gov/protein/NOR70871.1?report=genbank&amp;log$=prottop&amp;blast_rank=28&amp;RID=7U875CNM013","NOR70871.1")</f>
        <v>NOR70871.1</v>
      </c>
      <c r="J110" s="15" t="s">
        <v>1557</v>
      </c>
    </row>
    <row r="111" spans="1:12" s="15" customFormat="1" x14ac:dyDescent="0.2">
      <c r="A111" s="15" t="s">
        <v>1602</v>
      </c>
      <c r="B111" s="15" t="s">
        <v>1603</v>
      </c>
      <c r="C111" s="15">
        <v>1049</v>
      </c>
      <c r="D111" s="15">
        <v>1049</v>
      </c>
      <c r="E111" s="21">
        <v>0.98</v>
      </c>
      <c r="F111" s="15">
        <v>0</v>
      </c>
      <c r="G111" s="15">
        <v>64.08</v>
      </c>
      <c r="H111" s="15">
        <v>789</v>
      </c>
      <c r="I111" s="15" t="str">
        <f>HYPERLINK("https://www.ncbi.nlm.nih.gov/protein/WP_174542253.1?report=genbank&amp;log$=prottop&amp;blast_rank=149&amp;RID=7U875CNM013","WP_174542253.1")</f>
        <v>WP_174542253.1</v>
      </c>
      <c r="J111" s="15" t="s">
        <v>1557</v>
      </c>
    </row>
    <row r="112" spans="1:12" s="15" customFormat="1" x14ac:dyDescent="0.2">
      <c r="A112" s="15" t="s">
        <v>1604</v>
      </c>
      <c r="B112" s="15" t="s">
        <v>1605</v>
      </c>
      <c r="C112" s="15">
        <v>1051</v>
      </c>
      <c r="D112" s="15">
        <v>1051</v>
      </c>
      <c r="E112" s="21">
        <v>0.97</v>
      </c>
      <c r="F112" s="15">
        <v>0</v>
      </c>
      <c r="G112" s="15">
        <v>63.97</v>
      </c>
      <c r="H112" s="15">
        <v>790</v>
      </c>
      <c r="I112" s="15" t="str">
        <f>HYPERLINK("https://www.ncbi.nlm.nih.gov/protein/WP_008059687.1?report=genbank&amp;log$=prottop&amp;blast_rank=38&amp;RID=7U875CNM013","WP_008059687.1")</f>
        <v>WP_008059687.1</v>
      </c>
      <c r="J112" s="15" t="s">
        <v>1557</v>
      </c>
      <c r="L112" s="15" t="s">
        <v>1606</v>
      </c>
    </row>
    <row r="113" spans="1:12" s="15" customFormat="1" x14ac:dyDescent="0.2">
      <c r="A113" s="15" t="s">
        <v>1607</v>
      </c>
      <c r="B113" s="15" t="s">
        <v>1608</v>
      </c>
      <c r="C113" s="15">
        <v>1051</v>
      </c>
      <c r="D113" s="15">
        <v>1051</v>
      </c>
      <c r="E113" s="21">
        <v>0.97</v>
      </c>
      <c r="F113" s="15">
        <v>0</v>
      </c>
      <c r="G113" s="15">
        <v>63.97</v>
      </c>
      <c r="H113" s="15">
        <v>807</v>
      </c>
      <c r="I113" s="15" t="str">
        <f>HYPERLINK("https://www.ncbi.nlm.nih.gov/protein/WP_082081503.1?report=genbank&amp;log$=prottop&amp;blast_rank=39&amp;RID=7U875CNM013","WP_082081503.1")</f>
        <v>WP_082081503.1</v>
      </c>
      <c r="J113" s="15" t="s">
        <v>1557</v>
      </c>
      <c r="L113" s="15" t="s">
        <v>1609</v>
      </c>
    </row>
    <row r="114" spans="1:12" s="15" customFormat="1" x14ac:dyDescent="0.2">
      <c r="A114" s="15" t="s">
        <v>1610</v>
      </c>
      <c r="B114" s="15" t="s">
        <v>1608</v>
      </c>
      <c r="C114" s="15">
        <v>1050</v>
      </c>
      <c r="D114" s="15">
        <v>1050</v>
      </c>
      <c r="E114" s="21">
        <v>0.97</v>
      </c>
      <c r="F114" s="15">
        <v>0</v>
      </c>
      <c r="G114" s="15">
        <v>63.97</v>
      </c>
      <c r="H114" s="15">
        <v>790</v>
      </c>
      <c r="I114" s="15" t="str">
        <f>HYPERLINK("https://www.ncbi.nlm.nih.gov/protein/KJV06815.1?report=genbank&amp;log$=prottop&amp;blast_rank=40&amp;RID=7U875CNM013","KJV06815.1")</f>
        <v>KJV06815.1</v>
      </c>
      <c r="J114" s="15" t="s">
        <v>1557</v>
      </c>
      <c r="L114" s="15" t="s">
        <v>1609</v>
      </c>
    </row>
    <row r="115" spans="1:12" s="15" customFormat="1" x14ac:dyDescent="0.2">
      <c r="A115" s="15" t="s">
        <v>1611</v>
      </c>
      <c r="B115" s="15" t="s">
        <v>1612</v>
      </c>
      <c r="C115" s="15">
        <v>1055</v>
      </c>
      <c r="D115" s="15">
        <v>1055</v>
      </c>
      <c r="E115" s="21">
        <v>0.98</v>
      </c>
      <c r="F115" s="15">
        <v>0</v>
      </c>
      <c r="G115" s="15">
        <v>63.92</v>
      </c>
      <c r="H115" s="15">
        <v>791</v>
      </c>
      <c r="I115" s="15" t="str">
        <f>HYPERLINK("https://www.ncbi.nlm.nih.gov/protein/WP_026595466.1?report=genbank&amp;log$=prottop&amp;blast_rank=93&amp;RID=7U875CNM013","WP_026595466.1")</f>
        <v>WP_026595466.1</v>
      </c>
      <c r="J115" s="15" t="s">
        <v>1557</v>
      </c>
      <c r="L115" s="15" t="s">
        <v>4530</v>
      </c>
    </row>
    <row r="116" spans="1:12" s="15" customFormat="1" x14ac:dyDescent="0.2">
      <c r="A116" s="15" t="s">
        <v>1613</v>
      </c>
      <c r="B116" s="15" t="s">
        <v>1614</v>
      </c>
      <c r="C116" s="15">
        <v>1040</v>
      </c>
      <c r="D116" s="15">
        <v>1040</v>
      </c>
      <c r="E116" s="21">
        <v>0.97</v>
      </c>
      <c r="F116" s="15">
        <v>0</v>
      </c>
      <c r="G116" s="15">
        <v>63.8</v>
      </c>
      <c r="H116" s="15">
        <v>811</v>
      </c>
      <c r="I116" s="15" t="str">
        <f>HYPERLINK("https://www.ncbi.nlm.nih.gov/protein/WP_170065115.1?report=genbank&amp;log$=prottop&amp;blast_rank=60&amp;RID=7U875CNM013","WP_170065115.1")</f>
        <v>WP_170065115.1</v>
      </c>
      <c r="J116" s="15" t="s">
        <v>1434</v>
      </c>
    </row>
    <row r="117" spans="1:12" s="15" customFormat="1" x14ac:dyDescent="0.2">
      <c r="A117" s="15" t="s">
        <v>1615</v>
      </c>
      <c r="B117" s="15" t="s">
        <v>1614</v>
      </c>
      <c r="C117" s="15">
        <v>1039</v>
      </c>
      <c r="D117" s="15">
        <v>1039</v>
      </c>
      <c r="E117" s="21">
        <v>0.97</v>
      </c>
      <c r="F117" s="15">
        <v>0</v>
      </c>
      <c r="G117" s="15">
        <v>63.8</v>
      </c>
      <c r="H117" s="15">
        <v>807</v>
      </c>
      <c r="I117" s="15" t="str">
        <f>HYPERLINK("https://www.ncbi.nlm.nih.gov/protein/WP_088620614.1?report=genbank&amp;log$=prottop&amp;blast_rank=64&amp;RID=7U875CNM013","WP_088620614.1")</f>
        <v>WP_088620614.1</v>
      </c>
      <c r="J117" s="15" t="s">
        <v>1434</v>
      </c>
    </row>
    <row r="118" spans="1:12" s="15" customFormat="1" x14ac:dyDescent="0.2">
      <c r="A118" s="15" t="s">
        <v>1616</v>
      </c>
      <c r="B118" s="15" t="s">
        <v>1617</v>
      </c>
      <c r="C118" s="15">
        <v>1058</v>
      </c>
      <c r="D118" s="15">
        <v>1058</v>
      </c>
      <c r="E118" s="21">
        <v>0.98</v>
      </c>
      <c r="F118" s="15">
        <v>0</v>
      </c>
      <c r="G118" s="15">
        <v>63.8</v>
      </c>
      <c r="H118" s="15">
        <v>790</v>
      </c>
      <c r="I118" s="15" t="str">
        <f>HYPERLINK("https://www.ncbi.nlm.nih.gov/protein/MBN2700484.1?report=genbank&amp;log$=prottop&amp;blast_rank=70&amp;RID=7U875CNM013","MBN2700484.1")</f>
        <v>MBN2700484.1</v>
      </c>
      <c r="J118" s="15" t="s">
        <v>1434</v>
      </c>
    </row>
    <row r="119" spans="1:12" s="15" customFormat="1" x14ac:dyDescent="0.2">
      <c r="A119" s="15" t="s">
        <v>1618</v>
      </c>
      <c r="B119" s="15" t="s">
        <v>1438</v>
      </c>
      <c r="C119" s="15">
        <v>1084</v>
      </c>
      <c r="D119" s="15">
        <v>1084</v>
      </c>
      <c r="E119" s="21">
        <v>0.99</v>
      </c>
      <c r="F119" s="15">
        <v>0</v>
      </c>
      <c r="G119" s="15">
        <v>63.68</v>
      </c>
      <c r="H119" s="15">
        <v>794</v>
      </c>
      <c r="I119" s="15" t="str">
        <f>HYPERLINK("https://www.ncbi.nlm.nih.gov/protein/NOQ35542.1?report=genbank&amp;log$=prottop&amp;blast_rank=183&amp;RID=7U875CNM013","NOQ35542.1")</f>
        <v>NOQ35542.1</v>
      </c>
      <c r="J119" s="15" t="s">
        <v>1434</v>
      </c>
    </row>
    <row r="120" spans="1:12" s="15" customFormat="1" x14ac:dyDescent="0.2">
      <c r="A120" s="15" t="s">
        <v>1619</v>
      </c>
      <c r="B120" s="15" t="s">
        <v>1620</v>
      </c>
      <c r="C120" s="15">
        <v>1044</v>
      </c>
      <c r="D120" s="15">
        <v>1044</v>
      </c>
      <c r="E120" s="21">
        <v>0.98</v>
      </c>
      <c r="F120" s="15">
        <v>0</v>
      </c>
      <c r="G120" s="15">
        <v>63.57</v>
      </c>
      <c r="H120" s="15">
        <v>794</v>
      </c>
      <c r="I120" s="15" t="str">
        <f>HYPERLINK("https://www.ncbi.nlm.nih.gov/protein/WP_174483113.1?report=genbank&amp;log$=prottop&amp;blast_rank=76&amp;RID=7U875CNM013","WP_174483113.1")</f>
        <v>WP_174483113.1</v>
      </c>
      <c r="J120" s="15" t="s">
        <v>1557</v>
      </c>
    </row>
    <row r="121" spans="1:12" s="15" customFormat="1" x14ac:dyDescent="0.2">
      <c r="A121" s="15" t="s">
        <v>1621</v>
      </c>
      <c r="B121" s="15" t="s">
        <v>1622</v>
      </c>
      <c r="C121" s="15">
        <v>1048</v>
      </c>
      <c r="D121" s="15">
        <v>1048</v>
      </c>
      <c r="E121" s="21">
        <v>0.98</v>
      </c>
      <c r="F121" s="15">
        <v>0</v>
      </c>
      <c r="G121" s="15">
        <v>63.53</v>
      </c>
      <c r="H121" s="15">
        <v>800</v>
      </c>
      <c r="I121" s="15" t="str">
        <f>HYPERLINK("https://www.ncbi.nlm.nih.gov/protein/WP_019865326.1?report=genbank&amp;log$=prottop&amp;blast_rank=134&amp;RID=7U875CNM013","WP_019865326.1")</f>
        <v>WP_019865326.1</v>
      </c>
      <c r="J121" s="15" t="s">
        <v>1434</v>
      </c>
    </row>
    <row r="122" spans="1:12" s="15" customFormat="1" x14ac:dyDescent="0.2">
      <c r="A122" s="15" t="s">
        <v>1500</v>
      </c>
      <c r="B122" s="15" t="s">
        <v>1501</v>
      </c>
      <c r="C122" s="15">
        <v>1050</v>
      </c>
      <c r="D122" s="15">
        <v>1050</v>
      </c>
      <c r="E122" s="21">
        <v>0.98</v>
      </c>
      <c r="F122" s="15">
        <v>0</v>
      </c>
      <c r="G122" s="15">
        <v>63.1</v>
      </c>
      <c r="H122" s="15">
        <v>789</v>
      </c>
      <c r="I122" s="15" t="str">
        <f>HYPERLINK("https://www.ncbi.nlm.nih.gov/protein/PPD30948.1?report=genbank&amp;log$=prottop&amp;blast_rank=153&amp;RID=7U875CNM013","PPD30948.1")</f>
        <v>PPD30948.1</v>
      </c>
      <c r="J122" s="15" t="s">
        <v>1434</v>
      </c>
    </row>
    <row r="123" spans="1:12" s="15" customFormat="1" x14ac:dyDescent="0.2">
      <c r="A123" s="15" t="s">
        <v>1547</v>
      </c>
      <c r="B123" s="15" t="s">
        <v>1548</v>
      </c>
      <c r="C123" s="15">
        <v>1041</v>
      </c>
      <c r="D123" s="15">
        <v>1041</v>
      </c>
      <c r="E123" s="21">
        <v>0.98</v>
      </c>
      <c r="F123" s="15">
        <v>0</v>
      </c>
      <c r="G123" s="15">
        <v>62.82</v>
      </c>
      <c r="H123" s="15">
        <v>796</v>
      </c>
      <c r="I123" s="15" t="str">
        <f>HYPERLINK("https://www.ncbi.nlm.nih.gov/protein/WP_020161000.1?report=genbank&amp;log$=prottop&amp;blast_rank=73&amp;RID=7U875CNM013","WP_020161000.1")</f>
        <v>WP_020161000.1</v>
      </c>
      <c r="J123" s="15" t="s">
        <v>1557</v>
      </c>
      <c r="L123" s="3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B11" sqref="B1:B1048576"/>
    </sheetView>
  </sheetViews>
  <sheetFormatPr baseColWidth="10" defaultRowHeight="16" x14ac:dyDescent="0.2"/>
  <cols>
    <col min="2" max="2" width="27.33203125" customWidth="1"/>
    <col min="9" max="9" width="29.5" customWidth="1"/>
  </cols>
  <sheetData>
    <row r="1" spans="1:10" s="12" customFormat="1" ht="18" x14ac:dyDescent="0.2">
      <c r="A1" s="12" t="s">
        <v>5</v>
      </c>
      <c r="B1" s="12" t="s">
        <v>6</v>
      </c>
      <c r="C1" s="12" t="s">
        <v>7</v>
      </c>
      <c r="D1" s="12" t="s">
        <v>8</v>
      </c>
      <c r="E1" s="12" t="s">
        <v>9</v>
      </c>
      <c r="F1" s="12" t="s">
        <v>10</v>
      </c>
      <c r="G1" s="12" t="s">
        <v>11</v>
      </c>
      <c r="H1" s="12" t="s">
        <v>12</v>
      </c>
      <c r="I1" s="12" t="s">
        <v>13</v>
      </c>
      <c r="J1" s="13"/>
    </row>
    <row r="2" spans="1:10" s="1" customFormat="1" x14ac:dyDescent="0.2">
      <c r="A2" s="1" t="s">
        <v>1626</v>
      </c>
      <c r="B2" s="1" t="s">
        <v>1627</v>
      </c>
      <c r="C2" s="1">
        <v>1198</v>
      </c>
      <c r="D2" s="1">
        <v>1198</v>
      </c>
      <c r="E2" s="2">
        <v>0.98</v>
      </c>
      <c r="F2" s="1">
        <v>0</v>
      </c>
      <c r="G2" s="1">
        <v>72.41</v>
      </c>
      <c r="H2" s="1">
        <v>796</v>
      </c>
      <c r="I2" s="1" t="str">
        <f>HYPERLINK("https://www.ncbi.nlm.nih.gov/protein/WP_126462764.1?report=genbank&amp;log$=prottop&amp;blast_rank=19&amp;RID=7U875CNM013","WP_126462764.1")</f>
        <v>WP_126462764.1</v>
      </c>
      <c r="J2" s="5" t="s">
        <v>1628</v>
      </c>
    </row>
    <row r="3" spans="1:10" s="1" customFormat="1" x14ac:dyDescent="0.2">
      <c r="A3" s="1" t="s">
        <v>1635</v>
      </c>
      <c r="B3" s="1" t="s">
        <v>1636</v>
      </c>
      <c r="C3" s="1">
        <v>1159</v>
      </c>
      <c r="D3" s="1">
        <v>1159</v>
      </c>
      <c r="E3" s="2">
        <v>0.98</v>
      </c>
      <c r="F3" s="1">
        <v>0</v>
      </c>
      <c r="G3" s="1">
        <v>71.260000000000005</v>
      </c>
      <c r="H3" s="1">
        <v>796</v>
      </c>
      <c r="I3" s="1" t="str">
        <f>HYPERLINK("https://www.ncbi.nlm.nih.gov/protein/ODU32941.1?report=genbank&amp;log$=prottop&amp;blast_rank=83&amp;RID=7U875CNM013","ODU32941.1")</f>
        <v>ODU32941.1</v>
      </c>
      <c r="J3" s="5" t="s">
        <v>1637</v>
      </c>
    </row>
    <row r="4" spans="1:10" s="4" customFormat="1" x14ac:dyDescent="0.2">
      <c r="A4" s="1" t="s">
        <v>1640</v>
      </c>
      <c r="B4" s="1" t="s">
        <v>1641</v>
      </c>
      <c r="C4" s="1">
        <v>1187</v>
      </c>
      <c r="D4" s="1">
        <v>1187</v>
      </c>
      <c r="E4" s="2">
        <v>0.99</v>
      </c>
      <c r="F4" s="1">
        <v>0</v>
      </c>
      <c r="G4" s="1">
        <v>70.98</v>
      </c>
      <c r="H4" s="1">
        <v>789</v>
      </c>
      <c r="I4" s="1" t="str">
        <f>HYPERLINK("https://www.ncbi.nlm.nih.gov/protein/WP_012970249.1?report=genbank&amp;log$=prottop&amp;blast_rank=3&amp;RID=7U875CNM013","WP_012970249.1")</f>
        <v>WP_012970249.1</v>
      </c>
      <c r="J4" s="5" t="s">
        <v>1642</v>
      </c>
    </row>
    <row r="5" spans="1:10" s="4" customFormat="1" x14ac:dyDescent="0.2">
      <c r="A5" s="1" t="s">
        <v>1643</v>
      </c>
      <c r="B5" s="1" t="s">
        <v>1641</v>
      </c>
      <c r="C5" s="1">
        <v>1186</v>
      </c>
      <c r="D5" s="1">
        <v>1186</v>
      </c>
      <c r="E5" s="2">
        <v>0.99</v>
      </c>
      <c r="F5" s="1">
        <v>0</v>
      </c>
      <c r="G5" s="1">
        <v>70.98</v>
      </c>
      <c r="H5" s="1">
        <v>789</v>
      </c>
      <c r="I5" s="1" t="str">
        <f>HYPERLINK("https://www.ncbi.nlm.nih.gov/protein/WP_200158009.1?report=genbank&amp;log$=prottop&amp;blast_rank=4&amp;RID=7U875CNM013","WP_200158009.1")</f>
        <v>WP_200158009.1</v>
      </c>
      <c r="J5" s="5" t="s">
        <v>1642</v>
      </c>
    </row>
    <row r="6" spans="1:10" s="4" customFormat="1" x14ac:dyDescent="0.2">
      <c r="A6" s="1" t="s">
        <v>1658</v>
      </c>
      <c r="B6" s="1" t="s">
        <v>1659</v>
      </c>
      <c r="C6" s="1">
        <v>1154</v>
      </c>
      <c r="D6" s="1">
        <v>1154</v>
      </c>
      <c r="E6" s="2">
        <v>0.98</v>
      </c>
      <c r="F6" s="1">
        <v>0</v>
      </c>
      <c r="G6" s="1">
        <v>70.39</v>
      </c>
      <c r="H6" s="1">
        <v>794</v>
      </c>
      <c r="I6" s="1" t="str">
        <f>HYPERLINK("https://www.ncbi.nlm.nih.gov/protein/MBN8760033.1?report=genbank&amp;log$=prottop&amp;blast_rank=104&amp;RID=7U875CNM013","MBN8760033.1")</f>
        <v>MBN8760033.1</v>
      </c>
      <c r="J6" s="5" t="s">
        <v>1660</v>
      </c>
    </row>
    <row r="7" spans="1:10" s="4" customFormat="1" x14ac:dyDescent="0.2">
      <c r="A7" s="1" t="s">
        <v>1661</v>
      </c>
      <c r="B7" s="1" t="s">
        <v>1659</v>
      </c>
      <c r="C7" s="1">
        <v>1167</v>
      </c>
      <c r="D7" s="1">
        <v>1167</v>
      </c>
      <c r="E7" s="2">
        <v>0.98</v>
      </c>
      <c r="F7" s="1">
        <v>0</v>
      </c>
      <c r="G7" s="1">
        <v>70.36</v>
      </c>
      <c r="H7" s="1">
        <v>794</v>
      </c>
      <c r="I7" s="1" t="str">
        <f>HYPERLINK("https://www.ncbi.nlm.nih.gov/protein/MBI1285041.1?report=genbank&amp;log$=prottop&amp;blast_rank=110&amp;RID=7U875CNM013","MBI1285041.1")</f>
        <v>MBI1285041.1</v>
      </c>
      <c r="J7" s="5" t="s">
        <v>1660</v>
      </c>
    </row>
    <row r="8" spans="1:10" s="7" customFormat="1" x14ac:dyDescent="0.2">
      <c r="A8" s="5" t="s">
        <v>1679</v>
      </c>
      <c r="B8" s="5" t="s">
        <v>1680</v>
      </c>
      <c r="C8" s="5">
        <v>1179</v>
      </c>
      <c r="D8" s="5">
        <v>1179</v>
      </c>
      <c r="E8" s="6">
        <v>0.98</v>
      </c>
      <c r="F8" s="5">
        <v>0</v>
      </c>
      <c r="G8" s="5">
        <v>69.680000000000007</v>
      </c>
      <c r="H8" s="5">
        <v>789</v>
      </c>
      <c r="I8" s="5" t="str">
        <f>HYPERLINK("https://www.ncbi.nlm.nih.gov/protein/WP_173066786.1?report=genbank&amp;log$=prottop&amp;blast_rank=90&amp;RID=7U875CNM013","WP_173066786.1")</f>
        <v>WP_173066786.1</v>
      </c>
      <c r="J8" s="5" t="s">
        <v>1681</v>
      </c>
    </row>
    <row r="9" spans="1:10" s="7" customFormat="1" x14ac:dyDescent="0.2">
      <c r="A9" s="5" t="s">
        <v>1358</v>
      </c>
      <c r="B9" s="5" t="s">
        <v>1359</v>
      </c>
      <c r="C9" s="5">
        <v>1168</v>
      </c>
      <c r="D9" s="5">
        <v>1168</v>
      </c>
      <c r="E9" s="6">
        <v>0.99</v>
      </c>
      <c r="F9" s="5">
        <v>0</v>
      </c>
      <c r="G9" s="5">
        <v>69.569999999999993</v>
      </c>
      <c r="H9" s="5">
        <v>792</v>
      </c>
      <c r="I9" s="5" t="str">
        <f>HYPERLINK("https://www.ncbi.nlm.nih.gov/protein/WP_132976215.1?report=genbank&amp;log$=prottop&amp;blast_rank=118&amp;RID=7U875CNM013","WP_132976215.1")</f>
        <v>WP_132976215.1</v>
      </c>
      <c r="J9" s="5" t="s">
        <v>1360</v>
      </c>
    </row>
    <row r="10" spans="1:10" s="5" customFormat="1" x14ac:dyDescent="0.2">
      <c r="A10" s="5" t="s">
        <v>1709</v>
      </c>
      <c r="B10" s="5" t="s">
        <v>1710</v>
      </c>
      <c r="C10" s="5">
        <v>1048</v>
      </c>
      <c r="D10" s="5">
        <v>1048</v>
      </c>
      <c r="E10" s="6">
        <v>0.97</v>
      </c>
      <c r="F10" s="5">
        <v>0</v>
      </c>
      <c r="G10" s="5">
        <v>66.33</v>
      </c>
      <c r="H10" s="5">
        <v>796</v>
      </c>
      <c r="I10" s="5" t="str">
        <f>HYPERLINK("https://www.ncbi.nlm.nih.gov/protein/WP_114279874.1?report=genbank&amp;log$=prottop&amp;blast_rank=105&amp;RID=7U875CNM013","WP_114279874.1")</f>
        <v>WP_114279874.1</v>
      </c>
      <c r="J10" s="5" t="s">
        <v>1711</v>
      </c>
    </row>
    <row r="11" spans="1:10" s="7" customFormat="1" x14ac:dyDescent="0.2">
      <c r="A11" s="5" t="s">
        <v>1740</v>
      </c>
      <c r="B11" s="5" t="s">
        <v>1741</v>
      </c>
      <c r="C11" s="5">
        <v>1079</v>
      </c>
      <c r="D11" s="5">
        <v>1079</v>
      </c>
      <c r="E11" s="6">
        <v>0.97</v>
      </c>
      <c r="F11" s="5">
        <v>0</v>
      </c>
      <c r="G11" s="5">
        <v>65.08</v>
      </c>
      <c r="H11" s="5">
        <v>774</v>
      </c>
      <c r="I11" s="5" t="str">
        <f>HYPERLINK("https://www.ncbi.nlm.nih.gov/protein/KVW99749.1?report=genbank&amp;log$=prottop&amp;blast_rank=64&amp;RID=7U875CNM013","KVW99749.1")</f>
        <v>KVW99749.1</v>
      </c>
      <c r="J11" s="5" t="s">
        <v>1742</v>
      </c>
    </row>
    <row r="12" spans="1:10" s="7" customFormat="1" x14ac:dyDescent="0.2">
      <c r="A12" s="5" t="s">
        <v>1750</v>
      </c>
      <c r="B12" s="5" t="s">
        <v>1751</v>
      </c>
      <c r="C12" s="5">
        <v>1071</v>
      </c>
      <c r="D12" s="5">
        <v>1071</v>
      </c>
      <c r="E12" s="6">
        <v>0.98</v>
      </c>
      <c r="F12" s="5">
        <v>0</v>
      </c>
      <c r="G12" s="5">
        <v>65.05</v>
      </c>
      <c r="H12" s="5">
        <v>807</v>
      </c>
      <c r="I12" s="5" t="str">
        <f>HYPERLINK("https://www.ncbi.nlm.nih.gov/protein/WP_197702575.1?report=genbank&amp;log$=prottop&amp;blast_rank=73&amp;RID=7U875CNM013","WP_197702575.1")</f>
        <v>WP_197702575.1</v>
      </c>
      <c r="J12" s="5" t="s">
        <v>1752</v>
      </c>
    </row>
    <row r="13" spans="1:10" s="7" customFormat="1" x14ac:dyDescent="0.2">
      <c r="A13" s="5" t="s">
        <v>1757</v>
      </c>
      <c r="B13" s="5" t="s">
        <v>1758</v>
      </c>
      <c r="C13" s="5">
        <v>1079</v>
      </c>
      <c r="D13" s="5">
        <v>1079</v>
      </c>
      <c r="E13" s="6">
        <v>0.98</v>
      </c>
      <c r="F13" s="5">
        <v>0</v>
      </c>
      <c r="G13" s="5">
        <v>64.92</v>
      </c>
      <c r="H13" s="5">
        <v>792</v>
      </c>
      <c r="I13" s="5" t="str">
        <f>HYPERLINK("https://www.ncbi.nlm.nih.gov/protein/WP_041673660.1?report=genbank&amp;log$=prottop&amp;blast_rank=149&amp;RID=7U875CNM013","WP_041673660.1")</f>
        <v>WP_041673660.1</v>
      </c>
      <c r="J13" s="5" t="s">
        <v>1759</v>
      </c>
    </row>
    <row r="14" spans="1:10" s="7" customFormat="1" x14ac:dyDescent="0.2">
      <c r="A14" s="5" t="s">
        <v>1762</v>
      </c>
      <c r="B14" s="5" t="s">
        <v>1741</v>
      </c>
      <c r="C14" s="5">
        <v>1086</v>
      </c>
      <c r="D14" s="5">
        <v>1086</v>
      </c>
      <c r="E14" s="6">
        <v>0.98</v>
      </c>
      <c r="F14" s="5">
        <v>0</v>
      </c>
      <c r="G14" s="5">
        <v>64.709999999999994</v>
      </c>
      <c r="H14" s="5">
        <v>841</v>
      </c>
      <c r="I14" s="5" t="str">
        <f>HYPERLINK("https://www.ncbi.nlm.nih.gov/protein/WP_082708327.1?report=genbank&amp;log$=prottop&amp;blast_rank=133&amp;RID=7U875CNM013","WP_082708327.1")</f>
        <v>WP_082708327.1</v>
      </c>
      <c r="J14" s="5" t="s">
        <v>1763</v>
      </c>
    </row>
    <row r="15" spans="1:10" s="7" customFormat="1" x14ac:dyDescent="0.2">
      <c r="A15" s="5" t="s">
        <v>1769</v>
      </c>
      <c r="B15" s="5" t="s">
        <v>1770</v>
      </c>
      <c r="C15" s="5">
        <v>1088</v>
      </c>
      <c r="D15" s="5">
        <v>1088</v>
      </c>
      <c r="E15" s="6">
        <v>0.99</v>
      </c>
      <c r="F15" s="5">
        <v>0</v>
      </c>
      <c r="G15" s="5">
        <v>64.62</v>
      </c>
      <c r="H15" s="5">
        <v>794</v>
      </c>
      <c r="I15" s="5" t="str">
        <f>HYPERLINK("https://www.ncbi.nlm.nih.gov/protein/OJZ17093.1?report=genbank&amp;log$=prottop&amp;blast_rank=56&amp;RID=7U875CNM013","OJZ17093.1")</f>
        <v>OJZ17093.1</v>
      </c>
      <c r="J15" s="5" t="s">
        <v>1637</v>
      </c>
    </row>
    <row r="16" spans="1:10" s="7" customFormat="1" x14ac:dyDescent="0.2">
      <c r="A16" s="5" t="s">
        <v>1750</v>
      </c>
      <c r="B16" s="5" t="s">
        <v>1751</v>
      </c>
      <c r="C16" s="5">
        <v>1074</v>
      </c>
      <c r="D16" s="5">
        <v>1074</v>
      </c>
      <c r="E16" s="6">
        <v>0.98</v>
      </c>
      <c r="F16" s="5">
        <v>0</v>
      </c>
      <c r="G16" s="5">
        <v>64.59</v>
      </c>
      <c r="H16" s="5">
        <v>799</v>
      </c>
      <c r="I16" s="5" t="str">
        <f>HYPERLINK("https://www.ncbi.nlm.nih.gov/protein/WP_096360175.1?report=genbank&amp;log$=prottop&amp;blast_rank=71&amp;RID=7U875CNM013","WP_096360175.1")</f>
        <v>WP_096360175.1</v>
      </c>
      <c r="J16" s="5" t="s">
        <v>1628</v>
      </c>
    </row>
    <row r="17" spans="1:10" s="7" customFormat="1" x14ac:dyDescent="0.2">
      <c r="A17" s="5" t="s">
        <v>1787</v>
      </c>
      <c r="B17" s="5" t="s">
        <v>1788</v>
      </c>
      <c r="C17" s="5">
        <v>1095</v>
      </c>
      <c r="D17" s="5">
        <v>1095</v>
      </c>
      <c r="E17" s="6">
        <v>0.98</v>
      </c>
      <c r="F17" s="5">
        <v>0</v>
      </c>
      <c r="G17" s="5">
        <v>64.540000000000006</v>
      </c>
      <c r="H17" s="5">
        <v>786</v>
      </c>
      <c r="I17" s="5" t="str">
        <f>HYPERLINK("https://www.ncbi.nlm.nih.gov/protein/WP_189941700.1?report=genbank&amp;log$=prottop&amp;blast_rank=96&amp;RID=7U875CNM013","WP_189941700.1")</f>
        <v>WP_189941700.1</v>
      </c>
      <c r="J17" s="5" t="s">
        <v>1789</v>
      </c>
    </row>
    <row r="18" spans="1:10" s="7" customFormat="1" x14ac:dyDescent="0.2">
      <c r="A18" s="5" t="s">
        <v>1798</v>
      </c>
      <c r="B18" s="5" t="s">
        <v>1799</v>
      </c>
      <c r="C18" s="5">
        <v>1085</v>
      </c>
      <c r="D18" s="5">
        <v>1085</v>
      </c>
      <c r="E18" s="6">
        <v>0.98</v>
      </c>
      <c r="F18" s="5">
        <v>0</v>
      </c>
      <c r="G18" s="5">
        <v>64.47</v>
      </c>
      <c r="H18" s="5">
        <v>791</v>
      </c>
      <c r="I18" s="5" t="str">
        <f>HYPERLINK("https://www.ncbi.nlm.nih.gov/protein/WP_127478597.1?report=genbank&amp;log$=prottop&amp;blast_rank=149&amp;RID=7U875CNM013","WP_127478597.1")</f>
        <v>WP_127478597.1</v>
      </c>
      <c r="J18" s="5" t="s">
        <v>1800</v>
      </c>
    </row>
    <row r="19" spans="1:10" s="4" customFormat="1" x14ac:dyDescent="0.2">
      <c r="A19" s="1" t="s">
        <v>1812</v>
      </c>
      <c r="B19" s="1" t="s">
        <v>1813</v>
      </c>
      <c r="C19" s="1">
        <v>1093</v>
      </c>
      <c r="D19" s="1">
        <v>1093</v>
      </c>
      <c r="E19" s="2">
        <v>0.98</v>
      </c>
      <c r="F19" s="1">
        <v>0</v>
      </c>
      <c r="G19" s="1">
        <v>64.290000000000006</v>
      </c>
      <c r="H19" s="1">
        <v>788</v>
      </c>
      <c r="I19" s="1" t="str">
        <f>HYPERLINK("https://www.ncbi.nlm.nih.gov/protein/WP_087446408.1?report=genbank&amp;log$=prottop&amp;blast_rank=130&amp;RID=7U875CNM013","WP_087446408.1")</f>
        <v>WP_087446408.1</v>
      </c>
      <c r="J19" s="5" t="s">
        <v>1637</v>
      </c>
    </row>
    <row r="20" spans="1:10" s="4" customFormat="1" x14ac:dyDescent="0.2">
      <c r="A20" s="1" t="s">
        <v>1814</v>
      </c>
      <c r="B20" s="1" t="s">
        <v>1815</v>
      </c>
      <c r="C20" s="1">
        <v>1070</v>
      </c>
      <c r="D20" s="1">
        <v>1070</v>
      </c>
      <c r="E20" s="2">
        <v>0.98</v>
      </c>
      <c r="F20" s="1">
        <v>0</v>
      </c>
      <c r="G20" s="1">
        <v>64.290000000000006</v>
      </c>
      <c r="H20" s="1">
        <v>786</v>
      </c>
      <c r="I20" s="1" t="str">
        <f>HYPERLINK("https://www.ncbi.nlm.nih.gov/protein/OJW95394.1?report=genbank&amp;log$=prottop&amp;blast_rank=140&amp;RID=7U875CNM013","OJW95394.1")</f>
        <v>OJW95394.1</v>
      </c>
      <c r="J20" s="5" t="s">
        <v>1637</v>
      </c>
    </row>
    <row r="21" spans="1:10" s="7" customFormat="1" x14ac:dyDescent="0.2">
      <c r="A21" s="5" t="s">
        <v>1845</v>
      </c>
      <c r="B21" s="5" t="s">
        <v>1846</v>
      </c>
      <c r="C21" s="5">
        <v>1074</v>
      </c>
      <c r="D21" s="5">
        <v>1074</v>
      </c>
      <c r="E21" s="6">
        <v>0.98</v>
      </c>
      <c r="F21" s="5">
        <v>0</v>
      </c>
      <c r="G21" s="5">
        <v>64.12</v>
      </c>
      <c r="H21" s="5">
        <v>798</v>
      </c>
      <c r="I21" s="5" t="str">
        <f>HYPERLINK("https://www.ncbi.nlm.nih.gov/protein/WP_096462986.1?report=genbank&amp;log$=prottop&amp;blast_rank=108&amp;RID=7U875CNM013","WP_096462986.1")</f>
        <v>WP_096462986.1</v>
      </c>
      <c r="J21" s="5" t="s">
        <v>1847</v>
      </c>
    </row>
    <row r="22" spans="1:10" s="7" customFormat="1" x14ac:dyDescent="0.2">
      <c r="A22" s="5" t="s">
        <v>1658</v>
      </c>
      <c r="B22" s="5" t="s">
        <v>1659</v>
      </c>
      <c r="C22" s="5">
        <v>1051</v>
      </c>
      <c r="D22" s="5">
        <v>1051</v>
      </c>
      <c r="E22" s="6">
        <v>0.99</v>
      </c>
      <c r="F22" s="5">
        <v>0</v>
      </c>
      <c r="G22" s="5">
        <v>64.08</v>
      </c>
      <c r="H22" s="5">
        <v>809</v>
      </c>
      <c r="I22" s="5" t="str">
        <f>HYPERLINK("https://www.ncbi.nlm.nih.gov/protein/MBN8761889.1?report=genbank&amp;log$=prottop&amp;blast_rank=142&amp;RID=7U875CNM013","MBN8761889.1")</f>
        <v>MBN8761889.1</v>
      </c>
      <c r="J22" s="5" t="s">
        <v>1637</v>
      </c>
    </row>
    <row r="23" spans="1:10" s="7" customFormat="1" x14ac:dyDescent="0.2">
      <c r="A23" s="5" t="s">
        <v>1850</v>
      </c>
      <c r="B23" s="5" t="s">
        <v>1851</v>
      </c>
      <c r="C23" s="5">
        <v>1080</v>
      </c>
      <c r="D23" s="5">
        <v>1080</v>
      </c>
      <c r="E23" s="6">
        <v>0.99</v>
      </c>
      <c r="F23" s="5">
        <v>0</v>
      </c>
      <c r="G23" s="5">
        <v>64.040000000000006</v>
      </c>
      <c r="H23" s="5">
        <v>796</v>
      </c>
      <c r="I23" s="5" t="str">
        <f>HYPERLINK("https://www.ncbi.nlm.nih.gov/protein/BAN34546.1?report=genbank&amp;log$=prottop&amp;blast_rank=213&amp;RID=7U875CNM013","BAN34546.1")</f>
        <v>BAN34546.1</v>
      </c>
      <c r="J23" s="5" t="s">
        <v>1800</v>
      </c>
    </row>
    <row r="24" spans="1:10" s="7" customFormat="1" x14ac:dyDescent="0.2">
      <c r="A24" s="5" t="s">
        <v>1864</v>
      </c>
      <c r="B24" s="5" t="s">
        <v>1865</v>
      </c>
      <c r="C24" s="5">
        <v>1078</v>
      </c>
      <c r="D24" s="5">
        <v>1078</v>
      </c>
      <c r="E24" s="6">
        <v>0.98</v>
      </c>
      <c r="F24" s="5">
        <v>0</v>
      </c>
      <c r="G24" s="5">
        <v>63.99</v>
      </c>
      <c r="H24" s="5">
        <v>796</v>
      </c>
      <c r="I24" s="5" t="str">
        <f>HYPERLINK("https://www.ncbi.nlm.nih.gov/protein/WP_092995553.1?report=genbank&amp;log$=prottop&amp;blast_rank=7&amp;RID=7U875CNM013","WP_092995553.1")</f>
        <v>WP_092995553.1</v>
      </c>
      <c r="J24" s="5" t="s">
        <v>1866</v>
      </c>
    </row>
    <row r="25" spans="1:10" s="7" customFormat="1" x14ac:dyDescent="0.2">
      <c r="A25" s="5" t="s">
        <v>1845</v>
      </c>
      <c r="B25" s="5" t="s">
        <v>1846</v>
      </c>
      <c r="C25" s="5">
        <v>1062</v>
      </c>
      <c r="D25" s="5">
        <v>1062</v>
      </c>
      <c r="E25" s="6">
        <v>0.99</v>
      </c>
      <c r="F25" s="5">
        <v>0</v>
      </c>
      <c r="G25" s="5">
        <v>63.68</v>
      </c>
      <c r="H25" s="5">
        <v>795</v>
      </c>
      <c r="I25" s="5" t="str">
        <f>HYPERLINK("https://www.ncbi.nlm.nih.gov/protein/WP_096460852.1?report=genbank&amp;log$=prottop&amp;blast_rank=187&amp;RID=7U875CNM013","WP_096460852.1")</f>
        <v>WP_096460852.1</v>
      </c>
      <c r="J25" s="5" t="s">
        <v>1847</v>
      </c>
    </row>
    <row r="26" spans="1:10" s="7" customFormat="1" x14ac:dyDescent="0.2">
      <c r="A26" s="5" t="s">
        <v>1977</v>
      </c>
      <c r="B26" s="5" t="s">
        <v>1978</v>
      </c>
      <c r="C26" s="5">
        <v>1085</v>
      </c>
      <c r="D26" s="5">
        <v>1085</v>
      </c>
      <c r="E26" s="6">
        <v>0.98</v>
      </c>
      <c r="F26" s="5">
        <v>0</v>
      </c>
      <c r="G26" s="5">
        <v>63.39</v>
      </c>
      <c r="H26" s="5">
        <v>787</v>
      </c>
      <c r="I26" s="5" t="str">
        <f>HYPERLINK("https://www.ncbi.nlm.nih.gov/protein/WP_162083396.1?report=genbank&amp;log$=prottop&amp;blast_rank=67&amp;RID=7U875CNM013","WP_162083396.1")</f>
        <v>WP_162083396.1</v>
      </c>
      <c r="J26" s="5" t="s">
        <v>1628</v>
      </c>
    </row>
    <row r="27" spans="1:10" s="7" customFormat="1" x14ac:dyDescent="0.2">
      <c r="A27" s="5" t="s">
        <v>1979</v>
      </c>
      <c r="B27" s="5" t="s">
        <v>1978</v>
      </c>
      <c r="C27" s="5">
        <v>1085</v>
      </c>
      <c r="D27" s="5">
        <v>1085</v>
      </c>
      <c r="E27" s="6">
        <v>0.98</v>
      </c>
      <c r="F27" s="5">
        <v>0</v>
      </c>
      <c r="G27" s="5">
        <v>63.39</v>
      </c>
      <c r="H27" s="5">
        <v>785</v>
      </c>
      <c r="I27" s="5" t="str">
        <f>HYPERLINK("https://www.ncbi.nlm.nih.gov/protein/BBO99329.1?report=genbank&amp;log$=prottop&amp;blast_rank=68&amp;RID=7U875CNM013","BBO99329.1")</f>
        <v>BBO99329.1</v>
      </c>
      <c r="J27" s="5" t="s">
        <v>1628</v>
      </c>
    </row>
    <row r="28" spans="1:10" s="7" customFormat="1" ht="14" customHeight="1" x14ac:dyDescent="0.2">
      <c r="A28" s="5" t="s">
        <v>1762</v>
      </c>
      <c r="B28" s="5" t="s">
        <v>1741</v>
      </c>
      <c r="C28" s="5">
        <v>1031</v>
      </c>
      <c r="D28" s="5">
        <v>1031</v>
      </c>
      <c r="E28" s="6">
        <v>0.98</v>
      </c>
      <c r="F28" s="5">
        <v>0</v>
      </c>
      <c r="G28" s="5">
        <v>63.28</v>
      </c>
      <c r="H28" s="5">
        <v>788</v>
      </c>
      <c r="I28" s="5" t="str">
        <f>HYPERLINK("https://www.ncbi.nlm.nih.gov/protein/WP_041432345.1?report=genbank&amp;log$=prottop&amp;blast_rank=189&amp;RID=7U875CNM013","WP_041432345.1")</f>
        <v>WP_041432345.1</v>
      </c>
      <c r="J28" s="5" t="s">
        <v>2002</v>
      </c>
    </row>
    <row r="29" spans="1:10" s="7" customFormat="1" x14ac:dyDescent="0.2">
      <c r="A29" s="5" t="s">
        <v>2033</v>
      </c>
      <c r="B29" s="5" t="s">
        <v>2034</v>
      </c>
      <c r="C29" s="5">
        <v>1042</v>
      </c>
      <c r="D29" s="5">
        <v>1042</v>
      </c>
      <c r="E29" s="6">
        <v>0.96</v>
      </c>
      <c r="F29" s="5">
        <v>0</v>
      </c>
      <c r="G29" s="5">
        <v>63.14</v>
      </c>
      <c r="H29" s="5">
        <v>762</v>
      </c>
      <c r="I29" s="5" t="str">
        <f>HYPERLINK("https://www.ncbi.nlm.nih.gov/protein/OHE59906.1?report=genbank&amp;log$=prottop&amp;blast_rank=124&amp;RID=7U875CNM013","OHE59906.1")</f>
        <v>OHE59906.1</v>
      </c>
      <c r="J29" s="5" t="s">
        <v>2035</v>
      </c>
    </row>
    <row r="30" spans="1:10" x14ac:dyDescent="0.2">
      <c r="A30" s="5" t="s">
        <v>2142</v>
      </c>
      <c r="B30" s="5" t="s">
        <v>2143</v>
      </c>
      <c r="C30" s="5">
        <v>1070</v>
      </c>
      <c r="D30" s="5">
        <v>1070</v>
      </c>
      <c r="E30" s="6">
        <v>0.99</v>
      </c>
      <c r="F30" s="5">
        <v>0</v>
      </c>
      <c r="G30" s="5">
        <v>62.36</v>
      </c>
      <c r="H30" s="5">
        <v>799</v>
      </c>
      <c r="I30" s="5" t="str">
        <f>HYPERLINK("https://www.ncbi.nlm.nih.gov/protein/TCV85116.1?report=genbank&amp;log$=prottop&amp;blast_rank=96&amp;RID=7U875CNM013","TCV85116.1")</f>
        <v>TCV85116.1</v>
      </c>
      <c r="J30" s="5" t="s">
        <v>2144</v>
      </c>
    </row>
    <row r="31" spans="1:10" x14ac:dyDescent="0.2">
      <c r="A31" s="5" t="s">
        <v>2145</v>
      </c>
      <c r="B31" s="5" t="s">
        <v>2143</v>
      </c>
      <c r="C31" s="5">
        <v>1070</v>
      </c>
      <c r="D31" s="5">
        <v>1070</v>
      </c>
      <c r="E31" s="6">
        <v>0.99</v>
      </c>
      <c r="F31" s="5">
        <v>0</v>
      </c>
      <c r="G31" s="5">
        <v>62.36</v>
      </c>
      <c r="H31" s="5">
        <v>795</v>
      </c>
      <c r="I31" s="5" t="str">
        <f>HYPERLINK("https://www.ncbi.nlm.nih.gov/protein/WP_124945384.1?report=genbank&amp;log$=prottop&amp;blast_rank=97&amp;RID=7U875CNM013","WP_124945384.1")</f>
        <v>WP_124945384.1</v>
      </c>
      <c r="J31" s="5" t="s">
        <v>2144</v>
      </c>
    </row>
    <row r="32" spans="1:10" x14ac:dyDescent="0.2">
      <c r="A32" s="5" t="s">
        <v>2146</v>
      </c>
      <c r="B32" s="5" t="s">
        <v>2147</v>
      </c>
      <c r="C32" s="5">
        <v>1048</v>
      </c>
      <c r="D32" s="5">
        <v>1048</v>
      </c>
      <c r="E32" s="6">
        <v>0.99</v>
      </c>
      <c r="F32" s="5">
        <v>0</v>
      </c>
      <c r="G32" s="5">
        <v>62.31</v>
      </c>
      <c r="H32" s="5">
        <v>796</v>
      </c>
      <c r="I32" s="5" t="str">
        <f>HYPERLINK("https://www.ncbi.nlm.nih.gov/protein/WP_125179899.1?report=genbank&amp;log$=prottop&amp;blast_rank=117&amp;RID=7U875CNM013","WP_125179899.1")</f>
        <v>WP_125179899.1</v>
      </c>
      <c r="J32" s="5" t="s">
        <v>2148</v>
      </c>
    </row>
    <row r="33" spans="1:10" x14ac:dyDescent="0.2">
      <c r="A33" s="5" t="s">
        <v>2149</v>
      </c>
      <c r="B33" s="5"/>
      <c r="C33" s="5">
        <v>1028</v>
      </c>
      <c r="D33" s="5">
        <v>1028</v>
      </c>
      <c r="E33" s="6">
        <v>0.98</v>
      </c>
      <c r="F33" s="5">
        <v>0</v>
      </c>
      <c r="G33" s="5">
        <v>62.29</v>
      </c>
      <c r="H33" s="5">
        <v>789</v>
      </c>
      <c r="I33" s="5" t="str">
        <f>HYPERLINK("https://www.ncbi.nlm.nih.gov/protein/WP_210224471.1?report=genbank&amp;log$=prottop&amp;blast_rank=136&amp;RID=7U875CNM013","WP_210224471.1")</f>
        <v>WP_210224471.1</v>
      </c>
      <c r="J33" s="5" t="s">
        <v>2150</v>
      </c>
    </row>
    <row r="34" spans="1:10" x14ac:dyDescent="0.2">
      <c r="A34" s="5" t="s">
        <v>2157</v>
      </c>
      <c r="B34" s="5" t="s">
        <v>2158</v>
      </c>
      <c r="C34" s="5">
        <v>1028</v>
      </c>
      <c r="D34" s="5">
        <v>1028</v>
      </c>
      <c r="E34" s="6">
        <v>0.98</v>
      </c>
      <c r="F34" s="5">
        <v>0</v>
      </c>
      <c r="G34" s="5">
        <v>62.01</v>
      </c>
      <c r="H34" s="5">
        <v>793</v>
      </c>
      <c r="I34" s="5" t="str">
        <f>HYPERLINK("https://www.ncbi.nlm.nih.gov/protein/QQZ27330.1?report=genbank&amp;log$=prottop&amp;blast_rank=158&amp;RID=7U875CNM013","QQZ27330.1")</f>
        <v>QQZ27330.1</v>
      </c>
      <c r="J34" s="5" t="s">
        <v>2159</v>
      </c>
    </row>
    <row r="35" spans="1:10" x14ac:dyDescent="0.2">
      <c r="A35" s="5" t="s">
        <v>1977</v>
      </c>
      <c r="B35" s="5" t="s">
        <v>1978</v>
      </c>
      <c r="C35" s="5">
        <v>1030</v>
      </c>
      <c r="D35" s="5">
        <v>1030</v>
      </c>
      <c r="E35" s="6">
        <v>0.98</v>
      </c>
      <c r="F35" s="5">
        <v>0</v>
      </c>
      <c r="G35" s="5">
        <v>61.91</v>
      </c>
      <c r="H35" s="5">
        <v>788</v>
      </c>
      <c r="I35" s="5" t="str">
        <f>HYPERLINK("https://www.ncbi.nlm.nih.gov/protein/WP_162084687.1?report=genbank&amp;log$=prottop&amp;blast_rank=48&amp;RID=7U875CNM013","WP_162084687.1")</f>
        <v>WP_162084687.1</v>
      </c>
      <c r="J35" s="5" t="s">
        <v>2163</v>
      </c>
    </row>
    <row r="36" spans="1:10" x14ac:dyDescent="0.2">
      <c r="A36" s="5" t="s">
        <v>2164</v>
      </c>
      <c r="B36" s="5" t="s">
        <v>2158</v>
      </c>
      <c r="C36" s="5">
        <v>1031</v>
      </c>
      <c r="D36" s="5">
        <v>1031</v>
      </c>
      <c r="E36" s="6">
        <v>0.98</v>
      </c>
      <c r="F36" s="5">
        <v>0</v>
      </c>
      <c r="G36" s="5">
        <v>61.9</v>
      </c>
      <c r="H36" s="5">
        <v>801</v>
      </c>
      <c r="I36" s="5" t="str">
        <f>HYPERLINK("https://www.ncbi.nlm.nih.gov/protein/WP_202717193.1?report=genbank&amp;log$=prottop&amp;blast_rank=58&amp;RID=7U875CNM013","WP_202717193.1")</f>
        <v>WP_202717193.1</v>
      </c>
      <c r="J36" s="5" t="s">
        <v>2165</v>
      </c>
    </row>
    <row r="37" spans="1:10" s="7" customFormat="1" x14ac:dyDescent="0.2">
      <c r="A37" s="5" t="s">
        <v>3533</v>
      </c>
      <c r="B37" s="5" t="s">
        <v>3534</v>
      </c>
      <c r="C37" s="5">
        <v>1164</v>
      </c>
      <c r="D37" s="5">
        <v>1164</v>
      </c>
      <c r="E37" s="6">
        <v>0.98</v>
      </c>
      <c r="F37" s="5">
        <v>0</v>
      </c>
      <c r="G37" s="5">
        <v>69.180000000000007</v>
      </c>
      <c r="H37" s="5">
        <v>793</v>
      </c>
      <c r="I37" s="5" t="str">
        <f>HYPERLINK("https://www.ncbi.nlm.nih.gov/protein/WP_134084253.1?report=genbank&amp;log$=prottop&amp;blast_rank=6&amp;RID=7U875CNM013","WP_134084253.1")</f>
        <v>WP_134084253.1</v>
      </c>
      <c r="J37" s="5" t="s">
        <v>3276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0"/>
  <sheetViews>
    <sheetView topLeftCell="A145" workbookViewId="0">
      <selection activeCell="I10" sqref="I10"/>
    </sheetView>
  </sheetViews>
  <sheetFormatPr baseColWidth="10" defaultRowHeight="16" x14ac:dyDescent="0.2"/>
  <cols>
    <col min="2" max="2" width="32.83203125" customWidth="1"/>
    <col min="9" max="9" width="27.33203125" customWidth="1"/>
  </cols>
  <sheetData>
    <row r="1" spans="1:10" s="3" customFormat="1" x14ac:dyDescent="0.2">
      <c r="A1" s="3" t="s">
        <v>5</v>
      </c>
      <c r="B1" s="3" t="s">
        <v>6</v>
      </c>
      <c r="C1" s="3" t="s">
        <v>7</v>
      </c>
      <c r="D1" s="3" t="s">
        <v>8</v>
      </c>
      <c r="E1" s="3" t="s">
        <v>9</v>
      </c>
      <c r="F1" s="3" t="s">
        <v>10</v>
      </c>
      <c r="G1" s="3" t="s">
        <v>11</v>
      </c>
      <c r="H1" s="3" t="s">
        <v>12</v>
      </c>
      <c r="I1" s="3" t="s">
        <v>13</v>
      </c>
      <c r="J1" s="1"/>
    </row>
    <row r="2" spans="1:10" s="1" customFormat="1" x14ac:dyDescent="0.2">
      <c r="A2" s="1" t="s">
        <v>1623</v>
      </c>
      <c r="B2" s="1" t="s">
        <v>1624</v>
      </c>
      <c r="C2" s="1">
        <v>1187</v>
      </c>
      <c r="D2" s="1">
        <v>1187</v>
      </c>
      <c r="E2" s="2">
        <v>0.97</v>
      </c>
      <c r="F2" s="1">
        <v>0</v>
      </c>
      <c r="G2" s="1">
        <v>72.31</v>
      </c>
      <c r="H2" s="1">
        <v>788</v>
      </c>
      <c r="I2" s="1" t="str">
        <f>HYPERLINK("https://www.ncbi.nlm.nih.gov/protein/WP_038505287.1?report=genbank&amp;log$=prottop&amp;blast_rank=24&amp;RID=7U875CNM013","WP_038505287.1")</f>
        <v>WP_038505287.1</v>
      </c>
      <c r="J2" s="5" t="s">
        <v>1625</v>
      </c>
    </row>
    <row r="3" spans="1:10" s="1" customFormat="1" x14ac:dyDescent="0.2">
      <c r="A3" s="1" t="s">
        <v>1623</v>
      </c>
      <c r="B3" s="1" t="s">
        <v>1624</v>
      </c>
      <c r="C3" s="1">
        <v>1187</v>
      </c>
      <c r="D3" s="1">
        <v>1187</v>
      </c>
      <c r="E3" s="2">
        <v>0.97</v>
      </c>
      <c r="F3" s="1">
        <v>0</v>
      </c>
      <c r="G3" s="1">
        <v>72.31</v>
      </c>
      <c r="H3" s="1">
        <v>788</v>
      </c>
      <c r="I3" s="1" t="str">
        <f>HYPERLINK("https://www.ncbi.nlm.nih.gov/protein/WP_053765515.1?report=genbank&amp;log$=prottop&amp;blast_rank=25&amp;RID=7U875CNM013","WP_053765515.1")</f>
        <v>WP_053765515.1</v>
      </c>
      <c r="J3" s="5" t="s">
        <v>1625</v>
      </c>
    </row>
    <row r="4" spans="1:10" s="1" customFormat="1" x14ac:dyDescent="0.2">
      <c r="A4" s="1" t="s">
        <v>1623</v>
      </c>
      <c r="B4" s="1" t="s">
        <v>1624</v>
      </c>
      <c r="C4" s="1">
        <v>1192</v>
      </c>
      <c r="D4" s="1">
        <v>1192</v>
      </c>
      <c r="E4" s="2">
        <v>0.97</v>
      </c>
      <c r="F4" s="1">
        <v>0</v>
      </c>
      <c r="G4" s="1">
        <v>72.180000000000007</v>
      </c>
      <c r="H4" s="1">
        <v>788</v>
      </c>
      <c r="I4" s="1" t="str">
        <f>HYPERLINK("https://www.ncbi.nlm.nih.gov/protein/WP_036082810.1?report=genbank&amp;log$=prottop&amp;blast_rank=34&amp;RID=7U875CNM013","WP_036082810.1")</f>
        <v>WP_036082810.1</v>
      </c>
      <c r="J4" s="5" t="s">
        <v>1625</v>
      </c>
    </row>
    <row r="5" spans="1:10" s="1" customFormat="1" x14ac:dyDescent="0.2">
      <c r="A5" s="1" t="s">
        <v>1629</v>
      </c>
      <c r="B5" s="1" t="s">
        <v>1630</v>
      </c>
      <c r="C5" s="1">
        <v>1191</v>
      </c>
      <c r="D5" s="1">
        <v>1191</v>
      </c>
      <c r="E5" s="2">
        <v>0.97</v>
      </c>
      <c r="F5" s="1">
        <v>0</v>
      </c>
      <c r="G5" s="1">
        <v>72.180000000000007</v>
      </c>
      <c r="H5" s="1">
        <v>788</v>
      </c>
      <c r="I5" s="1" t="str">
        <f>HYPERLINK("https://www.ncbi.nlm.nih.gov/protein/EDZ38884.1?report=genbank&amp;log$=prottop&amp;blast_rank=35&amp;RID=7U875CNM013","EDZ38884.1")</f>
        <v>EDZ38884.1</v>
      </c>
      <c r="J5" s="5" t="s">
        <v>1625</v>
      </c>
    </row>
    <row r="6" spans="1:10" s="1" customFormat="1" x14ac:dyDescent="0.2">
      <c r="A6" s="1" t="s">
        <v>1631</v>
      </c>
      <c r="B6" s="1" t="s">
        <v>1624</v>
      </c>
      <c r="C6" s="1">
        <v>1201</v>
      </c>
      <c r="D6" s="1">
        <v>1201</v>
      </c>
      <c r="E6" s="2">
        <v>0.97</v>
      </c>
      <c r="F6" s="1">
        <v>0</v>
      </c>
      <c r="G6" s="1">
        <v>71.8</v>
      </c>
      <c r="H6" s="1">
        <v>788</v>
      </c>
      <c r="I6" s="1" t="str">
        <f>HYPERLINK("https://www.ncbi.nlm.nih.gov/protein/HFT93407.1?report=genbank&amp;log$=prottop&amp;blast_rank=51&amp;RID=7U875CNM013","HFT93407.1")</f>
        <v>HFT93407.1</v>
      </c>
      <c r="J6" s="5" t="s">
        <v>1625</v>
      </c>
    </row>
    <row r="7" spans="1:10" s="1" customFormat="1" x14ac:dyDescent="0.2">
      <c r="A7" s="1" t="s">
        <v>1632</v>
      </c>
      <c r="B7" s="1" t="s">
        <v>1633</v>
      </c>
      <c r="C7" s="1">
        <v>1189</v>
      </c>
      <c r="D7" s="1">
        <v>1189</v>
      </c>
      <c r="E7" s="2">
        <v>0.98</v>
      </c>
      <c r="F7" s="1">
        <v>0</v>
      </c>
      <c r="G7" s="1">
        <v>71.39</v>
      </c>
      <c r="H7" s="1">
        <v>800</v>
      </c>
      <c r="I7" s="1" t="str">
        <f>HYPERLINK("https://www.ncbi.nlm.nih.gov/protein/MBL0009971.1?report=genbank&amp;log$=prottop&amp;blast_rank=73&amp;RID=7U875CNM013","MBL0009971.1")</f>
        <v>MBL0009971.1</v>
      </c>
      <c r="J7" s="5" t="s">
        <v>1634</v>
      </c>
    </row>
    <row r="8" spans="1:10" s="1" customFormat="1" x14ac:dyDescent="0.2">
      <c r="A8" s="1" t="s">
        <v>1638</v>
      </c>
      <c r="B8" s="1" t="s">
        <v>1639</v>
      </c>
      <c r="C8" s="1">
        <v>1199</v>
      </c>
      <c r="D8" s="1">
        <v>1199</v>
      </c>
      <c r="E8" s="2">
        <v>0.98</v>
      </c>
      <c r="F8" s="1">
        <v>0</v>
      </c>
      <c r="G8" s="1">
        <v>71.05</v>
      </c>
      <c r="H8" s="1">
        <v>796</v>
      </c>
      <c r="I8" s="1" t="str">
        <f>HYPERLINK("https://www.ncbi.nlm.nih.gov/protein/WP_013031820.1?report=genbank&amp;log$=prottop&amp;blast_rank=100&amp;RID=7U875CNM013","WP_013031820.1")</f>
        <v>WP_013031820.1</v>
      </c>
      <c r="J8" s="1" t="s">
        <v>1634</v>
      </c>
    </row>
    <row r="9" spans="1:10" s="4" customFormat="1" x14ac:dyDescent="0.2">
      <c r="A9" s="1" t="s">
        <v>1644</v>
      </c>
      <c r="B9" s="1" t="s">
        <v>1645</v>
      </c>
      <c r="C9" s="1">
        <v>1187</v>
      </c>
      <c r="D9" s="1">
        <v>1187</v>
      </c>
      <c r="E9" s="2">
        <v>0.99</v>
      </c>
      <c r="F9" s="1">
        <v>0</v>
      </c>
      <c r="G9" s="1">
        <v>70.94</v>
      </c>
      <c r="H9" s="1">
        <v>798</v>
      </c>
      <c r="I9" s="1" t="str">
        <f>HYPERLINK("https://www.ncbi.nlm.nih.gov/protein/WP_090567373.1?report=genbank&amp;log$=prottop&amp;blast_rank=8&amp;RID=7U875CNM013","WP_090567373.1")</f>
        <v>WP_090567373.1</v>
      </c>
      <c r="J9" s="5" t="s">
        <v>1634</v>
      </c>
    </row>
    <row r="10" spans="1:10" s="4" customFormat="1" x14ac:dyDescent="0.2">
      <c r="A10" s="1" t="s">
        <v>1646</v>
      </c>
      <c r="B10" s="1" t="s">
        <v>1647</v>
      </c>
      <c r="C10" s="1">
        <v>1184</v>
      </c>
      <c r="D10" s="1">
        <v>1184</v>
      </c>
      <c r="E10" s="2">
        <v>0.99</v>
      </c>
      <c r="F10" s="1">
        <v>0</v>
      </c>
      <c r="G10" s="1">
        <v>70.94</v>
      </c>
      <c r="H10" s="1">
        <v>798</v>
      </c>
      <c r="I10" s="5" t="s">
        <v>4531</v>
      </c>
      <c r="J10" s="1" t="s">
        <v>1634</v>
      </c>
    </row>
    <row r="11" spans="1:10" s="4" customFormat="1" x14ac:dyDescent="0.2">
      <c r="A11" s="1" t="s">
        <v>1651</v>
      </c>
      <c r="B11" s="1" t="s">
        <v>1652</v>
      </c>
      <c r="C11" s="1">
        <v>1165</v>
      </c>
      <c r="D11" s="1">
        <v>1165</v>
      </c>
      <c r="E11" s="2">
        <v>0.98</v>
      </c>
      <c r="F11" s="1">
        <v>0</v>
      </c>
      <c r="G11" s="1">
        <v>70.540000000000006</v>
      </c>
      <c r="H11" s="1">
        <v>794</v>
      </c>
      <c r="I11" s="1" t="str">
        <f>HYPERLINK("https://www.ncbi.nlm.nih.gov/protein/WP_041512783.1?report=genbank&amp;log$=prottop&amp;blast_rank=73&amp;RID=7U875CNM013","WP_041512783.1")</f>
        <v>WP_041512783.1</v>
      </c>
      <c r="J11" s="1" t="s">
        <v>1634</v>
      </c>
    </row>
    <row r="12" spans="1:10" s="4" customFormat="1" x14ac:dyDescent="0.2">
      <c r="A12" s="1" t="s">
        <v>1656</v>
      </c>
      <c r="B12" s="1" t="s">
        <v>1657</v>
      </c>
      <c r="C12" s="1">
        <v>1176</v>
      </c>
      <c r="D12" s="1">
        <v>1176</v>
      </c>
      <c r="E12" s="2">
        <v>0.99</v>
      </c>
      <c r="F12" s="1">
        <v>0</v>
      </c>
      <c r="G12" s="1">
        <v>70.44</v>
      </c>
      <c r="H12" s="1">
        <v>798</v>
      </c>
      <c r="I12" s="1" t="str">
        <f>HYPERLINK("https://www.ncbi.nlm.nih.gov/protein/WP_046850045.1?report=genbank&amp;log$=prottop&amp;blast_rank=93&amp;RID=7U875CNM013","WP_046850045.1")</f>
        <v>WP_046850045.1</v>
      </c>
      <c r="J12" s="1" t="s">
        <v>1634</v>
      </c>
    </row>
    <row r="13" spans="1:10" s="4" customFormat="1" x14ac:dyDescent="0.2">
      <c r="A13" s="1" t="s">
        <v>1662</v>
      </c>
      <c r="B13" s="1" t="s">
        <v>1663</v>
      </c>
      <c r="C13" s="1">
        <v>1174</v>
      </c>
      <c r="D13" s="1">
        <v>1174</v>
      </c>
      <c r="E13" s="2">
        <v>1</v>
      </c>
      <c r="F13" s="1">
        <v>0</v>
      </c>
      <c r="G13" s="1">
        <v>70.349999999999994</v>
      </c>
      <c r="H13" s="1">
        <v>794</v>
      </c>
      <c r="I13" s="1" t="str">
        <f>HYPERLINK("https://www.ncbi.nlm.nih.gov/protein/WP_074633940.1?report=genbank&amp;log$=prottop&amp;blast_rank=113&amp;RID=7U875CNM013","WP_074633940.1")</f>
        <v>WP_074633940.1</v>
      </c>
      <c r="J13" s="1" t="s">
        <v>1634</v>
      </c>
    </row>
    <row r="14" spans="1:10" s="4" customFormat="1" x14ac:dyDescent="0.2">
      <c r="A14" s="1" t="s">
        <v>1664</v>
      </c>
      <c r="B14" s="1" t="s">
        <v>1665</v>
      </c>
      <c r="C14" s="1">
        <v>1176</v>
      </c>
      <c r="D14" s="1">
        <v>1176</v>
      </c>
      <c r="E14" s="2">
        <v>1</v>
      </c>
      <c r="F14" s="1">
        <v>0</v>
      </c>
      <c r="G14" s="1">
        <v>70.23</v>
      </c>
      <c r="H14" s="1">
        <v>794</v>
      </c>
      <c r="I14" s="1" t="str">
        <f>HYPERLINK("https://www.ncbi.nlm.nih.gov/protein/WP_121082607.1?report=genbank&amp;log$=prottop&amp;blast_rank=143&amp;RID=7U875CNM013","WP_121082607.1")</f>
        <v>WP_121082607.1</v>
      </c>
      <c r="J14" s="1" t="s">
        <v>1634</v>
      </c>
    </row>
    <row r="15" spans="1:10" s="4" customFormat="1" x14ac:dyDescent="0.2">
      <c r="A15" s="1" t="s">
        <v>1666</v>
      </c>
      <c r="B15" s="1" t="s">
        <v>1667</v>
      </c>
      <c r="C15" s="1">
        <v>1171</v>
      </c>
      <c r="D15" s="1">
        <v>1171</v>
      </c>
      <c r="E15" s="2">
        <v>1</v>
      </c>
      <c r="F15" s="1">
        <v>0</v>
      </c>
      <c r="G15" s="1">
        <v>70.099999999999994</v>
      </c>
      <c r="H15" s="1">
        <v>794</v>
      </c>
      <c r="I15" s="1" t="str">
        <f>HYPERLINK("https://www.ncbi.nlm.nih.gov/protein/WP_090905965.1?report=genbank&amp;log$=prottop&amp;blast_rank=174&amp;RID=7U875CNM013","WP_090905965.1")</f>
        <v>WP_090905965.1</v>
      </c>
      <c r="J15" s="1" t="s">
        <v>1634</v>
      </c>
    </row>
    <row r="16" spans="1:10" s="4" customFormat="1" x14ac:dyDescent="0.2">
      <c r="A16" s="1" t="s">
        <v>1668</v>
      </c>
      <c r="B16" s="1" t="s">
        <v>1669</v>
      </c>
      <c r="C16" s="1">
        <v>1181</v>
      </c>
      <c r="D16" s="1">
        <v>1181</v>
      </c>
      <c r="E16" s="2">
        <v>1</v>
      </c>
      <c r="F16" s="1">
        <v>0</v>
      </c>
      <c r="G16" s="1">
        <v>70.05</v>
      </c>
      <c r="H16" s="1">
        <v>798</v>
      </c>
      <c r="I16" s="1" t="str">
        <f>HYPERLINK("https://www.ncbi.nlm.nih.gov/protein/WP_090538890.1?report=genbank&amp;log$=prottop&amp;blast_rank=179&amp;RID=7U875CNM013","WP_090538890.1")</f>
        <v>WP_090538890.1</v>
      </c>
      <c r="J16" s="1" t="s">
        <v>1634</v>
      </c>
    </row>
    <row r="17" spans="1:10" s="4" customFormat="1" x14ac:dyDescent="0.2">
      <c r="A17" s="1" t="s">
        <v>1656</v>
      </c>
      <c r="B17" s="1" t="s">
        <v>1657</v>
      </c>
      <c r="C17" s="1">
        <v>1174</v>
      </c>
      <c r="D17" s="1">
        <v>1174</v>
      </c>
      <c r="E17" s="2">
        <v>0.99</v>
      </c>
      <c r="F17" s="1">
        <v>0</v>
      </c>
      <c r="G17" s="1">
        <v>70.010000000000005</v>
      </c>
      <c r="H17" s="1">
        <v>798</v>
      </c>
      <c r="I17" s="1" t="str">
        <f>HYPERLINK("https://www.ncbi.nlm.nih.gov/protein/WP_074902671.1?report=genbank&amp;log$=prottop&amp;blast_rank=188&amp;RID=7U875CNM013","WP_074902671.1")</f>
        <v>WP_074902671.1</v>
      </c>
      <c r="J17" s="1" t="s">
        <v>1634</v>
      </c>
    </row>
    <row r="18" spans="1:10" s="7" customFormat="1" x14ac:dyDescent="0.2">
      <c r="A18" s="5" t="s">
        <v>1673</v>
      </c>
      <c r="B18" s="5" t="s">
        <v>1674</v>
      </c>
      <c r="C18" s="5">
        <v>1179</v>
      </c>
      <c r="D18" s="5">
        <v>1179</v>
      </c>
      <c r="E18" s="6">
        <v>1</v>
      </c>
      <c r="F18" s="5">
        <v>0</v>
      </c>
      <c r="G18" s="5">
        <v>69.92</v>
      </c>
      <c r="H18" s="5">
        <v>798</v>
      </c>
      <c r="I18" s="5" t="str">
        <f>HYPERLINK("https://www.ncbi.nlm.nih.gov/protein/WP_090574271.1?report=genbank&amp;log$=prottop&amp;blast_rank=20&amp;RID=7U875CNM013","WP_090574271.1")</f>
        <v>WP_090574271.1</v>
      </c>
      <c r="J18" s="5" t="s">
        <v>1634</v>
      </c>
    </row>
    <row r="19" spans="1:10" s="7" customFormat="1" x14ac:dyDescent="0.2">
      <c r="A19" s="5" t="s">
        <v>1675</v>
      </c>
      <c r="B19" s="5" t="s">
        <v>1676</v>
      </c>
      <c r="C19" s="5">
        <v>1178</v>
      </c>
      <c r="D19" s="5">
        <v>1178</v>
      </c>
      <c r="E19" s="6">
        <v>0.99</v>
      </c>
      <c r="F19" s="5">
        <v>0</v>
      </c>
      <c r="G19" s="5">
        <v>69.86</v>
      </c>
      <c r="H19" s="5">
        <v>794</v>
      </c>
      <c r="I19" s="5" t="str">
        <f>HYPERLINK("https://www.ncbi.nlm.nih.gov/protein/WP_091138645.1?report=genbank&amp;log$=prottop&amp;blast_rank=33&amp;RID=7U875CNM013","WP_091138645.1")</f>
        <v>WP_091138645.1</v>
      </c>
      <c r="J19" s="5" t="s">
        <v>1634</v>
      </c>
    </row>
    <row r="20" spans="1:10" s="7" customFormat="1" x14ac:dyDescent="0.2">
      <c r="A20" s="5" t="s">
        <v>1677</v>
      </c>
      <c r="B20" s="5" t="s">
        <v>1678</v>
      </c>
      <c r="C20" s="5">
        <v>1175</v>
      </c>
      <c r="D20" s="5">
        <v>1175</v>
      </c>
      <c r="E20" s="6">
        <v>0.98</v>
      </c>
      <c r="F20" s="5">
        <v>0</v>
      </c>
      <c r="G20" s="5">
        <v>69.78</v>
      </c>
      <c r="H20" s="5">
        <v>792</v>
      </c>
      <c r="I20" s="5" t="str">
        <f>HYPERLINK("https://www.ncbi.nlm.nih.gov/protein/EES53204.1?report=genbank&amp;log$=prottop&amp;blast_rank=58&amp;RID=7U875CNM013","EES53204.1")</f>
        <v>EES53204.1</v>
      </c>
      <c r="J20" s="5" t="s">
        <v>1634</v>
      </c>
    </row>
    <row r="21" spans="1:10" s="7" customFormat="1" x14ac:dyDescent="0.2">
      <c r="A21" s="5" t="s">
        <v>1682</v>
      </c>
      <c r="B21" s="5" t="s">
        <v>1657</v>
      </c>
      <c r="C21" s="5">
        <v>1175</v>
      </c>
      <c r="D21" s="5">
        <v>1175</v>
      </c>
      <c r="E21" s="6">
        <v>1</v>
      </c>
      <c r="F21" s="5">
        <v>0</v>
      </c>
      <c r="G21" s="5">
        <v>69.67</v>
      </c>
      <c r="H21" s="5">
        <v>799</v>
      </c>
      <c r="I21" s="5" t="str">
        <f>HYPERLINK("https://www.ncbi.nlm.nih.gov/protein/SDW46014.1?report=genbank&amp;log$=prottop&amp;blast_rank=91&amp;RID=7U875CNM013","SDW46014.1")</f>
        <v>SDW46014.1</v>
      </c>
      <c r="J21" s="5" t="s">
        <v>1634</v>
      </c>
    </row>
    <row r="22" spans="1:10" s="7" customFormat="1" x14ac:dyDescent="0.2">
      <c r="A22" s="5" t="s">
        <v>1656</v>
      </c>
      <c r="B22" s="5" t="s">
        <v>1657</v>
      </c>
      <c r="C22" s="5">
        <v>1174</v>
      </c>
      <c r="D22" s="5">
        <v>1174</v>
      </c>
      <c r="E22" s="6">
        <v>1</v>
      </c>
      <c r="F22" s="5">
        <v>0</v>
      </c>
      <c r="G22" s="5">
        <v>69.67</v>
      </c>
      <c r="H22" s="5">
        <v>798</v>
      </c>
      <c r="I22" s="5" t="str">
        <f>HYPERLINK("https://www.ncbi.nlm.nih.gov/protein/WP_074666533.1?report=genbank&amp;log$=prottop&amp;blast_rank=92&amp;RID=7U875CNM013","WP_074666533.1")</f>
        <v>WP_074666533.1</v>
      </c>
      <c r="J22" s="5" t="s">
        <v>1634</v>
      </c>
    </row>
    <row r="23" spans="1:10" s="7" customFormat="1" x14ac:dyDescent="0.2">
      <c r="A23" s="5" t="s">
        <v>1686</v>
      </c>
      <c r="B23" s="5" t="s">
        <v>1687</v>
      </c>
      <c r="C23" s="5">
        <v>1179</v>
      </c>
      <c r="D23" s="5">
        <v>1179</v>
      </c>
      <c r="E23" s="6">
        <v>0.98</v>
      </c>
      <c r="F23" s="5">
        <v>0</v>
      </c>
      <c r="G23" s="5">
        <v>69.3</v>
      </c>
      <c r="H23" s="5">
        <v>788</v>
      </c>
      <c r="I23" s="5" t="str">
        <f>HYPERLINK("https://www.ncbi.nlm.nih.gov/protein/MBI3480485.1?report=genbank&amp;log$=prottop&amp;blast_rank=188&amp;RID=7U875CNM013","MBI3480485.1")</f>
        <v>MBI3480485.1</v>
      </c>
      <c r="J23" s="5" t="s">
        <v>1634</v>
      </c>
    </row>
    <row r="24" spans="1:10" s="7" customFormat="1" x14ac:dyDescent="0.2">
      <c r="A24" s="5" t="s">
        <v>1688</v>
      </c>
      <c r="B24" s="5" t="s">
        <v>1689</v>
      </c>
      <c r="C24" s="5">
        <v>1186</v>
      </c>
      <c r="D24" s="5">
        <v>1186</v>
      </c>
      <c r="E24" s="6">
        <v>1</v>
      </c>
      <c r="F24" s="5">
        <v>0</v>
      </c>
      <c r="G24" s="5">
        <v>69.260000000000005</v>
      </c>
      <c r="H24" s="5">
        <v>796</v>
      </c>
      <c r="I24" s="5" t="str">
        <f>HYPERLINK("https://www.ncbi.nlm.nih.gov/protein/WP_134356174.1?report=genbank&amp;log$=prottop&amp;blast_rank=198&amp;RID=7U875CNM013","WP_134356174.1")</f>
        <v>WP_134356174.1</v>
      </c>
      <c r="J24" s="5" t="s">
        <v>1634</v>
      </c>
    </row>
    <row r="25" spans="1:10" s="7" customFormat="1" x14ac:dyDescent="0.2">
      <c r="A25" s="5" t="s">
        <v>1686</v>
      </c>
      <c r="B25" s="5" t="s">
        <v>1687</v>
      </c>
      <c r="C25" s="5">
        <v>1170</v>
      </c>
      <c r="D25" s="5">
        <v>1170</v>
      </c>
      <c r="E25" s="6">
        <v>0.99</v>
      </c>
      <c r="F25" s="5">
        <v>0</v>
      </c>
      <c r="G25" s="5">
        <v>69.239999999999995</v>
      </c>
      <c r="H25" s="5">
        <v>790</v>
      </c>
      <c r="I25" s="5" t="str">
        <f>HYPERLINK("https://www.ncbi.nlm.nih.gov/protein/MBI5918216.1?report=genbank&amp;log$=prottop&amp;blast_rank=200&amp;RID=7U875CNM013","MBI5918216.1")</f>
        <v>MBI5918216.1</v>
      </c>
      <c r="J25" s="5" t="s">
        <v>1634</v>
      </c>
    </row>
    <row r="26" spans="1:10" s="7" customFormat="1" x14ac:dyDescent="0.2">
      <c r="A26" s="5" t="s">
        <v>1690</v>
      </c>
      <c r="B26" s="5" t="s">
        <v>1691</v>
      </c>
      <c r="C26" s="5">
        <v>1150</v>
      </c>
      <c r="D26" s="5">
        <v>1150</v>
      </c>
      <c r="E26" s="6">
        <v>0.99</v>
      </c>
      <c r="F26" s="5">
        <v>0</v>
      </c>
      <c r="G26" s="5">
        <v>68.989999999999995</v>
      </c>
      <c r="H26" s="5">
        <v>797</v>
      </c>
      <c r="I26" s="5" t="str">
        <f>HYPERLINK("https://www.ncbi.nlm.nih.gov/protein/WP_090700188.1?report=genbank&amp;log$=prottop&amp;blast_rank=58&amp;RID=7U875CNM013","WP_090700188.1")</f>
        <v>WP_090700188.1</v>
      </c>
      <c r="J26" s="5" t="s">
        <v>1634</v>
      </c>
    </row>
    <row r="27" spans="1:10" s="7" customFormat="1" x14ac:dyDescent="0.2">
      <c r="A27" s="5" t="s">
        <v>1690</v>
      </c>
      <c r="B27" s="5" t="s">
        <v>1691</v>
      </c>
      <c r="C27" s="5">
        <v>1150</v>
      </c>
      <c r="D27" s="5">
        <v>1150</v>
      </c>
      <c r="E27" s="6">
        <v>0.99</v>
      </c>
      <c r="F27" s="5">
        <v>0</v>
      </c>
      <c r="G27" s="5">
        <v>68.680000000000007</v>
      </c>
      <c r="H27" s="5">
        <v>797</v>
      </c>
      <c r="I27" s="5" t="str">
        <f>HYPERLINK("https://www.ncbi.nlm.nih.gov/protein/WP_107795260.1?report=genbank&amp;log$=prottop&amp;blast_rank=176&amp;RID=7U875CNM013","WP_107795260.1")</f>
        <v>WP_107795260.1</v>
      </c>
      <c r="J27" s="5" t="s">
        <v>1634</v>
      </c>
    </row>
    <row r="28" spans="1:10" s="5" customFormat="1" x14ac:dyDescent="0.2">
      <c r="A28" s="5" t="s">
        <v>1703</v>
      </c>
      <c r="B28" s="5" t="s">
        <v>1704</v>
      </c>
      <c r="C28" s="5">
        <v>1121</v>
      </c>
      <c r="D28" s="5">
        <v>1121</v>
      </c>
      <c r="E28" s="6">
        <v>0.98</v>
      </c>
      <c r="F28" s="5">
        <v>0</v>
      </c>
      <c r="G28" s="5">
        <v>66.790000000000006</v>
      </c>
      <c r="H28" s="5">
        <v>788</v>
      </c>
      <c r="I28" s="5" t="str">
        <f>HYPERLINK("https://www.ncbi.nlm.nih.gov/protein/RMH08206.1?report=genbank&amp;log$=prottop&amp;blast_rank=45&amp;RID=7U875CNM013","RMH08206.1")</f>
        <v>RMH08206.1</v>
      </c>
      <c r="J28" s="5" t="s">
        <v>1705</v>
      </c>
    </row>
    <row r="29" spans="1:10" s="5" customFormat="1" x14ac:dyDescent="0.2">
      <c r="A29" s="5" t="s">
        <v>1703</v>
      </c>
      <c r="B29" s="5" t="s">
        <v>1704</v>
      </c>
      <c r="C29" s="5">
        <v>1095</v>
      </c>
      <c r="D29" s="5">
        <v>1095</v>
      </c>
      <c r="E29" s="6">
        <v>0.97</v>
      </c>
      <c r="F29" s="5">
        <v>0</v>
      </c>
      <c r="G29" s="5">
        <v>66.28</v>
      </c>
      <c r="H29" s="5">
        <v>797</v>
      </c>
      <c r="I29" s="5" t="str">
        <f>HYPERLINK("https://www.ncbi.nlm.nih.gov/protein/RMH32785.1?report=genbank&amp;log$=prottop&amp;blast_rank=107&amp;RID=7U875CNM013","RMH32785.1")</f>
        <v>RMH32785.1</v>
      </c>
      <c r="J29" s="5" t="s">
        <v>1634</v>
      </c>
    </row>
    <row r="30" spans="1:10" s="5" customFormat="1" x14ac:dyDescent="0.2">
      <c r="A30" s="5" t="s">
        <v>1712</v>
      </c>
      <c r="B30" s="5" t="s">
        <v>1713</v>
      </c>
      <c r="C30" s="5">
        <v>1109</v>
      </c>
      <c r="D30" s="5">
        <v>1109</v>
      </c>
      <c r="E30" s="6">
        <v>0.98</v>
      </c>
      <c r="F30" s="5">
        <v>0</v>
      </c>
      <c r="G30" s="5">
        <v>66.069999999999993</v>
      </c>
      <c r="H30" s="5">
        <v>788</v>
      </c>
      <c r="I30" s="5" t="str">
        <f>HYPERLINK("https://www.ncbi.nlm.nih.gov/protein/RJQ45957.1?report=genbank&amp;log$=prottop&amp;blast_rank=137&amp;RID=7U875CNM013","RJQ45957.1")</f>
        <v>RJQ45957.1</v>
      </c>
      <c r="J30" s="5" t="s">
        <v>1705</v>
      </c>
    </row>
    <row r="31" spans="1:10" s="4" customFormat="1" x14ac:dyDescent="0.2">
      <c r="A31" s="1" t="s">
        <v>1716</v>
      </c>
      <c r="B31" s="1" t="s">
        <v>1717</v>
      </c>
      <c r="C31" s="1">
        <v>1090</v>
      </c>
      <c r="D31" s="1">
        <v>1090</v>
      </c>
      <c r="E31" s="2">
        <v>0.98</v>
      </c>
      <c r="F31" s="1">
        <v>0</v>
      </c>
      <c r="G31" s="1">
        <v>65.56</v>
      </c>
      <c r="H31" s="1">
        <v>790</v>
      </c>
      <c r="I31" s="1" t="str">
        <f>HYPERLINK("https://www.ncbi.nlm.nih.gov/protein/KXK50811.1?report=genbank&amp;log$=prottop&amp;blast_rank=91&amp;RID=7U875CNM013","KXK50811.1")</f>
        <v>KXK50811.1</v>
      </c>
      <c r="J31" s="5" t="s">
        <v>1634</v>
      </c>
    </row>
    <row r="32" spans="1:10" s="7" customFormat="1" x14ac:dyDescent="0.2">
      <c r="A32" s="5" t="s">
        <v>1718</v>
      </c>
      <c r="B32" s="5" t="s">
        <v>1719</v>
      </c>
      <c r="C32" s="5">
        <v>1061</v>
      </c>
      <c r="D32" s="5">
        <v>1061</v>
      </c>
      <c r="E32" s="6">
        <v>0.98</v>
      </c>
      <c r="F32" s="5">
        <v>0</v>
      </c>
      <c r="G32" s="5">
        <v>65.48</v>
      </c>
      <c r="H32" s="5">
        <v>799</v>
      </c>
      <c r="I32" s="5" t="str">
        <f>HYPERLINK("https://www.ncbi.nlm.nih.gov/protein/WP_187451691.1?report=genbank&amp;log$=prottop&amp;blast_rank=12&amp;RID=7U875CNM013","WP_187451691.1")</f>
        <v>WP_187451691.1</v>
      </c>
      <c r="J32" s="5" t="s">
        <v>1720</v>
      </c>
    </row>
    <row r="33" spans="1:10" s="7" customFormat="1" x14ac:dyDescent="0.2">
      <c r="A33" s="5" t="s">
        <v>1724</v>
      </c>
      <c r="B33" s="5" t="s">
        <v>1717</v>
      </c>
      <c r="C33" s="5">
        <v>1090</v>
      </c>
      <c r="D33" s="5">
        <v>1090</v>
      </c>
      <c r="E33" s="6">
        <v>0.98</v>
      </c>
      <c r="F33" s="5">
        <v>0</v>
      </c>
      <c r="G33" s="5">
        <v>65.430000000000007</v>
      </c>
      <c r="H33" s="5">
        <v>790</v>
      </c>
      <c r="I33" s="5" t="str">
        <f>HYPERLINK("https://www.ncbi.nlm.nih.gov/protein/WP_011112635.1?report=genbank&amp;log$=prottop&amp;blast_rank=24&amp;RID=7U875CNM013","WP_011112635.1")</f>
        <v>WP_011112635.1</v>
      </c>
      <c r="J33" s="5" t="s">
        <v>1634</v>
      </c>
    </row>
    <row r="34" spans="1:10" s="7" customFormat="1" x14ac:dyDescent="0.2">
      <c r="A34" s="5" t="s">
        <v>1728</v>
      </c>
      <c r="B34" s="5" t="s">
        <v>1729</v>
      </c>
      <c r="C34" s="5">
        <v>1082</v>
      </c>
      <c r="D34" s="5">
        <v>1082</v>
      </c>
      <c r="E34" s="6">
        <v>0.98</v>
      </c>
      <c r="F34" s="5">
        <v>0</v>
      </c>
      <c r="G34" s="5">
        <v>65.349999999999994</v>
      </c>
      <c r="H34" s="5">
        <v>802</v>
      </c>
      <c r="I34" s="5" t="str">
        <f>HYPERLINK("https://www.ncbi.nlm.nih.gov/protein/OLB55690.1?report=genbank&amp;log$=prottop&amp;blast_rank=55&amp;RID=7U875CNM013","OLB55690.1")</f>
        <v>OLB55690.1</v>
      </c>
      <c r="J34" s="5" t="s">
        <v>1634</v>
      </c>
    </row>
    <row r="35" spans="1:10" s="8" customFormat="1" x14ac:dyDescent="0.2">
      <c r="A35" s="5" t="s">
        <v>1732</v>
      </c>
      <c r="B35" s="5" t="s">
        <v>1733</v>
      </c>
      <c r="C35" s="5">
        <v>1085</v>
      </c>
      <c r="D35" s="5">
        <v>1085</v>
      </c>
      <c r="E35" s="6">
        <v>0.98</v>
      </c>
      <c r="F35" s="5">
        <v>0</v>
      </c>
      <c r="G35" s="5">
        <v>65.180000000000007</v>
      </c>
      <c r="H35" s="5">
        <v>790</v>
      </c>
      <c r="I35" s="5" t="str">
        <f>HYPERLINK("https://www.ncbi.nlm.nih.gov/protein/QOJ08109.1?report=genbank&amp;log$=prottop&amp;blast_rank=7&amp;RID=7U875CNM013","QOJ08109.1")</f>
        <v>QOJ08109.1</v>
      </c>
      <c r="J35" s="5" t="s">
        <v>1634</v>
      </c>
    </row>
    <row r="36" spans="1:10" s="7" customFormat="1" x14ac:dyDescent="0.2">
      <c r="A36" s="5" t="s">
        <v>1737</v>
      </c>
      <c r="B36" s="5" t="s">
        <v>1713</v>
      </c>
      <c r="C36" s="5">
        <v>1097</v>
      </c>
      <c r="D36" s="5">
        <v>1097</v>
      </c>
      <c r="E36" s="6">
        <v>0.98</v>
      </c>
      <c r="F36" s="5">
        <v>0</v>
      </c>
      <c r="G36" s="5">
        <v>65.099999999999994</v>
      </c>
      <c r="H36" s="5">
        <v>793</v>
      </c>
      <c r="I36" s="5" t="str">
        <f>HYPERLINK("https://www.ncbi.nlm.nih.gov/protein/HBP90722.1?report=genbank&amp;log$=prottop&amp;blast_rank=46&amp;RID=7U875CNM013","HBP90722.1")</f>
        <v>HBP90722.1</v>
      </c>
      <c r="J36" s="5" t="s">
        <v>1634</v>
      </c>
    </row>
    <row r="37" spans="1:10" s="7" customFormat="1" x14ac:dyDescent="0.2">
      <c r="A37" s="5" t="s">
        <v>1738</v>
      </c>
      <c r="B37" s="5" t="s">
        <v>1739</v>
      </c>
      <c r="C37" s="5">
        <v>1094</v>
      </c>
      <c r="D37" s="5">
        <v>1094</v>
      </c>
      <c r="E37" s="6">
        <v>0.98</v>
      </c>
      <c r="F37" s="5">
        <v>0</v>
      </c>
      <c r="G37" s="5">
        <v>65.099999999999994</v>
      </c>
      <c r="H37" s="5">
        <v>790</v>
      </c>
      <c r="I37" s="5" t="str">
        <f>HYPERLINK("https://www.ncbi.nlm.nih.gov/protein/OIP62088.1?report=genbank&amp;log$=prottop&amp;blast_rank=51&amp;RID=7U875CNM013","OIP62088.1")</f>
        <v>OIP62088.1</v>
      </c>
      <c r="J37" s="5" t="s">
        <v>1634</v>
      </c>
    </row>
    <row r="38" spans="1:10" s="7" customFormat="1" x14ac:dyDescent="0.2">
      <c r="A38" s="5" t="s">
        <v>1743</v>
      </c>
      <c r="B38" s="5" t="s">
        <v>1744</v>
      </c>
      <c r="C38" s="5">
        <v>1083</v>
      </c>
      <c r="D38" s="5">
        <v>1083</v>
      </c>
      <c r="E38" s="6">
        <v>0.99</v>
      </c>
      <c r="F38" s="5">
        <v>0</v>
      </c>
      <c r="G38" s="5">
        <v>65.08</v>
      </c>
      <c r="H38" s="5">
        <v>791</v>
      </c>
      <c r="I38" s="5" t="str">
        <f>HYPERLINK("https://www.ncbi.nlm.nih.gov/protein/WP_074929094.1?report=genbank&amp;log$=prottop&amp;blast_rank=66&amp;RID=7U875CNM013","WP_074929094.1")</f>
        <v>WP_074929094.1</v>
      </c>
      <c r="J38" s="5" t="s">
        <v>1634</v>
      </c>
    </row>
    <row r="39" spans="1:10" s="7" customFormat="1" x14ac:dyDescent="0.2">
      <c r="A39" s="5" t="s">
        <v>1748</v>
      </c>
      <c r="B39" s="5" t="s">
        <v>1749</v>
      </c>
      <c r="C39" s="5">
        <v>1078</v>
      </c>
      <c r="D39" s="5">
        <v>1078</v>
      </c>
      <c r="E39" s="6">
        <v>0.98</v>
      </c>
      <c r="F39" s="5">
        <v>0</v>
      </c>
      <c r="G39" s="5">
        <v>65.05</v>
      </c>
      <c r="H39" s="5">
        <v>796</v>
      </c>
      <c r="I39" s="5" t="str">
        <f>HYPERLINK("https://www.ncbi.nlm.nih.gov/protein/WP_107783109.1?report=genbank&amp;log$=prottop&amp;blast_rank=71&amp;RID=7U875CNM013","WP_107783109.1")</f>
        <v>WP_107783109.1</v>
      </c>
      <c r="J39" s="5" t="s">
        <v>1634</v>
      </c>
    </row>
    <row r="40" spans="1:10" s="7" customFormat="1" x14ac:dyDescent="0.2">
      <c r="A40" s="5" t="s">
        <v>1748</v>
      </c>
      <c r="B40" s="5" t="s">
        <v>1749</v>
      </c>
      <c r="C40" s="5">
        <v>1076</v>
      </c>
      <c r="D40" s="5">
        <v>1076</v>
      </c>
      <c r="E40" s="6">
        <v>0.98</v>
      </c>
      <c r="F40" s="5">
        <v>0</v>
      </c>
      <c r="G40" s="5">
        <v>65.05</v>
      </c>
      <c r="H40" s="5">
        <v>796</v>
      </c>
      <c r="I40" s="5" t="str">
        <f>HYPERLINK("https://www.ncbi.nlm.nih.gov/protein/WP_090668031.1?report=genbank&amp;log$=prottop&amp;blast_rank=72&amp;RID=7U875CNM013","WP_090668031.1")</f>
        <v>WP_090668031.1</v>
      </c>
      <c r="J40" s="5" t="s">
        <v>1634</v>
      </c>
    </row>
    <row r="41" spans="1:10" s="7" customFormat="1" x14ac:dyDescent="0.2">
      <c r="A41" s="5" t="s">
        <v>1632</v>
      </c>
      <c r="B41" s="5" t="s">
        <v>1633</v>
      </c>
      <c r="C41" s="5">
        <v>1050</v>
      </c>
      <c r="D41" s="5">
        <v>1050</v>
      </c>
      <c r="E41" s="6">
        <v>0.98</v>
      </c>
      <c r="F41" s="5">
        <v>0</v>
      </c>
      <c r="G41" s="5">
        <v>65.010000000000005</v>
      </c>
      <c r="H41" s="5">
        <v>786</v>
      </c>
      <c r="I41" s="5" t="str">
        <f>HYPERLINK("https://www.ncbi.nlm.nih.gov/protein/MBK6958841.1?report=genbank&amp;log$=prottop&amp;blast_rank=105&amp;RID=7U875CNM013","MBK6958841.1")</f>
        <v>MBK6958841.1</v>
      </c>
      <c r="J41" s="5" t="s">
        <v>1705</v>
      </c>
    </row>
    <row r="42" spans="1:10" s="7" customFormat="1" x14ac:dyDescent="0.2">
      <c r="A42" s="5" t="s">
        <v>1753</v>
      </c>
      <c r="B42" s="5" t="s">
        <v>1754</v>
      </c>
      <c r="C42" s="5">
        <v>1096</v>
      </c>
      <c r="D42" s="5">
        <v>1096</v>
      </c>
      <c r="E42" s="6">
        <v>0.98</v>
      </c>
      <c r="F42" s="5">
        <v>0</v>
      </c>
      <c r="G42" s="5">
        <v>64.97</v>
      </c>
      <c r="H42" s="5">
        <v>805</v>
      </c>
      <c r="I42" s="5" t="str">
        <f>HYPERLINK("https://www.ncbi.nlm.nih.gov/protein/WP_013221631.1?report=genbank&amp;log$=prottop&amp;blast_rank=112&amp;RID=7U875CNM013","WP_013221631.1")</f>
        <v>WP_013221631.1</v>
      </c>
      <c r="J42" s="5" t="s">
        <v>1705</v>
      </c>
    </row>
    <row r="43" spans="1:10" s="7" customFormat="1" x14ac:dyDescent="0.2">
      <c r="A43" s="5" t="s">
        <v>1755</v>
      </c>
      <c r="B43" s="5" t="s">
        <v>1756</v>
      </c>
      <c r="C43" s="5">
        <v>1038</v>
      </c>
      <c r="D43" s="5">
        <v>1038</v>
      </c>
      <c r="E43" s="6">
        <v>0.97</v>
      </c>
      <c r="F43" s="5">
        <v>0</v>
      </c>
      <c r="G43" s="5">
        <v>64.95</v>
      </c>
      <c r="H43" s="5">
        <v>798</v>
      </c>
      <c r="I43" s="5" t="str">
        <f>HYPERLINK("https://www.ncbi.nlm.nih.gov/protein/TKB63584.1?report=genbank&amp;log$=prottop&amp;blast_rank=138&amp;RID=7U875CNM013","TKB63584.1")</f>
        <v>TKB63584.1</v>
      </c>
      <c r="J43" s="5" t="s">
        <v>1634</v>
      </c>
    </row>
    <row r="44" spans="1:10" s="7" customFormat="1" x14ac:dyDescent="0.2">
      <c r="A44" s="5" t="s">
        <v>1755</v>
      </c>
      <c r="B44" s="5" t="s">
        <v>1756</v>
      </c>
      <c r="C44" s="5">
        <v>1063</v>
      </c>
      <c r="D44" s="5">
        <v>1063</v>
      </c>
      <c r="E44" s="6">
        <v>0.98</v>
      </c>
      <c r="F44" s="5">
        <v>0</v>
      </c>
      <c r="G44" s="5">
        <v>64.92</v>
      </c>
      <c r="H44" s="5">
        <v>787</v>
      </c>
      <c r="I44" s="5" t="str">
        <f>HYPERLINK("https://www.ncbi.nlm.nih.gov/protein/TKB91900.1?report=genbank&amp;log$=prottop&amp;blast_rank=152&amp;RID=7U875CNM013","TKB91900.1")</f>
        <v>TKB91900.1</v>
      </c>
      <c r="J44" s="5" t="s">
        <v>1634</v>
      </c>
    </row>
    <row r="45" spans="1:10" s="7" customFormat="1" x14ac:dyDescent="0.2">
      <c r="A45" s="5" t="s">
        <v>1755</v>
      </c>
      <c r="B45" s="5" t="s">
        <v>1756</v>
      </c>
      <c r="C45" s="5">
        <v>1040</v>
      </c>
      <c r="D45" s="5">
        <v>1040</v>
      </c>
      <c r="E45" s="6">
        <v>0.97</v>
      </c>
      <c r="F45" s="5">
        <v>0</v>
      </c>
      <c r="G45" s="5">
        <v>64.819999999999993</v>
      </c>
      <c r="H45" s="5">
        <v>804</v>
      </c>
      <c r="I45" s="5" t="str">
        <f>HYPERLINK("https://www.ncbi.nlm.nih.gov/protein/MBH0182065.1?report=genbank&amp;log$=prottop&amp;blast_rank=61&amp;RID=7U875CNM013","MBH0182065.1")</f>
        <v>MBH0182065.1</v>
      </c>
      <c r="J45" s="5" t="s">
        <v>1634</v>
      </c>
    </row>
    <row r="46" spans="1:10" s="7" customFormat="1" x14ac:dyDescent="0.2">
      <c r="A46" s="5" t="s">
        <v>1755</v>
      </c>
      <c r="B46" s="5" t="s">
        <v>1756</v>
      </c>
      <c r="C46" s="5">
        <v>1035</v>
      </c>
      <c r="D46" s="5">
        <v>1035</v>
      </c>
      <c r="E46" s="6">
        <v>0.97</v>
      </c>
      <c r="F46" s="5">
        <v>0</v>
      </c>
      <c r="G46" s="5">
        <v>64.819999999999993</v>
      </c>
      <c r="H46" s="5">
        <v>801</v>
      </c>
      <c r="I46" s="5" t="str">
        <f>HYPERLINK("https://www.ncbi.nlm.nih.gov/protein/TKB92969.1?report=genbank&amp;log$=prottop&amp;blast_rank=63&amp;RID=7U875CNM013","TKB92969.1")</f>
        <v>TKB92969.1</v>
      </c>
      <c r="J46" s="5" t="s">
        <v>1634</v>
      </c>
    </row>
    <row r="47" spans="1:10" s="7" customFormat="1" x14ac:dyDescent="0.2">
      <c r="A47" s="5" t="s">
        <v>1703</v>
      </c>
      <c r="B47" s="5" t="s">
        <v>1704</v>
      </c>
      <c r="C47" s="5">
        <v>1093</v>
      </c>
      <c r="D47" s="5">
        <v>1093</v>
      </c>
      <c r="E47" s="6">
        <v>0.98</v>
      </c>
      <c r="F47" s="5">
        <v>0</v>
      </c>
      <c r="G47" s="5">
        <v>64.8</v>
      </c>
      <c r="H47" s="5">
        <v>808</v>
      </c>
      <c r="I47" s="5" t="str">
        <f>HYPERLINK("https://www.ncbi.nlm.nih.gov/protein/TMQ27027.1?report=genbank&amp;log$=prottop&amp;blast_rank=75&amp;RID=7U875CNM013","TMQ27027.1")</f>
        <v>TMQ27027.1</v>
      </c>
      <c r="J47" s="5" t="s">
        <v>1634</v>
      </c>
    </row>
    <row r="48" spans="1:10" s="7" customFormat="1" x14ac:dyDescent="0.2">
      <c r="A48" s="5" t="s">
        <v>1743</v>
      </c>
      <c r="B48" s="5" t="s">
        <v>1744</v>
      </c>
      <c r="C48" s="5">
        <v>1079</v>
      </c>
      <c r="D48" s="5">
        <v>1079</v>
      </c>
      <c r="E48" s="6">
        <v>0.99</v>
      </c>
      <c r="F48" s="5">
        <v>0</v>
      </c>
      <c r="G48" s="5">
        <v>64.7</v>
      </c>
      <c r="H48" s="5">
        <v>791</v>
      </c>
      <c r="I48" s="5" t="str">
        <f>HYPERLINK("https://www.ncbi.nlm.nih.gov/protein/WP_011635106.1?report=genbank&amp;log$=prottop&amp;blast_rank=156&amp;RID=7U875CNM013","WP_011635106.1")</f>
        <v>WP_011635106.1</v>
      </c>
      <c r="J48" s="5" t="s">
        <v>1634</v>
      </c>
    </row>
    <row r="49" spans="1:10" s="7" customFormat="1" x14ac:dyDescent="0.2">
      <c r="A49" s="5" t="s">
        <v>1766</v>
      </c>
      <c r="B49" s="5" t="s">
        <v>1767</v>
      </c>
      <c r="C49" s="5">
        <v>1092</v>
      </c>
      <c r="D49" s="5">
        <v>1092</v>
      </c>
      <c r="E49" s="6">
        <v>0.98</v>
      </c>
      <c r="F49" s="5">
        <v>0</v>
      </c>
      <c r="G49" s="5">
        <v>64.63</v>
      </c>
      <c r="H49" s="5">
        <v>796</v>
      </c>
      <c r="I49" s="5" t="str">
        <f>HYPERLINK("https://www.ncbi.nlm.nih.gov/protein/WP_106707738.1?report=genbank&amp;log$=prottop&amp;blast_rank=34&amp;RID=7U875CNM013","WP_106707738.1")</f>
        <v>WP_106707738.1</v>
      </c>
      <c r="J49" s="5" t="s">
        <v>1768</v>
      </c>
    </row>
    <row r="50" spans="1:10" s="7" customFormat="1" x14ac:dyDescent="0.2">
      <c r="A50" s="5" t="s">
        <v>1771</v>
      </c>
      <c r="B50" s="5" t="s">
        <v>1772</v>
      </c>
      <c r="C50" s="5">
        <v>1093</v>
      </c>
      <c r="D50" s="5">
        <v>1093</v>
      </c>
      <c r="E50" s="6">
        <v>0.98</v>
      </c>
      <c r="F50" s="5">
        <v>0</v>
      </c>
      <c r="G50" s="5">
        <v>64.59</v>
      </c>
      <c r="H50" s="5">
        <v>792</v>
      </c>
      <c r="I50" s="5" t="str">
        <f>HYPERLINK("https://www.ncbi.nlm.nih.gov/protein/KFI21629.1?report=genbank&amp;log$=prottop&amp;blast_rank=63&amp;RID=7U875CNM013","KFI21629.1")</f>
        <v>KFI21629.1</v>
      </c>
      <c r="J50" s="5" t="s">
        <v>1773</v>
      </c>
    </row>
    <row r="51" spans="1:10" s="7" customFormat="1" x14ac:dyDescent="0.2">
      <c r="A51" s="5" t="s">
        <v>1774</v>
      </c>
      <c r="B51" s="5" t="s">
        <v>1772</v>
      </c>
      <c r="C51" s="5">
        <v>1093</v>
      </c>
      <c r="D51" s="5">
        <v>1093</v>
      </c>
      <c r="E51" s="6">
        <v>0.98</v>
      </c>
      <c r="F51" s="5">
        <v>0</v>
      </c>
      <c r="G51" s="5">
        <v>64.59</v>
      </c>
      <c r="H51" s="5">
        <v>805</v>
      </c>
      <c r="I51" s="5" t="str">
        <f>HYPERLINK("https://www.ncbi.nlm.nih.gov/protein/WP_051928273.1?report=genbank&amp;log$=prottop&amp;blast_rank=64&amp;RID=7U875CNM013","WP_051928273.1")</f>
        <v>WP_051928273.1</v>
      </c>
      <c r="J51" s="5" t="s">
        <v>1773</v>
      </c>
    </row>
    <row r="52" spans="1:10" s="7" customFormat="1" x14ac:dyDescent="0.2">
      <c r="A52" s="5" t="s">
        <v>1775</v>
      </c>
      <c r="B52" s="5" t="s">
        <v>1776</v>
      </c>
      <c r="C52" s="5">
        <v>1087</v>
      </c>
      <c r="D52" s="5">
        <v>1087</v>
      </c>
      <c r="E52" s="6">
        <v>0.98</v>
      </c>
      <c r="F52" s="5">
        <v>0</v>
      </c>
      <c r="G52" s="5">
        <v>64.59</v>
      </c>
      <c r="H52" s="5">
        <v>789</v>
      </c>
      <c r="I52" s="5" t="str">
        <f>HYPERLINK("https://www.ncbi.nlm.nih.gov/protein/SPQ02001.1?report=genbank&amp;log$=prottop&amp;blast_rank=69&amp;RID=7U875CNM013","SPQ02001.1")</f>
        <v>SPQ02001.1</v>
      </c>
      <c r="J52" s="5" t="s">
        <v>1777</v>
      </c>
    </row>
    <row r="53" spans="1:10" s="7" customFormat="1" x14ac:dyDescent="0.2">
      <c r="A53" s="5" t="s">
        <v>1778</v>
      </c>
      <c r="B53" s="5" t="s">
        <v>1756</v>
      </c>
      <c r="C53" s="5">
        <v>1062</v>
      </c>
      <c r="D53" s="5">
        <v>1062</v>
      </c>
      <c r="E53" s="6">
        <v>0.98</v>
      </c>
      <c r="F53" s="5">
        <v>0</v>
      </c>
      <c r="G53" s="5">
        <v>64.58</v>
      </c>
      <c r="H53" s="5">
        <v>792</v>
      </c>
      <c r="I53" s="5" t="str">
        <f>HYPERLINK("https://www.ncbi.nlm.nih.gov/protein/RIK58683.1?report=genbank&amp;log$=prottop&amp;blast_rank=74&amp;RID=7U875CNM013","RIK58683.1")</f>
        <v>RIK58683.1</v>
      </c>
      <c r="J53" s="5" t="s">
        <v>1634</v>
      </c>
    </row>
    <row r="54" spans="1:10" s="7" customFormat="1" x14ac:dyDescent="0.2">
      <c r="A54" s="5" t="s">
        <v>1779</v>
      </c>
      <c r="B54" s="5" t="s">
        <v>1780</v>
      </c>
      <c r="C54" s="5">
        <v>1089</v>
      </c>
      <c r="D54" s="5">
        <v>1089</v>
      </c>
      <c r="E54" s="6">
        <v>0.99</v>
      </c>
      <c r="F54" s="5">
        <v>0</v>
      </c>
      <c r="G54" s="5">
        <v>64.569999999999993</v>
      </c>
      <c r="H54" s="5">
        <v>790</v>
      </c>
      <c r="I54" s="5" t="str">
        <f>HYPERLINK("https://www.ncbi.nlm.nih.gov/protein/WP_090413399.1?report=genbank&amp;log$=prottop&amp;blast_rank=79&amp;RID=7U875CNM013","WP_090413399.1")</f>
        <v>WP_090413399.1</v>
      </c>
      <c r="J54" s="5" t="s">
        <v>1634</v>
      </c>
    </row>
    <row r="55" spans="1:10" s="7" customFormat="1" x14ac:dyDescent="0.2">
      <c r="A55" s="5" t="s">
        <v>1743</v>
      </c>
      <c r="B55" s="5" t="s">
        <v>1744</v>
      </c>
      <c r="C55" s="5">
        <v>1077</v>
      </c>
      <c r="D55" s="5">
        <v>1077</v>
      </c>
      <c r="E55" s="6">
        <v>0.99</v>
      </c>
      <c r="F55" s="5">
        <v>0</v>
      </c>
      <c r="G55" s="5">
        <v>64.569999999999993</v>
      </c>
      <c r="H55" s="5">
        <v>791</v>
      </c>
      <c r="I55" s="5" t="str">
        <f>HYPERLINK("https://www.ncbi.nlm.nih.gov/protein/WP_074709799.1?report=genbank&amp;log$=prottop&amp;blast_rank=80&amp;RID=7U875CNM013","WP_074709799.1")</f>
        <v>WP_074709799.1</v>
      </c>
      <c r="J55" s="5" t="s">
        <v>1634</v>
      </c>
    </row>
    <row r="56" spans="1:10" s="7" customFormat="1" x14ac:dyDescent="0.2">
      <c r="A56" s="5" t="s">
        <v>1743</v>
      </c>
      <c r="B56" s="5" t="s">
        <v>1744</v>
      </c>
      <c r="C56" s="5">
        <v>1077</v>
      </c>
      <c r="D56" s="5">
        <v>1077</v>
      </c>
      <c r="E56" s="6">
        <v>0.99</v>
      </c>
      <c r="F56" s="5">
        <v>0</v>
      </c>
      <c r="G56" s="5">
        <v>64.569999999999993</v>
      </c>
      <c r="H56" s="5">
        <v>791</v>
      </c>
      <c r="I56" s="5" t="str">
        <f>HYPERLINK("https://www.ncbi.nlm.nih.gov/protein/WP_074455894.1?report=genbank&amp;log$=prottop&amp;blast_rank=81&amp;RID=7U875CNM013","WP_074455894.1")</f>
        <v>WP_074455894.1</v>
      </c>
      <c r="J56" s="5" t="s">
        <v>1634</v>
      </c>
    </row>
    <row r="57" spans="1:10" s="7" customFormat="1" x14ac:dyDescent="0.2">
      <c r="A57" s="5" t="s">
        <v>1781</v>
      </c>
      <c r="B57" s="5" t="s">
        <v>1782</v>
      </c>
      <c r="C57" s="5">
        <v>1076</v>
      </c>
      <c r="D57" s="5">
        <v>1076</v>
      </c>
      <c r="E57" s="6">
        <v>0.99</v>
      </c>
      <c r="F57" s="5">
        <v>0</v>
      </c>
      <c r="G57" s="5">
        <v>64.569999999999993</v>
      </c>
      <c r="H57" s="5">
        <v>791</v>
      </c>
      <c r="I57" s="5" t="str">
        <f>HYPERLINK("https://www.ncbi.nlm.nih.gov/protein/WP_074684930.1?report=genbank&amp;log$=prottop&amp;blast_rank=82&amp;RID=7U875CNM013","WP_074684930.1")</f>
        <v>WP_074684930.1</v>
      </c>
      <c r="J57" s="5" t="s">
        <v>1634</v>
      </c>
    </row>
    <row r="58" spans="1:10" s="7" customFormat="1" x14ac:dyDescent="0.2">
      <c r="A58" s="5" t="s">
        <v>1755</v>
      </c>
      <c r="B58" s="5" t="s">
        <v>1756</v>
      </c>
      <c r="C58" s="5">
        <v>1073</v>
      </c>
      <c r="D58" s="5">
        <v>1073</v>
      </c>
      <c r="E58" s="6">
        <v>0.98</v>
      </c>
      <c r="F58" s="5">
        <v>0</v>
      </c>
      <c r="G58" s="5">
        <v>64.56</v>
      </c>
      <c r="H58" s="5">
        <v>792</v>
      </c>
      <c r="I58" s="5" t="str">
        <f>HYPERLINK("https://www.ncbi.nlm.nih.gov/protein/TKB82615.1?report=genbank&amp;log$=prottop&amp;blast_rank=92&amp;RID=7U875CNM013","TKB82615.1")</f>
        <v>TKB82615.1</v>
      </c>
      <c r="J58" s="5" t="s">
        <v>1634</v>
      </c>
    </row>
    <row r="59" spans="1:10" s="7" customFormat="1" x14ac:dyDescent="0.2">
      <c r="A59" s="5" t="s">
        <v>1783</v>
      </c>
      <c r="B59" s="5" t="s">
        <v>1784</v>
      </c>
      <c r="C59" s="5">
        <v>1072</v>
      </c>
      <c r="D59" s="5">
        <v>1072</v>
      </c>
      <c r="E59" s="6">
        <v>0.98</v>
      </c>
      <c r="F59" s="5">
        <v>0</v>
      </c>
      <c r="G59" s="5">
        <v>64.56</v>
      </c>
      <c r="H59" s="5">
        <v>792</v>
      </c>
      <c r="I59" s="5" t="str">
        <f>HYPERLINK("https://www.ncbi.nlm.nih.gov/protein/THJ24353.1?report=genbank&amp;log$=prottop&amp;blast_rank=93&amp;RID=7U875CNM013","THJ24353.1")</f>
        <v>THJ24353.1</v>
      </c>
      <c r="J59" s="5" t="s">
        <v>1634</v>
      </c>
    </row>
    <row r="60" spans="1:10" s="7" customFormat="1" x14ac:dyDescent="0.2">
      <c r="A60" s="5" t="s">
        <v>1790</v>
      </c>
      <c r="B60" s="5" t="s">
        <v>1791</v>
      </c>
      <c r="C60" s="5">
        <v>1095</v>
      </c>
      <c r="D60" s="5">
        <v>1095</v>
      </c>
      <c r="E60" s="6">
        <v>0.99</v>
      </c>
      <c r="F60" s="5">
        <v>0</v>
      </c>
      <c r="G60" s="5">
        <v>64.53</v>
      </c>
      <c r="H60" s="5">
        <v>799</v>
      </c>
      <c r="I60" s="5" t="str">
        <f>HYPERLINK("https://www.ncbi.nlm.nih.gov/protein/PIV85195.1?report=genbank&amp;log$=prottop&amp;blast_rank=110&amp;RID=7U875CNM013","PIV85195.1")</f>
        <v>PIV85195.1</v>
      </c>
      <c r="J60" s="5" t="s">
        <v>1634</v>
      </c>
    </row>
    <row r="61" spans="1:10" s="7" customFormat="1" x14ac:dyDescent="0.2">
      <c r="A61" s="5" t="s">
        <v>1792</v>
      </c>
      <c r="B61" s="5" t="s">
        <v>1793</v>
      </c>
      <c r="C61" s="5">
        <v>1095</v>
      </c>
      <c r="D61" s="5">
        <v>1095</v>
      </c>
      <c r="E61" s="6">
        <v>0.99</v>
      </c>
      <c r="F61" s="5">
        <v>0</v>
      </c>
      <c r="G61" s="5">
        <v>64.53</v>
      </c>
      <c r="H61" s="5">
        <v>799</v>
      </c>
      <c r="I61" s="5" t="str">
        <f>HYPERLINK("https://www.ncbi.nlm.nih.gov/protein/PIS36906.1?report=genbank&amp;log$=prottop&amp;blast_rank=111&amp;RID=7U875CNM013","PIS36906.1")</f>
        <v>PIS36906.1</v>
      </c>
      <c r="J61" s="5" t="s">
        <v>1634</v>
      </c>
    </row>
    <row r="62" spans="1:10" s="7" customFormat="1" x14ac:dyDescent="0.2">
      <c r="A62" s="5" t="s">
        <v>1774</v>
      </c>
      <c r="B62" s="5" t="s">
        <v>1772</v>
      </c>
      <c r="C62" s="5">
        <v>1092</v>
      </c>
      <c r="D62" s="5">
        <v>1092</v>
      </c>
      <c r="E62" s="6">
        <v>0.98</v>
      </c>
      <c r="F62" s="5">
        <v>0</v>
      </c>
      <c r="G62" s="5">
        <v>64.47</v>
      </c>
      <c r="H62" s="5">
        <v>804</v>
      </c>
      <c r="I62" s="5" t="str">
        <f>HYPERLINK("https://www.ncbi.nlm.nih.gov/protein/WP_002814214.1?report=genbank&amp;log$=prottop&amp;blast_rank=147&amp;RID=7U875CNM013","WP_002814214.1")</f>
        <v>WP_002814214.1</v>
      </c>
      <c r="J62" s="5" t="s">
        <v>1634</v>
      </c>
    </row>
    <row r="63" spans="1:10" s="7" customFormat="1" x14ac:dyDescent="0.2">
      <c r="A63" s="5" t="s">
        <v>1796</v>
      </c>
      <c r="B63" s="5" t="s">
        <v>1797</v>
      </c>
      <c r="C63" s="5">
        <v>1091</v>
      </c>
      <c r="D63" s="5">
        <v>1091</v>
      </c>
      <c r="E63" s="6">
        <v>0.98</v>
      </c>
      <c r="F63" s="5">
        <v>0</v>
      </c>
      <c r="G63" s="5">
        <v>64.47</v>
      </c>
      <c r="H63" s="5">
        <v>791</v>
      </c>
      <c r="I63" s="5" t="str">
        <f>HYPERLINK("https://www.ncbi.nlm.nih.gov/protein/KFI18403.1?report=genbank&amp;log$=prottop&amp;blast_rank=148&amp;RID=7U875CNM013","KFI18403.1")</f>
        <v>KFI18403.1</v>
      </c>
      <c r="J63" s="5" t="s">
        <v>1634</v>
      </c>
    </row>
    <row r="64" spans="1:10" s="7" customFormat="1" x14ac:dyDescent="0.2">
      <c r="A64" s="5" t="s">
        <v>1755</v>
      </c>
      <c r="B64" s="5" t="s">
        <v>1756</v>
      </c>
      <c r="C64" s="5">
        <v>1033</v>
      </c>
      <c r="D64" s="5">
        <v>1033</v>
      </c>
      <c r="E64" s="6">
        <v>0.96</v>
      </c>
      <c r="F64" s="5">
        <v>0</v>
      </c>
      <c r="G64" s="5">
        <v>64.459999999999994</v>
      </c>
      <c r="H64" s="5">
        <v>776</v>
      </c>
      <c r="I64" s="5" t="str">
        <f>HYPERLINK("https://www.ncbi.nlm.nih.gov/protein/MBL8075243.1?report=genbank&amp;log$=prottop&amp;blast_rank=152&amp;RID=7U875CNM013","MBL8075243.1")</f>
        <v>MBL8075243.1</v>
      </c>
      <c r="J64" s="5" t="s">
        <v>1634</v>
      </c>
    </row>
    <row r="65" spans="1:10" s="7" customFormat="1" x14ac:dyDescent="0.2">
      <c r="A65" s="5" t="s">
        <v>1755</v>
      </c>
      <c r="B65" s="5" t="s">
        <v>1756</v>
      </c>
      <c r="C65" s="5">
        <v>1061</v>
      </c>
      <c r="D65" s="5">
        <v>1061</v>
      </c>
      <c r="E65" s="6">
        <v>0.98</v>
      </c>
      <c r="F65" s="5">
        <v>0</v>
      </c>
      <c r="G65" s="5">
        <v>64.45</v>
      </c>
      <c r="H65" s="5">
        <v>792</v>
      </c>
      <c r="I65" s="5" t="str">
        <f>HYPERLINK("https://www.ncbi.nlm.nih.gov/protein/QOJ36215.1?report=genbank&amp;log$=prottop&amp;blast_rank=166&amp;RID=7U875CNM013","QOJ36215.1")</f>
        <v>QOJ36215.1</v>
      </c>
      <c r="J65" s="5" t="s">
        <v>1634</v>
      </c>
    </row>
    <row r="66" spans="1:10" s="4" customFormat="1" x14ac:dyDescent="0.2">
      <c r="A66" s="1" t="s">
        <v>1737</v>
      </c>
      <c r="B66" s="1" t="s">
        <v>1713</v>
      </c>
      <c r="C66" s="1">
        <v>1073</v>
      </c>
      <c r="D66" s="1">
        <v>1073</v>
      </c>
      <c r="E66" s="2">
        <v>0.98</v>
      </c>
      <c r="F66" s="1">
        <v>0</v>
      </c>
      <c r="G66" s="1">
        <v>64.41</v>
      </c>
      <c r="H66" s="1">
        <v>802</v>
      </c>
      <c r="I66" s="1" t="str">
        <f>HYPERLINK("https://www.ncbi.nlm.nih.gov/protein/HBP89706.1?report=genbank&amp;log$=prottop&amp;blast_rank=22&amp;RID=7U875CNM013","HBP89706.1")</f>
        <v>HBP89706.1</v>
      </c>
      <c r="J66" s="5" t="s">
        <v>1705</v>
      </c>
    </row>
    <row r="67" spans="1:10" s="4" customFormat="1" x14ac:dyDescent="0.2">
      <c r="A67" s="1" t="s">
        <v>1755</v>
      </c>
      <c r="B67" s="1" t="s">
        <v>1756</v>
      </c>
      <c r="C67" s="1">
        <v>1055</v>
      </c>
      <c r="D67" s="1">
        <v>1055</v>
      </c>
      <c r="E67" s="2">
        <v>0.98</v>
      </c>
      <c r="F67" s="1">
        <v>0</v>
      </c>
      <c r="G67" s="1">
        <v>64.41</v>
      </c>
      <c r="H67" s="1">
        <v>799</v>
      </c>
      <c r="I67" s="1" t="str">
        <f>HYPERLINK("https://www.ncbi.nlm.nih.gov/protein/MBM4127657.1?report=genbank&amp;log$=prottop&amp;blast_rank=31&amp;RID=7U875CNM013","MBM4127657.1")</f>
        <v>MBM4127657.1</v>
      </c>
      <c r="J67" s="5" t="s">
        <v>1634</v>
      </c>
    </row>
    <row r="68" spans="1:10" s="4" customFormat="1" x14ac:dyDescent="0.2">
      <c r="A68" s="1" t="s">
        <v>1801</v>
      </c>
      <c r="B68" s="1" t="s">
        <v>1802</v>
      </c>
      <c r="C68" s="1">
        <v>1080</v>
      </c>
      <c r="D68" s="1">
        <v>1080</v>
      </c>
      <c r="E68" s="2">
        <v>0.99</v>
      </c>
      <c r="F68" s="1">
        <v>0</v>
      </c>
      <c r="G68" s="1">
        <v>64.400000000000006</v>
      </c>
      <c r="H68" s="1">
        <v>796</v>
      </c>
      <c r="I68" s="1" t="str">
        <f>HYPERLINK("https://www.ncbi.nlm.nih.gov/protein/WP_113071725.1?report=genbank&amp;log$=prottop&amp;blast_rank=49&amp;RID=7U875CNM013","WP_113071725.1")</f>
        <v>WP_113071725.1</v>
      </c>
      <c r="J68" s="5" t="s">
        <v>1634</v>
      </c>
    </row>
    <row r="69" spans="1:10" s="4" customFormat="1" x14ac:dyDescent="0.2">
      <c r="A69" s="1" t="s">
        <v>1803</v>
      </c>
      <c r="B69" s="1" t="s">
        <v>1804</v>
      </c>
      <c r="C69" s="1">
        <v>1092</v>
      </c>
      <c r="D69" s="1">
        <v>1092</v>
      </c>
      <c r="E69" s="2">
        <v>0.98</v>
      </c>
      <c r="F69" s="1">
        <v>0</v>
      </c>
      <c r="G69" s="1">
        <v>64.39</v>
      </c>
      <c r="H69" s="1">
        <v>801</v>
      </c>
      <c r="I69" s="1" t="str">
        <f>HYPERLINK("https://www.ncbi.nlm.nih.gov/protein/WP_004179345.1?report=genbank&amp;log$=prottop&amp;blast_rank=59&amp;RID=7U875CNM013","WP_004179345.1")</f>
        <v>WP_004179345.1</v>
      </c>
      <c r="J69" s="5" t="s">
        <v>1634</v>
      </c>
    </row>
    <row r="70" spans="1:10" s="4" customFormat="1" x14ac:dyDescent="0.2">
      <c r="A70" s="1" t="s">
        <v>1805</v>
      </c>
      <c r="B70" s="1" t="s">
        <v>1806</v>
      </c>
      <c r="C70" s="1">
        <v>1050</v>
      </c>
      <c r="D70" s="1">
        <v>1050</v>
      </c>
      <c r="E70" s="2">
        <v>0.98</v>
      </c>
      <c r="F70" s="1">
        <v>0</v>
      </c>
      <c r="G70" s="1">
        <v>64.38</v>
      </c>
      <c r="H70" s="1">
        <v>792</v>
      </c>
      <c r="I70" s="1" t="str">
        <f>HYPERLINK("https://www.ncbi.nlm.nih.gov/protein/THJ25364.1?report=genbank&amp;log$=prottop&amp;blast_rank=72&amp;RID=7U875CNM013","THJ25364.1")</f>
        <v>THJ25364.1</v>
      </c>
      <c r="J70" s="5" t="s">
        <v>1634</v>
      </c>
    </row>
    <row r="71" spans="1:10" s="4" customFormat="1" x14ac:dyDescent="0.2">
      <c r="A71" s="1" t="s">
        <v>1809</v>
      </c>
      <c r="B71" s="1" t="s">
        <v>1127</v>
      </c>
      <c r="C71" s="1">
        <v>1048</v>
      </c>
      <c r="D71" s="1">
        <v>1048</v>
      </c>
      <c r="E71" s="2">
        <v>0.97</v>
      </c>
      <c r="F71" s="1">
        <v>0</v>
      </c>
      <c r="G71" s="1">
        <v>64.3</v>
      </c>
      <c r="H71" s="1">
        <v>788</v>
      </c>
      <c r="I71" s="1" t="str">
        <f>HYPERLINK("https://www.ncbi.nlm.nih.gov/protein/EAQ36196.1?report=genbank&amp;log$=prottop&amp;blast_rank=122&amp;RID=7U875CNM013","EAQ36196.1")</f>
        <v>EAQ36196.1</v>
      </c>
      <c r="J71" s="5" t="s">
        <v>1634</v>
      </c>
    </row>
    <row r="72" spans="1:10" s="4" customFormat="1" x14ac:dyDescent="0.2">
      <c r="A72" s="1" t="s">
        <v>1810</v>
      </c>
      <c r="B72" s="1" t="s">
        <v>1811</v>
      </c>
      <c r="C72" s="1">
        <v>1033</v>
      </c>
      <c r="D72" s="1">
        <v>1033</v>
      </c>
      <c r="E72" s="2">
        <v>0.97</v>
      </c>
      <c r="F72" s="1">
        <v>0</v>
      </c>
      <c r="G72" s="1">
        <v>64.3</v>
      </c>
      <c r="H72" s="1">
        <v>793</v>
      </c>
      <c r="I72" s="1" t="str">
        <f>HYPERLINK("https://www.ncbi.nlm.nih.gov/protein/OQW32686.1?report=genbank&amp;log$=prottop&amp;blast_rank=123&amp;RID=7U875CNM013","OQW32686.1")</f>
        <v>OQW32686.1</v>
      </c>
      <c r="J72" s="5" t="s">
        <v>1634</v>
      </c>
    </row>
    <row r="73" spans="1:10" s="4" customFormat="1" x14ac:dyDescent="0.2">
      <c r="A73" s="1" t="s">
        <v>1821</v>
      </c>
      <c r="B73" s="1" t="s">
        <v>1822</v>
      </c>
      <c r="C73" s="1">
        <v>1026</v>
      </c>
      <c r="D73" s="1">
        <v>1026</v>
      </c>
      <c r="E73" s="2">
        <v>0.98</v>
      </c>
      <c r="F73" s="1">
        <v>0</v>
      </c>
      <c r="G73" s="1">
        <v>64.290000000000006</v>
      </c>
      <c r="H73" s="1">
        <v>802</v>
      </c>
      <c r="I73" s="1" t="str">
        <f>HYPERLINK("https://www.ncbi.nlm.nih.gov/protein/NGZ11265.1?report=genbank&amp;log$=prottop&amp;blast_rank=154&amp;RID=7U875CNM013","NGZ11265.1")</f>
        <v>NGZ11265.1</v>
      </c>
      <c r="J73" s="1" t="s">
        <v>1634</v>
      </c>
    </row>
    <row r="74" spans="1:10" s="4" customFormat="1" x14ac:dyDescent="0.2">
      <c r="A74" s="1" t="s">
        <v>1823</v>
      </c>
      <c r="B74" s="1" t="s">
        <v>1824</v>
      </c>
      <c r="C74" s="1">
        <v>1077</v>
      </c>
      <c r="D74" s="1">
        <v>1077</v>
      </c>
      <c r="E74" s="2">
        <v>0.99</v>
      </c>
      <c r="F74" s="1">
        <v>0</v>
      </c>
      <c r="G74" s="1">
        <v>64.28</v>
      </c>
      <c r="H74" s="1">
        <v>796</v>
      </c>
      <c r="I74" s="1" t="str">
        <f>HYPERLINK("https://www.ncbi.nlm.nih.gov/protein/WP_025040639.1?report=genbank&amp;log$=prottop&amp;blast_rank=156&amp;RID=7U875CNM013","WP_025040639.1")</f>
        <v>WP_025040639.1</v>
      </c>
      <c r="J74" s="1" t="s">
        <v>1634</v>
      </c>
    </row>
    <row r="75" spans="1:10" s="4" customFormat="1" x14ac:dyDescent="0.2">
      <c r="A75" s="1" t="s">
        <v>1825</v>
      </c>
      <c r="B75" s="1" t="s">
        <v>1826</v>
      </c>
      <c r="C75" s="1">
        <v>1088</v>
      </c>
      <c r="D75" s="1">
        <v>1088</v>
      </c>
      <c r="E75" s="2">
        <v>0.99</v>
      </c>
      <c r="F75" s="1">
        <v>0</v>
      </c>
      <c r="G75" s="1">
        <v>64.27</v>
      </c>
      <c r="H75" s="1">
        <v>793</v>
      </c>
      <c r="I75" s="1" t="str">
        <f>HYPERLINK("https://www.ncbi.nlm.nih.gov/protein/MBA3964252.1?report=genbank&amp;log$=prottop&amp;blast_rank=164&amp;RID=7U875CNM013","MBA3964252.1")</f>
        <v>MBA3964252.1</v>
      </c>
      <c r="J75" s="1" t="s">
        <v>1705</v>
      </c>
    </row>
    <row r="76" spans="1:10" s="4" customFormat="1" x14ac:dyDescent="0.2">
      <c r="A76" s="1" t="s">
        <v>1827</v>
      </c>
      <c r="B76" s="1" t="s">
        <v>1828</v>
      </c>
      <c r="C76" s="1">
        <v>1082</v>
      </c>
      <c r="D76" s="1">
        <v>1082</v>
      </c>
      <c r="E76" s="2">
        <v>0.98</v>
      </c>
      <c r="F76" s="1">
        <v>0</v>
      </c>
      <c r="G76" s="1">
        <v>64.260000000000005</v>
      </c>
      <c r="H76" s="1">
        <v>803</v>
      </c>
      <c r="I76" s="1" t="str">
        <f>HYPERLINK("https://www.ncbi.nlm.nih.gov/protein/ODT70530.1?report=genbank&amp;log$=prottop&amp;blast_rank=179&amp;RID=7U875CNM013","ODT70530.1")</f>
        <v>ODT70530.1</v>
      </c>
      <c r="J76" s="1" t="s">
        <v>1634</v>
      </c>
    </row>
    <row r="77" spans="1:10" s="7" customFormat="1" x14ac:dyDescent="0.2">
      <c r="A77" s="5" t="s">
        <v>1829</v>
      </c>
      <c r="B77" s="5" t="s">
        <v>1830</v>
      </c>
      <c r="C77" s="5">
        <v>1093</v>
      </c>
      <c r="D77" s="5">
        <v>1093</v>
      </c>
      <c r="E77" s="6">
        <v>0.98</v>
      </c>
      <c r="F77" s="5">
        <v>0</v>
      </c>
      <c r="G77" s="5">
        <v>64.2</v>
      </c>
      <c r="H77" s="5">
        <v>786</v>
      </c>
      <c r="I77" s="5" t="str">
        <f>HYPERLINK("https://www.ncbi.nlm.nih.gov/protein/OGW53356.1?report=genbank&amp;log$=prottop&amp;blast_rank=26&amp;RID=7U875CNM013","OGW53356.1")</f>
        <v>OGW53356.1</v>
      </c>
      <c r="J77" s="5" t="s">
        <v>1634</v>
      </c>
    </row>
    <row r="78" spans="1:10" s="7" customFormat="1" x14ac:dyDescent="0.2">
      <c r="A78" s="5" t="s">
        <v>1833</v>
      </c>
      <c r="B78" s="5" t="s">
        <v>1834</v>
      </c>
      <c r="C78" s="5">
        <v>1032</v>
      </c>
      <c r="D78" s="5">
        <v>1032</v>
      </c>
      <c r="E78" s="6">
        <v>0.97</v>
      </c>
      <c r="F78" s="5">
        <v>0</v>
      </c>
      <c r="G78" s="5">
        <v>64.180000000000007</v>
      </c>
      <c r="H78" s="5">
        <v>798</v>
      </c>
      <c r="I78" s="5" t="str">
        <f>HYPERLINK("https://www.ncbi.nlm.nih.gov/protein/THJ19058.1?report=genbank&amp;log$=prottop&amp;blast_rank=55&amp;RID=7U875CNM013","THJ19058.1")</f>
        <v>THJ19058.1</v>
      </c>
      <c r="J78" s="5" t="s">
        <v>1634</v>
      </c>
    </row>
    <row r="79" spans="1:10" s="7" customFormat="1" x14ac:dyDescent="0.2">
      <c r="A79" s="5" t="s">
        <v>1835</v>
      </c>
      <c r="B79" s="5" t="s">
        <v>1836</v>
      </c>
      <c r="C79" s="5">
        <v>1068</v>
      </c>
      <c r="D79" s="5">
        <v>1068</v>
      </c>
      <c r="E79" s="6">
        <v>0.98</v>
      </c>
      <c r="F79" s="5">
        <v>0</v>
      </c>
      <c r="G79" s="5">
        <v>64.16</v>
      </c>
      <c r="H79" s="5">
        <v>803</v>
      </c>
      <c r="I79" s="5" t="str">
        <f>HYPERLINK("https://www.ncbi.nlm.nih.gov/protein/WP_080888595.1?report=genbank&amp;log$=prottop&amp;blast_rank=67&amp;RID=7U875CNM013","WP_080888595.1")</f>
        <v>WP_080888595.1</v>
      </c>
      <c r="J79" s="5" t="s">
        <v>1634</v>
      </c>
    </row>
    <row r="80" spans="1:10" s="7" customFormat="1" x14ac:dyDescent="0.2">
      <c r="A80" s="5" t="s">
        <v>1755</v>
      </c>
      <c r="B80" s="5" t="s">
        <v>1756</v>
      </c>
      <c r="C80" s="5">
        <v>1060</v>
      </c>
      <c r="D80" s="5">
        <v>1060</v>
      </c>
      <c r="E80" s="6">
        <v>0.98</v>
      </c>
      <c r="F80" s="5">
        <v>0</v>
      </c>
      <c r="G80" s="5">
        <v>64.12</v>
      </c>
      <c r="H80" s="5">
        <v>800</v>
      </c>
      <c r="I80" s="5" t="str">
        <f>HYPERLINK("https://www.ncbi.nlm.nih.gov/protein/MBH0198950.1?report=genbank&amp;log$=prottop&amp;blast_rank=116&amp;RID=7U875CNM013","MBH0198950.1")</f>
        <v>MBH0198950.1</v>
      </c>
      <c r="J80" s="5" t="s">
        <v>1634</v>
      </c>
    </row>
    <row r="81" spans="1:10" s="7" customFormat="1" x14ac:dyDescent="0.2">
      <c r="A81" s="5" t="s">
        <v>1712</v>
      </c>
      <c r="B81" s="5" t="s">
        <v>1713</v>
      </c>
      <c r="C81" s="5">
        <v>1031</v>
      </c>
      <c r="D81" s="5">
        <v>1031</v>
      </c>
      <c r="E81" s="6">
        <v>0.98</v>
      </c>
      <c r="F81" s="5">
        <v>0</v>
      </c>
      <c r="G81" s="5">
        <v>64.11</v>
      </c>
      <c r="H81" s="5">
        <v>787</v>
      </c>
      <c r="I81" s="5" t="str">
        <f>HYPERLINK("https://www.ncbi.nlm.nih.gov/protein/MBK5282017.1?report=genbank&amp;log$=prottop&amp;blast_rank=133&amp;RID=7U875CNM013","MBK5282017.1")</f>
        <v>MBK5282017.1</v>
      </c>
      <c r="J81" s="5" t="s">
        <v>1634</v>
      </c>
    </row>
    <row r="82" spans="1:10" s="7" customFormat="1" x14ac:dyDescent="0.2">
      <c r="A82" s="5" t="s">
        <v>1703</v>
      </c>
      <c r="B82" s="5" t="s">
        <v>1704</v>
      </c>
      <c r="C82" s="5">
        <v>1085</v>
      </c>
      <c r="D82" s="5">
        <v>1085</v>
      </c>
      <c r="E82" s="6">
        <v>0.98</v>
      </c>
      <c r="F82" s="5">
        <v>0</v>
      </c>
      <c r="G82" s="5">
        <v>64.08</v>
      </c>
      <c r="H82" s="5">
        <v>790</v>
      </c>
      <c r="I82" s="5" t="str">
        <f>HYPERLINK("https://www.ncbi.nlm.nih.gov/protein/MBI4826187.1?report=genbank&amp;log$=prottop&amp;blast_rank=143&amp;RID=7U875CNM013","MBI4826187.1")</f>
        <v>MBI4826187.1</v>
      </c>
      <c r="J82" s="5" t="s">
        <v>1634</v>
      </c>
    </row>
    <row r="83" spans="1:10" s="7" customFormat="1" x14ac:dyDescent="0.2">
      <c r="A83" s="5" t="s">
        <v>1755</v>
      </c>
      <c r="B83" s="5" t="s">
        <v>1756</v>
      </c>
      <c r="C83" s="5">
        <v>1045</v>
      </c>
      <c r="D83" s="5">
        <v>1045</v>
      </c>
      <c r="E83" s="6">
        <v>0.98</v>
      </c>
      <c r="F83" s="5">
        <v>0</v>
      </c>
      <c r="G83" s="5">
        <v>64.069999999999993</v>
      </c>
      <c r="H83" s="5">
        <v>791</v>
      </c>
      <c r="I83" s="5" t="str">
        <f>HYPERLINK("https://www.ncbi.nlm.nih.gov/protein/MBL8042336.1?report=genbank&amp;log$=prottop&amp;blast_rank=161&amp;RID=7U875CNM013","MBL8042336.1")</f>
        <v>MBL8042336.1</v>
      </c>
      <c r="J83" s="5" t="s">
        <v>1634</v>
      </c>
    </row>
    <row r="84" spans="1:10" s="7" customFormat="1" x14ac:dyDescent="0.2">
      <c r="A84" s="5" t="s">
        <v>1801</v>
      </c>
      <c r="B84" s="5" t="s">
        <v>1802</v>
      </c>
      <c r="C84" s="5">
        <v>1080</v>
      </c>
      <c r="D84" s="5">
        <v>1080</v>
      </c>
      <c r="E84" s="6">
        <v>0.98</v>
      </c>
      <c r="F84" s="5">
        <v>0</v>
      </c>
      <c r="G84" s="5">
        <v>64.040000000000006</v>
      </c>
      <c r="H84" s="5">
        <v>807</v>
      </c>
      <c r="I84" s="5" t="str">
        <f>HYPERLINK("https://www.ncbi.nlm.nih.gov/protein/WP_074773385.1?report=genbank&amp;log$=prottop&amp;blast_rank=214&amp;RID=7U875CNM013","WP_074773385.1")</f>
        <v>WP_074773385.1</v>
      </c>
      <c r="J84" s="5" t="s">
        <v>1634</v>
      </c>
    </row>
    <row r="85" spans="1:10" s="7" customFormat="1" x14ac:dyDescent="0.2">
      <c r="A85" s="5" t="s">
        <v>1856</v>
      </c>
      <c r="B85" s="5" t="s">
        <v>1857</v>
      </c>
      <c r="C85" s="5">
        <v>1091</v>
      </c>
      <c r="D85" s="5">
        <v>1091</v>
      </c>
      <c r="E85" s="6">
        <v>0.98</v>
      </c>
      <c r="F85" s="5">
        <v>0</v>
      </c>
      <c r="G85" s="5">
        <v>64.03</v>
      </c>
      <c r="H85" s="5">
        <v>820</v>
      </c>
      <c r="I85" s="5" t="str">
        <f>HYPERLINK("https://www.ncbi.nlm.nih.gov/protein/WP_097066403.1?report=genbank&amp;log$=prottop&amp;blast_rank=228&amp;RID=7U875CNM013","WP_097066403.1")</f>
        <v>WP_097066403.1</v>
      </c>
      <c r="J85" s="5" t="s">
        <v>1634</v>
      </c>
    </row>
    <row r="86" spans="1:10" s="7" customFormat="1" x14ac:dyDescent="0.2">
      <c r="A86" s="5" t="s">
        <v>1858</v>
      </c>
      <c r="B86" s="5" t="s">
        <v>1859</v>
      </c>
      <c r="C86" s="5">
        <v>1075</v>
      </c>
      <c r="D86" s="5">
        <v>1075</v>
      </c>
      <c r="E86" s="6">
        <v>0.99</v>
      </c>
      <c r="F86" s="5">
        <v>0</v>
      </c>
      <c r="G86" s="5">
        <v>64.03</v>
      </c>
      <c r="H86" s="5">
        <v>796</v>
      </c>
      <c r="I86" s="5" t="str">
        <f>HYPERLINK("https://www.ncbi.nlm.nih.gov/protein/WP_107730587.1?report=genbank&amp;log$=prottop&amp;blast_rank=229&amp;RID=7U875CNM013","WP_107730587.1")</f>
        <v>WP_107730587.1</v>
      </c>
      <c r="J86" s="5" t="s">
        <v>1634</v>
      </c>
    </row>
    <row r="87" spans="1:10" s="7" customFormat="1" x14ac:dyDescent="0.2">
      <c r="A87" s="5" t="s">
        <v>1860</v>
      </c>
      <c r="B87" s="5" t="s">
        <v>1861</v>
      </c>
      <c r="C87" s="5">
        <v>1073</v>
      </c>
      <c r="D87" s="5">
        <v>1073</v>
      </c>
      <c r="E87" s="6">
        <v>0.99</v>
      </c>
      <c r="F87" s="5">
        <v>0</v>
      </c>
      <c r="G87" s="5">
        <v>64.03</v>
      </c>
      <c r="H87" s="5">
        <v>796</v>
      </c>
      <c r="I87" s="5" t="str">
        <f>HYPERLINK("https://www.ncbi.nlm.nih.gov/protein/WP_072767367.1?report=genbank&amp;log$=prottop&amp;blast_rank=230&amp;RID=7U875CNM013","WP_072767367.1")</f>
        <v>WP_072767367.1</v>
      </c>
      <c r="J87" s="5" t="s">
        <v>1634</v>
      </c>
    </row>
    <row r="88" spans="1:10" s="7" customFormat="1" x14ac:dyDescent="0.2">
      <c r="A88" s="5" t="s">
        <v>1862</v>
      </c>
      <c r="B88" s="5" t="s">
        <v>1863</v>
      </c>
      <c r="C88" s="5">
        <v>1050</v>
      </c>
      <c r="D88" s="5">
        <v>1050</v>
      </c>
      <c r="E88" s="6">
        <v>0.98</v>
      </c>
      <c r="F88" s="5">
        <v>0</v>
      </c>
      <c r="G88" s="5">
        <v>64.010000000000005</v>
      </c>
      <c r="H88" s="5">
        <v>805</v>
      </c>
      <c r="I88" s="5" t="str">
        <f>HYPERLINK("https://www.ncbi.nlm.nih.gov/protein/WP_107694255.1?report=genbank&amp;log$=prottop&amp;blast_rank=242&amp;RID=7U875CNM013","WP_107694255.1")</f>
        <v>WP_107694255.1</v>
      </c>
      <c r="J88" s="5" t="s">
        <v>1634</v>
      </c>
    </row>
    <row r="89" spans="1:10" s="7" customFormat="1" x14ac:dyDescent="0.2">
      <c r="A89" s="5" t="s">
        <v>1867</v>
      </c>
      <c r="B89" s="5" t="s">
        <v>1868</v>
      </c>
      <c r="C89" s="5">
        <v>1074</v>
      </c>
      <c r="D89" s="5">
        <v>1074</v>
      </c>
      <c r="E89" s="6">
        <v>0.98</v>
      </c>
      <c r="F89" s="5">
        <v>0</v>
      </c>
      <c r="G89" s="5">
        <v>63.99</v>
      </c>
      <c r="H89" s="5">
        <v>790</v>
      </c>
      <c r="I89" s="5" t="str">
        <f>HYPERLINK("https://www.ncbi.nlm.nih.gov/protein/WP_160808591.1?report=genbank&amp;log$=prottop&amp;blast_rank=12&amp;RID=7U875CNM013","WP_160808591.1")</f>
        <v>WP_160808591.1</v>
      </c>
      <c r="J89" s="5" t="s">
        <v>1869</v>
      </c>
    </row>
    <row r="90" spans="1:10" s="7" customFormat="1" x14ac:dyDescent="0.2">
      <c r="A90" s="5" t="s">
        <v>1755</v>
      </c>
      <c r="B90" s="5" t="s">
        <v>1756</v>
      </c>
      <c r="C90" s="5">
        <v>1060</v>
      </c>
      <c r="D90" s="5">
        <v>1060</v>
      </c>
      <c r="E90" s="6">
        <v>0.99</v>
      </c>
      <c r="F90" s="5">
        <v>0</v>
      </c>
      <c r="G90" s="5">
        <v>63.98</v>
      </c>
      <c r="H90" s="5">
        <v>791</v>
      </c>
      <c r="I90" s="5" t="str">
        <f>HYPERLINK("https://www.ncbi.nlm.nih.gov/protein/MBL8071127.1?report=genbank&amp;log$=prottop&amp;blast_rank=36&amp;RID=7U875CNM013","MBL8071127.1")</f>
        <v>MBL8071127.1</v>
      </c>
      <c r="J90" s="5" t="s">
        <v>1634</v>
      </c>
    </row>
    <row r="91" spans="1:10" s="7" customFormat="1" x14ac:dyDescent="0.2">
      <c r="A91" s="5" t="s">
        <v>1872</v>
      </c>
      <c r="B91" s="5" t="s">
        <v>1873</v>
      </c>
      <c r="C91" s="5">
        <v>1030</v>
      </c>
      <c r="D91" s="5">
        <v>1030</v>
      </c>
      <c r="E91" s="6">
        <v>0.97</v>
      </c>
      <c r="F91" s="5">
        <v>0</v>
      </c>
      <c r="G91" s="5">
        <v>63.96</v>
      </c>
      <c r="H91" s="5">
        <v>803</v>
      </c>
      <c r="I91" s="5" t="str">
        <f>HYPERLINK("https://www.ncbi.nlm.nih.gov/protein/OYT22004.1?report=genbank&amp;log$=prottop&amp;blast_rank=46&amp;RID=7U875CNM013","OYT22004.1")</f>
        <v>OYT22004.1</v>
      </c>
      <c r="J91" s="5" t="s">
        <v>1634</v>
      </c>
    </row>
    <row r="92" spans="1:10" s="7" customFormat="1" x14ac:dyDescent="0.2">
      <c r="A92" s="5" t="s">
        <v>1755</v>
      </c>
      <c r="B92" s="5" t="s">
        <v>1756</v>
      </c>
      <c r="C92" s="5">
        <v>1030</v>
      </c>
      <c r="D92" s="5">
        <v>1030</v>
      </c>
      <c r="E92" s="6">
        <v>0.97</v>
      </c>
      <c r="F92" s="5">
        <v>0</v>
      </c>
      <c r="G92" s="5">
        <v>63.96</v>
      </c>
      <c r="H92" s="5">
        <v>803</v>
      </c>
      <c r="I92" s="5" t="str">
        <f>HYPERLINK("https://www.ncbi.nlm.nih.gov/protein/MBK9946703.1?report=genbank&amp;log$=prottop&amp;blast_rank=47&amp;RID=7U875CNM013","MBK9946703.1")</f>
        <v>MBK9946703.1</v>
      </c>
      <c r="J92" s="5" t="s">
        <v>1634</v>
      </c>
    </row>
    <row r="93" spans="1:10" s="7" customFormat="1" x14ac:dyDescent="0.2">
      <c r="A93" s="5" t="s">
        <v>1755</v>
      </c>
      <c r="B93" s="5" t="s">
        <v>1756</v>
      </c>
      <c r="C93" s="5">
        <v>1036</v>
      </c>
      <c r="D93" s="5">
        <v>1036</v>
      </c>
      <c r="E93" s="6">
        <v>0.95</v>
      </c>
      <c r="F93" s="5">
        <v>0</v>
      </c>
      <c r="G93" s="5">
        <v>63.96</v>
      </c>
      <c r="H93" s="5">
        <v>762</v>
      </c>
      <c r="I93" s="5" t="str">
        <f>HYPERLINK("https://www.ncbi.nlm.nih.gov/protein/MBA3753182.1?report=genbank&amp;log$=prottop&amp;blast_rank=50&amp;RID=7U875CNM013","MBA3753182.1")</f>
        <v>MBA3753182.1</v>
      </c>
      <c r="J93" s="5" t="s">
        <v>1634</v>
      </c>
    </row>
    <row r="94" spans="1:10" s="7" customFormat="1" x14ac:dyDescent="0.2">
      <c r="A94" s="5" t="s">
        <v>1712</v>
      </c>
      <c r="B94" s="5" t="s">
        <v>1713</v>
      </c>
      <c r="C94" s="5">
        <v>1070</v>
      </c>
      <c r="D94" s="5">
        <v>1070</v>
      </c>
      <c r="E94" s="6">
        <v>0.98</v>
      </c>
      <c r="F94" s="5">
        <v>0</v>
      </c>
      <c r="G94" s="5">
        <v>63.92</v>
      </c>
      <c r="H94" s="5">
        <v>801</v>
      </c>
      <c r="I94" s="5" t="str">
        <f>HYPERLINK("https://www.ncbi.nlm.nih.gov/protein/MBD0305677.1?report=genbank&amp;log$=prottop&amp;blast_rank=92&amp;RID=7U875CNM013","MBD0305677.1")</f>
        <v>MBD0305677.1</v>
      </c>
      <c r="J94" s="5" t="s">
        <v>1634</v>
      </c>
    </row>
    <row r="95" spans="1:10" s="7" customFormat="1" x14ac:dyDescent="0.2">
      <c r="A95" s="5" t="s">
        <v>1889</v>
      </c>
      <c r="B95" s="5" t="s">
        <v>1890</v>
      </c>
      <c r="C95" s="5">
        <v>1053</v>
      </c>
      <c r="D95" s="5">
        <v>1053</v>
      </c>
      <c r="E95" s="6">
        <v>0.98</v>
      </c>
      <c r="F95" s="5">
        <v>0</v>
      </c>
      <c r="G95" s="5">
        <v>63.9</v>
      </c>
      <c r="H95" s="5">
        <v>802</v>
      </c>
      <c r="I95" s="5" t="str">
        <f>HYPERLINK("https://www.ncbi.nlm.nih.gov/protein/WP_087476046.1?report=genbank&amp;log$=prottop&amp;blast_rank=137&amp;RID=7U875CNM013","WP_087476046.1")</f>
        <v>WP_087476046.1</v>
      </c>
      <c r="J95" s="5" t="s">
        <v>1634</v>
      </c>
    </row>
    <row r="96" spans="1:10" s="7" customFormat="1" x14ac:dyDescent="0.2">
      <c r="A96" s="5" t="s">
        <v>1891</v>
      </c>
      <c r="B96" s="5" t="s">
        <v>1892</v>
      </c>
      <c r="C96" s="5">
        <v>1052</v>
      </c>
      <c r="D96" s="5">
        <v>1052</v>
      </c>
      <c r="E96" s="6">
        <v>0.98</v>
      </c>
      <c r="F96" s="5">
        <v>0</v>
      </c>
      <c r="G96" s="5">
        <v>63.9</v>
      </c>
      <c r="H96" s="5">
        <v>802</v>
      </c>
      <c r="I96" s="5" t="str">
        <f>HYPERLINK("https://www.ncbi.nlm.nih.gov/protein/OQW60185.1?report=genbank&amp;log$=prottop&amp;blast_rank=139&amp;RID=7U875CNM013","OQW60185.1")</f>
        <v>OQW60185.1</v>
      </c>
      <c r="J96" s="5" t="s">
        <v>1705</v>
      </c>
    </row>
    <row r="97" spans="1:10" s="7" customFormat="1" ht="15" customHeight="1" x14ac:dyDescent="0.2">
      <c r="A97" s="5" t="s">
        <v>1703</v>
      </c>
      <c r="B97" s="5" t="s">
        <v>1704</v>
      </c>
      <c r="C97" s="5">
        <v>1028</v>
      </c>
      <c r="D97" s="5">
        <v>1028</v>
      </c>
      <c r="E97" s="6">
        <v>0.98</v>
      </c>
      <c r="F97" s="5">
        <v>0</v>
      </c>
      <c r="G97" s="5">
        <v>63.9</v>
      </c>
      <c r="H97" s="5">
        <v>802</v>
      </c>
      <c r="I97" s="5" t="str">
        <f>HYPERLINK("https://www.ncbi.nlm.nih.gov/protein/MBI5315221.1?report=genbank&amp;log$=prottop&amp;blast_rank=152&amp;RID=7U875CNM013","MBI5315221.1")</f>
        <v>MBI5315221.1</v>
      </c>
      <c r="J97" s="5" t="s">
        <v>1634</v>
      </c>
    </row>
    <row r="98" spans="1:10" s="7" customFormat="1" x14ac:dyDescent="0.2">
      <c r="A98" s="5" t="s">
        <v>1895</v>
      </c>
      <c r="B98" s="5" t="s">
        <v>1896</v>
      </c>
      <c r="C98" s="5">
        <v>1048</v>
      </c>
      <c r="D98" s="5">
        <v>1048</v>
      </c>
      <c r="E98" s="6">
        <v>0.97</v>
      </c>
      <c r="F98" s="5">
        <v>0</v>
      </c>
      <c r="G98" s="5">
        <v>63.88</v>
      </c>
      <c r="H98" s="5">
        <v>796</v>
      </c>
      <c r="I98" s="5" t="str">
        <f>HYPERLINK("https://www.ncbi.nlm.nih.gov/protein/WP_090897352.1?report=genbank&amp;log$=prottop&amp;blast_rank=159&amp;RID=7U875CNM013","WP_090897352.1")</f>
        <v>WP_090897352.1</v>
      </c>
      <c r="J98" s="5" t="s">
        <v>1634</v>
      </c>
    </row>
    <row r="99" spans="1:10" s="7" customFormat="1" x14ac:dyDescent="0.2">
      <c r="A99" s="5" t="s">
        <v>1897</v>
      </c>
      <c r="B99" s="5" t="s">
        <v>1896</v>
      </c>
      <c r="C99" s="5">
        <v>1048</v>
      </c>
      <c r="D99" s="5">
        <v>1048</v>
      </c>
      <c r="E99" s="6">
        <v>0.97</v>
      </c>
      <c r="F99" s="5">
        <v>0</v>
      </c>
      <c r="G99" s="5">
        <v>63.88</v>
      </c>
      <c r="H99" s="5">
        <v>799</v>
      </c>
      <c r="I99" s="5" t="str">
        <f>HYPERLINK("https://www.ncbi.nlm.nih.gov/protein/CUS35062.1?report=genbank&amp;log$=prottop&amp;blast_rank=160&amp;RID=7U875CNM013","CUS35062.1")</f>
        <v>CUS35062.1</v>
      </c>
      <c r="J99" s="5" t="s">
        <v>1634</v>
      </c>
    </row>
    <row r="100" spans="1:10" s="7" customFormat="1" x14ac:dyDescent="0.2">
      <c r="A100" s="5" t="s">
        <v>1898</v>
      </c>
      <c r="B100" s="5" t="s">
        <v>1899</v>
      </c>
      <c r="C100" s="5">
        <v>1087</v>
      </c>
      <c r="D100" s="5">
        <v>1087</v>
      </c>
      <c r="E100" s="6">
        <v>0.98</v>
      </c>
      <c r="F100" s="5">
        <v>0</v>
      </c>
      <c r="G100" s="5">
        <v>63.88</v>
      </c>
      <c r="H100" s="5">
        <v>796</v>
      </c>
      <c r="I100" s="5" t="str">
        <f>HYPERLINK("https://www.ncbi.nlm.nih.gov/protein/WP_036573693.1?report=genbank&amp;log$=prottop&amp;blast_rank=165&amp;RID=7U875CNM013","WP_036573693.1")</f>
        <v>WP_036573693.1</v>
      </c>
      <c r="J100" s="5" t="s">
        <v>1869</v>
      </c>
    </row>
    <row r="101" spans="1:10" s="7" customFormat="1" x14ac:dyDescent="0.2">
      <c r="A101" s="5" t="s">
        <v>1801</v>
      </c>
      <c r="B101" s="5" t="s">
        <v>1802</v>
      </c>
      <c r="C101" s="5">
        <v>1076</v>
      </c>
      <c r="D101" s="5">
        <v>1076</v>
      </c>
      <c r="E101" s="6">
        <v>0.98</v>
      </c>
      <c r="F101" s="5">
        <v>0</v>
      </c>
      <c r="G101" s="5">
        <v>63.88</v>
      </c>
      <c r="H101" s="5">
        <v>803</v>
      </c>
      <c r="I101" s="5" t="str">
        <f>HYPERLINK("https://www.ncbi.nlm.nih.gov/protein/MBN9133642.1?report=genbank&amp;log$=prottop&amp;blast_rank=166&amp;RID=7U875CNM013","MBN9133642.1")</f>
        <v>MBN9133642.1</v>
      </c>
      <c r="J101" s="5" t="s">
        <v>1634</v>
      </c>
    </row>
    <row r="102" spans="1:10" s="7" customFormat="1" x14ac:dyDescent="0.2">
      <c r="A102" s="5" t="s">
        <v>1703</v>
      </c>
      <c r="B102" s="5" t="s">
        <v>1704</v>
      </c>
      <c r="C102" s="5">
        <v>1062</v>
      </c>
      <c r="D102" s="5">
        <v>1062</v>
      </c>
      <c r="E102" s="6">
        <v>0.98</v>
      </c>
      <c r="F102" s="5">
        <v>0</v>
      </c>
      <c r="G102" s="5">
        <v>63.87</v>
      </c>
      <c r="H102" s="5">
        <v>802</v>
      </c>
      <c r="I102" s="5" t="str">
        <f>HYPERLINK("https://www.ncbi.nlm.nih.gov/protein/MBI5411172.1?report=genbank&amp;log$=prottop&amp;blast_rank=176&amp;RID=7U875CNM013","MBI5411172.1")</f>
        <v>MBI5411172.1</v>
      </c>
      <c r="J102" s="5" t="s">
        <v>1634</v>
      </c>
    </row>
    <row r="103" spans="1:10" s="7" customFormat="1" x14ac:dyDescent="0.2">
      <c r="A103" s="5" t="s">
        <v>1712</v>
      </c>
      <c r="B103" s="5" t="s">
        <v>1713</v>
      </c>
      <c r="C103" s="5">
        <v>1040</v>
      </c>
      <c r="D103" s="5">
        <v>1040</v>
      </c>
      <c r="E103" s="6">
        <v>0.98</v>
      </c>
      <c r="F103" s="5">
        <v>0</v>
      </c>
      <c r="G103" s="5">
        <v>63.87</v>
      </c>
      <c r="H103" s="5">
        <v>792</v>
      </c>
      <c r="I103" s="5" t="str">
        <f>HYPERLINK("https://www.ncbi.nlm.nih.gov/protein/NOT21250.1?report=genbank&amp;log$=prottop&amp;blast_rank=184&amp;RID=7U875CNM013","NOT21250.1")</f>
        <v>NOT21250.1</v>
      </c>
      <c r="J103" s="5" t="s">
        <v>1634</v>
      </c>
    </row>
    <row r="104" spans="1:10" s="7" customFormat="1" x14ac:dyDescent="0.2">
      <c r="A104" s="5" t="s">
        <v>1755</v>
      </c>
      <c r="B104" s="5" t="s">
        <v>1756</v>
      </c>
      <c r="C104" s="5">
        <v>1060</v>
      </c>
      <c r="D104" s="5">
        <v>1060</v>
      </c>
      <c r="E104" s="6">
        <v>0.99</v>
      </c>
      <c r="F104" s="5">
        <v>0</v>
      </c>
      <c r="G104" s="5">
        <v>63.85</v>
      </c>
      <c r="H104" s="5">
        <v>791</v>
      </c>
      <c r="I104" s="5" t="str">
        <f>HYPERLINK("https://www.ncbi.nlm.nih.gov/protein/MBK9998454.1?report=genbank&amp;log$=prottop&amp;blast_rank=194&amp;RID=7U875CNM013","MBK9998454.1")</f>
        <v>MBK9998454.1</v>
      </c>
      <c r="J104" s="5" t="s">
        <v>1634</v>
      </c>
    </row>
    <row r="105" spans="1:10" s="7" customFormat="1" x14ac:dyDescent="0.2">
      <c r="A105" s="5" t="s">
        <v>1755</v>
      </c>
      <c r="B105" s="5" t="s">
        <v>1756</v>
      </c>
      <c r="C105" s="5">
        <v>1058</v>
      </c>
      <c r="D105" s="5">
        <v>1058</v>
      </c>
      <c r="E105" s="6">
        <v>0.99</v>
      </c>
      <c r="F105" s="5">
        <v>0</v>
      </c>
      <c r="G105" s="5">
        <v>63.85</v>
      </c>
      <c r="H105" s="5">
        <v>791</v>
      </c>
      <c r="I105" s="5" t="str">
        <f>HYPERLINK("https://www.ncbi.nlm.nih.gov/protein/MBK7420849.1?report=genbank&amp;log$=prottop&amp;blast_rank=195&amp;RID=7U875CNM013","MBK7420849.1")</f>
        <v>MBK7420849.1</v>
      </c>
      <c r="J105" s="5" t="s">
        <v>1634</v>
      </c>
    </row>
    <row r="106" spans="1:10" s="7" customFormat="1" x14ac:dyDescent="0.2">
      <c r="A106" s="5" t="s">
        <v>1755</v>
      </c>
      <c r="B106" s="5" t="s">
        <v>1756</v>
      </c>
      <c r="C106" s="5">
        <v>1039</v>
      </c>
      <c r="D106" s="5">
        <v>1039</v>
      </c>
      <c r="E106" s="6">
        <v>0.98</v>
      </c>
      <c r="F106" s="5">
        <v>0</v>
      </c>
      <c r="G106" s="5">
        <v>63.82</v>
      </c>
      <c r="H106" s="5">
        <v>843</v>
      </c>
      <c r="I106" s="5" t="str">
        <f>HYPERLINK("https://www.ncbi.nlm.nih.gov/protein/MBH0177243.1?report=genbank&amp;log$=prottop&amp;blast_rank=10&amp;RID=7U875CNM013","MBH0177243.1")</f>
        <v>MBH0177243.1</v>
      </c>
      <c r="J106" s="5" t="s">
        <v>1634</v>
      </c>
    </row>
    <row r="107" spans="1:10" s="7" customFormat="1" x14ac:dyDescent="0.2">
      <c r="A107" s="5" t="s">
        <v>1905</v>
      </c>
      <c r="B107" s="5" t="s">
        <v>1906</v>
      </c>
      <c r="C107" s="5">
        <v>1061</v>
      </c>
      <c r="D107" s="5">
        <v>1061</v>
      </c>
      <c r="E107" s="6">
        <v>0.99</v>
      </c>
      <c r="F107" s="5">
        <v>0</v>
      </c>
      <c r="G107" s="5">
        <v>63.82</v>
      </c>
      <c r="H107" s="5">
        <v>799</v>
      </c>
      <c r="I107" s="5" t="str">
        <f>HYPERLINK("https://www.ncbi.nlm.nih.gov/protein/OQW64501.1?report=genbank&amp;log$=prottop&amp;blast_rank=13&amp;RID=7U875CNM013","OQW64501.1")</f>
        <v>OQW64501.1</v>
      </c>
      <c r="J107" s="5" t="s">
        <v>1634</v>
      </c>
    </row>
    <row r="108" spans="1:10" s="7" customFormat="1" x14ac:dyDescent="0.2">
      <c r="A108" s="5" t="s">
        <v>1907</v>
      </c>
      <c r="B108" s="5" t="s">
        <v>1908</v>
      </c>
      <c r="C108" s="5">
        <v>1049</v>
      </c>
      <c r="D108" s="5">
        <v>1049</v>
      </c>
      <c r="E108" s="6">
        <v>0.98</v>
      </c>
      <c r="F108" s="5">
        <v>0</v>
      </c>
      <c r="G108" s="5">
        <v>63.81</v>
      </c>
      <c r="H108" s="5">
        <v>791</v>
      </c>
      <c r="I108" s="5" t="str">
        <f>HYPERLINK("https://www.ncbi.nlm.nih.gov/protein/MBA5863075.1?report=genbank&amp;log$=prottop&amp;blast_rank=17&amp;RID=7U875CNM013","MBA5863075.1")</f>
        <v>MBA5863075.1</v>
      </c>
      <c r="J108" s="5" t="s">
        <v>1634</v>
      </c>
    </row>
    <row r="109" spans="1:10" s="7" customFormat="1" x14ac:dyDescent="0.2">
      <c r="A109" s="5" t="s">
        <v>1801</v>
      </c>
      <c r="B109" s="5" t="s">
        <v>1802</v>
      </c>
      <c r="C109" s="5">
        <v>1072</v>
      </c>
      <c r="D109" s="5">
        <v>1072</v>
      </c>
      <c r="E109" s="6">
        <v>0.98</v>
      </c>
      <c r="F109" s="5">
        <v>0</v>
      </c>
      <c r="G109" s="5">
        <v>63.81</v>
      </c>
      <c r="H109" s="5">
        <v>807</v>
      </c>
      <c r="I109" s="5" t="str">
        <f>HYPERLINK("https://www.ncbi.nlm.nih.gov/protein/WP_107761859.1?report=genbank&amp;log$=prottop&amp;blast_rank=46&amp;RID=7U875CNM013","WP_107761859.1")</f>
        <v>WP_107761859.1</v>
      </c>
      <c r="J109" s="5" t="s">
        <v>1634</v>
      </c>
    </row>
    <row r="110" spans="1:10" s="7" customFormat="1" x14ac:dyDescent="0.2">
      <c r="A110" s="5" t="s">
        <v>1914</v>
      </c>
      <c r="B110" s="5" t="s">
        <v>1633</v>
      </c>
      <c r="C110" s="5">
        <v>1092</v>
      </c>
      <c r="D110" s="5">
        <v>1092</v>
      </c>
      <c r="E110" s="6">
        <v>0.99</v>
      </c>
      <c r="F110" s="5">
        <v>0</v>
      </c>
      <c r="G110" s="5">
        <v>63.78</v>
      </c>
      <c r="H110" s="5">
        <v>796</v>
      </c>
      <c r="I110" s="5" t="str">
        <f>HYPERLINK("https://www.ncbi.nlm.nih.gov/protein/HBV20640.1?report=genbank&amp;log$=prottop&amp;blast_rank=78&amp;RID=7U875CNM013","HBV20640.1")</f>
        <v>HBV20640.1</v>
      </c>
      <c r="J110" s="5" t="s">
        <v>1869</v>
      </c>
    </row>
    <row r="111" spans="1:10" s="7" customFormat="1" x14ac:dyDescent="0.2">
      <c r="A111" s="5" t="s">
        <v>1690</v>
      </c>
      <c r="B111" s="5" t="s">
        <v>1691</v>
      </c>
      <c r="C111" s="5">
        <v>1092</v>
      </c>
      <c r="D111" s="5">
        <v>1092</v>
      </c>
      <c r="E111" s="6">
        <v>0.99</v>
      </c>
      <c r="F111" s="5">
        <v>0</v>
      </c>
      <c r="G111" s="5">
        <v>63.78</v>
      </c>
      <c r="H111" s="5">
        <v>796</v>
      </c>
      <c r="I111" s="5" t="str">
        <f>HYPERLINK("https://www.ncbi.nlm.nih.gov/protein/WP_090701244.1?report=genbank&amp;log$=prottop&amp;blast_rank=79&amp;RID=7U875CNM013","WP_090701244.1")</f>
        <v>WP_090701244.1</v>
      </c>
      <c r="J111" s="5" t="s">
        <v>1869</v>
      </c>
    </row>
    <row r="112" spans="1:10" s="7" customFormat="1" x14ac:dyDescent="0.2">
      <c r="A112" s="5" t="s">
        <v>1801</v>
      </c>
      <c r="B112" s="5" t="s">
        <v>1802</v>
      </c>
      <c r="C112" s="5">
        <v>1076</v>
      </c>
      <c r="D112" s="5">
        <v>1076</v>
      </c>
      <c r="E112" s="6">
        <v>0.98</v>
      </c>
      <c r="F112" s="5">
        <v>0</v>
      </c>
      <c r="G112" s="5">
        <v>63.78</v>
      </c>
      <c r="H112" s="5">
        <v>807</v>
      </c>
      <c r="I112" s="5" t="str">
        <f>HYPERLINK("https://www.ncbi.nlm.nih.gov/protein/WP_011380341.1?report=genbank&amp;log$=prottop&amp;blast_rank=81&amp;RID=7U875CNM013","WP_011380341.1")</f>
        <v>WP_011380341.1</v>
      </c>
      <c r="J112" s="5" t="s">
        <v>1634</v>
      </c>
    </row>
    <row r="113" spans="1:10" s="7" customFormat="1" x14ac:dyDescent="0.2">
      <c r="A113" s="5" t="s">
        <v>1915</v>
      </c>
      <c r="B113" s="5" t="s">
        <v>1916</v>
      </c>
      <c r="C113" s="5">
        <v>1069</v>
      </c>
      <c r="D113" s="5">
        <v>1069</v>
      </c>
      <c r="E113" s="6">
        <v>0.98</v>
      </c>
      <c r="F113" s="5">
        <v>0</v>
      </c>
      <c r="G113" s="5">
        <v>63.78</v>
      </c>
      <c r="H113" s="5">
        <v>794</v>
      </c>
      <c r="I113" s="5" t="str">
        <f>HYPERLINK("https://www.ncbi.nlm.nih.gov/protein/WP_090286113.1?report=genbank&amp;log$=prottop&amp;blast_rank=83&amp;RID=7U875CNM013","WP_090286113.1")</f>
        <v>WP_090286113.1</v>
      </c>
      <c r="J113" s="5" t="s">
        <v>1869</v>
      </c>
    </row>
    <row r="114" spans="1:10" s="7" customFormat="1" x14ac:dyDescent="0.2">
      <c r="A114" s="5" t="s">
        <v>1778</v>
      </c>
      <c r="B114" s="5" t="s">
        <v>1756</v>
      </c>
      <c r="C114" s="5">
        <v>1059</v>
      </c>
      <c r="D114" s="5">
        <v>1059</v>
      </c>
      <c r="E114" s="6">
        <v>0.98</v>
      </c>
      <c r="F114" s="5">
        <v>0</v>
      </c>
      <c r="G114" s="5">
        <v>63.78</v>
      </c>
      <c r="H114" s="5">
        <v>785</v>
      </c>
      <c r="I114" s="5" t="str">
        <f>HYPERLINK("https://www.ncbi.nlm.nih.gov/protein/TKS61167.1?report=genbank&amp;log$=prottop&amp;blast_rank=85&amp;RID=7U875CNM013","TKS61167.1")</f>
        <v>TKS61167.1</v>
      </c>
      <c r="J114" s="5" t="s">
        <v>1634</v>
      </c>
    </row>
    <row r="115" spans="1:10" s="7" customFormat="1" x14ac:dyDescent="0.2">
      <c r="A115" s="5" t="s">
        <v>1755</v>
      </c>
      <c r="B115" s="5" t="s">
        <v>1756</v>
      </c>
      <c r="C115" s="5">
        <v>1031</v>
      </c>
      <c r="D115" s="5">
        <v>1031</v>
      </c>
      <c r="E115" s="6">
        <v>0.98</v>
      </c>
      <c r="F115" s="5">
        <v>0</v>
      </c>
      <c r="G115" s="5">
        <v>63.78</v>
      </c>
      <c r="H115" s="5">
        <v>792</v>
      </c>
      <c r="I115" s="5" t="str">
        <f>HYPERLINK("https://www.ncbi.nlm.nih.gov/protein/MBL8039692.1?report=genbank&amp;log$=prottop&amp;blast_rank=104&amp;RID=7U875CNM013","MBL8039692.1")</f>
        <v>MBL8039692.1</v>
      </c>
      <c r="J115" s="5" t="s">
        <v>1634</v>
      </c>
    </row>
    <row r="116" spans="1:10" s="7" customFormat="1" x14ac:dyDescent="0.2">
      <c r="A116" s="5" t="s">
        <v>1703</v>
      </c>
      <c r="B116" s="5" t="s">
        <v>1704</v>
      </c>
      <c r="C116" s="5">
        <v>1029</v>
      </c>
      <c r="D116" s="5">
        <v>1029</v>
      </c>
      <c r="E116" s="6">
        <v>0.98</v>
      </c>
      <c r="F116" s="5">
        <v>0</v>
      </c>
      <c r="G116" s="5">
        <v>63.78</v>
      </c>
      <c r="H116" s="5">
        <v>821</v>
      </c>
      <c r="I116" s="5" t="str">
        <f>HYPERLINK("https://www.ncbi.nlm.nih.gov/protein/NWF74632.1?report=genbank&amp;log$=prottop&amp;blast_rank=106&amp;RID=7U875CNM013","NWF74632.1")</f>
        <v>NWF74632.1</v>
      </c>
      <c r="J116" s="5" t="s">
        <v>1634</v>
      </c>
    </row>
    <row r="117" spans="1:10" s="7" customFormat="1" x14ac:dyDescent="0.2">
      <c r="A117" s="5" t="s">
        <v>1917</v>
      </c>
      <c r="B117" s="5" t="s">
        <v>1918</v>
      </c>
      <c r="C117" s="5">
        <v>1075</v>
      </c>
      <c r="D117" s="5">
        <v>1075</v>
      </c>
      <c r="E117" s="6">
        <v>0.98</v>
      </c>
      <c r="F117" s="5">
        <v>0</v>
      </c>
      <c r="G117" s="5">
        <v>63.76</v>
      </c>
      <c r="H117" s="5">
        <v>814</v>
      </c>
      <c r="I117" s="5" t="str">
        <f>HYPERLINK("https://www.ncbi.nlm.nih.gov/protein/WP_090828120.1?report=genbank&amp;log$=prottop&amp;blast_rank=110&amp;RID=7U875CNM013","WP_090828120.1")</f>
        <v>WP_090828120.1</v>
      </c>
      <c r="J117" s="5" t="s">
        <v>1919</v>
      </c>
    </row>
    <row r="118" spans="1:10" s="7" customFormat="1" x14ac:dyDescent="0.2">
      <c r="A118" s="5" t="s">
        <v>1755</v>
      </c>
      <c r="B118" s="5" t="s">
        <v>1756</v>
      </c>
      <c r="C118" s="5">
        <v>1055</v>
      </c>
      <c r="D118" s="5">
        <v>1055</v>
      </c>
      <c r="E118" s="6">
        <v>0.98</v>
      </c>
      <c r="F118" s="5">
        <v>0</v>
      </c>
      <c r="G118" s="5">
        <v>63.73</v>
      </c>
      <c r="H118" s="5">
        <v>792</v>
      </c>
      <c r="I118" s="5" t="str">
        <f>HYPERLINK("https://www.ncbi.nlm.nih.gov/protein/MBA2484815.1?report=genbank&amp;log$=prottop&amp;blast_rank=143&amp;RID=7U875CNM013","MBA2484815.1")</f>
        <v>MBA2484815.1</v>
      </c>
      <c r="J118" s="5" t="s">
        <v>1634</v>
      </c>
    </row>
    <row r="119" spans="1:10" s="7" customFormat="1" x14ac:dyDescent="0.2">
      <c r="A119" s="5" t="s">
        <v>1924</v>
      </c>
      <c r="B119" s="5" t="s">
        <v>1925</v>
      </c>
      <c r="C119" s="5">
        <v>1054</v>
      </c>
      <c r="D119" s="5">
        <v>1054</v>
      </c>
      <c r="E119" s="6">
        <v>0.99</v>
      </c>
      <c r="F119" s="5">
        <v>0</v>
      </c>
      <c r="G119" s="5">
        <v>63.73</v>
      </c>
      <c r="H119" s="5">
        <v>791</v>
      </c>
      <c r="I119" s="5" t="str">
        <f>HYPERLINK("https://www.ncbi.nlm.nih.gov/protein/CBK43200.1?report=genbank&amp;log$=prottop&amp;blast_rank=151&amp;RID=7U875CNM013","CBK43200.1")</f>
        <v>CBK43200.1</v>
      </c>
      <c r="J119" s="5" t="s">
        <v>1634</v>
      </c>
    </row>
    <row r="120" spans="1:10" s="7" customFormat="1" x14ac:dyDescent="0.2">
      <c r="A120" s="5" t="s">
        <v>1703</v>
      </c>
      <c r="B120" s="5" t="s">
        <v>1704</v>
      </c>
      <c r="C120" s="5">
        <v>1079</v>
      </c>
      <c r="D120" s="5">
        <v>1079</v>
      </c>
      <c r="E120" s="6">
        <v>0.98</v>
      </c>
      <c r="F120" s="5">
        <v>0</v>
      </c>
      <c r="G120" s="5">
        <v>63.69</v>
      </c>
      <c r="H120" s="5">
        <v>788</v>
      </c>
      <c r="I120" s="5" t="str">
        <f>HYPERLINK("https://www.ncbi.nlm.nih.gov/protein/MBI4844288.1?report=genbank&amp;log$=prottop&amp;blast_rank=163&amp;RID=7U875CNM013","MBI4844288.1")</f>
        <v>MBI4844288.1</v>
      </c>
      <c r="J120" s="5" t="s">
        <v>1634</v>
      </c>
    </row>
    <row r="121" spans="1:10" s="7" customFormat="1" x14ac:dyDescent="0.2">
      <c r="A121" s="5" t="s">
        <v>1926</v>
      </c>
      <c r="B121" s="5" t="s">
        <v>1704</v>
      </c>
      <c r="C121" s="5">
        <v>1035</v>
      </c>
      <c r="D121" s="5">
        <v>1035</v>
      </c>
      <c r="E121" s="6">
        <v>0.98</v>
      </c>
      <c r="F121" s="5">
        <v>0</v>
      </c>
      <c r="G121" s="5">
        <v>63.69</v>
      </c>
      <c r="H121" s="5">
        <v>789</v>
      </c>
      <c r="I121" s="5" t="str">
        <f>HYPERLINK("https://www.ncbi.nlm.nih.gov/protein/HEN77362.1?report=genbank&amp;log$=prottop&amp;blast_rank=166&amp;RID=7U875CNM013","HEN77362.1")</f>
        <v>HEN77362.1</v>
      </c>
      <c r="J121" s="5" t="s">
        <v>1705</v>
      </c>
    </row>
    <row r="122" spans="1:10" s="7" customFormat="1" x14ac:dyDescent="0.2">
      <c r="A122" s="5" t="s">
        <v>1801</v>
      </c>
      <c r="B122" s="5" t="s">
        <v>1802</v>
      </c>
      <c r="C122" s="5">
        <v>1076</v>
      </c>
      <c r="D122" s="5">
        <v>1076</v>
      </c>
      <c r="E122" s="6">
        <v>0.98</v>
      </c>
      <c r="F122" s="5">
        <v>0</v>
      </c>
      <c r="G122" s="5">
        <v>63.68</v>
      </c>
      <c r="H122" s="5">
        <v>807</v>
      </c>
      <c r="I122" s="5" t="str">
        <f>HYPERLINK("https://www.ncbi.nlm.nih.gov/protein/WP_074973683.1?report=genbank&amp;log$=prottop&amp;blast_rank=185&amp;RID=7U875CNM013","WP_074973683.1")</f>
        <v>WP_074973683.1</v>
      </c>
      <c r="J122" s="5" t="s">
        <v>1634</v>
      </c>
    </row>
    <row r="123" spans="1:10" s="7" customFormat="1" x14ac:dyDescent="0.2">
      <c r="A123" s="5" t="s">
        <v>1801</v>
      </c>
      <c r="B123" s="5" t="s">
        <v>1802</v>
      </c>
      <c r="C123" s="5">
        <v>1071</v>
      </c>
      <c r="D123" s="5">
        <v>1071</v>
      </c>
      <c r="E123" s="6">
        <v>0.98</v>
      </c>
      <c r="F123" s="5">
        <v>0</v>
      </c>
      <c r="G123" s="5">
        <v>63.68</v>
      </c>
      <c r="H123" s="5">
        <v>807</v>
      </c>
      <c r="I123" s="5" t="str">
        <f>HYPERLINK("https://www.ncbi.nlm.nih.gov/protein/WP_113067088.1?report=genbank&amp;log$=prottop&amp;blast_rank=186&amp;RID=7U875CNM013","WP_113067088.1")</f>
        <v>WP_113067088.1</v>
      </c>
      <c r="J123" s="5" t="s">
        <v>1634</v>
      </c>
    </row>
    <row r="124" spans="1:10" s="7" customFormat="1" x14ac:dyDescent="0.2">
      <c r="A124" s="5" t="s">
        <v>1932</v>
      </c>
      <c r="B124" s="5" t="s">
        <v>1933</v>
      </c>
      <c r="C124" s="5">
        <v>1026</v>
      </c>
      <c r="D124" s="5">
        <v>1026</v>
      </c>
      <c r="E124" s="6">
        <v>0.97</v>
      </c>
      <c r="F124" s="5">
        <v>0</v>
      </c>
      <c r="G124" s="5">
        <v>63.66</v>
      </c>
      <c r="H124" s="5">
        <v>804</v>
      </c>
      <c r="I124" s="5" t="str">
        <f>HYPERLINK("https://www.ncbi.nlm.nih.gov/protein/WP_090744062.1?report=genbank&amp;log$=prottop&amp;blast_rank=212&amp;RID=7U875CNM013","WP_090744062.1")</f>
        <v>WP_090744062.1</v>
      </c>
      <c r="J124" s="5" t="s">
        <v>1634</v>
      </c>
    </row>
    <row r="125" spans="1:10" s="7" customFormat="1" x14ac:dyDescent="0.2">
      <c r="A125" s="5" t="s">
        <v>1801</v>
      </c>
      <c r="B125" s="5" t="s">
        <v>1802</v>
      </c>
      <c r="C125" s="5">
        <v>1070</v>
      </c>
      <c r="D125" s="5">
        <v>1070</v>
      </c>
      <c r="E125" s="6">
        <v>0.98</v>
      </c>
      <c r="F125" s="5">
        <v>0</v>
      </c>
      <c r="G125" s="5">
        <v>63.66</v>
      </c>
      <c r="H125" s="5">
        <v>807</v>
      </c>
      <c r="I125" s="5" t="str">
        <f>HYPERLINK("https://www.ncbi.nlm.nih.gov/protein/WP_074707746.1?report=genbank&amp;log$=prottop&amp;blast_rank=219&amp;RID=7U875CNM013","WP_074707746.1")</f>
        <v>WP_074707746.1</v>
      </c>
      <c r="J125" s="5" t="s">
        <v>1634</v>
      </c>
    </row>
    <row r="126" spans="1:10" s="7" customFormat="1" x14ac:dyDescent="0.2">
      <c r="A126" s="5" t="s">
        <v>1755</v>
      </c>
      <c r="B126" s="5" t="s">
        <v>1756</v>
      </c>
      <c r="C126" s="5">
        <v>1036</v>
      </c>
      <c r="D126" s="5">
        <v>1036</v>
      </c>
      <c r="E126" s="6">
        <v>0.99</v>
      </c>
      <c r="F126" s="5">
        <v>0</v>
      </c>
      <c r="G126" s="5">
        <v>63.64</v>
      </c>
      <c r="H126" s="5">
        <v>799</v>
      </c>
      <c r="I126" s="5" t="str">
        <f>HYPERLINK("https://www.ncbi.nlm.nih.gov/protein/MBK9306974.1?report=genbank&amp;log$=prottop&amp;blast_rank=18&amp;RID=7U875CNM013","MBK9306974.1")</f>
        <v>MBK9306974.1</v>
      </c>
      <c r="J126" s="5" t="s">
        <v>1634</v>
      </c>
    </row>
    <row r="127" spans="1:10" s="7" customFormat="1" x14ac:dyDescent="0.2">
      <c r="A127" s="5" t="s">
        <v>1940</v>
      </c>
      <c r="B127" s="5" t="s">
        <v>1941</v>
      </c>
      <c r="C127" s="5">
        <v>1058</v>
      </c>
      <c r="D127" s="5">
        <v>1058</v>
      </c>
      <c r="E127" s="6">
        <v>0.99</v>
      </c>
      <c r="F127" s="5">
        <v>0</v>
      </c>
      <c r="G127" s="5">
        <v>63.6</v>
      </c>
      <c r="H127" s="5">
        <v>791</v>
      </c>
      <c r="I127" s="5" t="str">
        <f>HYPERLINK("https://www.ncbi.nlm.nih.gov/protein/WP_080880234.1?report=genbank&amp;log$=prottop&amp;blast_rank=43&amp;RID=7U875CNM013","WP_080880234.1")</f>
        <v>WP_080880234.1</v>
      </c>
      <c r="J127" s="5" t="s">
        <v>1634</v>
      </c>
    </row>
    <row r="128" spans="1:10" s="7" customFormat="1" x14ac:dyDescent="0.2">
      <c r="A128" s="5" t="s">
        <v>1755</v>
      </c>
      <c r="B128" s="5" t="s">
        <v>1756</v>
      </c>
      <c r="C128" s="5">
        <v>1026</v>
      </c>
      <c r="D128" s="5">
        <v>1026</v>
      </c>
      <c r="E128" s="6">
        <v>0.97</v>
      </c>
      <c r="F128" s="5">
        <v>0</v>
      </c>
      <c r="G128" s="5">
        <v>63.58</v>
      </c>
      <c r="H128" s="5">
        <v>803</v>
      </c>
      <c r="I128" s="5" t="str">
        <f>HYPERLINK("https://www.ncbi.nlm.nih.gov/protein/MBK8275232.1?report=genbank&amp;log$=prottop&amp;blast_rank=68&amp;RID=7U875CNM013","MBK8275232.1")</f>
        <v>MBK8275232.1</v>
      </c>
      <c r="J128" s="5" t="s">
        <v>1634</v>
      </c>
    </row>
    <row r="129" spans="1:10" s="7" customFormat="1" x14ac:dyDescent="0.2">
      <c r="A129" s="5" t="s">
        <v>1801</v>
      </c>
      <c r="B129" s="5" t="s">
        <v>1802</v>
      </c>
      <c r="C129" s="5">
        <v>1069</v>
      </c>
      <c r="D129" s="5">
        <v>1069</v>
      </c>
      <c r="E129" s="6">
        <v>0.98</v>
      </c>
      <c r="F129" s="5">
        <v>0</v>
      </c>
      <c r="G129" s="5">
        <v>63.56</v>
      </c>
      <c r="H129" s="5">
        <v>807</v>
      </c>
      <c r="I129" s="5" t="str">
        <f>HYPERLINK("https://www.ncbi.nlm.nih.gov/protein/WP_133669064.1?report=genbank&amp;log$=prottop&amp;blast_rank=82&amp;RID=7U875CNM013","WP_133669064.1")</f>
        <v>WP_133669064.1</v>
      </c>
      <c r="J129" s="5" t="s">
        <v>1634</v>
      </c>
    </row>
    <row r="130" spans="1:10" s="7" customFormat="1" x14ac:dyDescent="0.2">
      <c r="A130" s="5" t="s">
        <v>1801</v>
      </c>
      <c r="B130" s="5" t="s">
        <v>1802</v>
      </c>
      <c r="C130" s="5">
        <v>1068</v>
      </c>
      <c r="D130" s="5">
        <v>1068</v>
      </c>
      <c r="E130" s="6">
        <v>0.98</v>
      </c>
      <c r="F130" s="5">
        <v>0</v>
      </c>
      <c r="G130" s="5">
        <v>63.56</v>
      </c>
      <c r="H130" s="5">
        <v>807</v>
      </c>
      <c r="I130" s="5" t="str">
        <f>HYPERLINK("https://www.ncbi.nlm.nih.gov/protein/WP_112892680.1?report=genbank&amp;log$=prottop&amp;blast_rank=83&amp;RID=7U875CNM013","WP_112892680.1")</f>
        <v>WP_112892680.1</v>
      </c>
      <c r="J130" s="5" t="s">
        <v>1634</v>
      </c>
    </row>
    <row r="131" spans="1:10" s="7" customFormat="1" x14ac:dyDescent="0.2">
      <c r="A131" s="5" t="s">
        <v>1944</v>
      </c>
      <c r="B131" s="5" t="s">
        <v>1925</v>
      </c>
      <c r="C131" s="5">
        <v>1045</v>
      </c>
      <c r="D131" s="5">
        <v>1045</v>
      </c>
      <c r="E131" s="6">
        <v>0.98</v>
      </c>
      <c r="F131" s="5">
        <v>0</v>
      </c>
      <c r="G131" s="5">
        <v>63.55</v>
      </c>
      <c r="H131" s="5">
        <v>792</v>
      </c>
      <c r="I131" s="5" t="str">
        <f>HYPERLINK("https://www.ncbi.nlm.nih.gov/protein/MBI4002433.1?report=genbank&amp;log$=prottop&amp;blast_rank=89&amp;RID=7U875CNM013","MBI4002433.1")</f>
        <v>MBI4002433.1</v>
      </c>
      <c r="J131" s="5" t="s">
        <v>1634</v>
      </c>
    </row>
    <row r="132" spans="1:10" s="7" customFormat="1" x14ac:dyDescent="0.2">
      <c r="A132" s="5" t="s">
        <v>1945</v>
      </c>
      <c r="B132" s="5" t="s">
        <v>1946</v>
      </c>
      <c r="C132" s="5">
        <v>1044</v>
      </c>
      <c r="D132" s="5">
        <v>1044</v>
      </c>
      <c r="E132" s="6">
        <v>0.99</v>
      </c>
      <c r="F132" s="5">
        <v>0</v>
      </c>
      <c r="G132" s="5">
        <v>63.54</v>
      </c>
      <c r="H132" s="5">
        <v>791</v>
      </c>
      <c r="I132" s="5" t="str">
        <f>HYPERLINK("https://www.ncbi.nlm.nih.gov/protein/MBA5873854.1?report=genbank&amp;log$=prottop&amp;blast_rank=103&amp;RID=7U875CNM013","MBA5873854.1")</f>
        <v>MBA5873854.1</v>
      </c>
      <c r="J132" s="5" t="s">
        <v>1634</v>
      </c>
    </row>
    <row r="133" spans="1:10" s="7" customFormat="1" x14ac:dyDescent="0.2">
      <c r="A133" s="5" t="s">
        <v>1947</v>
      </c>
      <c r="B133" s="5" t="s">
        <v>1756</v>
      </c>
      <c r="C133" s="5">
        <v>1043</v>
      </c>
      <c r="D133" s="5">
        <v>1043</v>
      </c>
      <c r="E133" s="6">
        <v>0.99</v>
      </c>
      <c r="F133" s="5">
        <v>0</v>
      </c>
      <c r="G133" s="5">
        <v>63.54</v>
      </c>
      <c r="H133" s="5">
        <v>791</v>
      </c>
      <c r="I133" s="5" t="str">
        <f>HYPERLINK("https://www.ncbi.nlm.nih.gov/protein/HAP40770.1?report=genbank&amp;log$=prottop&amp;blast_rank=104&amp;RID=7U875CNM013","HAP40770.1")</f>
        <v>HAP40770.1</v>
      </c>
      <c r="J133" s="5" t="s">
        <v>1634</v>
      </c>
    </row>
    <row r="134" spans="1:10" s="7" customFormat="1" x14ac:dyDescent="0.2">
      <c r="A134" s="5" t="s">
        <v>1954</v>
      </c>
      <c r="B134" s="5" t="s">
        <v>1955</v>
      </c>
      <c r="C134" s="5">
        <v>1071</v>
      </c>
      <c r="D134" s="5">
        <v>1071</v>
      </c>
      <c r="E134" s="6">
        <v>0.99</v>
      </c>
      <c r="F134" s="5">
        <v>0</v>
      </c>
      <c r="G134" s="5">
        <v>63.52</v>
      </c>
      <c r="H134" s="5">
        <v>796</v>
      </c>
      <c r="I134" s="5" t="str">
        <f>HYPERLINK("https://www.ncbi.nlm.nih.gov/protein/BCT67439.1?report=genbank&amp;log$=prottop&amp;blast_rank=149&amp;RID=7U875CNM013","BCT67439.1")</f>
        <v>BCT67439.1</v>
      </c>
      <c r="J134" s="5" t="s">
        <v>1634</v>
      </c>
    </row>
    <row r="135" spans="1:10" s="7" customFormat="1" x14ac:dyDescent="0.2">
      <c r="A135" s="5" t="s">
        <v>1755</v>
      </c>
      <c r="B135" s="5" t="s">
        <v>1756</v>
      </c>
      <c r="C135" s="5">
        <v>1051</v>
      </c>
      <c r="D135" s="5">
        <v>1051</v>
      </c>
      <c r="E135" s="6">
        <v>0.98</v>
      </c>
      <c r="F135" s="5">
        <v>0</v>
      </c>
      <c r="G135" s="5">
        <v>63.5</v>
      </c>
      <c r="H135" s="5">
        <v>799</v>
      </c>
      <c r="I135" s="5" t="str">
        <f>HYPERLINK("https://www.ncbi.nlm.nih.gov/protein/TKB68506.1?report=genbank&amp;log$=prottop&amp;blast_rank=183&amp;RID=7U875CNM013","TKB68506.1")</f>
        <v>TKB68506.1</v>
      </c>
      <c r="J135" s="5" t="s">
        <v>1634</v>
      </c>
    </row>
    <row r="136" spans="1:10" s="7" customFormat="1" x14ac:dyDescent="0.2">
      <c r="A136" s="5" t="s">
        <v>1964</v>
      </c>
      <c r="B136" s="5" t="s">
        <v>1965</v>
      </c>
      <c r="C136" s="5">
        <v>1065</v>
      </c>
      <c r="D136" s="5">
        <v>1065</v>
      </c>
      <c r="E136" s="6">
        <v>0.98</v>
      </c>
      <c r="F136" s="5">
        <v>0</v>
      </c>
      <c r="G136" s="5">
        <v>63.49</v>
      </c>
      <c r="H136" s="5">
        <v>802</v>
      </c>
      <c r="I136" s="5" t="str">
        <f>HYPERLINK("https://www.ncbi.nlm.nih.gov/protein/OGW68851.1?report=genbank&amp;log$=prottop&amp;blast_rank=200&amp;RID=7U875CNM013","OGW68851.1")</f>
        <v>OGW68851.1</v>
      </c>
      <c r="J136" s="5" t="s">
        <v>1634</v>
      </c>
    </row>
    <row r="137" spans="1:10" s="7" customFormat="1" x14ac:dyDescent="0.2">
      <c r="A137" s="5" t="s">
        <v>1969</v>
      </c>
      <c r="B137" s="5" t="s">
        <v>1970</v>
      </c>
      <c r="C137" s="5">
        <v>1065</v>
      </c>
      <c r="D137" s="5">
        <v>1065</v>
      </c>
      <c r="E137" s="6">
        <v>0.99</v>
      </c>
      <c r="F137" s="5">
        <v>0</v>
      </c>
      <c r="G137" s="5">
        <v>63.48</v>
      </c>
      <c r="H137" s="5">
        <v>799</v>
      </c>
      <c r="I137" s="5" t="str">
        <f>HYPERLINK("https://www.ncbi.nlm.nih.gov/protein/QPD02340.1?report=genbank&amp;log$=prottop&amp;blast_rank=213&amp;RID=7U875CNM013","QPD02340.1")</f>
        <v>QPD02340.1</v>
      </c>
      <c r="J137" s="5" t="s">
        <v>1634</v>
      </c>
    </row>
    <row r="138" spans="1:10" s="7" customFormat="1" x14ac:dyDescent="0.2">
      <c r="A138" s="5" t="s">
        <v>1973</v>
      </c>
      <c r="B138" s="5" t="s">
        <v>1974</v>
      </c>
      <c r="C138" s="5">
        <v>1031</v>
      </c>
      <c r="D138" s="5">
        <v>1031</v>
      </c>
      <c r="E138" s="6">
        <v>0.95</v>
      </c>
      <c r="F138" s="5">
        <v>0</v>
      </c>
      <c r="G138" s="5">
        <v>63.47</v>
      </c>
      <c r="H138" s="5">
        <v>775</v>
      </c>
      <c r="I138" s="5" t="str">
        <f>HYPERLINK("https://www.ncbi.nlm.nih.gov/protein/OGW67971.1?report=genbank&amp;log$=prottop&amp;blast_rank=224&amp;RID=7U875CNM013","OGW67971.1")</f>
        <v>OGW67971.1</v>
      </c>
      <c r="J138" s="5" t="s">
        <v>1634</v>
      </c>
    </row>
    <row r="139" spans="1:10" s="7" customFormat="1" x14ac:dyDescent="0.2">
      <c r="A139" s="5" t="s">
        <v>1825</v>
      </c>
      <c r="B139" s="5" t="s">
        <v>1826</v>
      </c>
      <c r="C139" s="5">
        <v>1058</v>
      </c>
      <c r="D139" s="5">
        <v>1058</v>
      </c>
      <c r="E139" s="6">
        <v>0.98</v>
      </c>
      <c r="F139" s="5">
        <v>0</v>
      </c>
      <c r="G139" s="5">
        <v>63.41</v>
      </c>
      <c r="H139" s="5">
        <v>785</v>
      </c>
      <c r="I139" s="5" t="str">
        <f>HYPERLINK("https://www.ncbi.nlm.nih.gov/protein/NTU41897.1?report=genbank&amp;log$=prottop&amp;blast_rank=56&amp;RID=7U875CNM013","NTU41897.1")</f>
        <v>NTU41897.1</v>
      </c>
      <c r="J139" s="5" t="s">
        <v>1634</v>
      </c>
    </row>
    <row r="140" spans="1:10" s="7" customFormat="1" x14ac:dyDescent="0.2">
      <c r="A140" s="5" t="s">
        <v>1703</v>
      </c>
      <c r="B140" s="5" t="s">
        <v>1704</v>
      </c>
      <c r="C140" s="5">
        <v>1072</v>
      </c>
      <c r="D140" s="5">
        <v>1072</v>
      </c>
      <c r="E140" s="6">
        <v>0.98</v>
      </c>
      <c r="F140" s="5">
        <v>0</v>
      </c>
      <c r="G140" s="5">
        <v>63.39</v>
      </c>
      <c r="H140" s="5">
        <v>807</v>
      </c>
      <c r="I140" s="5" t="str">
        <f>HYPERLINK("https://www.ncbi.nlm.nih.gov/protein/MBI5676358.1?report=genbank&amp;log$=prottop&amp;blast_rank=71&amp;RID=7U875CNM013","MBI5676358.1")</f>
        <v>MBI5676358.1</v>
      </c>
      <c r="J140" s="5" t="s">
        <v>1634</v>
      </c>
    </row>
    <row r="141" spans="1:10" s="7" customFormat="1" x14ac:dyDescent="0.2">
      <c r="A141" s="5" t="s">
        <v>1994</v>
      </c>
      <c r="B141" s="5" t="s">
        <v>1995</v>
      </c>
      <c r="C141" s="5">
        <v>1032</v>
      </c>
      <c r="D141" s="5">
        <v>1032</v>
      </c>
      <c r="E141" s="6">
        <v>0.99</v>
      </c>
      <c r="F141" s="5">
        <v>0</v>
      </c>
      <c r="G141" s="5">
        <v>63.35</v>
      </c>
      <c r="H141" s="5">
        <v>791</v>
      </c>
      <c r="I141" s="5" t="str">
        <f>HYPERLINK("https://www.ncbi.nlm.nih.gov/protein/ODT46339.1?report=genbank&amp;log$=prottop&amp;blast_rank=116&amp;RID=7U875CNM013","ODT46339.1")</f>
        <v>ODT46339.1</v>
      </c>
      <c r="J141" s="5" t="s">
        <v>1996</v>
      </c>
    </row>
    <row r="142" spans="1:10" s="7" customFormat="1" ht="17" customHeight="1" x14ac:dyDescent="0.2">
      <c r="A142" s="5" t="s">
        <v>1703</v>
      </c>
      <c r="B142" s="5" t="s">
        <v>1704</v>
      </c>
      <c r="C142" s="5">
        <v>1075</v>
      </c>
      <c r="D142" s="5">
        <v>1075</v>
      </c>
      <c r="E142" s="6">
        <v>0.99</v>
      </c>
      <c r="F142" s="5">
        <v>0</v>
      </c>
      <c r="G142" s="5">
        <v>63.26</v>
      </c>
      <c r="H142" s="5">
        <v>790</v>
      </c>
      <c r="I142" s="5" t="str">
        <f>HYPERLINK("https://www.ncbi.nlm.nih.gov/protein/MBI4654341.1?report=genbank&amp;log$=prottop&amp;blast_rank=220&amp;RID=7U875CNM013","MBI4654341.1")</f>
        <v>MBI4654341.1</v>
      </c>
      <c r="J142" s="5" t="s">
        <v>1996</v>
      </c>
    </row>
    <row r="143" spans="1:10" s="7" customFormat="1" ht="17" customHeight="1" x14ac:dyDescent="0.2">
      <c r="A143" s="5" t="s">
        <v>1755</v>
      </c>
      <c r="B143" s="5" t="s">
        <v>1756</v>
      </c>
      <c r="C143" s="5">
        <v>1057</v>
      </c>
      <c r="D143" s="5">
        <v>1057</v>
      </c>
      <c r="E143" s="6">
        <v>0.99</v>
      </c>
      <c r="F143" s="5">
        <v>0</v>
      </c>
      <c r="G143" s="5">
        <v>63.26</v>
      </c>
      <c r="H143" s="5">
        <v>799</v>
      </c>
      <c r="I143" s="5" t="str">
        <f>HYPERLINK("https://www.ncbi.nlm.nih.gov/protein/NJN68999.1?report=genbank&amp;log$=prottop&amp;blast_rank=221&amp;RID=7U875CNM013","NJN68999.1")</f>
        <v>NJN68999.1</v>
      </c>
      <c r="J143" s="5" t="s">
        <v>1996</v>
      </c>
    </row>
    <row r="144" spans="1:10" s="7" customFormat="1" x14ac:dyDescent="0.2">
      <c r="A144" s="5" t="s">
        <v>1801</v>
      </c>
      <c r="B144" s="5" t="s">
        <v>1802</v>
      </c>
      <c r="C144" s="5">
        <v>1068</v>
      </c>
      <c r="D144" s="5">
        <v>1068</v>
      </c>
      <c r="E144" s="6">
        <v>0.99</v>
      </c>
      <c r="F144" s="5">
        <v>0</v>
      </c>
      <c r="G144" s="5">
        <v>63.18</v>
      </c>
      <c r="H144" s="5">
        <v>813</v>
      </c>
      <c r="I144" s="5" t="str">
        <f>HYPERLINK("https://www.ncbi.nlm.nih.gov/protein/WP_074745417.1?report=genbank&amp;log$=prottop&amp;blast_rank=66&amp;RID=7U875CNM013","WP_074745417.1")</f>
        <v>WP_074745417.1</v>
      </c>
      <c r="J144" s="5" t="s">
        <v>1634</v>
      </c>
    </row>
    <row r="145" spans="1:10" s="7" customFormat="1" x14ac:dyDescent="0.2">
      <c r="A145" s="5" t="s">
        <v>2024</v>
      </c>
      <c r="B145" s="5" t="s">
        <v>2025</v>
      </c>
      <c r="C145" s="5">
        <v>1033</v>
      </c>
      <c r="D145" s="5">
        <v>1033</v>
      </c>
      <c r="E145" s="6">
        <v>0.97</v>
      </c>
      <c r="F145" s="5">
        <v>0</v>
      </c>
      <c r="G145" s="5">
        <v>63.14</v>
      </c>
      <c r="H145" s="5">
        <v>796</v>
      </c>
      <c r="I145" s="5" t="str">
        <f>HYPERLINK("https://www.ncbi.nlm.nih.gov/protein/WP_062483220.1?report=genbank&amp;log$=prottop&amp;blast_rank=104&amp;RID=7U875CNM013","WP_062483220.1")</f>
        <v>WP_062483220.1</v>
      </c>
      <c r="J145" s="5" t="s">
        <v>1996</v>
      </c>
    </row>
    <row r="146" spans="1:10" s="7" customFormat="1" x14ac:dyDescent="0.2">
      <c r="A146" s="5" t="s">
        <v>2036</v>
      </c>
      <c r="B146" s="5" t="s">
        <v>2037</v>
      </c>
      <c r="C146" s="5">
        <v>1074</v>
      </c>
      <c r="D146" s="5">
        <v>1074</v>
      </c>
      <c r="E146" s="6">
        <v>0.98</v>
      </c>
      <c r="F146" s="5">
        <v>0</v>
      </c>
      <c r="G146" s="5">
        <v>63.13</v>
      </c>
      <c r="H146" s="5">
        <v>800</v>
      </c>
      <c r="I146" s="5" t="str">
        <f>HYPERLINK("https://www.ncbi.nlm.nih.gov/protein/WP_176754741.1?report=genbank&amp;log$=prottop&amp;blast_rank=125&amp;RID=7U875CNM013","WP_176754741.1")</f>
        <v>WP_176754741.1</v>
      </c>
      <c r="J146" s="5" t="s">
        <v>2038</v>
      </c>
    </row>
    <row r="147" spans="1:10" s="7" customFormat="1" x14ac:dyDescent="0.2">
      <c r="A147" s="5" t="s">
        <v>1703</v>
      </c>
      <c r="B147" s="5" t="s">
        <v>1704</v>
      </c>
      <c r="C147" s="5">
        <v>1073</v>
      </c>
      <c r="D147" s="5">
        <v>1073</v>
      </c>
      <c r="E147" s="6">
        <v>0.99</v>
      </c>
      <c r="F147" s="5">
        <v>0</v>
      </c>
      <c r="G147" s="5">
        <v>63.13</v>
      </c>
      <c r="H147" s="5">
        <v>790</v>
      </c>
      <c r="I147" s="5" t="str">
        <f>HYPERLINK("https://www.ncbi.nlm.nih.gov/protein/MBI5205254.1?report=genbank&amp;log$=prottop&amp;blast_rank=126&amp;RID=7U875CNM013","MBI5205254.1")</f>
        <v>MBI5205254.1</v>
      </c>
      <c r="J147" s="5" t="s">
        <v>2038</v>
      </c>
    </row>
    <row r="148" spans="1:10" s="10" customFormat="1" x14ac:dyDescent="0.2">
      <c r="A148" s="5" t="s">
        <v>1823</v>
      </c>
      <c r="B148" s="5" t="s">
        <v>1824</v>
      </c>
      <c r="C148" s="5">
        <v>1082</v>
      </c>
      <c r="D148" s="5">
        <v>1082</v>
      </c>
      <c r="E148" s="6">
        <v>0.98</v>
      </c>
      <c r="F148" s="5">
        <v>0</v>
      </c>
      <c r="G148" s="5">
        <v>63.03</v>
      </c>
      <c r="H148" s="5">
        <v>813</v>
      </c>
      <c r="I148" s="5" t="str">
        <f>HYPERLINK("https://www.ncbi.nlm.nih.gov/protein/WP_074793664.1?report=genbank&amp;log$=prottop&amp;blast_rank=56&amp;RID=7U875CNM013","WP_074793664.1")</f>
        <v>WP_074793664.1</v>
      </c>
      <c r="J148" s="5" t="s">
        <v>2053</v>
      </c>
    </row>
    <row r="149" spans="1:10" s="7" customFormat="1" x14ac:dyDescent="0.2">
      <c r="A149" s="5" t="s">
        <v>1823</v>
      </c>
      <c r="B149" s="5" t="s">
        <v>1824</v>
      </c>
      <c r="C149" s="5">
        <v>1080</v>
      </c>
      <c r="D149" s="5">
        <v>1080</v>
      </c>
      <c r="E149" s="6">
        <v>0.98</v>
      </c>
      <c r="F149" s="5">
        <v>0</v>
      </c>
      <c r="G149" s="5">
        <v>63.03</v>
      </c>
      <c r="H149" s="5">
        <v>813</v>
      </c>
      <c r="I149" s="5" t="str">
        <f>HYPERLINK("https://www.ncbi.nlm.nih.gov/protein/WP_074858828.1?report=genbank&amp;log$=prottop&amp;blast_rank=57&amp;RID=7U875CNM013","WP_074858828.1")</f>
        <v>WP_074858828.1</v>
      </c>
      <c r="J149" s="5" t="s">
        <v>2053</v>
      </c>
    </row>
    <row r="150" spans="1:10" s="7" customFormat="1" x14ac:dyDescent="0.2">
      <c r="A150" s="5" t="s">
        <v>2055</v>
      </c>
      <c r="B150" s="5" t="s">
        <v>2056</v>
      </c>
      <c r="C150" s="5">
        <v>1066</v>
      </c>
      <c r="D150" s="5">
        <v>1066</v>
      </c>
      <c r="E150" s="6">
        <v>0.99</v>
      </c>
      <c r="F150" s="5">
        <v>0</v>
      </c>
      <c r="G150" s="5">
        <v>63.01</v>
      </c>
      <c r="H150" s="5">
        <v>807</v>
      </c>
      <c r="I150" s="5" t="str">
        <f>HYPERLINK("https://www.ncbi.nlm.nih.gov/protein/MBN9125152.1?report=genbank&amp;log$=prottop&amp;blast_rank=93&amp;RID=7U875CNM013","MBN9125152.1")</f>
        <v>MBN9125152.1</v>
      </c>
      <c r="J150" s="5" t="s">
        <v>1996</v>
      </c>
    </row>
    <row r="151" spans="1:10" s="7" customFormat="1" x14ac:dyDescent="0.2">
      <c r="A151" s="5" t="s">
        <v>1755</v>
      </c>
      <c r="B151" s="5" t="s">
        <v>1756</v>
      </c>
      <c r="C151" s="5">
        <v>1040</v>
      </c>
      <c r="D151" s="5">
        <v>1040</v>
      </c>
      <c r="E151" s="6">
        <v>0.99</v>
      </c>
      <c r="F151" s="5">
        <v>0</v>
      </c>
      <c r="G151" s="5">
        <v>63.01</v>
      </c>
      <c r="H151" s="5">
        <v>796</v>
      </c>
      <c r="I151" s="5" t="str">
        <f>HYPERLINK("https://www.ncbi.nlm.nih.gov/protein/TKB79944.1?report=genbank&amp;log$=prottop&amp;blast_rank=123&amp;RID=7U875CNM013","TKB79944.1")</f>
        <v>TKB79944.1</v>
      </c>
      <c r="J151" s="5" t="s">
        <v>1996</v>
      </c>
    </row>
    <row r="152" spans="1:10" s="7" customFormat="1" x14ac:dyDescent="0.2">
      <c r="A152" s="5" t="s">
        <v>1703</v>
      </c>
      <c r="B152" s="5" t="s">
        <v>1704</v>
      </c>
      <c r="C152" s="5">
        <v>1083</v>
      </c>
      <c r="D152" s="5">
        <v>1083</v>
      </c>
      <c r="E152" s="6">
        <v>0.98</v>
      </c>
      <c r="F152" s="5">
        <v>0</v>
      </c>
      <c r="G152" s="5">
        <v>62.9</v>
      </c>
      <c r="H152" s="5">
        <v>790</v>
      </c>
      <c r="I152" s="5" t="str">
        <f>HYPERLINK("https://www.ncbi.nlm.nih.gov/protein/MBI5194103.1?report=genbank&amp;log$=prottop&amp;blast_rank=217&amp;RID=7U875CNM013","MBI5194103.1")</f>
        <v>MBI5194103.1</v>
      </c>
      <c r="J152" s="5" t="s">
        <v>1996</v>
      </c>
    </row>
    <row r="153" spans="1:10" s="8" customFormat="1" x14ac:dyDescent="0.2">
      <c r="A153" s="5" t="s">
        <v>2070</v>
      </c>
      <c r="B153" s="5" t="s">
        <v>2071</v>
      </c>
      <c r="C153" s="5">
        <v>1080</v>
      </c>
      <c r="D153" s="5">
        <v>1080</v>
      </c>
      <c r="E153" s="6">
        <v>0.99</v>
      </c>
      <c r="F153" s="5">
        <v>0</v>
      </c>
      <c r="G153" s="5">
        <v>62.89</v>
      </c>
      <c r="H153" s="5">
        <v>794</v>
      </c>
      <c r="I153" s="5" t="str">
        <f>HYPERLINK("https://www.ncbi.nlm.nih.gov/protein/WP_113037324.1?report=genbank&amp;log$=prottop&amp;blast_rank=1&amp;RID=7U875CNM013","WP_113037324.1")</f>
        <v>WP_113037324.1</v>
      </c>
      <c r="J153" s="5" t="s">
        <v>2072</v>
      </c>
    </row>
    <row r="154" spans="1:10" s="7" customFormat="1" x14ac:dyDescent="0.2">
      <c r="A154" s="5" t="s">
        <v>1712</v>
      </c>
      <c r="B154" s="5" t="s">
        <v>1713</v>
      </c>
      <c r="C154" s="5">
        <v>1051</v>
      </c>
      <c r="D154" s="5">
        <v>1051</v>
      </c>
      <c r="E154" s="6">
        <v>0.98</v>
      </c>
      <c r="F154" s="5">
        <v>0</v>
      </c>
      <c r="G154" s="5">
        <v>62.88</v>
      </c>
      <c r="H154" s="5">
        <v>794</v>
      </c>
      <c r="I154" s="5" t="str">
        <f>HYPERLINK("https://www.ncbi.nlm.nih.gov/protein/MBD0315876.1?report=genbank&amp;log$=prottop&amp;blast_rank=30&amp;RID=7U875CNM013","MBD0315876.1")</f>
        <v>MBD0315876.1</v>
      </c>
      <c r="J154" s="5" t="s">
        <v>2073</v>
      </c>
    </row>
    <row r="155" spans="1:10" s="7" customFormat="1" x14ac:dyDescent="0.2">
      <c r="A155" s="5" t="s">
        <v>1755</v>
      </c>
      <c r="B155" s="5" t="s">
        <v>1756</v>
      </c>
      <c r="C155" s="5">
        <v>1040</v>
      </c>
      <c r="D155" s="5">
        <v>1040</v>
      </c>
      <c r="E155" s="6">
        <v>0.99</v>
      </c>
      <c r="F155" s="5">
        <v>0</v>
      </c>
      <c r="G155" s="5">
        <v>62.88</v>
      </c>
      <c r="H155" s="5">
        <v>799</v>
      </c>
      <c r="I155" s="5" t="str">
        <f>HYPERLINK("https://www.ncbi.nlm.nih.gov/protein/NOS79476.1?report=genbank&amp;log$=prottop&amp;blast_rank=31&amp;RID=7U875CNM013","NOS79476.1")</f>
        <v>NOS79476.1</v>
      </c>
      <c r="J155" s="5" t="s">
        <v>2073</v>
      </c>
    </row>
    <row r="156" spans="1:10" s="7" customFormat="1" x14ac:dyDescent="0.2">
      <c r="A156" s="5" t="s">
        <v>2074</v>
      </c>
      <c r="B156" s="5" t="s">
        <v>2071</v>
      </c>
      <c r="C156" s="5">
        <v>1082</v>
      </c>
      <c r="D156" s="5">
        <v>1082</v>
      </c>
      <c r="E156" s="6">
        <v>0.99</v>
      </c>
      <c r="F156" s="5">
        <v>0</v>
      </c>
      <c r="G156" s="5">
        <v>62.86</v>
      </c>
      <c r="H156" s="5">
        <v>795</v>
      </c>
      <c r="I156" s="5" t="str">
        <f>HYPERLINK("https://www.ncbi.nlm.nih.gov/protein/RAR96300.1?report=genbank&amp;log$=prottop&amp;blast_rank=39&amp;RID=7U875CNM013","RAR96300.1")</f>
        <v>RAR96300.1</v>
      </c>
      <c r="J156" s="5" t="s">
        <v>2072</v>
      </c>
    </row>
    <row r="157" spans="1:10" s="7" customFormat="1" x14ac:dyDescent="0.2">
      <c r="A157" s="5" t="s">
        <v>2075</v>
      </c>
      <c r="B157" s="5" t="s">
        <v>2076</v>
      </c>
      <c r="C157" s="5">
        <v>1074</v>
      </c>
      <c r="D157" s="5">
        <v>1074</v>
      </c>
      <c r="E157" s="6">
        <v>0.99</v>
      </c>
      <c r="F157" s="5">
        <v>0</v>
      </c>
      <c r="G157" s="5">
        <v>62.77</v>
      </c>
      <c r="H157" s="5">
        <v>797</v>
      </c>
      <c r="I157" s="5" t="str">
        <f>HYPERLINK("https://www.ncbi.nlm.nih.gov/protein/WP_090333729.1?report=genbank&amp;log$=prottop&amp;blast_rank=117&amp;RID=7U875CNM013","WP_090333729.1")</f>
        <v>WP_090333729.1</v>
      </c>
      <c r="J157" s="5" t="s">
        <v>2072</v>
      </c>
    </row>
    <row r="158" spans="1:10" s="7" customFormat="1" x14ac:dyDescent="0.2">
      <c r="A158" s="5" t="s">
        <v>2055</v>
      </c>
      <c r="B158" s="5" t="s">
        <v>2056</v>
      </c>
      <c r="C158" s="5">
        <v>1053</v>
      </c>
      <c r="D158" s="5">
        <v>1053</v>
      </c>
      <c r="E158" s="6">
        <v>0.98</v>
      </c>
      <c r="F158" s="5">
        <v>0</v>
      </c>
      <c r="G158" s="5">
        <v>62.71</v>
      </c>
      <c r="H158" s="5">
        <v>809</v>
      </c>
      <c r="I158" s="5" t="str">
        <f>HYPERLINK("https://www.ncbi.nlm.nih.gov/protein/MBA4142727.1?report=genbank&amp;log$=prottop&amp;blast_rank=181&amp;RID=7U875CNM013","MBA4142727.1")</f>
        <v>MBA4142727.1</v>
      </c>
      <c r="J158" s="5" t="s">
        <v>2085</v>
      </c>
    </row>
    <row r="159" spans="1:10" s="1" customFormat="1" ht="18" x14ac:dyDescent="0.25">
      <c r="A159" s="1" t="s">
        <v>24</v>
      </c>
      <c r="B159" s="1" t="s">
        <v>25</v>
      </c>
      <c r="C159" s="1">
        <v>1188</v>
      </c>
      <c r="D159" s="1">
        <v>1188</v>
      </c>
      <c r="E159" s="2">
        <v>0.97</v>
      </c>
      <c r="F159" s="1">
        <v>0</v>
      </c>
      <c r="G159" s="1">
        <v>72.44</v>
      </c>
      <c r="H159" s="1">
        <v>788</v>
      </c>
      <c r="I159" s="1" t="str">
        <f>HYPERLINK("https://www.ncbi.nlm.nih.gov/protein/WP_014961057.1?report=genbank&amp;log$=prottop&amp;blast_rank=18&amp;RID=7U875CNM013","WP_014961057.1")</f>
        <v>WP_014961057.1</v>
      </c>
      <c r="J159" s="32" t="s">
        <v>1777</v>
      </c>
    </row>
    <row r="160" spans="1:10" s="4" customFormat="1" x14ac:dyDescent="0.2">
      <c r="A160" s="1" t="s">
        <v>3064</v>
      </c>
      <c r="B160" s="1" t="s">
        <v>3065</v>
      </c>
      <c r="C160" s="1">
        <v>1062</v>
      </c>
      <c r="D160" s="1">
        <v>1062</v>
      </c>
      <c r="E160" s="2">
        <v>0.99</v>
      </c>
      <c r="F160" s="1">
        <v>0</v>
      </c>
      <c r="G160" s="1">
        <v>63.27</v>
      </c>
      <c r="H160" s="1">
        <v>796</v>
      </c>
      <c r="I160" s="1" t="str">
        <f>HYPERLINK("https://www.ncbi.nlm.nih.gov/protein/WP_090459687.1?report=genbank&amp;log$=prottop&amp;blast_rank=197&amp;RID=7U875CNM013","WP_090459687.1")</f>
        <v>WP_090459687.1</v>
      </c>
      <c r="J160" s="1" t="s">
        <v>1663</v>
      </c>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1"/>
  <sheetViews>
    <sheetView topLeftCell="C13" workbookViewId="0">
      <selection activeCell="C32" sqref="A32:XFD32"/>
    </sheetView>
  </sheetViews>
  <sheetFormatPr baseColWidth="10" defaultRowHeight="16" x14ac:dyDescent="0.2"/>
  <cols>
    <col min="2" max="2" width="38.5" customWidth="1"/>
    <col min="9" max="9" width="29.33203125" customWidth="1"/>
  </cols>
  <sheetData>
    <row r="1" spans="1:10" s="3" customFormat="1" x14ac:dyDescent="0.2">
      <c r="A1" s="3" t="s">
        <v>5</v>
      </c>
      <c r="B1" s="3" t="s">
        <v>6</v>
      </c>
      <c r="C1" s="3" t="s">
        <v>7</v>
      </c>
      <c r="D1" s="3" t="s">
        <v>8</v>
      </c>
      <c r="E1" s="3" t="s">
        <v>9</v>
      </c>
      <c r="F1" s="3" t="s">
        <v>10</v>
      </c>
      <c r="G1" s="3" t="s">
        <v>11</v>
      </c>
      <c r="H1" s="3" t="s">
        <v>12</v>
      </c>
      <c r="I1" s="3" t="s">
        <v>13</v>
      </c>
      <c r="J1" s="1"/>
    </row>
    <row r="2" spans="1:10" s="4" customFormat="1" x14ac:dyDescent="0.2">
      <c r="A2" s="1" t="s">
        <v>1648</v>
      </c>
      <c r="B2" s="1" t="s">
        <v>1649</v>
      </c>
      <c r="C2" s="1">
        <v>1184</v>
      </c>
      <c r="D2" s="1">
        <v>1184</v>
      </c>
      <c r="E2" s="2">
        <v>0.99</v>
      </c>
      <c r="F2" s="1">
        <v>0</v>
      </c>
      <c r="G2" s="1">
        <v>70.58</v>
      </c>
      <c r="H2" s="1">
        <v>798</v>
      </c>
      <c r="I2" s="1" t="str">
        <f>HYPERLINK("https://www.ncbi.nlm.nih.gov/protein/WP_062635077.1?report=genbank&amp;log$=prottop&amp;blast_rank=64&amp;RID=7U875CNM013","WP_062635077.1")</f>
        <v>WP_062635077.1</v>
      </c>
      <c r="J2" s="5" t="s">
        <v>1650</v>
      </c>
    </row>
    <row r="3" spans="1:10" s="4" customFormat="1" x14ac:dyDescent="0.2">
      <c r="A3" s="1" t="s">
        <v>1648</v>
      </c>
      <c r="B3" s="1" t="s">
        <v>1649</v>
      </c>
      <c r="C3" s="1">
        <v>1182</v>
      </c>
      <c r="D3" s="1">
        <v>1182</v>
      </c>
      <c r="E3" s="2">
        <v>0.99</v>
      </c>
      <c r="F3" s="1">
        <v>0</v>
      </c>
      <c r="G3" s="1">
        <v>70.58</v>
      </c>
      <c r="H3" s="1">
        <v>798</v>
      </c>
      <c r="I3" s="1" t="str">
        <f>HYPERLINK("https://www.ncbi.nlm.nih.gov/protein/WP_097190463.1?report=genbank&amp;log$=prottop&amp;blast_rank=65&amp;RID=7U875CNM013","WP_097190463.1")</f>
        <v>WP_097190463.1</v>
      </c>
      <c r="J3" s="5" t="s">
        <v>1650</v>
      </c>
    </row>
    <row r="4" spans="1:10" s="7" customFormat="1" x14ac:dyDescent="0.2">
      <c r="A4" s="5" t="s">
        <v>1683</v>
      </c>
      <c r="B4" s="5" t="s">
        <v>1684</v>
      </c>
      <c r="C4" s="5">
        <v>1160</v>
      </c>
      <c r="D4" s="5">
        <v>1160</v>
      </c>
      <c r="E4" s="6">
        <v>0.98</v>
      </c>
      <c r="F4" s="5">
        <v>0</v>
      </c>
      <c r="G4" s="5">
        <v>69.569999999999993</v>
      </c>
      <c r="H4" s="5">
        <v>795</v>
      </c>
      <c r="I4" s="5" t="str">
        <f>HYPERLINK("https://www.ncbi.nlm.nih.gov/protein/WP_089163222.1?report=genbank&amp;log$=prottop&amp;blast_rank=121&amp;RID=7U875CNM013","WP_089163222.1")</f>
        <v>WP_089163222.1</v>
      </c>
      <c r="J4" s="5" t="s">
        <v>1685</v>
      </c>
    </row>
    <row r="5" spans="1:10" s="7" customFormat="1" x14ac:dyDescent="0.2">
      <c r="A5" s="5" t="s">
        <v>1725</v>
      </c>
      <c r="B5" s="5" t="s">
        <v>1726</v>
      </c>
      <c r="C5" s="5">
        <v>1029</v>
      </c>
      <c r="D5" s="5">
        <v>1029</v>
      </c>
      <c r="E5" s="6">
        <v>0.94</v>
      </c>
      <c r="F5" s="5">
        <v>0</v>
      </c>
      <c r="G5" s="5">
        <v>65.38</v>
      </c>
      <c r="H5" s="5">
        <v>769</v>
      </c>
      <c r="I5" s="5" t="str">
        <f>HYPERLINK("https://www.ncbi.nlm.nih.gov/protein/WP_087006023.1?report=genbank&amp;log$=prottop&amp;blast_rank=48&amp;RID=7U875CNM013","WP_087006023.1")</f>
        <v>WP_087006023.1</v>
      </c>
      <c r="J5" s="5" t="s">
        <v>1727</v>
      </c>
    </row>
    <row r="6" spans="1:10" s="7" customFormat="1" x14ac:dyDescent="0.2">
      <c r="A6" s="5" t="s">
        <v>1837</v>
      </c>
      <c r="B6" s="5" t="s">
        <v>1838</v>
      </c>
      <c r="C6" s="5">
        <v>1055</v>
      </c>
      <c r="D6" s="5">
        <v>1055</v>
      </c>
      <c r="E6" s="6">
        <v>0.98</v>
      </c>
      <c r="F6" s="5">
        <v>0</v>
      </c>
      <c r="G6" s="5">
        <v>64.16</v>
      </c>
      <c r="H6" s="5">
        <v>821</v>
      </c>
      <c r="I6" s="5" t="str">
        <f>HYPERLINK("https://www.ncbi.nlm.nih.gov/protein/WP_132553967.1?report=genbank&amp;log$=prottop&amp;blast_rank=71&amp;RID=7U875CNM013","WP_132553967.1")</f>
        <v>WP_132553967.1</v>
      </c>
      <c r="J6" s="5" t="s">
        <v>1727</v>
      </c>
    </row>
    <row r="7" spans="1:10" s="7" customFormat="1" x14ac:dyDescent="0.2">
      <c r="A7" s="5" t="s">
        <v>1839</v>
      </c>
      <c r="B7" s="5" t="s">
        <v>1840</v>
      </c>
      <c r="C7" s="5">
        <v>1054</v>
      </c>
      <c r="D7" s="5">
        <v>1054</v>
      </c>
      <c r="E7" s="6">
        <v>0.98</v>
      </c>
      <c r="F7" s="5">
        <v>0</v>
      </c>
      <c r="G7" s="5">
        <v>64.16</v>
      </c>
      <c r="H7" s="5">
        <v>821</v>
      </c>
      <c r="I7" s="5" t="str">
        <f>HYPERLINK("https://www.ncbi.nlm.nih.gov/protein/WP_074062605.1?report=genbank&amp;log$=prottop&amp;blast_rank=72&amp;RID=7U875CNM013","WP_074062605.1")</f>
        <v>WP_074062605.1</v>
      </c>
      <c r="J7" s="5" t="s">
        <v>1727</v>
      </c>
    </row>
    <row r="8" spans="1:10" s="7" customFormat="1" x14ac:dyDescent="0.2">
      <c r="A8" s="5" t="s">
        <v>1841</v>
      </c>
      <c r="B8" s="5" t="s">
        <v>1842</v>
      </c>
      <c r="C8" s="5">
        <v>1053</v>
      </c>
      <c r="D8" s="5">
        <v>1053</v>
      </c>
      <c r="E8" s="6">
        <v>0.98</v>
      </c>
      <c r="F8" s="5">
        <v>0</v>
      </c>
      <c r="G8" s="5">
        <v>64.16</v>
      </c>
      <c r="H8" s="5">
        <v>804</v>
      </c>
      <c r="I8" s="5" t="str">
        <f>HYPERLINK("https://www.ncbi.nlm.nih.gov/protein/APO76428.1?report=genbank&amp;log$=prottop&amp;blast_rank=73&amp;RID=7U875CNM013","APO76428.1")</f>
        <v>APO76428.1</v>
      </c>
      <c r="J8" s="5" t="s">
        <v>1727</v>
      </c>
    </row>
    <row r="9" spans="1:10" s="7" customFormat="1" x14ac:dyDescent="0.2">
      <c r="A9" s="5" t="s">
        <v>1843</v>
      </c>
      <c r="B9" s="5" t="s">
        <v>1844</v>
      </c>
      <c r="C9" s="5">
        <v>1051</v>
      </c>
      <c r="D9" s="5">
        <v>1051</v>
      </c>
      <c r="E9" s="6">
        <v>0.98</v>
      </c>
      <c r="F9" s="5">
        <v>0</v>
      </c>
      <c r="G9" s="5">
        <v>64.16</v>
      </c>
      <c r="H9" s="5">
        <v>819</v>
      </c>
      <c r="I9" s="5" t="str">
        <f>HYPERLINK("https://www.ncbi.nlm.nih.gov/protein/WP_130767571.1?report=genbank&amp;log$=prottop&amp;blast_rank=74&amp;RID=7U875CNM013","WP_130767571.1")</f>
        <v>WP_130767571.1</v>
      </c>
      <c r="J9" s="5" t="s">
        <v>1727</v>
      </c>
    </row>
    <row r="10" spans="1:10" s="7" customFormat="1" x14ac:dyDescent="0.2">
      <c r="A10" s="5" t="s">
        <v>1852</v>
      </c>
      <c r="B10" s="5" t="s">
        <v>1853</v>
      </c>
      <c r="C10" s="5">
        <v>1060</v>
      </c>
      <c r="D10" s="5">
        <v>1060</v>
      </c>
      <c r="E10" s="6">
        <v>0.98</v>
      </c>
      <c r="F10" s="5">
        <v>0</v>
      </c>
      <c r="G10" s="5">
        <v>64.03</v>
      </c>
      <c r="H10" s="5">
        <v>821</v>
      </c>
      <c r="I10" s="5" t="str">
        <f>HYPERLINK("https://www.ncbi.nlm.nih.gov/protein/WP_082529852.1?report=genbank&amp;log$=prottop&amp;blast_rank=221&amp;RID=7U875CNM013","WP_082529852.1")</f>
        <v>WP_082529852.1</v>
      </c>
      <c r="J10" s="5" t="s">
        <v>1727</v>
      </c>
    </row>
    <row r="11" spans="1:10" s="7" customFormat="1" x14ac:dyDescent="0.2">
      <c r="A11" s="5" t="s">
        <v>1854</v>
      </c>
      <c r="B11" s="5" t="s">
        <v>1853</v>
      </c>
      <c r="C11" s="5">
        <v>1060</v>
      </c>
      <c r="D11" s="5">
        <v>1060</v>
      </c>
      <c r="E11" s="6">
        <v>0.98</v>
      </c>
      <c r="F11" s="5">
        <v>0</v>
      </c>
      <c r="G11" s="5">
        <v>64.03</v>
      </c>
      <c r="H11" s="5">
        <v>808</v>
      </c>
      <c r="I11" s="5" t="str">
        <f>HYPERLINK("https://www.ncbi.nlm.nih.gov/protein/KQV32701.1?report=genbank&amp;log$=prottop&amp;blast_rank=222&amp;RID=7U875CNM013","KQV32701.1")</f>
        <v>KQV32701.1</v>
      </c>
      <c r="J11" s="5" t="s">
        <v>1727</v>
      </c>
    </row>
    <row r="12" spans="1:10" s="7" customFormat="1" x14ac:dyDescent="0.2">
      <c r="A12" s="5" t="s">
        <v>1855</v>
      </c>
      <c r="B12" s="5" t="s">
        <v>1844</v>
      </c>
      <c r="C12" s="5">
        <v>1055</v>
      </c>
      <c r="D12" s="5">
        <v>1055</v>
      </c>
      <c r="E12" s="6">
        <v>0.98</v>
      </c>
      <c r="F12" s="5">
        <v>0</v>
      </c>
      <c r="G12" s="5">
        <v>64.03</v>
      </c>
      <c r="H12" s="5">
        <v>821</v>
      </c>
      <c r="I12" s="5" t="str">
        <f>HYPERLINK("https://www.ncbi.nlm.nih.gov/protein/WP_168313261.1?report=genbank&amp;log$=prottop&amp;blast_rank=223&amp;RID=7U875CNM013","WP_168313261.1")</f>
        <v>WP_168313261.1</v>
      </c>
      <c r="J12" s="5" t="s">
        <v>1727</v>
      </c>
    </row>
    <row r="13" spans="1:10" s="7" customFormat="1" x14ac:dyDescent="0.2">
      <c r="A13" s="5" t="s">
        <v>1874</v>
      </c>
      <c r="B13" s="5" t="s">
        <v>1875</v>
      </c>
      <c r="C13" s="5">
        <v>1031</v>
      </c>
      <c r="D13" s="5">
        <v>1031</v>
      </c>
      <c r="E13" s="6">
        <v>0.97</v>
      </c>
      <c r="F13" s="5">
        <v>0</v>
      </c>
      <c r="G13" s="5">
        <v>63.92</v>
      </c>
      <c r="H13" s="5">
        <v>789</v>
      </c>
      <c r="I13" s="5" t="str">
        <f>HYPERLINK("https://www.ncbi.nlm.nih.gov/protein/EHK75609.1?report=genbank&amp;log$=prottop&amp;blast_rank=97&amp;RID=7U875CNM013","EHK75609.1")</f>
        <v>EHK75609.1</v>
      </c>
      <c r="J13" s="5" t="s">
        <v>1876</v>
      </c>
    </row>
    <row r="14" spans="1:10" s="7" customFormat="1" x14ac:dyDescent="0.2">
      <c r="A14" s="5" t="s">
        <v>1877</v>
      </c>
      <c r="B14" s="5" t="s">
        <v>1878</v>
      </c>
      <c r="C14" s="5">
        <v>1030</v>
      </c>
      <c r="D14" s="5">
        <v>1030</v>
      </c>
      <c r="E14" s="6">
        <v>0.97</v>
      </c>
      <c r="F14" s="5">
        <v>0</v>
      </c>
      <c r="G14" s="5">
        <v>63.92</v>
      </c>
      <c r="H14" s="5">
        <v>789</v>
      </c>
      <c r="I14" s="5" t="str">
        <f>HYPERLINK("https://www.ncbi.nlm.nih.gov/protein/Q92T74.1?report=genbank&amp;log$=prottop&amp;blast_rank=98&amp;RID=7U875CNM013","Q92T74.1")</f>
        <v>Q92T74.1</v>
      </c>
      <c r="J14" s="5" t="s">
        <v>1876</v>
      </c>
    </row>
    <row r="15" spans="1:10" s="7" customFormat="1" x14ac:dyDescent="0.2">
      <c r="A15" s="5" t="s">
        <v>1843</v>
      </c>
      <c r="B15" s="5" t="s">
        <v>1844</v>
      </c>
      <c r="C15" s="5">
        <v>1059</v>
      </c>
      <c r="D15" s="5">
        <v>1059</v>
      </c>
      <c r="E15" s="6">
        <v>0.98</v>
      </c>
      <c r="F15" s="5">
        <v>0</v>
      </c>
      <c r="G15" s="5">
        <v>63.9</v>
      </c>
      <c r="H15" s="5">
        <v>821</v>
      </c>
      <c r="I15" s="5" t="str">
        <f>HYPERLINK("https://www.ncbi.nlm.nih.gov/protein/WP_075225753.1?report=genbank&amp;log$=prottop&amp;blast_rank=121&amp;RID=7U875CNM013","WP_075225753.1")</f>
        <v>WP_075225753.1</v>
      </c>
      <c r="J15" s="5" t="s">
        <v>1727</v>
      </c>
    </row>
    <row r="16" spans="1:10" s="7" customFormat="1" x14ac:dyDescent="0.2">
      <c r="A16" s="5" t="s">
        <v>1843</v>
      </c>
      <c r="B16" s="5" t="s">
        <v>1844</v>
      </c>
      <c r="C16" s="5">
        <v>1059</v>
      </c>
      <c r="D16" s="5">
        <v>1059</v>
      </c>
      <c r="E16" s="6">
        <v>0.98</v>
      </c>
      <c r="F16" s="5">
        <v>0</v>
      </c>
      <c r="G16" s="5">
        <v>63.9</v>
      </c>
      <c r="H16" s="5">
        <v>821</v>
      </c>
      <c r="I16" s="5" t="str">
        <f>HYPERLINK("https://www.ncbi.nlm.nih.gov/protein/WP_130827881.1?report=genbank&amp;log$=prottop&amp;blast_rank=122&amp;RID=7U875CNM013","WP_130827881.1")</f>
        <v>WP_130827881.1</v>
      </c>
      <c r="J16" s="5" t="s">
        <v>1727</v>
      </c>
    </row>
    <row r="17" spans="1:10" s="7" customFormat="1" x14ac:dyDescent="0.2">
      <c r="A17" s="5" t="s">
        <v>1843</v>
      </c>
      <c r="B17" s="5" t="s">
        <v>1844</v>
      </c>
      <c r="C17" s="5">
        <v>1058</v>
      </c>
      <c r="D17" s="5">
        <v>1058</v>
      </c>
      <c r="E17" s="6">
        <v>0.98</v>
      </c>
      <c r="F17" s="5">
        <v>0</v>
      </c>
      <c r="G17" s="5">
        <v>63.9</v>
      </c>
      <c r="H17" s="5">
        <v>821</v>
      </c>
      <c r="I17" s="5" t="str">
        <f>HYPERLINK("https://www.ncbi.nlm.nih.gov/protein/WP_130745558.1?report=genbank&amp;log$=prottop&amp;blast_rank=123&amp;RID=7U875CNM013","WP_130745558.1")</f>
        <v>WP_130745558.1</v>
      </c>
      <c r="J17" s="5" t="s">
        <v>1727</v>
      </c>
    </row>
    <row r="18" spans="1:10" s="7" customFormat="1" x14ac:dyDescent="0.2">
      <c r="A18" s="5" t="s">
        <v>1843</v>
      </c>
      <c r="B18" s="5" t="s">
        <v>1844</v>
      </c>
      <c r="C18" s="5">
        <v>1058</v>
      </c>
      <c r="D18" s="5">
        <v>1058</v>
      </c>
      <c r="E18" s="6">
        <v>0.98</v>
      </c>
      <c r="F18" s="5">
        <v>0</v>
      </c>
      <c r="G18" s="5">
        <v>63.9</v>
      </c>
      <c r="H18" s="5">
        <v>821</v>
      </c>
      <c r="I18" s="5" t="str">
        <f>HYPERLINK("https://www.ncbi.nlm.nih.gov/protein/WP_085065903.1?report=genbank&amp;log$=prottop&amp;blast_rank=124&amp;RID=7U875CNM013","WP_085065903.1")</f>
        <v>WP_085065903.1</v>
      </c>
      <c r="J18" s="5" t="s">
        <v>1727</v>
      </c>
    </row>
    <row r="19" spans="1:10" s="7" customFormat="1" x14ac:dyDescent="0.2">
      <c r="A19" s="5" t="s">
        <v>1881</v>
      </c>
      <c r="B19" s="5" t="s">
        <v>1882</v>
      </c>
      <c r="C19" s="5">
        <v>1058</v>
      </c>
      <c r="D19" s="5">
        <v>1058</v>
      </c>
      <c r="E19" s="6">
        <v>0.98</v>
      </c>
      <c r="F19" s="5">
        <v>0</v>
      </c>
      <c r="G19" s="5">
        <v>63.9</v>
      </c>
      <c r="H19" s="5">
        <v>808</v>
      </c>
      <c r="I19" s="5" t="str">
        <f>HYPERLINK("https://www.ncbi.nlm.nih.gov/protein/OCJ13432.1?report=genbank&amp;log$=prottop&amp;blast_rank=125&amp;RID=7U875CNM013","OCJ13432.1")</f>
        <v>OCJ13432.1</v>
      </c>
      <c r="J19" s="5" t="s">
        <v>1727</v>
      </c>
    </row>
    <row r="20" spans="1:10" s="7" customFormat="1" x14ac:dyDescent="0.2">
      <c r="A20" s="5" t="s">
        <v>1843</v>
      </c>
      <c r="B20" s="5" t="s">
        <v>1844</v>
      </c>
      <c r="C20" s="5">
        <v>1058</v>
      </c>
      <c r="D20" s="5">
        <v>1058</v>
      </c>
      <c r="E20" s="6">
        <v>0.98</v>
      </c>
      <c r="F20" s="5">
        <v>0</v>
      </c>
      <c r="G20" s="5">
        <v>63.9</v>
      </c>
      <c r="H20" s="5">
        <v>821</v>
      </c>
      <c r="I20" s="35" t="str">
        <f>HYPERLINK("https://www.ncbi.nlm.nih.gov/protein/WP_130691360.1?report=genbank&amp;log$=prottop&amp;blast_rank=126&amp;RID=7U875CNM013","WP_130691360.1")</f>
        <v>WP_130691360.1</v>
      </c>
      <c r="J20" s="5" t="s">
        <v>1727</v>
      </c>
    </row>
    <row r="21" spans="1:10" s="7" customFormat="1" x14ac:dyDescent="0.2">
      <c r="A21" s="5" t="s">
        <v>1883</v>
      </c>
      <c r="B21" s="5" t="s">
        <v>1884</v>
      </c>
      <c r="C21" s="5">
        <v>1058</v>
      </c>
      <c r="D21" s="5">
        <v>1058</v>
      </c>
      <c r="E21" s="6">
        <v>0.98</v>
      </c>
      <c r="F21" s="5">
        <v>0</v>
      </c>
      <c r="G21" s="5">
        <v>63.9</v>
      </c>
      <c r="H21" s="5">
        <v>804</v>
      </c>
      <c r="I21" s="5" t="str">
        <f>HYPERLINK("https://www.ncbi.nlm.nih.gov/protein/OLG24445.1?report=genbank&amp;log$=prottop&amp;blast_rank=127&amp;RID=7U875CNM013","OLG24445.1")</f>
        <v>OLG24445.1</v>
      </c>
      <c r="J21" s="5" t="s">
        <v>1727</v>
      </c>
    </row>
    <row r="22" spans="1:10" s="7" customFormat="1" x14ac:dyDescent="0.2">
      <c r="A22" s="5" t="s">
        <v>1843</v>
      </c>
      <c r="B22" s="5" t="s">
        <v>1844</v>
      </c>
      <c r="C22" s="5">
        <v>1058</v>
      </c>
      <c r="D22" s="5">
        <v>1058</v>
      </c>
      <c r="E22" s="6">
        <v>0.98</v>
      </c>
      <c r="F22" s="5">
        <v>0</v>
      </c>
      <c r="G22" s="5">
        <v>63.9</v>
      </c>
      <c r="H22" s="5">
        <v>821</v>
      </c>
      <c r="I22" s="5" t="str">
        <f>HYPERLINK("https://www.ncbi.nlm.nih.gov/protein/WP_131612717.1?report=genbank&amp;log$=prottop&amp;blast_rank=128&amp;RID=7U875CNM013","WP_131612717.1")</f>
        <v>WP_131612717.1</v>
      </c>
      <c r="J22" s="5" t="s">
        <v>1727</v>
      </c>
    </row>
    <row r="23" spans="1:10" s="7" customFormat="1" x14ac:dyDescent="0.2">
      <c r="A23" s="5" t="s">
        <v>1843</v>
      </c>
      <c r="B23" s="5" t="s">
        <v>1844</v>
      </c>
      <c r="C23" s="5">
        <v>1057</v>
      </c>
      <c r="D23" s="5">
        <v>1057</v>
      </c>
      <c r="E23" s="6">
        <v>0.98</v>
      </c>
      <c r="F23" s="5">
        <v>0</v>
      </c>
      <c r="G23" s="5">
        <v>63.9</v>
      </c>
      <c r="H23" s="5">
        <v>821</v>
      </c>
      <c r="I23" s="5" t="str">
        <f>HYPERLINK("https://www.ncbi.nlm.nih.gov/protein/WP_130686964.1?report=genbank&amp;log$=prottop&amp;blast_rank=129&amp;RID=7U875CNM013","WP_130686964.1")</f>
        <v>WP_130686964.1</v>
      </c>
      <c r="J23" s="5" t="s">
        <v>1727</v>
      </c>
    </row>
    <row r="24" spans="1:10" s="7" customFormat="1" x14ac:dyDescent="0.2">
      <c r="A24" s="5" t="s">
        <v>1843</v>
      </c>
      <c r="B24" s="5" t="s">
        <v>1844</v>
      </c>
      <c r="C24" s="5">
        <v>1057</v>
      </c>
      <c r="D24" s="5">
        <v>1057</v>
      </c>
      <c r="E24" s="6">
        <v>0.98</v>
      </c>
      <c r="F24" s="5">
        <v>0</v>
      </c>
      <c r="G24" s="5">
        <v>63.9</v>
      </c>
      <c r="H24" s="5">
        <v>821</v>
      </c>
      <c r="I24" s="5" t="str">
        <f>HYPERLINK("https://www.ncbi.nlm.nih.gov/protein/WP_018068713.1?report=genbank&amp;log$=prottop&amp;blast_rank=130&amp;RID=7U875CNM013","WP_018068713.1")</f>
        <v>WP_018068713.1</v>
      </c>
      <c r="J24" s="5" t="s">
        <v>1727</v>
      </c>
    </row>
    <row r="25" spans="1:10" s="7" customFormat="1" x14ac:dyDescent="0.2">
      <c r="A25" s="5" t="s">
        <v>1885</v>
      </c>
      <c r="B25" s="5" t="s">
        <v>1886</v>
      </c>
      <c r="C25" s="5">
        <v>1057</v>
      </c>
      <c r="D25" s="5">
        <v>1057</v>
      </c>
      <c r="E25" s="6">
        <v>0.98</v>
      </c>
      <c r="F25" s="5">
        <v>0</v>
      </c>
      <c r="G25" s="5">
        <v>63.9</v>
      </c>
      <c r="H25" s="5">
        <v>821</v>
      </c>
      <c r="I25" s="5" t="str">
        <f>HYPERLINK("https://www.ncbi.nlm.nih.gov/protein/WP_130656680.1?report=genbank&amp;log$=prottop&amp;blast_rank=131&amp;RID=7U875CNM013","WP_130656680.1")</f>
        <v>WP_130656680.1</v>
      </c>
      <c r="J25" s="5" t="s">
        <v>1727</v>
      </c>
    </row>
    <row r="26" spans="1:10" s="7" customFormat="1" x14ac:dyDescent="0.2">
      <c r="A26" s="5" t="s">
        <v>1887</v>
      </c>
      <c r="B26" s="5" t="s">
        <v>1888</v>
      </c>
      <c r="C26" s="5">
        <v>1056</v>
      </c>
      <c r="D26" s="5">
        <v>1056</v>
      </c>
      <c r="E26" s="6">
        <v>0.98</v>
      </c>
      <c r="F26" s="5">
        <v>0</v>
      </c>
      <c r="G26" s="5">
        <v>63.9</v>
      </c>
      <c r="H26" s="5">
        <v>821</v>
      </c>
      <c r="I26" s="5" t="str">
        <f>HYPERLINK("https://www.ncbi.nlm.nih.gov/protein/WP_168576055.1?report=genbank&amp;log$=prottop&amp;blast_rank=132&amp;RID=7U875CNM013","WP_168576055.1")</f>
        <v>WP_168576055.1</v>
      </c>
      <c r="J26" s="5" t="s">
        <v>1727</v>
      </c>
    </row>
    <row r="27" spans="1:10" s="7" customFormat="1" x14ac:dyDescent="0.2">
      <c r="A27" s="5" t="s">
        <v>1843</v>
      </c>
      <c r="B27" s="5" t="s">
        <v>1844</v>
      </c>
      <c r="C27" s="5">
        <v>1056</v>
      </c>
      <c r="D27" s="5">
        <v>1056</v>
      </c>
      <c r="E27" s="6">
        <v>0.98</v>
      </c>
      <c r="F27" s="5">
        <v>0</v>
      </c>
      <c r="G27" s="5">
        <v>63.9</v>
      </c>
      <c r="H27" s="5">
        <v>821</v>
      </c>
      <c r="I27" s="5" t="str">
        <f>HYPERLINK("https://www.ncbi.nlm.nih.gov/protein/WP_130662548.1?report=genbank&amp;log$=prottop&amp;blast_rank=133&amp;RID=7U875CNM013","WP_130662548.1")</f>
        <v>WP_130662548.1</v>
      </c>
      <c r="J27" s="5" t="s">
        <v>1727</v>
      </c>
    </row>
    <row r="28" spans="1:10" s="7" customFormat="1" x14ac:dyDescent="0.2">
      <c r="A28" s="5" t="s">
        <v>1843</v>
      </c>
      <c r="B28" s="5" t="s">
        <v>1844</v>
      </c>
      <c r="C28" s="5">
        <v>1056</v>
      </c>
      <c r="D28" s="5">
        <v>1056</v>
      </c>
      <c r="E28" s="6">
        <v>0.98</v>
      </c>
      <c r="F28" s="5">
        <v>0</v>
      </c>
      <c r="G28" s="5">
        <v>63.9</v>
      </c>
      <c r="H28" s="5">
        <v>821</v>
      </c>
      <c r="I28" s="5" t="str">
        <f>HYPERLINK("https://www.ncbi.nlm.nih.gov/protein/WP_130713746.1?report=genbank&amp;log$=prottop&amp;blast_rank=134&amp;RID=7U875CNM013","WP_130713746.1")</f>
        <v>WP_130713746.1</v>
      </c>
      <c r="J28" s="5" t="s">
        <v>1727</v>
      </c>
    </row>
    <row r="29" spans="1:10" s="7" customFormat="1" x14ac:dyDescent="0.2">
      <c r="A29" s="5" t="s">
        <v>1725</v>
      </c>
      <c r="B29" s="5" t="s">
        <v>1726</v>
      </c>
      <c r="C29" s="5">
        <v>1050</v>
      </c>
      <c r="D29" s="5">
        <v>1050</v>
      </c>
      <c r="E29" s="6">
        <v>0.98</v>
      </c>
      <c r="F29" s="5">
        <v>0</v>
      </c>
      <c r="G29" s="5">
        <v>63.9</v>
      </c>
      <c r="H29" s="5">
        <v>819</v>
      </c>
      <c r="I29" s="5" t="str">
        <f>HYPERLINK("https://www.ncbi.nlm.nih.gov/protein/WP_084606633.1?report=genbank&amp;log$=prottop&amp;blast_rank=141&amp;RID=7U875CNM013","WP_084606633.1")</f>
        <v>WP_084606633.1</v>
      </c>
      <c r="J29" s="5" t="s">
        <v>1727</v>
      </c>
    </row>
    <row r="30" spans="1:10" s="7" customFormat="1" x14ac:dyDescent="0.2">
      <c r="A30" s="5" t="s">
        <v>1893</v>
      </c>
      <c r="B30" s="5" t="s">
        <v>1894</v>
      </c>
      <c r="C30" s="5">
        <v>1050</v>
      </c>
      <c r="D30" s="5">
        <v>1050</v>
      </c>
      <c r="E30" s="6">
        <v>0.98</v>
      </c>
      <c r="F30" s="5">
        <v>0</v>
      </c>
      <c r="G30" s="5">
        <v>63.9</v>
      </c>
      <c r="H30" s="5">
        <v>821</v>
      </c>
      <c r="I30" s="5" t="str">
        <f>HYPERLINK("https://www.ncbi.nlm.nih.gov/protein/WP_194728004.1?report=genbank&amp;log$=prottop&amp;blast_rank=142&amp;RID=7U875CNM013","WP_194728004.1")</f>
        <v>WP_194728004.1</v>
      </c>
      <c r="J30" s="5" t="s">
        <v>1727</v>
      </c>
    </row>
    <row r="31" spans="1:10" s="7" customFormat="1" x14ac:dyDescent="0.2">
      <c r="A31" s="5" t="s">
        <v>1725</v>
      </c>
      <c r="B31" s="5" t="s">
        <v>1726</v>
      </c>
      <c r="C31" s="5">
        <v>1050</v>
      </c>
      <c r="D31" s="5">
        <v>1050</v>
      </c>
      <c r="E31" s="6">
        <v>0.98</v>
      </c>
      <c r="F31" s="5">
        <v>0</v>
      </c>
      <c r="G31" s="5">
        <v>63.9</v>
      </c>
      <c r="H31" s="5">
        <v>819</v>
      </c>
      <c r="I31" s="5" t="str">
        <f>HYPERLINK("https://www.ncbi.nlm.nih.gov/protein/WP_100773253.1?report=genbank&amp;log$=prottop&amp;blast_rank=143&amp;RID=7U875CNM013","WP_100773253.1")</f>
        <v>WP_100773253.1</v>
      </c>
      <c r="J31" s="5" t="s">
        <v>1727</v>
      </c>
    </row>
    <row r="32" spans="1:10" s="7" customFormat="1" x14ac:dyDescent="0.2">
      <c r="A32" s="5" t="s">
        <v>1903</v>
      </c>
      <c r="B32" s="5" t="s">
        <v>1904</v>
      </c>
      <c r="C32" s="5">
        <v>1049</v>
      </c>
      <c r="D32" s="5">
        <v>1049</v>
      </c>
      <c r="E32" s="6">
        <v>0.98</v>
      </c>
      <c r="F32" s="5">
        <v>0</v>
      </c>
      <c r="G32" s="5">
        <v>63.87</v>
      </c>
      <c r="H32" s="5">
        <v>819</v>
      </c>
      <c r="I32" s="35" t="str">
        <f>HYPERLINK("https://www.ncbi.nlm.nih.gov/protein/WP_170250578.1?report=genbank&amp;log$=prottop&amp;blast_rank=181&amp;RID=7U875CNM013","WP_170250578.1")</f>
        <v>WP_170250578.1</v>
      </c>
      <c r="J32" s="5" t="s">
        <v>1727</v>
      </c>
    </row>
    <row r="33" spans="1:10" s="7" customFormat="1" x14ac:dyDescent="0.2">
      <c r="A33" s="5" t="s">
        <v>1909</v>
      </c>
      <c r="B33" s="5" t="s">
        <v>1910</v>
      </c>
      <c r="C33" s="5">
        <v>1043</v>
      </c>
      <c r="D33" s="5">
        <v>1043</v>
      </c>
      <c r="E33" s="6">
        <v>0.97</v>
      </c>
      <c r="F33" s="5">
        <v>0</v>
      </c>
      <c r="G33" s="5">
        <v>63.8</v>
      </c>
      <c r="H33" s="5">
        <v>820</v>
      </c>
      <c r="I33" s="5" t="str">
        <f>HYPERLINK("https://www.ncbi.nlm.nih.gov/protein/WP_014762864.1?report=genbank&amp;log$=prottop&amp;blast_rank=57&amp;RID=7U875CNM013","WP_014762864.1")</f>
        <v>WP_014762864.1</v>
      </c>
      <c r="J33" s="5" t="s">
        <v>1911</v>
      </c>
    </row>
    <row r="34" spans="1:10" s="7" customFormat="1" x14ac:dyDescent="0.2">
      <c r="A34" s="5" t="s">
        <v>1843</v>
      </c>
      <c r="B34" s="5" t="s">
        <v>1844</v>
      </c>
      <c r="C34" s="5">
        <v>1058</v>
      </c>
      <c r="D34" s="5">
        <v>1058</v>
      </c>
      <c r="E34" s="6">
        <v>0.98</v>
      </c>
      <c r="F34" s="5">
        <v>0</v>
      </c>
      <c r="G34" s="5">
        <v>63.78</v>
      </c>
      <c r="H34" s="5">
        <v>821</v>
      </c>
      <c r="I34" s="5" t="str">
        <f>HYPERLINK("https://www.ncbi.nlm.nih.gov/protein/WP_130702283.1?report=genbank&amp;log$=prottop&amp;blast_rank=86&amp;RID=7U875CNM013","WP_130702283.1")</f>
        <v>WP_130702283.1</v>
      </c>
      <c r="J34" s="5" t="s">
        <v>1727</v>
      </c>
    </row>
    <row r="35" spans="1:10" s="7" customFormat="1" x14ac:dyDescent="0.2">
      <c r="A35" s="5" t="s">
        <v>1843</v>
      </c>
      <c r="B35" s="5" t="s">
        <v>1844</v>
      </c>
      <c r="C35" s="5">
        <v>1058</v>
      </c>
      <c r="D35" s="5">
        <v>1058</v>
      </c>
      <c r="E35" s="6">
        <v>0.98</v>
      </c>
      <c r="F35" s="5">
        <v>0</v>
      </c>
      <c r="G35" s="5">
        <v>63.78</v>
      </c>
      <c r="H35" s="5">
        <v>821</v>
      </c>
      <c r="I35" s="5" t="str">
        <f>HYPERLINK("https://www.ncbi.nlm.nih.gov/protein/WP_130791478.1?report=genbank&amp;log$=prottop&amp;blast_rank=87&amp;RID=7U875CNM013","WP_130791478.1")</f>
        <v>WP_130791478.1</v>
      </c>
      <c r="J35" s="5" t="s">
        <v>1727</v>
      </c>
    </row>
    <row r="36" spans="1:10" s="7" customFormat="1" x14ac:dyDescent="0.2">
      <c r="A36" s="5" t="s">
        <v>1843</v>
      </c>
      <c r="B36" s="5" t="s">
        <v>1844</v>
      </c>
      <c r="C36" s="5">
        <v>1058</v>
      </c>
      <c r="D36" s="5">
        <v>1058</v>
      </c>
      <c r="E36" s="6">
        <v>0.98</v>
      </c>
      <c r="F36" s="5">
        <v>0</v>
      </c>
      <c r="G36" s="5">
        <v>63.78</v>
      </c>
      <c r="H36" s="5">
        <v>821</v>
      </c>
      <c r="I36" s="5" t="str">
        <f>HYPERLINK("https://www.ncbi.nlm.nih.gov/protein/WP_130817004.1?report=genbank&amp;log$=prottop&amp;blast_rank=88&amp;RID=7U875CNM013","WP_130817004.1")</f>
        <v>WP_130817004.1</v>
      </c>
      <c r="J36" s="5" t="s">
        <v>1727</v>
      </c>
    </row>
    <row r="37" spans="1:10" s="7" customFormat="1" x14ac:dyDescent="0.2">
      <c r="A37" s="5" t="s">
        <v>1843</v>
      </c>
      <c r="B37" s="5" t="s">
        <v>1844</v>
      </c>
      <c r="C37" s="5">
        <v>1057</v>
      </c>
      <c r="D37" s="5">
        <v>1057</v>
      </c>
      <c r="E37" s="6">
        <v>0.98</v>
      </c>
      <c r="F37" s="5">
        <v>0</v>
      </c>
      <c r="G37" s="5">
        <v>63.78</v>
      </c>
      <c r="H37" s="5">
        <v>821</v>
      </c>
      <c r="I37" s="5" t="str">
        <f>HYPERLINK("https://www.ncbi.nlm.nih.gov/protein/WP_130853490.1?report=genbank&amp;log$=prottop&amp;blast_rank=89&amp;RID=7U875CNM013","WP_130853490.1")</f>
        <v>WP_130853490.1</v>
      </c>
      <c r="J37" s="5" t="s">
        <v>1727</v>
      </c>
    </row>
    <row r="38" spans="1:10" s="7" customFormat="1" x14ac:dyDescent="0.2">
      <c r="A38" s="5" t="s">
        <v>1843</v>
      </c>
      <c r="B38" s="5" t="s">
        <v>1844</v>
      </c>
      <c r="C38" s="5">
        <v>1057</v>
      </c>
      <c r="D38" s="5">
        <v>1057</v>
      </c>
      <c r="E38" s="6">
        <v>0.98</v>
      </c>
      <c r="F38" s="5">
        <v>0</v>
      </c>
      <c r="G38" s="5">
        <v>63.78</v>
      </c>
      <c r="H38" s="5">
        <v>821</v>
      </c>
      <c r="I38" s="5" t="str">
        <f>HYPERLINK("https://www.ncbi.nlm.nih.gov/protein/WP_018483143.1?report=genbank&amp;log$=prottop&amp;blast_rank=90&amp;RID=7U875CNM013","WP_018483143.1")</f>
        <v>WP_018483143.1</v>
      </c>
      <c r="J38" s="5" t="s">
        <v>1727</v>
      </c>
    </row>
    <row r="39" spans="1:10" s="7" customFormat="1" x14ac:dyDescent="0.2">
      <c r="A39" s="5" t="s">
        <v>1843</v>
      </c>
      <c r="B39" s="5" t="s">
        <v>1844</v>
      </c>
      <c r="C39" s="5">
        <v>1057</v>
      </c>
      <c r="D39" s="5">
        <v>1057</v>
      </c>
      <c r="E39" s="6">
        <v>0.98</v>
      </c>
      <c r="F39" s="5">
        <v>0</v>
      </c>
      <c r="G39" s="5">
        <v>63.78</v>
      </c>
      <c r="H39" s="5">
        <v>821</v>
      </c>
      <c r="I39" s="5" t="str">
        <f>HYPERLINK("https://www.ncbi.nlm.nih.gov/protein/WP_011649890.1?report=genbank&amp;log$=prottop&amp;blast_rank=91&amp;RID=7U875CNM013","WP_011649890.1")</f>
        <v>WP_011649890.1</v>
      </c>
      <c r="J39" s="5" t="s">
        <v>1727</v>
      </c>
    </row>
    <row r="40" spans="1:10" s="7" customFormat="1" x14ac:dyDescent="0.2">
      <c r="A40" s="5" t="s">
        <v>1855</v>
      </c>
      <c r="B40" s="5" t="s">
        <v>1844</v>
      </c>
      <c r="C40" s="5">
        <v>1057</v>
      </c>
      <c r="D40" s="5">
        <v>1057</v>
      </c>
      <c r="E40" s="6">
        <v>0.98</v>
      </c>
      <c r="F40" s="5">
        <v>0</v>
      </c>
      <c r="G40" s="5">
        <v>63.78</v>
      </c>
      <c r="H40" s="5">
        <v>821</v>
      </c>
      <c r="I40" s="5" t="str">
        <f>HYPERLINK("https://www.ncbi.nlm.nih.gov/protein/WP_164578402.1?report=genbank&amp;log$=prottop&amp;blast_rank=92&amp;RID=7U875CNM013","WP_164578402.1")</f>
        <v>WP_164578402.1</v>
      </c>
      <c r="J40" s="5" t="s">
        <v>1727</v>
      </c>
    </row>
    <row r="41" spans="1:10" s="7" customFormat="1" x14ac:dyDescent="0.2">
      <c r="A41" s="5" t="s">
        <v>1855</v>
      </c>
      <c r="B41" s="5" t="s">
        <v>1844</v>
      </c>
      <c r="C41" s="5">
        <v>1057</v>
      </c>
      <c r="D41" s="5">
        <v>1057</v>
      </c>
      <c r="E41" s="6">
        <v>0.98</v>
      </c>
      <c r="F41" s="5">
        <v>0</v>
      </c>
      <c r="G41" s="5">
        <v>63.78</v>
      </c>
      <c r="H41" s="5">
        <v>821</v>
      </c>
      <c r="I41" s="5" t="str">
        <f>HYPERLINK("https://www.ncbi.nlm.nih.gov/protein/WP_164591293.1?report=genbank&amp;log$=prottop&amp;blast_rank=93&amp;RID=7U875CNM013","WP_164591293.1")</f>
        <v>WP_164591293.1</v>
      </c>
      <c r="J41" s="5" t="s">
        <v>1727</v>
      </c>
    </row>
    <row r="42" spans="1:10" s="7" customFormat="1" x14ac:dyDescent="0.2">
      <c r="A42" s="5" t="s">
        <v>1725</v>
      </c>
      <c r="B42" s="5" t="s">
        <v>1726</v>
      </c>
      <c r="C42" s="5">
        <v>1047</v>
      </c>
      <c r="D42" s="5">
        <v>1047</v>
      </c>
      <c r="E42" s="6">
        <v>0.98</v>
      </c>
      <c r="F42" s="5">
        <v>0</v>
      </c>
      <c r="G42" s="5">
        <v>63.78</v>
      </c>
      <c r="H42" s="5">
        <v>819</v>
      </c>
      <c r="I42" s="5" t="str">
        <f>HYPERLINK("https://www.ncbi.nlm.nih.gov/protein/WP_132568751.1?report=genbank&amp;log$=prottop&amp;blast_rank=100&amp;RID=7U875CNM013","WP_132568751.1")</f>
        <v>WP_132568751.1</v>
      </c>
      <c r="J42" s="5" t="s">
        <v>1727</v>
      </c>
    </row>
    <row r="43" spans="1:10" s="7" customFormat="1" x14ac:dyDescent="0.2">
      <c r="A43" s="5" t="s">
        <v>1922</v>
      </c>
      <c r="B43" s="5" t="s">
        <v>1923</v>
      </c>
      <c r="C43" s="5">
        <v>1047</v>
      </c>
      <c r="D43" s="5">
        <v>1047</v>
      </c>
      <c r="E43" s="6">
        <v>0.98</v>
      </c>
      <c r="F43" s="5">
        <v>0</v>
      </c>
      <c r="G43" s="5">
        <v>63.74</v>
      </c>
      <c r="H43" s="5">
        <v>819</v>
      </c>
      <c r="I43" s="5" t="str">
        <f>HYPERLINK("https://www.ncbi.nlm.nih.gov/protein/WP_082046557.1?report=genbank&amp;log$=prottop&amp;blast_rank=136&amp;RID=7U875CNM013","WP_082046557.1")</f>
        <v>WP_082046557.1</v>
      </c>
      <c r="J43" s="5" t="s">
        <v>1727</v>
      </c>
    </row>
    <row r="44" spans="1:10" s="7" customFormat="1" x14ac:dyDescent="0.2">
      <c r="A44" s="5" t="s">
        <v>1929</v>
      </c>
      <c r="B44" s="5" t="s">
        <v>1844</v>
      </c>
      <c r="C44" s="5">
        <v>1046</v>
      </c>
      <c r="D44" s="5">
        <v>1046</v>
      </c>
      <c r="E44" s="6">
        <v>0.97</v>
      </c>
      <c r="F44" s="5">
        <v>0</v>
      </c>
      <c r="G44" s="5">
        <v>63.66</v>
      </c>
      <c r="H44" s="5">
        <v>790</v>
      </c>
      <c r="I44" s="5" t="str">
        <f>HYPERLINK("https://www.ncbi.nlm.nih.gov/protein/MBP2444304.1?report=genbank&amp;log$=prottop&amp;blast_rank=208&amp;RID=7U875CNM013","MBP2444304.1")</f>
        <v>MBP2444304.1</v>
      </c>
      <c r="J44" s="5" t="s">
        <v>1727</v>
      </c>
    </row>
    <row r="45" spans="1:10" s="7" customFormat="1" x14ac:dyDescent="0.2">
      <c r="A45" s="5" t="s">
        <v>1930</v>
      </c>
      <c r="B45" s="5" t="s">
        <v>1931</v>
      </c>
      <c r="C45" s="5">
        <v>1039</v>
      </c>
      <c r="D45" s="5">
        <v>1039</v>
      </c>
      <c r="E45" s="6">
        <v>0.97</v>
      </c>
      <c r="F45" s="5">
        <v>0</v>
      </c>
      <c r="G45" s="5">
        <v>63.66</v>
      </c>
      <c r="H45" s="5">
        <v>821</v>
      </c>
      <c r="I45" s="5" t="str">
        <f>HYPERLINK("https://www.ncbi.nlm.nih.gov/protein/WP_127535327.1?report=genbank&amp;log$=prottop&amp;blast_rank=210&amp;RID=7U875CNM013","WP_127535327.1")</f>
        <v>WP_127535327.1</v>
      </c>
      <c r="J45" s="5" t="s">
        <v>1911</v>
      </c>
    </row>
    <row r="46" spans="1:10" s="7" customFormat="1" x14ac:dyDescent="0.2">
      <c r="A46" s="5" t="s">
        <v>1843</v>
      </c>
      <c r="B46" s="5" t="s">
        <v>1844</v>
      </c>
      <c r="C46" s="5">
        <v>1056</v>
      </c>
      <c r="D46" s="5">
        <v>1056</v>
      </c>
      <c r="E46" s="6">
        <v>0.98</v>
      </c>
      <c r="F46" s="5">
        <v>0</v>
      </c>
      <c r="G46" s="5">
        <v>63.65</v>
      </c>
      <c r="H46" s="5">
        <v>821</v>
      </c>
      <c r="I46" s="5" t="str">
        <f>HYPERLINK("https://www.ncbi.nlm.nih.gov/protein/WP_080671827.1?report=genbank&amp;log$=prottop&amp;blast_rank=5&amp;RID=7U875CNM013","WP_080671827.1")</f>
        <v>WP_080671827.1</v>
      </c>
      <c r="J46" s="5" t="s">
        <v>1727</v>
      </c>
    </row>
    <row r="47" spans="1:10" s="7" customFormat="1" x14ac:dyDescent="0.2">
      <c r="A47" s="5" t="s">
        <v>1843</v>
      </c>
      <c r="B47" s="5" t="s">
        <v>1844</v>
      </c>
      <c r="C47" s="5">
        <v>1056</v>
      </c>
      <c r="D47" s="5">
        <v>1056</v>
      </c>
      <c r="E47" s="6">
        <v>0.98</v>
      </c>
      <c r="F47" s="5">
        <v>0</v>
      </c>
      <c r="G47" s="5">
        <v>63.65</v>
      </c>
      <c r="H47" s="5">
        <v>821</v>
      </c>
      <c r="I47" s="5" t="str">
        <f>HYPERLINK("https://www.ncbi.nlm.nih.gov/protein/WP_131713962.1?report=genbank&amp;log$=prottop&amp;blast_rank=6&amp;RID=7U875CNM013","WP_131713962.1")</f>
        <v>WP_131713962.1</v>
      </c>
      <c r="J47" s="5" t="s">
        <v>1727</v>
      </c>
    </row>
    <row r="48" spans="1:10" s="7" customFormat="1" x14ac:dyDescent="0.2">
      <c r="A48" s="5" t="s">
        <v>1936</v>
      </c>
      <c r="B48" s="5" t="s">
        <v>1937</v>
      </c>
      <c r="C48" s="5">
        <v>1051</v>
      </c>
      <c r="D48" s="5">
        <v>1051</v>
      </c>
      <c r="E48" s="6">
        <v>0.98</v>
      </c>
      <c r="F48" s="5">
        <v>0</v>
      </c>
      <c r="G48" s="5">
        <v>63.61</v>
      </c>
      <c r="H48" s="5">
        <v>818</v>
      </c>
      <c r="I48" s="5" t="str">
        <f>HYPERLINK("https://www.ncbi.nlm.nih.gov/protein/WP_097142107.1?report=genbank&amp;log$=prottop&amp;blast_rank=39&amp;RID=7U875CNM013","WP_097142107.1")</f>
        <v>WP_097142107.1</v>
      </c>
      <c r="J48" s="5" t="s">
        <v>1727</v>
      </c>
    </row>
    <row r="49" spans="1:10" s="7" customFormat="1" x14ac:dyDescent="0.2">
      <c r="A49" s="5" t="s">
        <v>1938</v>
      </c>
      <c r="B49" s="5" t="s">
        <v>1939</v>
      </c>
      <c r="C49" s="5">
        <v>1051</v>
      </c>
      <c r="D49" s="5">
        <v>1051</v>
      </c>
      <c r="E49" s="6">
        <v>0.98</v>
      </c>
      <c r="F49" s="5">
        <v>0</v>
      </c>
      <c r="G49" s="5">
        <v>63.61</v>
      </c>
      <c r="H49" s="5">
        <v>820</v>
      </c>
      <c r="I49" s="5" t="str">
        <f>HYPERLINK("https://www.ncbi.nlm.nih.gov/protein/WP_176951925.1?report=genbank&amp;log$=prottop&amp;blast_rank=40&amp;RID=7U875CNM013","WP_176951925.1")</f>
        <v>WP_176951925.1</v>
      </c>
      <c r="J49" s="5" t="s">
        <v>1727</v>
      </c>
    </row>
    <row r="50" spans="1:10" s="7" customFormat="1" x14ac:dyDescent="0.2">
      <c r="A50" s="5" t="s">
        <v>1942</v>
      </c>
      <c r="B50" s="5" t="s">
        <v>1943</v>
      </c>
      <c r="C50" s="5">
        <v>1055</v>
      </c>
      <c r="D50" s="5">
        <v>1055</v>
      </c>
      <c r="E50" s="6">
        <v>0.99</v>
      </c>
      <c r="F50" s="5">
        <v>0</v>
      </c>
      <c r="G50" s="5">
        <v>63.59</v>
      </c>
      <c r="H50" s="5">
        <v>821</v>
      </c>
      <c r="I50" s="5" t="str">
        <f>HYPERLINK("https://www.ncbi.nlm.nih.gov/protein/WP_183928766.1?report=genbank&amp;log$=prottop&amp;blast_rank=51&amp;RID=7U875CNM013","WP_183928766.1")</f>
        <v>WP_183928766.1</v>
      </c>
      <c r="J50" s="5" t="s">
        <v>1727</v>
      </c>
    </row>
    <row r="51" spans="1:10" s="7" customFormat="1" x14ac:dyDescent="0.2">
      <c r="A51" s="5" t="s">
        <v>1948</v>
      </c>
      <c r="B51" s="5" t="s">
        <v>1949</v>
      </c>
      <c r="C51" s="5">
        <v>1042</v>
      </c>
      <c r="D51" s="5">
        <v>1042</v>
      </c>
      <c r="E51" s="6">
        <v>0.98</v>
      </c>
      <c r="F51" s="5">
        <v>0</v>
      </c>
      <c r="G51" s="5">
        <v>63.54</v>
      </c>
      <c r="H51" s="5">
        <v>816</v>
      </c>
      <c r="I51" s="5" t="str">
        <f>HYPERLINK("https://www.ncbi.nlm.nih.gov/protein/WP_203423246.1?report=genbank&amp;log$=prottop&amp;blast_rank=105&amp;RID=7U875CNM013","WP_203423246.1")</f>
        <v>WP_203423246.1</v>
      </c>
      <c r="J51" s="5" t="s">
        <v>1911</v>
      </c>
    </row>
    <row r="52" spans="1:10" s="7" customFormat="1" x14ac:dyDescent="0.2">
      <c r="A52" s="5" t="s">
        <v>1950</v>
      </c>
      <c r="B52" s="5" t="s">
        <v>1951</v>
      </c>
      <c r="C52" s="5">
        <v>1041</v>
      </c>
      <c r="D52" s="5">
        <v>1041</v>
      </c>
      <c r="E52" s="6">
        <v>0.97</v>
      </c>
      <c r="F52" s="5">
        <v>0</v>
      </c>
      <c r="G52" s="5">
        <v>63.54</v>
      </c>
      <c r="H52" s="5">
        <v>820</v>
      </c>
      <c r="I52" s="5" t="str">
        <f>HYPERLINK("https://www.ncbi.nlm.nih.gov/protein/WP_097522926.1?report=genbank&amp;log$=prottop&amp;blast_rank=115&amp;RID=7U875CNM013","WP_097522926.1")</f>
        <v>WP_097522926.1</v>
      </c>
      <c r="J52" s="5" t="s">
        <v>1911</v>
      </c>
    </row>
    <row r="53" spans="1:10" s="7" customFormat="1" x14ac:dyDescent="0.2">
      <c r="A53" s="5" t="s">
        <v>1952</v>
      </c>
      <c r="B53" s="5" t="s">
        <v>1953</v>
      </c>
      <c r="C53" s="5">
        <v>1045</v>
      </c>
      <c r="D53" s="5">
        <v>1045</v>
      </c>
      <c r="E53" s="6">
        <v>0.97</v>
      </c>
      <c r="F53" s="5">
        <v>0</v>
      </c>
      <c r="G53" s="5">
        <v>63.53</v>
      </c>
      <c r="H53" s="5">
        <v>790</v>
      </c>
      <c r="I53" s="35" t="str">
        <f>HYPERLINK("https://www.ncbi.nlm.nih.gov/protein/OWV82947.1?report=genbank&amp;log$=prottop&amp;blast_rank=143&amp;RID=7U875CNM013","OWV82947.1")</f>
        <v>OWV82947.1</v>
      </c>
      <c r="J53" s="5" t="s">
        <v>1727</v>
      </c>
    </row>
    <row r="54" spans="1:10" s="7" customFormat="1" x14ac:dyDescent="0.2">
      <c r="A54" s="5" t="s">
        <v>1930</v>
      </c>
      <c r="B54" s="5" t="s">
        <v>1931</v>
      </c>
      <c r="C54" s="5">
        <v>1038</v>
      </c>
      <c r="D54" s="5">
        <v>1038</v>
      </c>
      <c r="E54" s="6">
        <v>0.97</v>
      </c>
      <c r="F54" s="5">
        <v>0</v>
      </c>
      <c r="G54" s="5">
        <v>63.53</v>
      </c>
      <c r="H54" s="5">
        <v>821</v>
      </c>
      <c r="I54" s="5" t="str">
        <f>HYPERLINK("https://www.ncbi.nlm.nih.gov/protein/WP_050579856.1?report=genbank&amp;log$=prottop&amp;blast_rank=146&amp;RID=7U875CNM013","WP_050579856.1")</f>
        <v>WP_050579856.1</v>
      </c>
      <c r="J54" s="5" t="s">
        <v>1911</v>
      </c>
    </row>
    <row r="55" spans="1:10" s="7" customFormat="1" x14ac:dyDescent="0.2">
      <c r="A55" s="5" t="s">
        <v>1930</v>
      </c>
      <c r="B55" s="5" t="s">
        <v>1931</v>
      </c>
      <c r="C55" s="5">
        <v>1037</v>
      </c>
      <c r="D55" s="5">
        <v>1037</v>
      </c>
      <c r="E55" s="6">
        <v>0.97</v>
      </c>
      <c r="F55" s="5">
        <v>0</v>
      </c>
      <c r="G55" s="5">
        <v>63.53</v>
      </c>
      <c r="H55" s="5">
        <v>821</v>
      </c>
      <c r="I55" s="5" t="str">
        <f>HYPERLINK("https://www.ncbi.nlm.nih.gov/protein/WP_127669392.1?report=genbank&amp;log$=prottop&amp;blast_rank=147&amp;RID=7U875CNM013","WP_127669392.1")</f>
        <v>WP_127669392.1</v>
      </c>
      <c r="J55" s="5" t="s">
        <v>1911</v>
      </c>
    </row>
    <row r="56" spans="1:10" s="7" customFormat="1" x14ac:dyDescent="0.2">
      <c r="A56" s="5" t="s">
        <v>1843</v>
      </c>
      <c r="B56" s="5" t="s">
        <v>1844</v>
      </c>
      <c r="C56" s="5">
        <v>1055</v>
      </c>
      <c r="D56" s="5">
        <v>1055</v>
      </c>
      <c r="E56" s="6">
        <v>0.98</v>
      </c>
      <c r="F56" s="5">
        <v>0</v>
      </c>
      <c r="G56" s="5">
        <v>63.52</v>
      </c>
      <c r="H56" s="5">
        <v>821</v>
      </c>
      <c r="I56" s="35" t="str">
        <f>HYPERLINK("https://www.ncbi.nlm.nih.gov/protein/WP_130748958.1?report=genbank&amp;log$=prottop&amp;blast_rank=154&amp;RID=7U875CNM013","WP_130748958.1")</f>
        <v>WP_130748958.1</v>
      </c>
      <c r="J56" s="5" t="s">
        <v>1727</v>
      </c>
    </row>
    <row r="57" spans="1:10" s="7" customFormat="1" x14ac:dyDescent="0.2">
      <c r="A57" s="5" t="s">
        <v>1855</v>
      </c>
      <c r="B57" s="5" t="s">
        <v>1844</v>
      </c>
      <c r="C57" s="5">
        <v>1055</v>
      </c>
      <c r="D57" s="5">
        <v>1055</v>
      </c>
      <c r="E57" s="6">
        <v>0.98</v>
      </c>
      <c r="F57" s="5">
        <v>0</v>
      </c>
      <c r="G57" s="5">
        <v>63.52</v>
      </c>
      <c r="H57" s="5">
        <v>821</v>
      </c>
      <c r="I57" s="5" t="str">
        <f>HYPERLINK("https://www.ncbi.nlm.nih.gov/protein/WP_182566436.1?report=genbank&amp;log$=prottop&amp;blast_rank=155&amp;RID=7U875CNM013","WP_182566436.1")</f>
        <v>WP_182566436.1</v>
      </c>
      <c r="J57" s="5" t="s">
        <v>1727</v>
      </c>
    </row>
    <row r="58" spans="1:10" s="7" customFormat="1" x14ac:dyDescent="0.2">
      <c r="A58" s="5" t="s">
        <v>1843</v>
      </c>
      <c r="B58" s="5" t="s">
        <v>1844</v>
      </c>
      <c r="C58" s="5">
        <v>1054</v>
      </c>
      <c r="D58" s="5">
        <v>1054</v>
      </c>
      <c r="E58" s="6">
        <v>0.98</v>
      </c>
      <c r="F58" s="5">
        <v>0</v>
      </c>
      <c r="G58" s="5">
        <v>63.52</v>
      </c>
      <c r="H58" s="5">
        <v>821</v>
      </c>
      <c r="I58" s="5" t="str">
        <f>HYPERLINK("https://www.ncbi.nlm.nih.gov/protein/WP_080764156.1?report=genbank&amp;log$=prottop&amp;blast_rank=156&amp;RID=7U875CNM013","WP_080764156.1")</f>
        <v>WP_080764156.1</v>
      </c>
      <c r="J58" s="5" t="s">
        <v>1727</v>
      </c>
    </row>
    <row r="59" spans="1:10" s="7" customFormat="1" x14ac:dyDescent="0.2">
      <c r="A59" s="5" t="s">
        <v>1885</v>
      </c>
      <c r="B59" s="5" t="s">
        <v>1886</v>
      </c>
      <c r="C59" s="5">
        <v>1054</v>
      </c>
      <c r="D59" s="5">
        <v>1054</v>
      </c>
      <c r="E59" s="6">
        <v>0.98</v>
      </c>
      <c r="F59" s="5">
        <v>0</v>
      </c>
      <c r="G59" s="5">
        <v>63.52</v>
      </c>
      <c r="H59" s="5">
        <v>821</v>
      </c>
      <c r="I59" s="5" t="str">
        <f>HYPERLINK("https://www.ncbi.nlm.nih.gov/protein/WP_113544240.1?report=genbank&amp;log$=prottop&amp;blast_rank=157&amp;RID=7U875CNM013","WP_113544240.1")</f>
        <v>WP_113544240.1</v>
      </c>
      <c r="J59" s="5" t="s">
        <v>1727</v>
      </c>
    </row>
    <row r="60" spans="1:10" s="7" customFormat="1" x14ac:dyDescent="0.2">
      <c r="A60" s="5" t="s">
        <v>1843</v>
      </c>
      <c r="B60" s="5" t="s">
        <v>1844</v>
      </c>
      <c r="C60" s="5">
        <v>1054</v>
      </c>
      <c r="D60" s="5">
        <v>1054</v>
      </c>
      <c r="E60" s="6">
        <v>0.98</v>
      </c>
      <c r="F60" s="5">
        <v>0</v>
      </c>
      <c r="G60" s="5">
        <v>63.52</v>
      </c>
      <c r="H60" s="5">
        <v>821</v>
      </c>
      <c r="I60" s="5" t="str">
        <f>HYPERLINK("https://www.ncbi.nlm.nih.gov/protein/WP_081295613.1?report=genbank&amp;log$=prottop&amp;blast_rank=158&amp;RID=7U875CNM013","WP_081295613.1")</f>
        <v>WP_081295613.1</v>
      </c>
      <c r="J60" s="5" t="s">
        <v>1727</v>
      </c>
    </row>
    <row r="61" spans="1:10" s="7" customFormat="1" x14ac:dyDescent="0.2">
      <c r="A61" s="5" t="s">
        <v>1956</v>
      </c>
      <c r="B61" s="5" t="s">
        <v>1957</v>
      </c>
      <c r="C61" s="5">
        <v>1053</v>
      </c>
      <c r="D61" s="5">
        <v>1053</v>
      </c>
      <c r="E61" s="6">
        <v>0.98</v>
      </c>
      <c r="F61" s="5">
        <v>0</v>
      </c>
      <c r="G61" s="5">
        <v>63.52</v>
      </c>
      <c r="H61" s="5">
        <v>808</v>
      </c>
      <c r="I61" s="5" t="str">
        <f>HYPERLINK("https://www.ncbi.nlm.nih.gov/protein/OBY06354.1?report=genbank&amp;log$=prottop&amp;blast_rank=160&amp;RID=7U875CNM013","OBY06354.1")</f>
        <v>OBY06354.1</v>
      </c>
      <c r="J61" s="5" t="s">
        <v>1727</v>
      </c>
    </row>
    <row r="62" spans="1:10" s="7" customFormat="1" x14ac:dyDescent="0.2">
      <c r="A62" s="5" t="s">
        <v>1843</v>
      </c>
      <c r="B62" s="5" t="s">
        <v>1844</v>
      </c>
      <c r="C62" s="5">
        <v>1053</v>
      </c>
      <c r="D62" s="5">
        <v>1053</v>
      </c>
      <c r="E62" s="6">
        <v>0.98</v>
      </c>
      <c r="F62" s="5">
        <v>0</v>
      </c>
      <c r="G62" s="5">
        <v>63.52</v>
      </c>
      <c r="H62" s="5">
        <v>821</v>
      </c>
      <c r="I62" s="5" t="str">
        <f>HYPERLINK("https://www.ncbi.nlm.nih.gov/protein/WP_018494516.1?report=genbank&amp;log$=prottop&amp;blast_rank=161&amp;RID=7U875CNM013","WP_018494516.1")</f>
        <v>WP_018494516.1</v>
      </c>
      <c r="J62" s="5" t="s">
        <v>1727</v>
      </c>
    </row>
    <row r="63" spans="1:10" s="7" customFormat="1" x14ac:dyDescent="0.2">
      <c r="A63" s="5" t="s">
        <v>1958</v>
      </c>
      <c r="B63" s="5" t="s">
        <v>1959</v>
      </c>
      <c r="C63" s="5">
        <v>1051</v>
      </c>
      <c r="D63" s="5">
        <v>1051</v>
      </c>
      <c r="E63" s="6">
        <v>0.98</v>
      </c>
      <c r="F63" s="5">
        <v>0</v>
      </c>
      <c r="G63" s="5">
        <v>63.52</v>
      </c>
      <c r="H63" s="5">
        <v>819</v>
      </c>
      <c r="I63" s="5" t="str">
        <f>HYPERLINK("https://www.ncbi.nlm.nih.gov/protein/WP_132960596.1?report=genbank&amp;log$=prottop&amp;blast_rank=162&amp;RID=7U875CNM013","WP_132960596.1")</f>
        <v>WP_132960596.1</v>
      </c>
      <c r="J63" s="5" t="s">
        <v>1727</v>
      </c>
    </row>
    <row r="64" spans="1:10" s="7" customFormat="1" x14ac:dyDescent="0.2">
      <c r="A64" s="5" t="s">
        <v>1960</v>
      </c>
      <c r="B64" s="5" t="s">
        <v>1961</v>
      </c>
      <c r="C64" s="5">
        <v>1047</v>
      </c>
      <c r="D64" s="5">
        <v>1047</v>
      </c>
      <c r="E64" s="6">
        <v>0.98</v>
      </c>
      <c r="F64" s="5">
        <v>0</v>
      </c>
      <c r="G64" s="5">
        <v>63.52</v>
      </c>
      <c r="H64" s="5">
        <v>821</v>
      </c>
      <c r="I64" s="5" t="str">
        <f>HYPERLINK("https://www.ncbi.nlm.nih.gov/protein/WP_092586197.1?report=genbank&amp;log$=prottop&amp;blast_rank=166&amp;RID=7U875CNM013","WP_092586197.1")</f>
        <v>WP_092586197.1</v>
      </c>
      <c r="J64" s="5" t="s">
        <v>1727</v>
      </c>
    </row>
    <row r="65" spans="1:10" s="7" customFormat="1" x14ac:dyDescent="0.2">
      <c r="A65" s="5" t="s">
        <v>1966</v>
      </c>
      <c r="B65" s="5" t="s">
        <v>1967</v>
      </c>
      <c r="C65" s="5">
        <v>1049</v>
      </c>
      <c r="D65" s="5">
        <v>1049</v>
      </c>
      <c r="E65" s="6">
        <v>0.98</v>
      </c>
      <c r="F65" s="5">
        <v>0</v>
      </c>
      <c r="G65" s="5">
        <v>63.49</v>
      </c>
      <c r="H65" s="5">
        <v>817</v>
      </c>
      <c r="I65" s="5" t="str">
        <f>HYPERLINK("https://www.ncbi.nlm.nih.gov/protein/WP_082520020.1?report=genbank&amp;log$=prottop&amp;blast_rank=207&amp;RID=7U875CNM013","WP_082520020.1")</f>
        <v>WP_082520020.1</v>
      </c>
      <c r="J65" s="5" t="s">
        <v>1727</v>
      </c>
    </row>
    <row r="66" spans="1:10" s="7" customFormat="1" x14ac:dyDescent="0.2">
      <c r="A66" s="5" t="s">
        <v>1968</v>
      </c>
      <c r="B66" s="5" t="s">
        <v>1967</v>
      </c>
      <c r="C66" s="5">
        <v>1048</v>
      </c>
      <c r="D66" s="5">
        <v>1048</v>
      </c>
      <c r="E66" s="6">
        <v>0.98</v>
      </c>
      <c r="F66" s="5">
        <v>0</v>
      </c>
      <c r="G66" s="5">
        <v>63.49</v>
      </c>
      <c r="H66" s="5">
        <v>805</v>
      </c>
      <c r="I66" s="5" t="str">
        <f>HYPERLINK("https://www.ncbi.nlm.nih.gov/protein/KQV66411.1?report=genbank&amp;log$=prottop&amp;blast_rank=208&amp;RID=7U875CNM013","KQV66411.1")</f>
        <v>KQV66411.1</v>
      </c>
      <c r="J66" s="5" t="s">
        <v>1727</v>
      </c>
    </row>
    <row r="67" spans="1:10" s="7" customFormat="1" x14ac:dyDescent="0.2">
      <c r="A67" s="5" t="s">
        <v>1975</v>
      </c>
      <c r="B67" s="5" t="s">
        <v>1976</v>
      </c>
      <c r="C67" s="5">
        <v>1081</v>
      </c>
      <c r="D67" s="5">
        <v>1081</v>
      </c>
      <c r="E67" s="6">
        <v>0.99</v>
      </c>
      <c r="F67" s="5">
        <v>0</v>
      </c>
      <c r="G67" s="5">
        <v>63.41</v>
      </c>
      <c r="H67" s="5">
        <v>808</v>
      </c>
      <c r="I67" s="5" t="str">
        <f>HYPERLINK("https://www.ncbi.nlm.nih.gov/protein/NDP48224.1?report=genbank&amp;log$=prottop&amp;blast_rank=52&amp;RID=7U875CNM013","NDP48224.1")</f>
        <v>NDP48224.1</v>
      </c>
      <c r="J67" s="5" t="s">
        <v>1911</v>
      </c>
    </row>
    <row r="68" spans="1:10" s="7" customFormat="1" x14ac:dyDescent="0.2">
      <c r="A68" s="5" t="s">
        <v>1843</v>
      </c>
      <c r="B68" s="5" t="s">
        <v>1844</v>
      </c>
      <c r="C68" s="5">
        <v>1053</v>
      </c>
      <c r="D68" s="5">
        <v>1053</v>
      </c>
      <c r="E68" s="6">
        <v>0.98</v>
      </c>
      <c r="F68" s="5">
        <v>0</v>
      </c>
      <c r="G68" s="5">
        <v>63.39</v>
      </c>
      <c r="H68" s="5">
        <v>821</v>
      </c>
      <c r="I68" s="5" t="str">
        <f>HYPERLINK("https://www.ncbi.nlm.nih.gov/protein/WP_018446429.1?report=genbank&amp;log$=prottop&amp;blast_rank=74&amp;RID=7U875CNM013","WP_018446429.1")</f>
        <v>WP_018446429.1</v>
      </c>
      <c r="J68" s="5" t="s">
        <v>1727</v>
      </c>
    </row>
    <row r="69" spans="1:10" s="7" customFormat="1" x14ac:dyDescent="0.2">
      <c r="A69" s="5" t="s">
        <v>1843</v>
      </c>
      <c r="B69" s="5" t="s">
        <v>1844</v>
      </c>
      <c r="C69" s="5">
        <v>1053</v>
      </c>
      <c r="D69" s="5">
        <v>1053</v>
      </c>
      <c r="E69" s="6">
        <v>0.98</v>
      </c>
      <c r="F69" s="5">
        <v>0</v>
      </c>
      <c r="G69" s="5">
        <v>63.39</v>
      </c>
      <c r="H69" s="5">
        <v>821</v>
      </c>
      <c r="I69" s="5" t="str">
        <f>HYPERLINK("https://www.ncbi.nlm.nih.gov/protein/WP_018243720.1?report=genbank&amp;log$=prottop&amp;blast_rank=75&amp;RID=7U875CNM013","WP_018243720.1")</f>
        <v>WP_018243720.1</v>
      </c>
      <c r="J69" s="5" t="s">
        <v>1727</v>
      </c>
    </row>
    <row r="70" spans="1:10" s="7" customFormat="1" x14ac:dyDescent="0.2">
      <c r="A70" s="5" t="s">
        <v>1843</v>
      </c>
      <c r="B70" s="5" t="s">
        <v>1844</v>
      </c>
      <c r="C70" s="5">
        <v>1053</v>
      </c>
      <c r="D70" s="5">
        <v>1053</v>
      </c>
      <c r="E70" s="6">
        <v>0.98</v>
      </c>
      <c r="F70" s="5">
        <v>0</v>
      </c>
      <c r="G70" s="5">
        <v>63.39</v>
      </c>
      <c r="H70" s="5">
        <v>821</v>
      </c>
      <c r="I70" s="5" t="str">
        <f>HYPERLINK("https://www.ncbi.nlm.nih.gov/protein/WP_131604458.1?report=genbank&amp;log$=prottop&amp;blast_rank=76&amp;RID=7U875CNM013","WP_131604458.1")</f>
        <v>WP_131604458.1</v>
      </c>
      <c r="J70" s="5" t="s">
        <v>1727</v>
      </c>
    </row>
    <row r="71" spans="1:10" s="7" customFormat="1" x14ac:dyDescent="0.2">
      <c r="A71" s="5" t="s">
        <v>1988</v>
      </c>
      <c r="B71" s="5" t="s">
        <v>1989</v>
      </c>
      <c r="C71" s="5">
        <v>1052</v>
      </c>
      <c r="D71" s="5">
        <v>1052</v>
      </c>
      <c r="E71" s="6">
        <v>0.98</v>
      </c>
      <c r="F71" s="5">
        <v>0</v>
      </c>
      <c r="G71" s="5">
        <v>63.39</v>
      </c>
      <c r="H71" s="5">
        <v>808</v>
      </c>
      <c r="I71" s="5" t="str">
        <f>HYPERLINK("https://www.ncbi.nlm.nih.gov/protein/OOO49188.1?report=genbank&amp;log$=prottop&amp;blast_rank=78&amp;RID=7U875CNM013","OOO49188.1")</f>
        <v>OOO49188.1</v>
      </c>
      <c r="J71" s="5" t="s">
        <v>1727</v>
      </c>
    </row>
    <row r="72" spans="1:10" s="7" customFormat="1" x14ac:dyDescent="0.2">
      <c r="A72" s="5" t="s">
        <v>1990</v>
      </c>
      <c r="B72" s="5" t="s">
        <v>1991</v>
      </c>
      <c r="C72" s="5">
        <v>1050</v>
      </c>
      <c r="D72" s="5">
        <v>1050</v>
      </c>
      <c r="E72" s="6">
        <v>0.98</v>
      </c>
      <c r="F72" s="5">
        <v>0</v>
      </c>
      <c r="G72" s="5">
        <v>63.39</v>
      </c>
      <c r="H72" s="5">
        <v>820</v>
      </c>
      <c r="I72" s="5" t="str">
        <f>HYPERLINK("https://www.ncbi.nlm.nih.gov/protein/WP_183841073.1?report=genbank&amp;log$=prottop&amp;blast_rank=79&amp;RID=7U875CNM013","WP_183841073.1")</f>
        <v>WP_183841073.1</v>
      </c>
      <c r="J72" s="5" t="s">
        <v>1727</v>
      </c>
    </row>
    <row r="73" spans="1:10" s="7" customFormat="1" x14ac:dyDescent="0.2">
      <c r="A73" s="5" t="s">
        <v>1843</v>
      </c>
      <c r="B73" s="5" t="s">
        <v>1844</v>
      </c>
      <c r="C73" s="5">
        <v>1055</v>
      </c>
      <c r="D73" s="5">
        <v>1055</v>
      </c>
      <c r="E73" s="6">
        <v>0.98</v>
      </c>
      <c r="F73" s="5">
        <v>0</v>
      </c>
      <c r="G73" s="5">
        <v>63.36</v>
      </c>
      <c r="H73" s="5">
        <v>821</v>
      </c>
      <c r="I73" s="5" t="str">
        <f>HYPERLINK("https://www.ncbi.nlm.nih.gov/protein/WP_131706140.1?report=genbank&amp;log$=prottop&amp;blast_rank=108&amp;RID=7U875CNM013","WP_131706140.1")</f>
        <v>WP_131706140.1</v>
      </c>
      <c r="J73" s="5" t="s">
        <v>1727</v>
      </c>
    </row>
    <row r="74" spans="1:10" s="7" customFormat="1" x14ac:dyDescent="0.2">
      <c r="A74" s="5" t="s">
        <v>2000</v>
      </c>
      <c r="B74" s="5" t="s">
        <v>2001</v>
      </c>
      <c r="C74" s="5">
        <v>1045</v>
      </c>
      <c r="D74" s="5">
        <v>1045</v>
      </c>
      <c r="E74" s="6">
        <v>0.98</v>
      </c>
      <c r="F74" s="5">
        <v>0</v>
      </c>
      <c r="G74" s="5">
        <v>63.34</v>
      </c>
      <c r="H74" s="5">
        <v>818</v>
      </c>
      <c r="I74" s="5" t="str">
        <f>HYPERLINK("https://www.ncbi.nlm.nih.gov/protein/WP_051977805.1?report=genbank&amp;log$=prottop&amp;blast_rank=122&amp;RID=7U875CNM013","WP_051977805.1")</f>
        <v>WP_051977805.1</v>
      </c>
      <c r="J74" s="5" t="s">
        <v>1727</v>
      </c>
    </row>
    <row r="75" spans="1:10" s="7" customFormat="1" x14ac:dyDescent="0.2">
      <c r="A75" s="5" t="s">
        <v>2003</v>
      </c>
      <c r="B75" s="5" t="s">
        <v>2004</v>
      </c>
      <c r="C75" s="5">
        <v>1033</v>
      </c>
      <c r="D75" s="5">
        <v>1033</v>
      </c>
      <c r="E75" s="6">
        <v>0.99</v>
      </c>
      <c r="F75" s="5">
        <v>0</v>
      </c>
      <c r="G75" s="5">
        <v>63.27</v>
      </c>
      <c r="H75" s="5">
        <v>820</v>
      </c>
      <c r="I75" s="5" t="str">
        <f>HYPERLINK("https://www.ncbi.nlm.nih.gov/protein/WP_132077504.1?report=genbank&amp;log$=prottop&amp;blast_rank=200&amp;RID=7U875CNM013","WP_132077504.1")</f>
        <v>WP_132077504.1</v>
      </c>
      <c r="J75" s="5" t="s">
        <v>1911</v>
      </c>
    </row>
    <row r="76" spans="1:10" s="7" customFormat="1" x14ac:dyDescent="0.2">
      <c r="A76" s="5" t="s">
        <v>2003</v>
      </c>
      <c r="B76" s="5" t="s">
        <v>2004</v>
      </c>
      <c r="C76" s="5">
        <v>1031</v>
      </c>
      <c r="D76" s="5">
        <v>1031</v>
      </c>
      <c r="E76" s="6">
        <v>0.99</v>
      </c>
      <c r="F76" s="5">
        <v>0</v>
      </c>
      <c r="G76" s="5">
        <v>63.27</v>
      </c>
      <c r="H76" s="5">
        <v>820</v>
      </c>
      <c r="I76" s="5" t="str">
        <f>HYPERLINK("https://www.ncbi.nlm.nih.gov/protein/WP_072642820.1?report=genbank&amp;log$=prottop&amp;blast_rank=201&amp;RID=7U875CNM013","WP_072642820.1")</f>
        <v>WP_072642820.1</v>
      </c>
      <c r="J76" s="5" t="s">
        <v>1911</v>
      </c>
    </row>
    <row r="77" spans="1:10" s="7" customFormat="1" x14ac:dyDescent="0.2">
      <c r="A77" s="5" t="s">
        <v>2005</v>
      </c>
      <c r="B77" s="5" t="s">
        <v>2004</v>
      </c>
      <c r="C77" s="5">
        <v>1030</v>
      </c>
      <c r="D77" s="5">
        <v>1030</v>
      </c>
      <c r="E77" s="6">
        <v>0.99</v>
      </c>
      <c r="F77" s="5">
        <v>0</v>
      </c>
      <c r="G77" s="5">
        <v>63.27</v>
      </c>
      <c r="H77" s="5">
        <v>812</v>
      </c>
      <c r="I77" s="5" t="str">
        <f>HYPERLINK("https://www.ncbi.nlm.nih.gov/protein/OAP49110.1?report=genbank&amp;log$=prottop&amp;blast_rank=202&amp;RID=7U875CNM013","OAP49110.1")</f>
        <v>OAP49110.1</v>
      </c>
      <c r="J77" s="5" t="s">
        <v>1911</v>
      </c>
    </row>
    <row r="78" spans="1:10" s="7" customFormat="1" x14ac:dyDescent="0.2">
      <c r="A78" s="5" t="s">
        <v>1843</v>
      </c>
      <c r="B78" s="5" t="s">
        <v>1844</v>
      </c>
      <c r="C78" s="5">
        <v>1040</v>
      </c>
      <c r="D78" s="5">
        <v>1040</v>
      </c>
      <c r="E78" s="6">
        <v>0.98</v>
      </c>
      <c r="F78" s="5">
        <v>0</v>
      </c>
      <c r="G78" s="5">
        <v>63.27</v>
      </c>
      <c r="H78" s="5">
        <v>821</v>
      </c>
      <c r="I78" s="5" t="str">
        <f>HYPERLINK("https://www.ncbi.nlm.nih.gov/protein/WP_080725600.1?report=genbank&amp;log$=prottop&amp;blast_rank=217&amp;RID=7U875CNM013","WP_080725600.1")</f>
        <v>WP_080725600.1</v>
      </c>
      <c r="J78" s="5" t="s">
        <v>1727</v>
      </c>
    </row>
    <row r="79" spans="1:10" s="7" customFormat="1" x14ac:dyDescent="0.2">
      <c r="A79" s="5" t="s">
        <v>2006</v>
      </c>
      <c r="B79" s="5" t="s">
        <v>2007</v>
      </c>
      <c r="C79" s="5">
        <v>1023</v>
      </c>
      <c r="D79" s="5">
        <v>1023</v>
      </c>
      <c r="E79" s="6">
        <v>0.98</v>
      </c>
      <c r="F79" s="5">
        <v>0</v>
      </c>
      <c r="G79" s="5">
        <v>63.27</v>
      </c>
      <c r="H79" s="5">
        <v>820</v>
      </c>
      <c r="I79" s="5" t="str">
        <f>HYPERLINK("https://www.ncbi.nlm.nih.gov/protein/WP_184400029.1?report=genbank&amp;log$=prottop&amp;blast_rank=219&amp;RID=7U875CNM013","WP_184400029.1")</f>
        <v>WP_184400029.1</v>
      </c>
      <c r="J79" s="5" t="s">
        <v>1727</v>
      </c>
    </row>
    <row r="80" spans="1:10" s="7" customFormat="1" x14ac:dyDescent="0.2">
      <c r="A80" s="5" t="s">
        <v>2008</v>
      </c>
      <c r="B80" s="5" t="s">
        <v>2009</v>
      </c>
      <c r="C80" s="5">
        <v>1041</v>
      </c>
      <c r="D80" s="5">
        <v>1041</v>
      </c>
      <c r="E80" s="6">
        <v>0.97</v>
      </c>
      <c r="F80" s="5">
        <v>0</v>
      </c>
      <c r="G80" s="5">
        <v>63.25</v>
      </c>
      <c r="H80" s="5">
        <v>820</v>
      </c>
      <c r="I80" s="5" t="str">
        <f>HYPERLINK("https://www.ncbi.nlm.nih.gov/protein/WP_192245999.1?report=genbank&amp;log$=prottop&amp;blast_rank=1&amp;RID=7U875CNM013","WP_192245999.1")</f>
        <v>WP_192245999.1</v>
      </c>
      <c r="J80" s="5" t="s">
        <v>1727</v>
      </c>
    </row>
    <row r="81" spans="1:10" s="7" customFormat="1" x14ac:dyDescent="0.2">
      <c r="A81" s="5" t="s">
        <v>2010</v>
      </c>
      <c r="B81" s="5" t="s">
        <v>2011</v>
      </c>
      <c r="C81" s="5">
        <v>1055</v>
      </c>
      <c r="D81" s="5">
        <v>1055</v>
      </c>
      <c r="E81" s="6">
        <v>0.98</v>
      </c>
      <c r="F81" s="5">
        <v>0</v>
      </c>
      <c r="G81" s="5">
        <v>63.23</v>
      </c>
      <c r="H81" s="5">
        <v>820</v>
      </c>
      <c r="I81" s="5" t="str">
        <f>HYPERLINK("https://www.ncbi.nlm.nih.gov/protein/WP_207581617.1?report=genbank&amp;log$=prottop&amp;blast_rank=19&amp;RID=7U875CNM013","WP_207581617.1")</f>
        <v>WP_207581617.1</v>
      </c>
      <c r="J81" s="5" t="s">
        <v>1727</v>
      </c>
    </row>
    <row r="82" spans="1:10" s="7" customFormat="1" x14ac:dyDescent="0.2">
      <c r="A82" s="5" t="s">
        <v>1855</v>
      </c>
      <c r="B82" s="5" t="s">
        <v>1844</v>
      </c>
      <c r="C82" s="5">
        <v>1052</v>
      </c>
      <c r="D82" s="5">
        <v>1052</v>
      </c>
      <c r="E82" s="6">
        <v>0.98</v>
      </c>
      <c r="F82" s="5">
        <v>0</v>
      </c>
      <c r="G82" s="5">
        <v>63.23</v>
      </c>
      <c r="H82" s="5">
        <v>817</v>
      </c>
      <c r="I82" s="5" t="str">
        <f>HYPERLINK("https://www.ncbi.nlm.nih.gov/protein/WP_209882345.1?report=genbank&amp;log$=prottop&amp;blast_rank=20&amp;RID=7U875CNM013","WP_209882345.1")</f>
        <v>WP_209882345.1</v>
      </c>
      <c r="J82" s="5" t="s">
        <v>1727</v>
      </c>
    </row>
    <row r="83" spans="1:10" s="7" customFormat="1" x14ac:dyDescent="0.2">
      <c r="A83" s="5" t="s">
        <v>2015</v>
      </c>
      <c r="B83" s="5" t="s">
        <v>2016</v>
      </c>
      <c r="C83" s="5">
        <v>1044</v>
      </c>
      <c r="D83" s="5">
        <v>1044</v>
      </c>
      <c r="E83" s="6">
        <v>0.99</v>
      </c>
      <c r="F83" s="5">
        <v>0</v>
      </c>
      <c r="G83" s="5">
        <v>63.2</v>
      </c>
      <c r="H83" s="5">
        <v>813</v>
      </c>
      <c r="I83" s="5" t="str">
        <f>HYPERLINK("https://www.ncbi.nlm.nih.gov/protein/WP_153441436.1?report=genbank&amp;log$=prottop&amp;blast_rank=43&amp;RID=7U875CNM013","WP_153441436.1")</f>
        <v>WP_153441436.1</v>
      </c>
      <c r="J83" s="5" t="s">
        <v>2017</v>
      </c>
    </row>
    <row r="84" spans="1:10" s="7" customFormat="1" x14ac:dyDescent="0.2">
      <c r="A84" s="5" t="s">
        <v>2003</v>
      </c>
      <c r="B84" s="5" t="s">
        <v>2004</v>
      </c>
      <c r="C84" s="5">
        <v>1032</v>
      </c>
      <c r="D84" s="5">
        <v>1032</v>
      </c>
      <c r="E84" s="6">
        <v>0.99</v>
      </c>
      <c r="F84" s="5">
        <v>0</v>
      </c>
      <c r="G84" s="5">
        <v>63.14</v>
      </c>
      <c r="H84" s="5">
        <v>820</v>
      </c>
      <c r="I84" s="5" t="str">
        <f>HYPERLINK("https://www.ncbi.nlm.nih.gov/protein/WP_072597037.1?report=genbank&amp;log$=prottop&amp;blast_rank=101&amp;RID=7U875CNM013","WP_072597037.1")</f>
        <v>WP_072597037.1</v>
      </c>
      <c r="J84" s="5" t="s">
        <v>1911</v>
      </c>
    </row>
    <row r="85" spans="1:10" s="7" customFormat="1" x14ac:dyDescent="0.2">
      <c r="A85" s="5" t="s">
        <v>2026</v>
      </c>
      <c r="B85" s="5" t="s">
        <v>2027</v>
      </c>
      <c r="C85" s="5">
        <v>1045</v>
      </c>
      <c r="D85" s="5">
        <v>1045</v>
      </c>
      <c r="E85" s="6">
        <v>0.98</v>
      </c>
      <c r="F85" s="5">
        <v>0</v>
      </c>
      <c r="G85" s="5">
        <v>63.14</v>
      </c>
      <c r="H85" s="5">
        <v>820</v>
      </c>
      <c r="I85" s="5" t="str">
        <f>HYPERLINK("https://www.ncbi.nlm.nih.gov/protein/WP_166656931.1?report=genbank&amp;log$=prottop&amp;blast_rank=111&amp;RID=7U875CNM013","WP_166656931.1")</f>
        <v>WP_166656931.1</v>
      </c>
      <c r="J85" s="5" t="s">
        <v>1727</v>
      </c>
    </row>
    <row r="86" spans="1:10" s="7" customFormat="1" x14ac:dyDescent="0.2">
      <c r="A86" s="5" t="s">
        <v>2028</v>
      </c>
      <c r="B86" s="5" t="s">
        <v>2029</v>
      </c>
      <c r="C86" s="5">
        <v>1040</v>
      </c>
      <c r="D86" s="5">
        <v>1040</v>
      </c>
      <c r="E86" s="6">
        <v>0.98</v>
      </c>
      <c r="F86" s="5">
        <v>0</v>
      </c>
      <c r="G86" s="5">
        <v>63.14</v>
      </c>
      <c r="H86" s="5">
        <v>820</v>
      </c>
      <c r="I86" s="5" t="str">
        <f>HYPERLINK("https://www.ncbi.nlm.nih.gov/protein/WP_192728843.1?report=genbank&amp;log$=prottop&amp;blast_rank=113&amp;RID=7U875CNM013","WP_192728843.1")</f>
        <v>WP_192728843.1</v>
      </c>
      <c r="J86" s="5" t="s">
        <v>1727</v>
      </c>
    </row>
    <row r="87" spans="1:10" s="7" customFormat="1" x14ac:dyDescent="0.2">
      <c r="A87" s="5" t="s">
        <v>1930</v>
      </c>
      <c r="B87" s="5" t="s">
        <v>1931</v>
      </c>
      <c r="C87" s="5">
        <v>1038</v>
      </c>
      <c r="D87" s="5">
        <v>1038</v>
      </c>
      <c r="E87" s="6">
        <v>0.98</v>
      </c>
      <c r="F87" s="5">
        <v>0</v>
      </c>
      <c r="G87" s="5">
        <v>63.14</v>
      </c>
      <c r="H87" s="5">
        <v>821</v>
      </c>
      <c r="I87" s="5" t="str">
        <f>HYPERLINK("https://www.ncbi.nlm.nih.gov/protein/WP_127639559.1?report=genbank&amp;log$=prottop&amp;blast_rank=116&amp;RID=7U875CNM013","WP_127639559.1")</f>
        <v>WP_127639559.1</v>
      </c>
      <c r="J87" s="5" t="s">
        <v>1911</v>
      </c>
    </row>
    <row r="88" spans="1:10" s="7" customFormat="1" x14ac:dyDescent="0.2">
      <c r="A88" s="5" t="s">
        <v>2030</v>
      </c>
      <c r="B88" s="5" t="s">
        <v>2031</v>
      </c>
      <c r="C88" s="5">
        <v>1034</v>
      </c>
      <c r="D88" s="5">
        <v>1034</v>
      </c>
      <c r="E88" s="6">
        <v>0.98</v>
      </c>
      <c r="F88" s="5">
        <v>0</v>
      </c>
      <c r="G88" s="5">
        <v>63.14</v>
      </c>
      <c r="H88" s="5">
        <v>935</v>
      </c>
      <c r="I88" s="5" t="str">
        <f>HYPERLINK("https://www.ncbi.nlm.nih.gov/protein/ACP24364.1?report=genbank&amp;log$=prottop&amp;blast_rank=119&amp;RID=7U875CNM013","ACP24364.1")</f>
        <v>ACP24364.1</v>
      </c>
      <c r="J88" s="5" t="s">
        <v>1911</v>
      </c>
    </row>
    <row r="89" spans="1:10" s="7" customFormat="1" x14ac:dyDescent="0.2">
      <c r="A89" s="5" t="s">
        <v>2032</v>
      </c>
      <c r="B89" s="5" t="s">
        <v>1910</v>
      </c>
      <c r="C89" s="5">
        <v>1032</v>
      </c>
      <c r="D89" s="5">
        <v>1032</v>
      </c>
      <c r="E89" s="6">
        <v>0.98</v>
      </c>
      <c r="F89" s="5">
        <v>0</v>
      </c>
      <c r="G89" s="5">
        <v>63.14</v>
      </c>
      <c r="H89" s="5">
        <v>820</v>
      </c>
      <c r="I89" s="5" t="str">
        <f>HYPERLINK("https://www.ncbi.nlm.nih.gov/protein/WP_164924201.1?report=genbank&amp;log$=prottop&amp;blast_rank=120&amp;RID=7U875CNM013","WP_164924201.1")</f>
        <v>WP_164924201.1</v>
      </c>
      <c r="J89" s="5" t="s">
        <v>1911</v>
      </c>
    </row>
    <row r="90" spans="1:10" s="7" customFormat="1" x14ac:dyDescent="0.2">
      <c r="A90" s="5" t="s">
        <v>2039</v>
      </c>
      <c r="B90" s="5" t="s">
        <v>2040</v>
      </c>
      <c r="C90" s="5">
        <v>1051</v>
      </c>
      <c r="D90" s="5">
        <v>1051</v>
      </c>
      <c r="E90" s="6">
        <v>0.98</v>
      </c>
      <c r="F90" s="5">
        <v>0</v>
      </c>
      <c r="G90" s="5">
        <v>63.1</v>
      </c>
      <c r="H90" s="5">
        <v>820</v>
      </c>
      <c r="I90" s="5" t="str">
        <f>HYPERLINK("https://www.ncbi.nlm.nih.gov/protein/WP_183940371.1?report=genbank&amp;log$=prottop&amp;blast_rank=151&amp;RID=7U875CNM013","WP_183940371.1")</f>
        <v>WP_183940371.1</v>
      </c>
      <c r="J90" s="5" t="s">
        <v>1727</v>
      </c>
    </row>
    <row r="91" spans="1:10" s="7" customFormat="1" x14ac:dyDescent="0.2">
      <c r="A91" s="5" t="s">
        <v>1909</v>
      </c>
      <c r="B91" s="5" t="s">
        <v>1910</v>
      </c>
      <c r="C91" s="5">
        <v>1046</v>
      </c>
      <c r="D91" s="5">
        <v>1046</v>
      </c>
      <c r="E91" s="6">
        <v>0.98</v>
      </c>
      <c r="F91" s="5">
        <v>0</v>
      </c>
      <c r="G91" s="5">
        <v>63.1</v>
      </c>
      <c r="H91" s="5">
        <v>819</v>
      </c>
      <c r="I91" s="5" t="str">
        <f>HYPERLINK("https://www.ncbi.nlm.nih.gov/protein/WP_014327637.1?report=genbank&amp;log$=prottop&amp;blast_rank=154&amp;RID=7U875CNM013","WP_014327637.1")</f>
        <v>WP_014327637.1</v>
      </c>
      <c r="J91" s="5" t="s">
        <v>1911</v>
      </c>
    </row>
    <row r="92" spans="1:10" s="7" customFormat="1" x14ac:dyDescent="0.2">
      <c r="A92" s="5" t="s">
        <v>2032</v>
      </c>
      <c r="B92" s="5" t="s">
        <v>1910</v>
      </c>
      <c r="C92" s="5">
        <v>1046</v>
      </c>
      <c r="D92" s="5">
        <v>1046</v>
      </c>
      <c r="E92" s="6">
        <v>0.98</v>
      </c>
      <c r="F92" s="5">
        <v>0</v>
      </c>
      <c r="G92" s="5">
        <v>63.1</v>
      </c>
      <c r="H92" s="5">
        <v>803</v>
      </c>
      <c r="I92" s="5" t="str">
        <f>HYPERLINK("https://www.ncbi.nlm.nih.gov/protein/MQW99582.1?report=genbank&amp;log$=prottop&amp;blast_rank=155&amp;RID=7U875CNM013","MQW99582.1")</f>
        <v>MQW99582.1</v>
      </c>
      <c r="J92" s="5" t="s">
        <v>1911</v>
      </c>
    </row>
    <row r="93" spans="1:10" s="7" customFormat="1" x14ac:dyDescent="0.2">
      <c r="A93" s="5" t="s">
        <v>2041</v>
      </c>
      <c r="B93" s="5" t="s">
        <v>2042</v>
      </c>
      <c r="C93" s="5">
        <v>1042</v>
      </c>
      <c r="D93" s="5">
        <v>1042</v>
      </c>
      <c r="E93" s="6">
        <v>0.98</v>
      </c>
      <c r="F93" s="5">
        <v>0</v>
      </c>
      <c r="G93" s="5">
        <v>63.1</v>
      </c>
      <c r="H93" s="5">
        <v>820</v>
      </c>
      <c r="I93" s="5" t="str">
        <f>HYPERLINK("https://www.ncbi.nlm.nih.gov/protein/WP_184472690.1?report=genbank&amp;log$=prottop&amp;blast_rank=157&amp;RID=7U875CNM013","WP_184472690.1")</f>
        <v>WP_184472690.1</v>
      </c>
      <c r="J93" s="5" t="s">
        <v>1727</v>
      </c>
    </row>
    <row r="94" spans="1:10" s="7" customFormat="1" x14ac:dyDescent="0.2">
      <c r="A94" s="5" t="s">
        <v>2043</v>
      </c>
      <c r="B94" s="5" t="s">
        <v>2044</v>
      </c>
      <c r="C94" s="5">
        <v>1051</v>
      </c>
      <c r="D94" s="5">
        <v>1051</v>
      </c>
      <c r="E94" s="6">
        <v>0.99</v>
      </c>
      <c r="F94" s="5">
        <v>0</v>
      </c>
      <c r="G94" s="5">
        <v>63.08</v>
      </c>
      <c r="H94" s="5">
        <v>815</v>
      </c>
      <c r="I94" s="5" t="str">
        <f>HYPERLINK("https://www.ncbi.nlm.nih.gov/protein/WP_168832427.1?report=genbank&amp;log$=prottop&amp;blast_rank=7&amp;RID=7U875CNM013","WP_168832427.1")</f>
        <v>WP_168832427.1</v>
      </c>
      <c r="J94" s="5" t="s">
        <v>1727</v>
      </c>
    </row>
    <row r="95" spans="1:10" s="7" customFormat="1" x14ac:dyDescent="0.2">
      <c r="A95" s="5" t="s">
        <v>2054</v>
      </c>
      <c r="B95" s="5" t="s">
        <v>2027</v>
      </c>
      <c r="C95" s="5">
        <v>1046</v>
      </c>
      <c r="D95" s="5">
        <v>1046</v>
      </c>
      <c r="E95" s="6">
        <v>0.99</v>
      </c>
      <c r="F95" s="5">
        <v>0</v>
      </c>
      <c r="G95" s="5">
        <v>63.02</v>
      </c>
      <c r="H95" s="5">
        <v>820</v>
      </c>
      <c r="I95" s="5" t="str">
        <f>HYPERLINK("https://www.ncbi.nlm.nih.gov/protein/WP_183889072.1?report=genbank&amp;log$=prottop&amp;blast_rank=83&amp;RID=7U875CNM013","WP_183889072.1")</f>
        <v>WP_183889072.1</v>
      </c>
      <c r="J95" s="5" t="s">
        <v>1727</v>
      </c>
    </row>
    <row r="96" spans="1:10" s="7" customFormat="1" x14ac:dyDescent="0.2">
      <c r="A96" s="5" t="s">
        <v>2032</v>
      </c>
      <c r="B96" s="5" t="s">
        <v>1910</v>
      </c>
      <c r="C96" s="5">
        <v>1047</v>
      </c>
      <c r="D96" s="5">
        <v>1047</v>
      </c>
      <c r="E96" s="6">
        <v>0.98</v>
      </c>
      <c r="F96" s="5">
        <v>0</v>
      </c>
      <c r="G96" s="5">
        <v>63.01</v>
      </c>
      <c r="H96" s="5">
        <v>819</v>
      </c>
      <c r="I96" s="5" t="str">
        <f>HYPERLINK("https://www.ncbi.nlm.nih.gov/protein/WP_080603904.1?report=genbank&amp;log$=prottop&amp;blast_rank=102&amp;RID=7U875CNM013","WP_080603904.1")</f>
        <v>WP_080603904.1</v>
      </c>
      <c r="J96" s="5" t="s">
        <v>1911</v>
      </c>
    </row>
    <row r="97" spans="1:10" s="7" customFormat="1" x14ac:dyDescent="0.2">
      <c r="A97" s="5" t="s">
        <v>2059</v>
      </c>
      <c r="B97" s="5" t="s">
        <v>2060</v>
      </c>
      <c r="C97" s="5">
        <v>1049</v>
      </c>
      <c r="D97" s="5">
        <v>1049</v>
      </c>
      <c r="E97" s="6">
        <v>0.98</v>
      </c>
      <c r="F97" s="5">
        <v>0</v>
      </c>
      <c r="G97" s="5">
        <v>62.99</v>
      </c>
      <c r="H97" s="5">
        <v>815</v>
      </c>
      <c r="I97" s="5" t="str">
        <f>HYPERLINK("https://www.ncbi.nlm.nih.gov/protein/WP_082003147.1?report=genbank&amp;log$=prottop&amp;blast_rank=127&amp;RID=7U875CNM013","WP_082003147.1")</f>
        <v>WP_082003147.1</v>
      </c>
      <c r="J97" s="5" t="s">
        <v>1727</v>
      </c>
    </row>
    <row r="98" spans="1:10" s="7" customFormat="1" x14ac:dyDescent="0.2">
      <c r="A98" s="5" t="s">
        <v>2061</v>
      </c>
      <c r="B98" s="5" t="s">
        <v>2062</v>
      </c>
      <c r="C98" s="5">
        <v>1049</v>
      </c>
      <c r="D98" s="5">
        <v>1049</v>
      </c>
      <c r="E98" s="6">
        <v>0.98</v>
      </c>
      <c r="F98" s="5">
        <v>0</v>
      </c>
      <c r="G98" s="5">
        <v>62.98</v>
      </c>
      <c r="H98" s="5">
        <v>820</v>
      </c>
      <c r="I98" s="5" t="str">
        <f>HYPERLINK("https://www.ncbi.nlm.nih.gov/protein/WP_104827573.1?report=genbank&amp;log$=prottop&amp;blast_rank=140&amp;RID=7U875CNM013","WP_104827573.1")</f>
        <v>WP_104827573.1</v>
      </c>
      <c r="J98" s="5" t="s">
        <v>1727</v>
      </c>
    </row>
    <row r="99" spans="1:10" s="7" customFormat="1" x14ac:dyDescent="0.2">
      <c r="A99" s="5" t="s">
        <v>2063</v>
      </c>
      <c r="B99" s="5" t="s">
        <v>2064</v>
      </c>
      <c r="C99" s="5">
        <v>1039</v>
      </c>
      <c r="D99" s="5">
        <v>1039</v>
      </c>
      <c r="E99" s="6">
        <v>0.98</v>
      </c>
      <c r="F99" s="5">
        <v>0</v>
      </c>
      <c r="G99" s="5">
        <v>62.98</v>
      </c>
      <c r="H99" s="5">
        <v>820</v>
      </c>
      <c r="I99" s="5" t="str">
        <f>HYPERLINK("https://www.ncbi.nlm.nih.gov/protein/WP_126907290.1?report=genbank&amp;log$=prottop&amp;blast_rank=143&amp;RID=7U875CNM013","WP_126907290.1")</f>
        <v>WP_126907290.1</v>
      </c>
      <c r="J99" s="5" t="s">
        <v>1727</v>
      </c>
    </row>
    <row r="100" spans="1:10" s="7" customFormat="1" x14ac:dyDescent="0.2">
      <c r="A100" s="5" t="s">
        <v>1843</v>
      </c>
      <c r="B100" s="5" t="s">
        <v>1844</v>
      </c>
      <c r="C100" s="5">
        <v>1053</v>
      </c>
      <c r="D100" s="5">
        <v>1053</v>
      </c>
      <c r="E100" s="6">
        <v>0.99</v>
      </c>
      <c r="F100" s="5">
        <v>0</v>
      </c>
      <c r="G100" s="5">
        <v>62.96</v>
      </c>
      <c r="H100" s="5">
        <v>821</v>
      </c>
      <c r="I100" s="5" t="str">
        <f>HYPERLINK("https://www.ncbi.nlm.nih.gov/protein/WP_130653120.1?report=genbank&amp;log$=prottop&amp;blast_rank=166&amp;RID=7U875CNM013","WP_130653120.1")</f>
        <v>WP_130653120.1</v>
      </c>
      <c r="J100" s="5" t="s">
        <v>1727</v>
      </c>
    </row>
    <row r="101" spans="1:10" s="8" customFormat="1" x14ac:dyDescent="0.2">
      <c r="A101" s="5" t="s">
        <v>2054</v>
      </c>
      <c r="B101" s="5" t="s">
        <v>2027</v>
      </c>
      <c r="C101" s="5">
        <v>1043</v>
      </c>
      <c r="D101" s="5">
        <v>1043</v>
      </c>
      <c r="E101" s="6">
        <v>0.99</v>
      </c>
      <c r="F101" s="5">
        <v>0</v>
      </c>
      <c r="G101" s="5">
        <v>62.89</v>
      </c>
      <c r="H101" s="5">
        <v>820</v>
      </c>
      <c r="I101" s="5" t="str">
        <f>HYPERLINK("https://www.ncbi.nlm.nih.gov/protein/WP_162710123.1?report=genbank&amp;log$=prottop&amp;blast_rank=2&amp;RID=7U875CNM013","WP_162710123.1")</f>
        <v>WP_162710123.1</v>
      </c>
      <c r="J101" s="5" t="s">
        <v>1727</v>
      </c>
    </row>
    <row r="102" spans="1:10" s="7" customFormat="1" x14ac:dyDescent="0.2">
      <c r="A102" s="5" t="s">
        <v>2026</v>
      </c>
      <c r="B102" s="5" t="s">
        <v>2027</v>
      </c>
      <c r="C102" s="5">
        <v>1051</v>
      </c>
      <c r="D102" s="5">
        <v>1051</v>
      </c>
      <c r="E102" s="6">
        <v>0.99</v>
      </c>
      <c r="F102" s="5">
        <v>0</v>
      </c>
      <c r="G102" s="5">
        <v>62.8</v>
      </c>
      <c r="H102" s="5">
        <v>815</v>
      </c>
      <c r="I102" s="5" t="str">
        <f>HYPERLINK("https://www.ncbi.nlm.nih.gov/protein/WP_088695189.1?report=genbank&amp;log$=prottop&amp;blast_rank=97&amp;RID=7U875CNM013","WP_088695189.1")</f>
        <v>WP_088695189.1</v>
      </c>
      <c r="J102" s="5" t="s">
        <v>1727</v>
      </c>
    </row>
    <row r="103" spans="1:10" s="7" customFormat="1" x14ac:dyDescent="0.2">
      <c r="A103" s="5" t="s">
        <v>2077</v>
      </c>
      <c r="B103" s="5" t="s">
        <v>2078</v>
      </c>
      <c r="C103" s="5">
        <v>1047</v>
      </c>
      <c r="D103" s="5">
        <v>1047</v>
      </c>
      <c r="E103" s="6">
        <v>0.98</v>
      </c>
      <c r="F103" s="5">
        <v>0</v>
      </c>
      <c r="G103" s="5">
        <v>62.74</v>
      </c>
      <c r="H103" s="5">
        <v>815</v>
      </c>
      <c r="I103" s="5" t="str">
        <f>HYPERLINK("https://www.ncbi.nlm.nih.gov/protein/WP_072379634.1?report=genbank&amp;log$=prottop&amp;blast_rank=145&amp;RID=7U875CNM013","WP_072379634.1")</f>
        <v>WP_072379634.1</v>
      </c>
      <c r="J103" s="5" t="s">
        <v>1727</v>
      </c>
    </row>
    <row r="104" spans="1:10" s="7" customFormat="1" x14ac:dyDescent="0.2">
      <c r="A104" s="5" t="s">
        <v>1885</v>
      </c>
      <c r="B104" s="5" t="s">
        <v>1886</v>
      </c>
      <c r="C104" s="5">
        <v>1047</v>
      </c>
      <c r="D104" s="5">
        <v>1047</v>
      </c>
      <c r="E104" s="6">
        <v>0.98</v>
      </c>
      <c r="F104" s="5">
        <v>0</v>
      </c>
      <c r="G104" s="5">
        <v>62.74</v>
      </c>
      <c r="H104" s="5">
        <v>815</v>
      </c>
      <c r="I104" s="5" t="str">
        <f>HYPERLINK("https://www.ncbi.nlm.nih.gov/protein/WP_082321228.1?report=genbank&amp;log$=prottop&amp;blast_rank=146&amp;RID=7U875CNM013","WP_082321228.1")</f>
        <v>WP_082321228.1</v>
      </c>
      <c r="J104" s="5" t="s">
        <v>1727</v>
      </c>
    </row>
    <row r="105" spans="1:10" s="7" customFormat="1" x14ac:dyDescent="0.2">
      <c r="A105" s="5" t="s">
        <v>2079</v>
      </c>
      <c r="B105" s="5" t="s">
        <v>2080</v>
      </c>
      <c r="C105" s="5">
        <v>1048</v>
      </c>
      <c r="D105" s="5">
        <v>1048</v>
      </c>
      <c r="E105" s="6">
        <v>0.99</v>
      </c>
      <c r="F105" s="5">
        <v>0</v>
      </c>
      <c r="G105" s="5">
        <v>62.72</v>
      </c>
      <c r="H105" s="5">
        <v>818</v>
      </c>
      <c r="I105" s="5" t="str">
        <f>HYPERLINK("https://www.ncbi.nlm.nih.gov/protein/WP_084726928.1?report=genbank&amp;log$=prottop&amp;blast_rank=158&amp;RID=7U875CNM013","WP_084726928.1")</f>
        <v>WP_084726928.1</v>
      </c>
      <c r="J105" s="5" t="s">
        <v>2081</v>
      </c>
    </row>
    <row r="106" spans="1:10" s="7" customFormat="1" x14ac:dyDescent="0.2">
      <c r="A106" s="5" t="s">
        <v>2082</v>
      </c>
      <c r="B106" s="5" t="s">
        <v>2083</v>
      </c>
      <c r="C106" s="5">
        <v>1035</v>
      </c>
      <c r="D106" s="5">
        <v>1035</v>
      </c>
      <c r="E106" s="6">
        <v>0.99</v>
      </c>
      <c r="F106" s="5">
        <v>0</v>
      </c>
      <c r="G106" s="5">
        <v>62.72</v>
      </c>
      <c r="H106" s="5">
        <v>820</v>
      </c>
      <c r="I106" s="5" t="str">
        <f>HYPERLINK("https://www.ncbi.nlm.nih.gov/protein/WP_206616048.1?report=genbank&amp;log$=prottop&amp;blast_rank=160&amp;RID=7U875CNM013","WP_206616048.1")</f>
        <v>WP_206616048.1</v>
      </c>
      <c r="J106" s="5" t="s">
        <v>1727</v>
      </c>
    </row>
    <row r="107" spans="1:10" s="7" customFormat="1" x14ac:dyDescent="0.2">
      <c r="A107" s="5" t="s">
        <v>1885</v>
      </c>
      <c r="B107" s="5" t="s">
        <v>1886</v>
      </c>
      <c r="C107" s="5">
        <v>1035</v>
      </c>
      <c r="D107" s="5">
        <v>1035</v>
      </c>
      <c r="E107" s="6">
        <v>0.99</v>
      </c>
      <c r="F107" s="5">
        <v>0</v>
      </c>
      <c r="G107" s="5">
        <v>62.72</v>
      </c>
      <c r="H107" s="5">
        <v>820</v>
      </c>
      <c r="I107" s="5" t="str">
        <f>HYPERLINK("https://www.ncbi.nlm.nih.gov/protein/WP_080687580.1?report=genbank&amp;log$=prottop&amp;blast_rank=161&amp;RID=7U875CNM013","WP_080687580.1")</f>
        <v>WP_080687580.1</v>
      </c>
      <c r="J107" s="5" t="s">
        <v>1727</v>
      </c>
    </row>
    <row r="108" spans="1:10" s="7" customFormat="1" x14ac:dyDescent="0.2">
      <c r="A108" s="5" t="s">
        <v>2084</v>
      </c>
      <c r="B108" s="5" t="s">
        <v>2083</v>
      </c>
      <c r="C108" s="5">
        <v>1033</v>
      </c>
      <c r="D108" s="5">
        <v>1033</v>
      </c>
      <c r="E108" s="6">
        <v>0.99</v>
      </c>
      <c r="F108" s="5">
        <v>0</v>
      </c>
      <c r="G108" s="5">
        <v>62.72</v>
      </c>
      <c r="H108" s="5">
        <v>812</v>
      </c>
      <c r="I108" s="5" t="str">
        <f>HYPERLINK("https://www.ncbi.nlm.nih.gov/protein/RWX15116.1?report=genbank&amp;log$=prottop&amp;blast_rank=162&amp;RID=7U875CNM013","RWX15116.1")</f>
        <v>RWX15116.1</v>
      </c>
      <c r="J108" s="5" t="s">
        <v>1727</v>
      </c>
    </row>
    <row r="109" spans="1:10" s="7" customFormat="1" x14ac:dyDescent="0.2">
      <c r="A109" s="5" t="s">
        <v>2086</v>
      </c>
      <c r="B109" s="5" t="s">
        <v>1882</v>
      </c>
      <c r="C109" s="5">
        <v>1060</v>
      </c>
      <c r="D109" s="5">
        <v>1060</v>
      </c>
      <c r="E109" s="6">
        <v>0.99</v>
      </c>
      <c r="F109" s="5">
        <v>0</v>
      </c>
      <c r="G109" s="5">
        <v>62.7</v>
      </c>
      <c r="H109" s="5">
        <v>821</v>
      </c>
      <c r="I109" s="5" t="str">
        <f>HYPERLINK("https://www.ncbi.nlm.nih.gov/protein/WP_083199418.1?report=genbank&amp;log$=prottop&amp;blast_rank=185&amp;RID=7U875CNM013","WP_083199418.1")</f>
        <v>WP_083199418.1</v>
      </c>
      <c r="J109" s="5" t="s">
        <v>1727</v>
      </c>
    </row>
    <row r="110" spans="1:10" s="7" customFormat="1" x14ac:dyDescent="0.2">
      <c r="A110" s="5" t="s">
        <v>2087</v>
      </c>
      <c r="B110" s="5" t="s">
        <v>1931</v>
      </c>
      <c r="C110" s="5">
        <v>1045</v>
      </c>
      <c r="D110" s="5">
        <v>1045</v>
      </c>
      <c r="E110" s="6">
        <v>0.99</v>
      </c>
      <c r="F110" s="5">
        <v>0</v>
      </c>
      <c r="G110" s="5">
        <v>62.69</v>
      </c>
      <c r="H110" s="5">
        <v>817</v>
      </c>
      <c r="I110" s="5" t="str">
        <f>HYPERLINK("https://www.ncbi.nlm.nih.gov/protein/MBL3684168.1?report=genbank&amp;log$=prottop&amp;blast_rank=208&amp;RID=7U875CNM013","MBL3684168.1")</f>
        <v>MBL3684168.1</v>
      </c>
      <c r="J110" s="5" t="s">
        <v>2088</v>
      </c>
    </row>
    <row r="111" spans="1:10" s="7" customFormat="1" x14ac:dyDescent="0.2">
      <c r="A111" s="5" t="s">
        <v>2089</v>
      </c>
      <c r="B111" s="5" t="s">
        <v>2090</v>
      </c>
      <c r="C111" s="5">
        <v>1044</v>
      </c>
      <c r="D111" s="5">
        <v>1044</v>
      </c>
      <c r="E111" s="6">
        <v>0.99</v>
      </c>
      <c r="F111" s="5">
        <v>0</v>
      </c>
      <c r="G111" s="5">
        <v>62.69</v>
      </c>
      <c r="H111" s="5">
        <v>817</v>
      </c>
      <c r="I111" s="5" t="str">
        <f>HYPERLINK("https://www.ncbi.nlm.nih.gov/protein/WP_018093740.1?report=genbank&amp;log$=prottop&amp;blast_rank=209&amp;RID=7U875CNM013","WP_018093740.1")</f>
        <v>WP_018093740.1</v>
      </c>
      <c r="J111" s="5" t="s">
        <v>2088</v>
      </c>
    </row>
    <row r="112" spans="1:10" s="7" customFormat="1" x14ac:dyDescent="0.2">
      <c r="A112" s="5" t="s">
        <v>1930</v>
      </c>
      <c r="B112" s="5" t="s">
        <v>1931</v>
      </c>
      <c r="C112" s="5">
        <v>1043</v>
      </c>
      <c r="D112" s="5">
        <v>1043</v>
      </c>
      <c r="E112" s="6">
        <v>0.99</v>
      </c>
      <c r="F112" s="5">
        <v>0</v>
      </c>
      <c r="G112" s="5">
        <v>62.69</v>
      </c>
      <c r="H112" s="5">
        <v>817</v>
      </c>
      <c r="I112" s="5" t="str">
        <f>HYPERLINK("https://www.ncbi.nlm.nih.gov/protein/WP_127644864.1?report=genbank&amp;log$=prottop&amp;blast_rank=210&amp;RID=7U875CNM013","WP_127644864.1")</f>
        <v>WP_127644864.1</v>
      </c>
      <c r="J112" s="5" t="s">
        <v>2088</v>
      </c>
    </row>
    <row r="113" spans="1:10" s="7" customFormat="1" x14ac:dyDescent="0.2">
      <c r="A113" s="5" t="s">
        <v>1930</v>
      </c>
      <c r="B113" s="5" t="s">
        <v>1931</v>
      </c>
      <c r="C113" s="5">
        <v>1040</v>
      </c>
      <c r="D113" s="5">
        <v>1040</v>
      </c>
      <c r="E113" s="6">
        <v>0.99</v>
      </c>
      <c r="F113" s="5">
        <v>0</v>
      </c>
      <c r="G113" s="5">
        <v>62.69</v>
      </c>
      <c r="H113" s="5">
        <v>817</v>
      </c>
      <c r="I113" s="5" t="str">
        <f>HYPERLINK("https://www.ncbi.nlm.nih.gov/protein/WP_153473921.1?report=genbank&amp;log$=prottop&amp;blast_rank=211&amp;RID=7U875CNM013","WP_153473921.1")</f>
        <v>WP_153473921.1</v>
      </c>
      <c r="J113" s="5" t="s">
        <v>2088</v>
      </c>
    </row>
    <row r="114" spans="1:10" s="7" customFormat="1" x14ac:dyDescent="0.2">
      <c r="A114" s="5" t="s">
        <v>1930</v>
      </c>
      <c r="B114" s="5" t="s">
        <v>1931</v>
      </c>
      <c r="C114" s="5">
        <v>1040</v>
      </c>
      <c r="D114" s="5">
        <v>1040</v>
      </c>
      <c r="E114" s="6">
        <v>0.99</v>
      </c>
      <c r="F114" s="5">
        <v>0</v>
      </c>
      <c r="G114" s="5">
        <v>62.69</v>
      </c>
      <c r="H114" s="5">
        <v>817</v>
      </c>
      <c r="I114" s="5" t="str">
        <f>HYPERLINK("https://www.ncbi.nlm.nih.gov/protein/WP_153318865.1?report=genbank&amp;log$=prottop&amp;blast_rank=212&amp;RID=7U875CNM013","WP_153318865.1")</f>
        <v>WP_153318865.1</v>
      </c>
      <c r="J114" s="5" t="s">
        <v>2088</v>
      </c>
    </row>
    <row r="115" spans="1:10" s="7" customFormat="1" x14ac:dyDescent="0.2">
      <c r="A115" s="5" t="s">
        <v>1930</v>
      </c>
      <c r="B115" s="5" t="s">
        <v>1931</v>
      </c>
      <c r="C115" s="5">
        <v>1038</v>
      </c>
      <c r="D115" s="5">
        <v>1038</v>
      </c>
      <c r="E115" s="6">
        <v>0.99</v>
      </c>
      <c r="F115" s="5">
        <v>0</v>
      </c>
      <c r="G115" s="5">
        <v>62.69</v>
      </c>
      <c r="H115" s="5">
        <v>817</v>
      </c>
      <c r="I115" s="5" t="str">
        <f>HYPERLINK("https://www.ncbi.nlm.nih.gov/protein/WP_127633196.1?report=genbank&amp;log$=prottop&amp;blast_rank=213&amp;RID=7U875CNM013","WP_127633196.1")</f>
        <v>WP_127633196.1</v>
      </c>
      <c r="J115" s="5" t="s">
        <v>2088</v>
      </c>
    </row>
    <row r="116" spans="1:10" s="7" customFormat="1" x14ac:dyDescent="0.2">
      <c r="A116" s="5" t="s">
        <v>1930</v>
      </c>
      <c r="B116" s="5" t="s">
        <v>1931</v>
      </c>
      <c r="C116" s="5">
        <v>1038</v>
      </c>
      <c r="D116" s="5">
        <v>1038</v>
      </c>
      <c r="E116" s="6">
        <v>0.99</v>
      </c>
      <c r="F116" s="5">
        <v>0</v>
      </c>
      <c r="G116" s="5">
        <v>62.69</v>
      </c>
      <c r="H116" s="5">
        <v>817</v>
      </c>
      <c r="I116" s="5" t="str">
        <f>HYPERLINK("https://www.ncbi.nlm.nih.gov/protein/WP_107607843.1?report=genbank&amp;log$=prottop&amp;blast_rank=214&amp;RID=7U875CNM013","WP_107607843.1")</f>
        <v>WP_107607843.1</v>
      </c>
      <c r="J116" s="5" t="s">
        <v>2088</v>
      </c>
    </row>
    <row r="117" spans="1:10" s="7" customFormat="1" x14ac:dyDescent="0.2">
      <c r="A117" s="5" t="s">
        <v>1930</v>
      </c>
      <c r="B117" s="5" t="s">
        <v>1931</v>
      </c>
      <c r="C117" s="5">
        <v>1038</v>
      </c>
      <c r="D117" s="5">
        <v>1038</v>
      </c>
      <c r="E117" s="6">
        <v>0.99</v>
      </c>
      <c r="F117" s="5">
        <v>0</v>
      </c>
      <c r="G117" s="5">
        <v>62.69</v>
      </c>
      <c r="H117" s="5">
        <v>817</v>
      </c>
      <c r="I117" s="5" t="str">
        <f>HYPERLINK("https://www.ncbi.nlm.nih.gov/protein/WP_127619984.1?report=genbank&amp;log$=prottop&amp;blast_rank=215&amp;RID=7U875CNM013","WP_127619984.1")</f>
        <v>WP_127619984.1</v>
      </c>
      <c r="J117" s="5" t="s">
        <v>2088</v>
      </c>
    </row>
    <row r="118" spans="1:10" s="7" customFormat="1" x14ac:dyDescent="0.2">
      <c r="A118" s="5" t="s">
        <v>1930</v>
      </c>
      <c r="B118" s="5" t="s">
        <v>1931</v>
      </c>
      <c r="C118" s="5">
        <v>1038</v>
      </c>
      <c r="D118" s="5">
        <v>1038</v>
      </c>
      <c r="E118" s="6">
        <v>0.99</v>
      </c>
      <c r="F118" s="5">
        <v>0</v>
      </c>
      <c r="G118" s="5">
        <v>62.69</v>
      </c>
      <c r="H118" s="5">
        <v>817</v>
      </c>
      <c r="I118" s="5" t="str">
        <f>HYPERLINK("https://www.ncbi.nlm.nih.gov/protein/WP_028011176.1?report=genbank&amp;log$=prottop&amp;blast_rank=216&amp;RID=7U875CNM013","WP_028011176.1")</f>
        <v>WP_028011176.1</v>
      </c>
      <c r="J118" s="5" t="s">
        <v>2088</v>
      </c>
    </row>
    <row r="119" spans="1:10" s="7" customFormat="1" x14ac:dyDescent="0.2">
      <c r="A119" s="5" t="s">
        <v>1930</v>
      </c>
      <c r="B119" s="5" t="s">
        <v>1931</v>
      </c>
      <c r="C119" s="5">
        <v>1038</v>
      </c>
      <c r="D119" s="5">
        <v>1038</v>
      </c>
      <c r="E119" s="6">
        <v>0.99</v>
      </c>
      <c r="F119" s="5">
        <v>0</v>
      </c>
      <c r="G119" s="5">
        <v>62.69</v>
      </c>
      <c r="H119" s="5">
        <v>817</v>
      </c>
      <c r="I119" s="5" t="str">
        <f>HYPERLINK("https://www.ncbi.nlm.nih.gov/protein/WP_033048965.1?report=genbank&amp;log$=prottop&amp;blast_rank=217&amp;RID=7U875CNM013","WP_033048965.1")</f>
        <v>WP_033048965.1</v>
      </c>
      <c r="J119" s="5" t="s">
        <v>2088</v>
      </c>
    </row>
    <row r="120" spans="1:10" s="7" customFormat="1" x14ac:dyDescent="0.2">
      <c r="A120" s="5" t="s">
        <v>1930</v>
      </c>
      <c r="B120" s="5" t="s">
        <v>1931</v>
      </c>
      <c r="C120" s="5">
        <v>1037</v>
      </c>
      <c r="D120" s="5">
        <v>1037</v>
      </c>
      <c r="E120" s="6">
        <v>0.99</v>
      </c>
      <c r="F120" s="5">
        <v>0</v>
      </c>
      <c r="G120" s="5">
        <v>62.69</v>
      </c>
      <c r="H120" s="5">
        <v>817</v>
      </c>
      <c r="I120" s="5" t="str">
        <f>HYPERLINK("https://www.ncbi.nlm.nih.gov/protein/WP_127509808.1?report=genbank&amp;log$=prottop&amp;blast_rank=218&amp;RID=7U875CNM013","WP_127509808.1")</f>
        <v>WP_127509808.1</v>
      </c>
      <c r="J120" s="5" t="s">
        <v>2088</v>
      </c>
    </row>
    <row r="121" spans="1:10" s="7" customFormat="1" x14ac:dyDescent="0.2">
      <c r="A121" s="5" t="s">
        <v>1930</v>
      </c>
      <c r="B121" s="5" t="s">
        <v>1931</v>
      </c>
      <c r="C121" s="5">
        <v>1036</v>
      </c>
      <c r="D121" s="5">
        <v>1036</v>
      </c>
      <c r="E121" s="6">
        <v>0.99</v>
      </c>
      <c r="F121" s="5">
        <v>0</v>
      </c>
      <c r="G121" s="5">
        <v>62.69</v>
      </c>
      <c r="H121" s="5">
        <v>817</v>
      </c>
      <c r="I121" s="5" t="str">
        <f>HYPERLINK("https://www.ncbi.nlm.nih.gov/protein/WP_015008025.1?report=genbank&amp;log$=prottop&amp;blast_rank=219&amp;RID=7U875CNM013","WP_015008025.1")</f>
        <v>WP_015008025.1</v>
      </c>
      <c r="J121" s="5" t="s">
        <v>2088</v>
      </c>
    </row>
    <row r="122" spans="1:10" s="7" customFormat="1" x14ac:dyDescent="0.2">
      <c r="A122" s="5" t="s">
        <v>1930</v>
      </c>
      <c r="B122" s="5" t="s">
        <v>1931</v>
      </c>
      <c r="C122" s="5">
        <v>1036</v>
      </c>
      <c r="D122" s="5">
        <v>1036</v>
      </c>
      <c r="E122" s="6">
        <v>0.99</v>
      </c>
      <c r="F122" s="5">
        <v>0</v>
      </c>
      <c r="G122" s="5">
        <v>62.69</v>
      </c>
      <c r="H122" s="5">
        <v>817</v>
      </c>
      <c r="I122" s="5" t="str">
        <f>HYPERLINK("https://www.ncbi.nlm.nih.gov/protein/WP_153313473.1?report=genbank&amp;log$=prottop&amp;blast_rank=220&amp;RID=7U875CNM013","WP_153313473.1")</f>
        <v>WP_153313473.1</v>
      </c>
      <c r="J122" s="5" t="s">
        <v>2088</v>
      </c>
    </row>
    <row r="123" spans="1:10" s="7" customFormat="1" x14ac:dyDescent="0.2">
      <c r="A123" s="5" t="s">
        <v>1930</v>
      </c>
      <c r="B123" s="5" t="s">
        <v>1931</v>
      </c>
      <c r="C123" s="5">
        <v>1036</v>
      </c>
      <c r="D123" s="5">
        <v>1036</v>
      </c>
      <c r="E123" s="6">
        <v>0.99</v>
      </c>
      <c r="F123" s="5">
        <v>0</v>
      </c>
      <c r="G123" s="5">
        <v>62.69</v>
      </c>
      <c r="H123" s="5">
        <v>817</v>
      </c>
      <c r="I123" s="5" t="str">
        <f>HYPERLINK("https://www.ncbi.nlm.nih.gov/protein/WP_107591761.1?report=genbank&amp;log$=prottop&amp;blast_rank=221&amp;RID=7U875CNM013","WP_107591761.1")</f>
        <v>WP_107591761.1</v>
      </c>
      <c r="J123" s="5" t="s">
        <v>2088</v>
      </c>
    </row>
    <row r="124" spans="1:10" s="7" customFormat="1" x14ac:dyDescent="0.2">
      <c r="A124" s="5" t="s">
        <v>1930</v>
      </c>
      <c r="B124" s="5" t="s">
        <v>1931</v>
      </c>
      <c r="C124" s="5">
        <v>1036</v>
      </c>
      <c r="D124" s="5">
        <v>1036</v>
      </c>
      <c r="E124" s="6">
        <v>0.99</v>
      </c>
      <c r="F124" s="5">
        <v>0</v>
      </c>
      <c r="G124" s="5">
        <v>62.69</v>
      </c>
      <c r="H124" s="5">
        <v>817</v>
      </c>
      <c r="I124" s="5" t="str">
        <f>HYPERLINK("https://www.ncbi.nlm.nih.gov/protein/WP_010968357.1?report=genbank&amp;log$=prottop&amp;blast_rank=222&amp;RID=7U875CNM013","WP_010968357.1")</f>
        <v>WP_010968357.1</v>
      </c>
      <c r="J124" s="5" t="s">
        <v>2088</v>
      </c>
    </row>
    <row r="125" spans="1:10" s="7" customFormat="1" x14ac:dyDescent="0.2">
      <c r="A125" s="5" t="s">
        <v>1930</v>
      </c>
      <c r="B125" s="5" t="s">
        <v>1931</v>
      </c>
      <c r="C125" s="5">
        <v>1036</v>
      </c>
      <c r="D125" s="5">
        <v>1036</v>
      </c>
      <c r="E125" s="6">
        <v>0.99</v>
      </c>
      <c r="F125" s="5">
        <v>0</v>
      </c>
      <c r="G125" s="5">
        <v>62.69</v>
      </c>
      <c r="H125" s="5">
        <v>817</v>
      </c>
      <c r="I125" s="5" t="str">
        <f>HYPERLINK("https://www.ncbi.nlm.nih.gov/protein/WP_127639111.1?report=genbank&amp;log$=prottop&amp;blast_rank=223&amp;RID=7U875CNM013","WP_127639111.1")</f>
        <v>WP_127639111.1</v>
      </c>
      <c r="J125" s="5" t="s">
        <v>2088</v>
      </c>
    </row>
    <row r="126" spans="1:10" s="7" customFormat="1" x14ac:dyDescent="0.2">
      <c r="A126" s="5" t="s">
        <v>1930</v>
      </c>
      <c r="B126" s="5" t="s">
        <v>1931</v>
      </c>
      <c r="C126" s="5">
        <v>1034</v>
      </c>
      <c r="D126" s="5">
        <v>1034</v>
      </c>
      <c r="E126" s="6">
        <v>0.99</v>
      </c>
      <c r="F126" s="5">
        <v>0</v>
      </c>
      <c r="G126" s="5">
        <v>62.69</v>
      </c>
      <c r="H126" s="5">
        <v>817</v>
      </c>
      <c r="I126" s="5" t="str">
        <f>HYPERLINK("https://www.ncbi.nlm.nih.gov/protein/WP_127665858.1?report=genbank&amp;log$=prottop&amp;blast_rank=224&amp;RID=7U875CNM013","WP_127665858.1")</f>
        <v>WP_127665858.1</v>
      </c>
      <c r="J126" s="5" t="s">
        <v>2088</v>
      </c>
    </row>
    <row r="127" spans="1:10" x14ac:dyDescent="0.2">
      <c r="A127" s="5" t="s">
        <v>2094</v>
      </c>
      <c r="B127" s="5" t="s">
        <v>2095</v>
      </c>
      <c r="C127" s="5">
        <v>1038</v>
      </c>
      <c r="D127" s="5">
        <v>1038</v>
      </c>
      <c r="E127" s="6">
        <v>0.98</v>
      </c>
      <c r="F127" s="5">
        <v>0</v>
      </c>
      <c r="G127" s="5">
        <v>62.6</v>
      </c>
      <c r="H127" s="5">
        <v>810</v>
      </c>
      <c r="I127" s="5" t="str">
        <f>HYPERLINK("https://www.ncbi.nlm.nih.gov/protein/WP_189635744.1?report=genbank&amp;log$=prottop&amp;blast_rank=65&amp;RID=7U875CNM013","WP_189635744.1")</f>
        <v>WP_189635744.1</v>
      </c>
      <c r="J127" s="5" t="s">
        <v>1727</v>
      </c>
    </row>
    <row r="128" spans="1:10" x14ac:dyDescent="0.2">
      <c r="A128" s="5" t="s">
        <v>2096</v>
      </c>
      <c r="B128" s="5" t="s">
        <v>2097</v>
      </c>
      <c r="C128" s="5">
        <v>1035</v>
      </c>
      <c r="D128" s="5">
        <v>1035</v>
      </c>
      <c r="E128" s="6">
        <v>0.98</v>
      </c>
      <c r="F128" s="5">
        <v>0</v>
      </c>
      <c r="G128" s="5">
        <v>62.6</v>
      </c>
      <c r="H128" s="5">
        <v>820</v>
      </c>
      <c r="I128" s="5" t="str">
        <f>HYPERLINK("https://www.ncbi.nlm.nih.gov/protein/EJC83216.1?report=genbank&amp;log$=prottop&amp;blast_rank=67&amp;RID=7U875CNM013","EJC83216.1")</f>
        <v>EJC83216.1</v>
      </c>
      <c r="J128" s="5" t="s">
        <v>1727</v>
      </c>
    </row>
    <row r="129" spans="1:10" x14ac:dyDescent="0.2">
      <c r="A129" s="5" t="s">
        <v>1843</v>
      </c>
      <c r="B129" s="5" t="s">
        <v>1844</v>
      </c>
      <c r="C129" s="5">
        <v>1034</v>
      </c>
      <c r="D129" s="5">
        <v>1034</v>
      </c>
      <c r="E129" s="6">
        <v>0.98</v>
      </c>
      <c r="F129" s="5">
        <v>0</v>
      </c>
      <c r="G129" s="5">
        <v>62.6</v>
      </c>
      <c r="H129" s="5">
        <v>812</v>
      </c>
      <c r="I129" s="5" t="str">
        <f>HYPERLINK("https://www.ncbi.nlm.nih.gov/protein/WP_051040899.1?report=genbank&amp;log$=prottop&amp;blast_rank=68&amp;RID=7U875CNM013","WP_051040899.1")</f>
        <v>WP_051040899.1</v>
      </c>
      <c r="J129" s="5" t="s">
        <v>1727</v>
      </c>
    </row>
    <row r="130" spans="1:10" x14ac:dyDescent="0.2">
      <c r="A130" s="5" t="s">
        <v>1843</v>
      </c>
      <c r="B130" s="5" t="s">
        <v>1844</v>
      </c>
      <c r="C130" s="5">
        <v>1033</v>
      </c>
      <c r="D130" s="5">
        <v>1033</v>
      </c>
      <c r="E130" s="6">
        <v>0.99</v>
      </c>
      <c r="F130" s="5">
        <v>0</v>
      </c>
      <c r="G130" s="5">
        <v>62.59</v>
      </c>
      <c r="H130" s="5">
        <v>820</v>
      </c>
      <c r="I130" s="5" t="str">
        <f>HYPERLINK("https://www.ncbi.nlm.nih.gov/protein/WP_003567468.1?report=genbank&amp;log$=prottop&amp;blast_rank=74&amp;RID=7U875CNM013","WP_003567468.1")</f>
        <v>WP_003567468.1</v>
      </c>
      <c r="J130" s="5" t="s">
        <v>1727</v>
      </c>
    </row>
    <row r="131" spans="1:10" x14ac:dyDescent="0.2">
      <c r="A131" s="5" t="s">
        <v>2082</v>
      </c>
      <c r="B131" s="5" t="s">
        <v>2083</v>
      </c>
      <c r="C131" s="5">
        <v>1032</v>
      </c>
      <c r="D131" s="5">
        <v>1032</v>
      </c>
      <c r="E131" s="6">
        <v>0.99</v>
      </c>
      <c r="F131" s="5">
        <v>0</v>
      </c>
      <c r="G131" s="5">
        <v>62.59</v>
      </c>
      <c r="H131" s="5">
        <v>820</v>
      </c>
      <c r="I131" s="5" t="str">
        <f>HYPERLINK("https://www.ncbi.nlm.nih.gov/protein/WP_165779360.1?report=genbank&amp;log$=prottop&amp;blast_rank=75&amp;RID=7U875CNM013","WP_165779360.1")</f>
        <v>WP_165779360.1</v>
      </c>
      <c r="J131" s="5" t="s">
        <v>1727</v>
      </c>
    </row>
    <row r="132" spans="1:10" s="7" customFormat="1" x14ac:dyDescent="0.2">
      <c r="A132" s="5" t="s">
        <v>2082</v>
      </c>
      <c r="B132" s="5" t="s">
        <v>2083</v>
      </c>
      <c r="C132" s="5">
        <v>1031</v>
      </c>
      <c r="D132" s="5">
        <v>1031</v>
      </c>
      <c r="E132" s="6">
        <v>0.99</v>
      </c>
      <c r="F132" s="5">
        <v>0</v>
      </c>
      <c r="G132" s="5">
        <v>62.59</v>
      </c>
      <c r="H132" s="5">
        <v>812</v>
      </c>
      <c r="I132" s="5" t="str">
        <f>HYPERLINK("https://www.ncbi.nlm.nih.gov/protein/PDT24292.1?report=genbank&amp;log$=prottop&amp;blast_rank=76&amp;RID=7U875CNM013","PDT24292.1")</f>
        <v>PDT24292.1</v>
      </c>
      <c r="J132" s="5" t="s">
        <v>1727</v>
      </c>
    </row>
    <row r="133" spans="1:10" x14ac:dyDescent="0.2">
      <c r="A133" s="5" t="s">
        <v>2098</v>
      </c>
      <c r="B133" s="5" t="s">
        <v>2099</v>
      </c>
      <c r="C133" s="5">
        <v>1035</v>
      </c>
      <c r="D133" s="5">
        <v>1035</v>
      </c>
      <c r="E133" s="6">
        <v>0.98</v>
      </c>
      <c r="F133" s="5">
        <v>0</v>
      </c>
      <c r="G133" s="5">
        <v>62.56</v>
      </c>
      <c r="H133" s="5">
        <v>797</v>
      </c>
      <c r="I133" s="5" t="str">
        <f>HYPERLINK("https://www.ncbi.nlm.nih.gov/protein/RTM04455.1?report=genbank&amp;log$=prottop&amp;blast_rank=100&amp;RID=7U875CNM013","RTM04455.1")</f>
        <v>RTM04455.1</v>
      </c>
      <c r="J133" s="5" t="s">
        <v>2100</v>
      </c>
    </row>
    <row r="134" spans="1:10" x14ac:dyDescent="0.2">
      <c r="A134" s="5" t="s">
        <v>1930</v>
      </c>
      <c r="B134" s="5" t="s">
        <v>1931</v>
      </c>
      <c r="C134" s="5">
        <v>1045</v>
      </c>
      <c r="D134" s="5">
        <v>1045</v>
      </c>
      <c r="E134" s="6">
        <v>0.99</v>
      </c>
      <c r="F134" s="5">
        <v>0</v>
      </c>
      <c r="G134" s="5">
        <v>62.56</v>
      </c>
      <c r="H134" s="5">
        <v>817</v>
      </c>
      <c r="I134" s="5" t="str">
        <f>HYPERLINK("https://www.ncbi.nlm.nih.gov/protein/WP_100669947.1?report=genbank&amp;log$=prottop&amp;blast_rank=124&amp;RID=7U875CNM013","WP_100669947.1")</f>
        <v>WP_100669947.1</v>
      </c>
      <c r="J134" s="5" t="s">
        <v>2101</v>
      </c>
    </row>
    <row r="135" spans="1:10" x14ac:dyDescent="0.2">
      <c r="A135" s="5" t="s">
        <v>1930</v>
      </c>
      <c r="B135" s="5" t="s">
        <v>1931</v>
      </c>
      <c r="C135" s="5">
        <v>1044</v>
      </c>
      <c r="D135" s="5">
        <v>1044</v>
      </c>
      <c r="E135" s="6">
        <v>0.99</v>
      </c>
      <c r="F135" s="5">
        <v>0</v>
      </c>
      <c r="G135" s="5">
        <v>62.56</v>
      </c>
      <c r="H135" s="5">
        <v>817</v>
      </c>
      <c r="I135" s="5" t="str">
        <f>HYPERLINK("https://www.ncbi.nlm.nih.gov/protein/WP_127708819.1?report=genbank&amp;log$=prottop&amp;blast_rank=125&amp;RID=7U875CNM013","WP_127708819.1")</f>
        <v>WP_127708819.1</v>
      </c>
      <c r="J135" s="5" t="s">
        <v>2101</v>
      </c>
    </row>
    <row r="136" spans="1:10" x14ac:dyDescent="0.2">
      <c r="A136" s="5" t="s">
        <v>2102</v>
      </c>
      <c r="B136" s="5" t="s">
        <v>2103</v>
      </c>
      <c r="C136" s="5">
        <v>1040</v>
      </c>
      <c r="D136" s="5">
        <v>1040</v>
      </c>
      <c r="E136" s="6">
        <v>0.99</v>
      </c>
      <c r="F136" s="5">
        <v>0</v>
      </c>
      <c r="G136" s="5">
        <v>62.56</v>
      </c>
      <c r="H136" s="5">
        <v>817</v>
      </c>
      <c r="I136" s="5" t="str">
        <f>HYPERLINK("https://www.ncbi.nlm.nih.gov/protein/WP_050577559.1?report=genbank&amp;log$=prottop&amp;blast_rank=126&amp;RID=7U875CNM013","WP_050577559.1")</f>
        <v>WP_050577559.1</v>
      </c>
      <c r="J136" s="5" t="s">
        <v>2101</v>
      </c>
    </row>
    <row r="137" spans="1:10" x14ac:dyDescent="0.2">
      <c r="A137" s="5" t="s">
        <v>1930</v>
      </c>
      <c r="B137" s="5" t="s">
        <v>1931</v>
      </c>
      <c r="C137" s="5">
        <v>1036</v>
      </c>
      <c r="D137" s="5">
        <v>1036</v>
      </c>
      <c r="E137" s="6">
        <v>0.99</v>
      </c>
      <c r="F137" s="5">
        <v>0</v>
      </c>
      <c r="G137" s="5">
        <v>62.56</v>
      </c>
      <c r="H137" s="5">
        <v>817</v>
      </c>
      <c r="I137" s="5" t="str">
        <f>HYPERLINK("https://www.ncbi.nlm.nih.gov/protein/WP_127668593.1?report=genbank&amp;log$=prottop&amp;blast_rank=127&amp;RID=7U875CNM013","WP_127668593.1")</f>
        <v>WP_127668593.1</v>
      </c>
      <c r="J137" s="5" t="s">
        <v>2101</v>
      </c>
    </row>
    <row r="138" spans="1:10" x14ac:dyDescent="0.2">
      <c r="A138" s="5" t="s">
        <v>1930</v>
      </c>
      <c r="B138" s="5" t="s">
        <v>1931</v>
      </c>
      <c r="C138" s="5">
        <v>1035</v>
      </c>
      <c r="D138" s="5">
        <v>1035</v>
      </c>
      <c r="E138" s="6">
        <v>0.99</v>
      </c>
      <c r="F138" s="5">
        <v>0</v>
      </c>
      <c r="G138" s="5">
        <v>62.56</v>
      </c>
      <c r="H138" s="5">
        <v>817</v>
      </c>
      <c r="I138" s="5" t="str">
        <f>HYPERLINK("https://www.ncbi.nlm.nih.gov/protein/WP_127643983.1?report=genbank&amp;log$=prottop&amp;blast_rank=128&amp;RID=7U875CNM013","WP_127643983.1")</f>
        <v>WP_127643983.1</v>
      </c>
      <c r="J138" s="5" t="s">
        <v>2101</v>
      </c>
    </row>
    <row r="139" spans="1:10" x14ac:dyDescent="0.2">
      <c r="A139" s="5" t="s">
        <v>1930</v>
      </c>
      <c r="B139" s="5" t="s">
        <v>1931</v>
      </c>
      <c r="C139" s="5">
        <v>1034</v>
      </c>
      <c r="D139" s="5">
        <v>1034</v>
      </c>
      <c r="E139" s="6">
        <v>0.99</v>
      </c>
      <c r="F139" s="5">
        <v>0</v>
      </c>
      <c r="G139" s="5">
        <v>62.56</v>
      </c>
      <c r="H139" s="5">
        <v>817</v>
      </c>
      <c r="I139" s="5" t="str">
        <f>HYPERLINK("https://www.ncbi.nlm.nih.gov/protein/WP_014527015.1?report=genbank&amp;log$=prottop&amp;blast_rank=129&amp;RID=7U875CNM013","WP_014527015.1")</f>
        <v>WP_014527015.1</v>
      </c>
      <c r="J139" s="5" t="s">
        <v>2101</v>
      </c>
    </row>
    <row r="140" spans="1:10" x14ac:dyDescent="0.2">
      <c r="A140" s="5" t="s">
        <v>1930</v>
      </c>
      <c r="B140" s="5" t="s">
        <v>1931</v>
      </c>
      <c r="C140" s="5">
        <v>1034</v>
      </c>
      <c r="D140" s="5">
        <v>1034</v>
      </c>
      <c r="E140" s="6">
        <v>0.99</v>
      </c>
      <c r="F140" s="5">
        <v>0</v>
      </c>
      <c r="G140" s="5">
        <v>62.56</v>
      </c>
      <c r="H140" s="5">
        <v>817</v>
      </c>
      <c r="I140" s="5" t="str">
        <f>HYPERLINK("https://www.ncbi.nlm.nih.gov/protein/WP_153349966.1?report=genbank&amp;log$=prottop&amp;blast_rank=130&amp;RID=7U875CNM013","WP_153349966.1")</f>
        <v>WP_153349966.1</v>
      </c>
      <c r="J140" s="5" t="s">
        <v>2101</v>
      </c>
    </row>
    <row r="141" spans="1:10" x14ac:dyDescent="0.2">
      <c r="A141" s="5" t="s">
        <v>1930</v>
      </c>
      <c r="B141" s="5" t="s">
        <v>1931</v>
      </c>
      <c r="C141" s="5">
        <v>1033</v>
      </c>
      <c r="D141" s="5">
        <v>1033</v>
      </c>
      <c r="E141" s="6">
        <v>0.99</v>
      </c>
      <c r="F141" s="5">
        <v>0</v>
      </c>
      <c r="G141" s="5">
        <v>62.56</v>
      </c>
      <c r="H141" s="5">
        <v>817</v>
      </c>
      <c r="I141" s="5" t="str">
        <f>HYPERLINK("https://www.ncbi.nlm.nih.gov/protein/WP_153529194.1?report=genbank&amp;log$=prottop&amp;blast_rank=131&amp;RID=7U875CNM013","WP_153529194.1")</f>
        <v>WP_153529194.1</v>
      </c>
      <c r="J141" s="5" t="s">
        <v>2101</v>
      </c>
    </row>
    <row r="142" spans="1:10" x14ac:dyDescent="0.2">
      <c r="A142" s="5" t="s">
        <v>1930</v>
      </c>
      <c r="B142" s="5" t="s">
        <v>1931</v>
      </c>
      <c r="C142" s="5">
        <v>1033</v>
      </c>
      <c r="D142" s="5">
        <v>1033</v>
      </c>
      <c r="E142" s="6">
        <v>0.99</v>
      </c>
      <c r="F142" s="5">
        <v>0</v>
      </c>
      <c r="G142" s="5">
        <v>62.56</v>
      </c>
      <c r="H142" s="5">
        <v>817</v>
      </c>
      <c r="I142" s="5" t="str">
        <f>HYPERLINK("https://www.ncbi.nlm.nih.gov/protein/WP_088200258.1?report=genbank&amp;log$=prottop&amp;blast_rank=132&amp;RID=7U875CNM013","WP_088200258.1")</f>
        <v>WP_088200258.1</v>
      </c>
      <c r="J142" s="5" t="s">
        <v>2101</v>
      </c>
    </row>
    <row r="143" spans="1:10" x14ac:dyDescent="0.2">
      <c r="A143" s="5" t="s">
        <v>1930</v>
      </c>
      <c r="B143" s="5" t="s">
        <v>1931</v>
      </c>
      <c r="C143" s="5">
        <v>1033</v>
      </c>
      <c r="D143" s="5">
        <v>1033</v>
      </c>
      <c r="E143" s="6">
        <v>0.99</v>
      </c>
      <c r="F143" s="5">
        <v>0</v>
      </c>
      <c r="G143" s="5">
        <v>62.56</v>
      </c>
      <c r="H143" s="5">
        <v>817</v>
      </c>
      <c r="I143" s="5" t="str">
        <f>HYPERLINK("https://www.ncbi.nlm.nih.gov/protein/WP_014529982.1?report=genbank&amp;log$=prottop&amp;blast_rank=133&amp;RID=7U875CNM013","WP_014529982.1")</f>
        <v>WP_014529982.1</v>
      </c>
      <c r="J143" s="5" t="s">
        <v>2101</v>
      </c>
    </row>
    <row r="144" spans="1:10" x14ac:dyDescent="0.2">
      <c r="A144" s="5" t="s">
        <v>2107</v>
      </c>
      <c r="B144" s="5" t="s">
        <v>2108</v>
      </c>
      <c r="C144" s="5">
        <v>1044</v>
      </c>
      <c r="D144" s="5">
        <v>1044</v>
      </c>
      <c r="E144" s="6">
        <v>0.99</v>
      </c>
      <c r="F144" s="5">
        <v>0</v>
      </c>
      <c r="G144" s="5">
        <v>62.55</v>
      </c>
      <c r="H144" s="5">
        <v>815</v>
      </c>
      <c r="I144" s="5" t="str">
        <f>HYPERLINK("https://www.ncbi.nlm.nih.gov/protein/WP_007800352.1?report=genbank&amp;log$=prottop&amp;blast_rank=148&amp;RID=7U875CNM013","WP_007800352.1")</f>
        <v>WP_007800352.1</v>
      </c>
      <c r="J144" s="5" t="s">
        <v>1727</v>
      </c>
    </row>
    <row r="145" spans="1:10" x14ac:dyDescent="0.2">
      <c r="A145" s="5" t="s">
        <v>2109</v>
      </c>
      <c r="B145" s="5" t="s">
        <v>2110</v>
      </c>
      <c r="C145" s="5">
        <v>1043</v>
      </c>
      <c r="D145" s="5">
        <v>1043</v>
      </c>
      <c r="E145" s="6">
        <v>0.99</v>
      </c>
      <c r="F145" s="5">
        <v>0</v>
      </c>
      <c r="G145" s="5">
        <v>62.55</v>
      </c>
      <c r="H145" s="5">
        <v>815</v>
      </c>
      <c r="I145" s="5" t="str">
        <f>HYPERLINK("https://www.ncbi.nlm.nih.gov/protein/WP_183723104.1?report=genbank&amp;log$=prottop&amp;blast_rank=149&amp;RID=7U875CNM013","WP_183723104.1")</f>
        <v>WP_183723104.1</v>
      </c>
      <c r="J145" s="5" t="s">
        <v>1727</v>
      </c>
    </row>
    <row r="146" spans="1:10" x14ac:dyDescent="0.2">
      <c r="A146" s="5" t="s">
        <v>2111</v>
      </c>
      <c r="B146" s="5" t="s">
        <v>2112</v>
      </c>
      <c r="C146" s="5">
        <v>1042</v>
      </c>
      <c r="D146" s="5">
        <v>1042</v>
      </c>
      <c r="E146" s="6">
        <v>0.99</v>
      </c>
      <c r="F146" s="5">
        <v>0</v>
      </c>
      <c r="G146" s="5">
        <v>62.55</v>
      </c>
      <c r="H146" s="5">
        <v>815</v>
      </c>
      <c r="I146" s="5" t="str">
        <f>HYPERLINK("https://www.ncbi.nlm.nih.gov/protein/WP_132594736.1?report=genbank&amp;log$=prottop&amp;blast_rank=150&amp;RID=7U875CNM013","WP_132594736.1")</f>
        <v>WP_132594736.1</v>
      </c>
      <c r="J146" s="5" t="s">
        <v>1727</v>
      </c>
    </row>
    <row r="147" spans="1:10" x14ac:dyDescent="0.2">
      <c r="A147" s="5" t="s">
        <v>2113</v>
      </c>
      <c r="B147" s="5" t="s">
        <v>2114</v>
      </c>
      <c r="C147" s="5">
        <v>1041</v>
      </c>
      <c r="D147" s="5">
        <v>1041</v>
      </c>
      <c r="E147" s="6">
        <v>0.99</v>
      </c>
      <c r="F147" s="5">
        <v>0</v>
      </c>
      <c r="G147" s="5">
        <v>62.55</v>
      </c>
      <c r="H147" s="5">
        <v>815</v>
      </c>
      <c r="I147" s="5" t="str">
        <f>HYPERLINK("https://www.ncbi.nlm.nih.gov/protein/WP_184449631.1?report=genbank&amp;log$=prottop&amp;blast_rank=151&amp;RID=7U875CNM013","WP_184449631.1")</f>
        <v>WP_184449631.1</v>
      </c>
      <c r="J147" s="5" t="s">
        <v>1727</v>
      </c>
    </row>
    <row r="148" spans="1:10" s="7" customFormat="1" x14ac:dyDescent="0.2">
      <c r="A148" s="5" t="s">
        <v>2115</v>
      </c>
      <c r="B148" s="5" t="s">
        <v>2116</v>
      </c>
      <c r="C148" s="5">
        <v>1026</v>
      </c>
      <c r="D148" s="5">
        <v>1026</v>
      </c>
      <c r="E148" s="6">
        <v>0.99</v>
      </c>
      <c r="F148" s="5">
        <v>0</v>
      </c>
      <c r="G148" s="5">
        <v>62.55</v>
      </c>
      <c r="H148" s="5">
        <v>815</v>
      </c>
      <c r="I148" s="5" t="str">
        <f>HYPERLINK("https://www.ncbi.nlm.nih.gov/protein/WP_062376216.1?report=genbank&amp;log$=prottop&amp;blast_rank=152&amp;RID=7U875CNM013","WP_062376216.1")</f>
        <v>WP_062376216.1</v>
      </c>
      <c r="J148" s="5" t="s">
        <v>1727</v>
      </c>
    </row>
    <row r="149" spans="1:10" s="7" customFormat="1" x14ac:dyDescent="0.2">
      <c r="A149" s="5" t="s">
        <v>2117</v>
      </c>
      <c r="B149" s="5" t="s">
        <v>2118</v>
      </c>
      <c r="C149" s="5">
        <v>1026</v>
      </c>
      <c r="D149" s="5">
        <v>1026</v>
      </c>
      <c r="E149" s="6">
        <v>0.99</v>
      </c>
      <c r="F149" s="5">
        <v>0</v>
      </c>
      <c r="G149" s="5">
        <v>62.55</v>
      </c>
      <c r="H149" s="5">
        <v>815</v>
      </c>
      <c r="I149" s="5" t="str">
        <f>HYPERLINK("https://www.ncbi.nlm.nih.gov/protein/WP_025662785.1?report=genbank&amp;log$=prottop&amp;blast_rank=153&amp;RID=7U875CNM013","WP_025662785.1")</f>
        <v>WP_025662785.1</v>
      </c>
      <c r="J149" s="5" t="s">
        <v>1727</v>
      </c>
    </row>
    <row r="150" spans="1:10" s="7" customFormat="1" x14ac:dyDescent="0.2">
      <c r="A150" s="5" t="s">
        <v>2026</v>
      </c>
      <c r="B150" s="5" t="s">
        <v>2027</v>
      </c>
      <c r="C150" s="5">
        <v>1026</v>
      </c>
      <c r="D150" s="5">
        <v>1026</v>
      </c>
      <c r="E150" s="6">
        <v>0.99</v>
      </c>
      <c r="F150" s="5">
        <v>0</v>
      </c>
      <c r="G150" s="5">
        <v>62.55</v>
      </c>
      <c r="H150" s="5">
        <v>815</v>
      </c>
      <c r="I150" s="5" t="str">
        <f>HYPERLINK("https://www.ncbi.nlm.nih.gov/protein/WP_026371934.1?report=genbank&amp;log$=prottop&amp;blast_rank=154&amp;RID=7U875CNM013","WP_026371934.1")</f>
        <v>WP_026371934.1</v>
      </c>
      <c r="J150" s="5" t="s">
        <v>1727</v>
      </c>
    </row>
    <row r="151" spans="1:10" x14ac:dyDescent="0.2">
      <c r="A151" s="5" t="s">
        <v>2121</v>
      </c>
      <c r="B151" s="5" t="s">
        <v>2122</v>
      </c>
      <c r="C151" s="5">
        <v>1050</v>
      </c>
      <c r="D151" s="5">
        <v>1050</v>
      </c>
      <c r="E151" s="6">
        <v>0.99</v>
      </c>
      <c r="F151" s="5">
        <v>0</v>
      </c>
      <c r="G151" s="5">
        <v>62.53</v>
      </c>
      <c r="H151" s="5">
        <v>814</v>
      </c>
      <c r="I151" s="5" t="str">
        <f>HYPERLINK("https://www.ncbi.nlm.nih.gov/protein/WP_007533772.1?report=genbank&amp;log$=prottop&amp;blast_rank=164&amp;RID=7U875CNM013","WP_007533772.1")</f>
        <v>WP_007533772.1</v>
      </c>
      <c r="J151" s="5" t="s">
        <v>1727</v>
      </c>
    </row>
    <row r="152" spans="1:10" x14ac:dyDescent="0.2">
      <c r="A152" s="5" t="s">
        <v>2123</v>
      </c>
      <c r="B152" s="5" t="s">
        <v>2124</v>
      </c>
      <c r="C152" s="5">
        <v>1040</v>
      </c>
      <c r="D152" s="5">
        <v>1040</v>
      </c>
      <c r="E152" s="6">
        <v>0.99</v>
      </c>
      <c r="F152" s="5">
        <v>0</v>
      </c>
      <c r="G152" s="5">
        <v>62.53</v>
      </c>
      <c r="H152" s="5">
        <v>820</v>
      </c>
      <c r="I152" s="5" t="str">
        <f>HYPERLINK("https://www.ncbi.nlm.nih.gov/protein/WP_126921668.1?report=genbank&amp;log$=prottop&amp;blast_rank=167&amp;RID=7U875CNM013","WP_126921668.1")</f>
        <v>WP_126921668.1</v>
      </c>
      <c r="J152" s="5" t="s">
        <v>1727</v>
      </c>
    </row>
    <row r="153" spans="1:10" x14ac:dyDescent="0.2">
      <c r="A153" s="5" t="s">
        <v>2125</v>
      </c>
      <c r="B153" s="5" t="s">
        <v>2126</v>
      </c>
      <c r="C153" s="5">
        <v>1047</v>
      </c>
      <c r="D153" s="5">
        <v>1047</v>
      </c>
      <c r="E153" s="6">
        <v>0.99</v>
      </c>
      <c r="F153" s="5">
        <v>0</v>
      </c>
      <c r="G153" s="5">
        <v>62.52</v>
      </c>
      <c r="H153" s="5">
        <v>820</v>
      </c>
      <c r="I153" s="5" t="str">
        <f>HYPERLINK("https://www.ncbi.nlm.nih.gov/protein/WP_183808461.1?report=genbank&amp;log$=prottop&amp;blast_rank=172&amp;RID=7U875CNM013","WP_183808461.1")</f>
        <v>WP_183808461.1</v>
      </c>
      <c r="J153" s="5" t="s">
        <v>1727</v>
      </c>
    </row>
    <row r="154" spans="1:10" x14ac:dyDescent="0.2">
      <c r="A154" s="5" t="s">
        <v>2125</v>
      </c>
      <c r="B154" s="5" t="s">
        <v>2126</v>
      </c>
      <c r="C154" s="5">
        <v>1047</v>
      </c>
      <c r="D154" s="5">
        <v>1047</v>
      </c>
      <c r="E154" s="6">
        <v>0.99</v>
      </c>
      <c r="F154" s="5">
        <v>0</v>
      </c>
      <c r="G154" s="5">
        <v>62.52</v>
      </c>
      <c r="H154" s="5">
        <v>820</v>
      </c>
      <c r="I154" s="5" t="str">
        <f>HYPERLINK("https://www.ncbi.nlm.nih.gov/protein/WP_183808461.1?report=genbank&amp;log$=prottop&amp;blast_rank=172&amp;RID=7U875CNM013","WP_183808461.1")</f>
        <v>WP_183808461.1</v>
      </c>
      <c r="J154" s="5" t="s">
        <v>1727</v>
      </c>
    </row>
    <row r="155" spans="1:10" x14ac:dyDescent="0.2">
      <c r="A155" s="5" t="s">
        <v>1930</v>
      </c>
      <c r="B155" s="5" t="s">
        <v>1931</v>
      </c>
      <c r="C155" s="5">
        <v>1046</v>
      </c>
      <c r="D155" s="5">
        <v>1046</v>
      </c>
      <c r="E155" s="6">
        <v>0.99</v>
      </c>
      <c r="F155" s="5">
        <v>0</v>
      </c>
      <c r="G155" s="5">
        <v>62.52</v>
      </c>
      <c r="H155" s="5">
        <v>820</v>
      </c>
      <c r="I155" s="5" t="str">
        <f>HYPERLINK("https://www.ncbi.nlm.nih.gov/protein/WP_014528391.1?report=genbank&amp;log$=prottop&amp;blast_rank=173&amp;RID=7U875CNM013","WP_014528391.1")</f>
        <v>WP_014528391.1</v>
      </c>
      <c r="J155" s="5" t="s">
        <v>2101</v>
      </c>
    </row>
    <row r="156" spans="1:10" x14ac:dyDescent="0.2">
      <c r="A156" s="5" t="s">
        <v>2087</v>
      </c>
      <c r="B156" s="5" t="s">
        <v>1931</v>
      </c>
      <c r="C156" s="5">
        <v>1045</v>
      </c>
      <c r="D156" s="5">
        <v>1045</v>
      </c>
      <c r="E156" s="6">
        <v>0.99</v>
      </c>
      <c r="F156" s="5">
        <v>0</v>
      </c>
      <c r="G156" s="5">
        <v>62.52</v>
      </c>
      <c r="H156" s="5">
        <v>812</v>
      </c>
      <c r="I156" s="5" t="str">
        <f>HYPERLINK("https://www.ncbi.nlm.nih.gov/protein/KKA13246.1?report=genbank&amp;log$=prottop&amp;blast_rank=175&amp;RID=7U875CNM013","KKA13246.1")</f>
        <v>KKA13246.1</v>
      </c>
      <c r="J156" s="5" t="s">
        <v>2101</v>
      </c>
    </row>
    <row r="157" spans="1:10" x14ac:dyDescent="0.2">
      <c r="A157" s="5" t="s">
        <v>2087</v>
      </c>
      <c r="B157" s="5" t="s">
        <v>1931</v>
      </c>
      <c r="C157" s="5">
        <v>1045</v>
      </c>
      <c r="D157" s="5">
        <v>1045</v>
      </c>
      <c r="E157" s="6">
        <v>0.99</v>
      </c>
      <c r="F157" s="5">
        <v>0</v>
      </c>
      <c r="G157" s="5">
        <v>62.52</v>
      </c>
      <c r="H157" s="5">
        <v>812</v>
      </c>
      <c r="I157" s="5" t="str">
        <f>HYPERLINK("https://www.ncbi.nlm.nih.gov/protein/AIM02309.1?report=genbank&amp;log$=prottop&amp;blast_rank=176&amp;RID=7U875CNM013","AIM02309.1")</f>
        <v>AIM02309.1</v>
      </c>
      <c r="J157" s="5" t="s">
        <v>2101</v>
      </c>
    </row>
    <row r="158" spans="1:10" x14ac:dyDescent="0.2">
      <c r="A158" s="5" t="s">
        <v>1930</v>
      </c>
      <c r="B158" s="5" t="s">
        <v>1931</v>
      </c>
      <c r="C158" s="5">
        <v>1045</v>
      </c>
      <c r="D158" s="5">
        <v>1045</v>
      </c>
      <c r="E158" s="6">
        <v>0.99</v>
      </c>
      <c r="F158" s="5">
        <v>0</v>
      </c>
      <c r="G158" s="5">
        <v>62.52</v>
      </c>
      <c r="H158" s="5">
        <v>820</v>
      </c>
      <c r="I158" s="5" t="str">
        <f>HYPERLINK("https://www.ncbi.nlm.nih.gov/protein/WP_080943860.1?report=genbank&amp;log$=prottop&amp;blast_rank=177&amp;RID=7U875CNM013","WP_080943860.1")</f>
        <v>WP_080943860.1</v>
      </c>
      <c r="J158" s="5" t="s">
        <v>2101</v>
      </c>
    </row>
    <row r="159" spans="1:10" x14ac:dyDescent="0.2">
      <c r="A159" s="5" t="s">
        <v>1930</v>
      </c>
      <c r="B159" s="5" t="s">
        <v>1931</v>
      </c>
      <c r="C159" s="5">
        <v>1045</v>
      </c>
      <c r="D159" s="5">
        <v>1045</v>
      </c>
      <c r="E159" s="6">
        <v>0.99</v>
      </c>
      <c r="F159" s="5">
        <v>0</v>
      </c>
      <c r="G159" s="5">
        <v>62.52</v>
      </c>
      <c r="H159" s="5">
        <v>820</v>
      </c>
      <c r="I159" s="5" t="str">
        <f>HYPERLINK("https://www.ncbi.nlm.nih.gov/protein/WP_014531863.1?report=genbank&amp;log$=prottop&amp;blast_rank=178&amp;RID=7U875CNM013","WP_014531863.1")</f>
        <v>WP_014531863.1</v>
      </c>
      <c r="J159" s="5" t="s">
        <v>2101</v>
      </c>
    </row>
    <row r="160" spans="1:10" x14ac:dyDescent="0.2">
      <c r="A160" s="5" t="s">
        <v>1930</v>
      </c>
      <c r="B160" s="5" t="s">
        <v>1931</v>
      </c>
      <c r="C160" s="5">
        <v>1044</v>
      </c>
      <c r="D160" s="5">
        <v>1044</v>
      </c>
      <c r="E160" s="6">
        <v>0.99</v>
      </c>
      <c r="F160" s="5">
        <v>0</v>
      </c>
      <c r="G160" s="5">
        <v>62.52</v>
      </c>
      <c r="H160" s="5">
        <v>820</v>
      </c>
      <c r="I160" s="5" t="str">
        <f>HYPERLINK("https://www.ncbi.nlm.nih.gov/protein/WP_015242520.1?report=genbank&amp;log$=prottop&amp;blast_rank=179&amp;RID=7U875CNM013","WP_015242520.1")</f>
        <v>WP_015242520.1</v>
      </c>
      <c r="J160" s="5" t="s">
        <v>2101</v>
      </c>
    </row>
    <row r="161" spans="1:10" x14ac:dyDescent="0.2">
      <c r="A161" s="5" t="s">
        <v>2127</v>
      </c>
      <c r="B161" s="5" t="s">
        <v>2128</v>
      </c>
      <c r="C161" s="5">
        <v>1041</v>
      </c>
      <c r="D161" s="5">
        <v>1041</v>
      </c>
      <c r="E161" s="6">
        <v>0.99</v>
      </c>
      <c r="F161" s="5">
        <v>0</v>
      </c>
      <c r="G161" s="5">
        <v>62.52</v>
      </c>
      <c r="H161" s="5">
        <v>820</v>
      </c>
      <c r="I161" s="5" t="str">
        <f>HYPERLINK("https://www.ncbi.nlm.nih.gov/protein/WP_007814611.1?report=genbank&amp;log$=prottop&amp;blast_rank=180&amp;RID=7U875CNM013","WP_007814611.1")</f>
        <v>WP_007814611.1</v>
      </c>
      <c r="J161" s="5" t="s">
        <v>1727</v>
      </c>
    </row>
    <row r="162" spans="1:10" x14ac:dyDescent="0.2">
      <c r="A162" s="5" t="s">
        <v>2136</v>
      </c>
      <c r="B162" s="5" t="s">
        <v>2137</v>
      </c>
      <c r="C162" s="5">
        <v>1031</v>
      </c>
      <c r="D162" s="5">
        <v>1031</v>
      </c>
      <c r="E162" s="6">
        <v>0.98</v>
      </c>
      <c r="F162" s="5">
        <v>0</v>
      </c>
      <c r="G162" s="5">
        <v>62.42</v>
      </c>
      <c r="H162" s="5">
        <v>820</v>
      </c>
      <c r="I162" s="5" t="str">
        <f>HYPERLINK("https://www.ncbi.nlm.nih.gov/protein/WP_082336837.1?report=genbank&amp;log$=prottop&amp;blast_rank=60&amp;RID=7U875CNM013","WP_082336837.1")</f>
        <v>WP_082336837.1</v>
      </c>
      <c r="J162" s="5" t="s">
        <v>2138</v>
      </c>
    </row>
    <row r="163" spans="1:10" x14ac:dyDescent="0.2">
      <c r="A163" s="5" t="s">
        <v>2139</v>
      </c>
      <c r="B163" s="5" t="s">
        <v>1886</v>
      </c>
      <c r="C163" s="5">
        <v>1035</v>
      </c>
      <c r="D163" s="5">
        <v>1035</v>
      </c>
      <c r="E163" s="6">
        <v>0.99</v>
      </c>
      <c r="F163" s="5">
        <v>0</v>
      </c>
      <c r="G163" s="5">
        <v>62.41</v>
      </c>
      <c r="H163" s="5">
        <v>820</v>
      </c>
      <c r="I163" s="5" t="str">
        <f>HYPERLINK("https://www.ncbi.nlm.nih.gov/protein/WP_168301398.1?report=genbank&amp;log$=prottop&amp;blast_rank=62&amp;RID=7U875CNM013","WP_168301398.1")</f>
        <v>WP_168301398.1</v>
      </c>
      <c r="J163" s="5" t="s">
        <v>2140</v>
      </c>
    </row>
    <row r="164" spans="1:10" x14ac:dyDescent="0.2">
      <c r="A164" s="5" t="s">
        <v>2026</v>
      </c>
      <c r="B164" s="5" t="s">
        <v>2027</v>
      </c>
      <c r="C164" s="5">
        <v>1043</v>
      </c>
      <c r="D164" s="5">
        <v>1043</v>
      </c>
      <c r="E164" s="6">
        <v>0.99</v>
      </c>
      <c r="F164" s="5">
        <v>0</v>
      </c>
      <c r="G164" s="5">
        <v>62.39</v>
      </c>
      <c r="H164" s="5">
        <v>820</v>
      </c>
      <c r="I164" s="5" t="str">
        <f>HYPERLINK("https://www.ncbi.nlm.nih.gov/protein/WP_132655862.1?report=genbank&amp;log$=prottop&amp;blast_rank=71&amp;RID=7U875CNM013","WP_132655862.1")</f>
        <v>WP_132655862.1</v>
      </c>
      <c r="J164" s="5" t="s">
        <v>2140</v>
      </c>
    </row>
    <row r="165" spans="1:10" x14ac:dyDescent="0.2">
      <c r="A165" s="5" t="s">
        <v>1930</v>
      </c>
      <c r="B165" s="5" t="s">
        <v>1931</v>
      </c>
      <c r="C165" s="5">
        <v>1043</v>
      </c>
      <c r="D165" s="5">
        <v>1043</v>
      </c>
      <c r="E165" s="6">
        <v>0.99</v>
      </c>
      <c r="F165" s="5">
        <v>0</v>
      </c>
      <c r="G165" s="5">
        <v>62.39</v>
      </c>
      <c r="H165" s="5">
        <v>820</v>
      </c>
      <c r="I165" s="5" t="str">
        <f>HYPERLINK("https://www.ncbi.nlm.nih.gov/protein/WP_088200130.1?report=genbank&amp;log$=prottop&amp;blast_rank=72&amp;RID=7U875CNM013","WP_088200130.1")</f>
        <v>WP_088200130.1</v>
      </c>
      <c r="J165" s="5" t="s">
        <v>2141</v>
      </c>
    </row>
    <row r="166" spans="1:10" x14ac:dyDescent="0.2">
      <c r="A166" s="5" t="s">
        <v>2151</v>
      </c>
      <c r="B166" s="5" t="s">
        <v>2152</v>
      </c>
      <c r="C166" s="5">
        <v>1040</v>
      </c>
      <c r="D166" s="5">
        <v>1040</v>
      </c>
      <c r="E166" s="6">
        <v>0.98</v>
      </c>
      <c r="F166" s="5">
        <v>0</v>
      </c>
      <c r="G166" s="5">
        <v>62.28</v>
      </c>
      <c r="H166" s="5">
        <v>816</v>
      </c>
      <c r="I166" s="5" t="str">
        <f>HYPERLINK("https://www.ncbi.nlm.nih.gov/protein/WP_120705637.1?report=genbank&amp;log$=prottop&amp;blast_rank=142&amp;RID=7U875CNM013","WP_120705637.1")</f>
        <v>WP_120705637.1</v>
      </c>
      <c r="J166" s="5" t="s">
        <v>2153</v>
      </c>
    </row>
    <row r="167" spans="1:10" x14ac:dyDescent="0.2">
      <c r="A167" s="5" t="s">
        <v>2094</v>
      </c>
      <c r="B167" s="5" t="s">
        <v>2095</v>
      </c>
      <c r="C167" s="5">
        <v>1040</v>
      </c>
      <c r="D167" s="5">
        <v>1040</v>
      </c>
      <c r="E167" s="6">
        <v>0.99</v>
      </c>
      <c r="F167" s="5">
        <v>0</v>
      </c>
      <c r="G167" s="5">
        <v>62.05</v>
      </c>
      <c r="H167" s="5">
        <v>815</v>
      </c>
      <c r="I167" s="5" t="str">
        <f>HYPERLINK("https://www.ncbi.nlm.nih.gov/protein/WP_114713463.1?report=genbank&amp;log$=prottop&amp;blast_rank=121&amp;RID=7U875CNM013","WP_114713463.1")</f>
        <v>WP_114713463.1</v>
      </c>
      <c r="J167" s="5" t="s">
        <v>2156</v>
      </c>
    </row>
    <row r="168" spans="1:10" x14ac:dyDescent="0.2">
      <c r="A168" s="5" t="s">
        <v>2161</v>
      </c>
      <c r="B168" s="5" t="s">
        <v>2162</v>
      </c>
      <c r="C168" s="5">
        <v>1042</v>
      </c>
      <c r="D168" s="5">
        <v>1042</v>
      </c>
      <c r="E168" s="6">
        <v>0.99</v>
      </c>
      <c r="F168" s="5">
        <v>0</v>
      </c>
      <c r="G168" s="5">
        <v>61.96</v>
      </c>
      <c r="H168" s="5">
        <v>820</v>
      </c>
      <c r="I168" s="5" t="str">
        <f>HYPERLINK("https://www.ncbi.nlm.nih.gov/protein/WP_018325826.1?report=genbank&amp;log$=prottop&amp;blast_rank=15&amp;RID=7U875CNM013","WP_018325826.1")</f>
        <v>WP_018325826.1</v>
      </c>
      <c r="J168" s="5" t="s">
        <v>2156</v>
      </c>
    </row>
    <row r="169" spans="1:10" x14ac:dyDescent="0.2">
      <c r="A169" s="5" t="s">
        <v>2094</v>
      </c>
      <c r="B169" s="5" t="s">
        <v>2095</v>
      </c>
      <c r="C169" s="5">
        <v>1039</v>
      </c>
      <c r="D169" s="5">
        <v>1039</v>
      </c>
      <c r="E169" s="6">
        <v>0.99</v>
      </c>
      <c r="F169" s="5">
        <v>0</v>
      </c>
      <c r="G169" s="5">
        <v>61.92</v>
      </c>
      <c r="H169" s="5">
        <v>815</v>
      </c>
      <c r="I169" s="5" t="str">
        <f>HYPERLINK("https://www.ncbi.nlm.nih.gov/protein/WP_016554841.1?report=genbank&amp;log$=prottop&amp;blast_rank=36&amp;RID=7U875CNM013","WP_016554841.1")</f>
        <v>WP_016554841.1</v>
      </c>
      <c r="J169" s="5" t="s">
        <v>2156</v>
      </c>
    </row>
    <row r="170" spans="1:10" x14ac:dyDescent="0.2">
      <c r="A170" s="5" t="s">
        <v>2094</v>
      </c>
      <c r="B170" s="5" t="s">
        <v>2095</v>
      </c>
      <c r="C170" s="5">
        <v>1039</v>
      </c>
      <c r="D170" s="5">
        <v>1039</v>
      </c>
      <c r="E170" s="6">
        <v>0.99</v>
      </c>
      <c r="F170" s="5">
        <v>0</v>
      </c>
      <c r="G170" s="5">
        <v>61.8</v>
      </c>
      <c r="H170" s="5">
        <v>815</v>
      </c>
      <c r="I170" s="5" t="str">
        <f>HYPERLINK("https://www.ncbi.nlm.nih.gov/protein/WP_051158753.1?report=genbank&amp;log$=prottop&amp;blast_rank=109&amp;RID=7U875CNM013","WP_051158753.1")</f>
        <v>WP_051158753.1</v>
      </c>
      <c r="J170" s="5" t="s">
        <v>2156</v>
      </c>
    </row>
    <row r="171" spans="1:10" s="4" customFormat="1" x14ac:dyDescent="0.2">
      <c r="A171" s="1" t="s">
        <v>1648</v>
      </c>
      <c r="B171" s="1" t="s">
        <v>1649</v>
      </c>
      <c r="C171" s="1">
        <v>1184</v>
      </c>
      <c r="D171" s="1">
        <v>1184</v>
      </c>
      <c r="E171" s="2">
        <v>0.99</v>
      </c>
      <c r="F171" s="1">
        <v>0</v>
      </c>
      <c r="G171" s="1">
        <v>70.58</v>
      </c>
      <c r="H171" s="1">
        <v>798</v>
      </c>
      <c r="I171" s="36" t="str">
        <f>HYPERLINK("https://www.ncbi.nlm.nih.gov/protein/WP_062635077.1?report=genbank&amp;log$=prottop&amp;blast_rank=64&amp;RID=7U875CNM013","WP_062635077.1")</f>
        <v>WP_062635077.1</v>
      </c>
      <c r="J171" s="1" t="s">
        <v>1650</v>
      </c>
    </row>
    <row r="172" spans="1:10" s="4" customFormat="1" x14ac:dyDescent="0.2">
      <c r="A172" s="1" t="s">
        <v>1648</v>
      </c>
      <c r="B172" s="1" t="s">
        <v>1649</v>
      </c>
      <c r="C172" s="1">
        <v>1182</v>
      </c>
      <c r="D172" s="1">
        <v>1182</v>
      </c>
      <c r="E172" s="2">
        <v>0.99</v>
      </c>
      <c r="F172" s="1">
        <v>0</v>
      </c>
      <c r="G172" s="1">
        <v>70.58</v>
      </c>
      <c r="H172" s="1">
        <v>798</v>
      </c>
      <c r="I172" s="1" t="str">
        <f>HYPERLINK("https://www.ncbi.nlm.nih.gov/protein/WP_097190463.1?report=genbank&amp;log$=prottop&amp;blast_rank=65&amp;RID=7U875CNM013","WP_097190463.1")</f>
        <v>WP_097190463.1</v>
      </c>
      <c r="J172" s="5" t="s">
        <v>1650</v>
      </c>
    </row>
    <row r="173" spans="1:10" s="4" customFormat="1" x14ac:dyDescent="0.2">
      <c r="A173" s="1" t="s">
        <v>3372</v>
      </c>
      <c r="B173" s="1" t="s">
        <v>3373</v>
      </c>
      <c r="C173" s="1">
        <v>1167</v>
      </c>
      <c r="D173" s="1">
        <v>1167</v>
      </c>
      <c r="E173" s="2">
        <v>0.98</v>
      </c>
      <c r="F173" s="1">
        <v>0</v>
      </c>
      <c r="G173" s="1">
        <v>70.55</v>
      </c>
      <c r="H173" s="1">
        <v>798</v>
      </c>
      <c r="I173" s="1" t="str">
        <f>HYPERLINK("https://www.ncbi.nlm.nih.gov/protein/WP_061176297.1?report=genbank&amp;log$=prottop&amp;blast_rank=68&amp;RID=7U875CNM013","WP_061176297.1")</f>
        <v>WP_061176297.1</v>
      </c>
      <c r="J173" s="5" t="s">
        <v>1650</v>
      </c>
    </row>
    <row r="174" spans="1:10" s="7" customFormat="1" ht="17" customHeight="1" x14ac:dyDescent="0.2">
      <c r="A174" s="5" t="s">
        <v>1930</v>
      </c>
      <c r="B174" s="5" t="s">
        <v>1931</v>
      </c>
      <c r="C174" s="5">
        <v>1040</v>
      </c>
      <c r="D174" s="5">
        <v>1040</v>
      </c>
      <c r="E174" s="6">
        <v>0.99</v>
      </c>
      <c r="F174" s="5">
        <v>0</v>
      </c>
      <c r="G174" s="5">
        <v>62.81</v>
      </c>
      <c r="H174" s="5">
        <v>817</v>
      </c>
      <c r="I174" s="5" t="str">
        <f>HYPERLINK("https://www.ncbi.nlm.nih.gov/protein/WP_027990579.1?report=genbank&amp;log$=prottop&amp;blast_rank=82&amp;RID=7U875CNM013","WP_027990579.1")</f>
        <v>WP_027990579.1</v>
      </c>
      <c r="J174" s="5" t="s">
        <v>1720</v>
      </c>
    </row>
    <row r="175" spans="1:10" s="7" customFormat="1" x14ac:dyDescent="0.2">
      <c r="A175" s="5" t="s">
        <v>1930</v>
      </c>
      <c r="B175" s="5" t="s">
        <v>1931</v>
      </c>
      <c r="C175" s="5">
        <v>1039</v>
      </c>
      <c r="D175" s="5">
        <v>1039</v>
      </c>
      <c r="E175" s="6">
        <v>0.99</v>
      </c>
      <c r="F175" s="5">
        <v>0</v>
      </c>
      <c r="G175" s="5">
        <v>62.81</v>
      </c>
      <c r="H175" s="5">
        <v>817</v>
      </c>
      <c r="I175" s="35" t="str">
        <f>HYPERLINK("https://www.ncbi.nlm.nih.gov/protein/WP_127597163.1?report=genbank&amp;log$=prottop&amp;blast_rank=83&amp;RID=7U875CNM013","WP_127597163.1")</f>
        <v>WP_127597163.1</v>
      </c>
      <c r="J175" s="5" t="s">
        <v>1720</v>
      </c>
    </row>
    <row r="176" spans="1:10" s="7" customFormat="1" x14ac:dyDescent="0.2">
      <c r="A176" s="5" t="s">
        <v>1930</v>
      </c>
      <c r="B176" s="5" t="s">
        <v>1931</v>
      </c>
      <c r="C176" s="5">
        <v>1037</v>
      </c>
      <c r="D176" s="5">
        <v>1037</v>
      </c>
      <c r="E176" s="6">
        <v>0.99</v>
      </c>
      <c r="F176" s="5">
        <v>0</v>
      </c>
      <c r="G176" s="5">
        <v>62.81</v>
      </c>
      <c r="H176" s="5">
        <v>817</v>
      </c>
      <c r="I176" s="5" t="str">
        <f>HYPERLINK("https://www.ncbi.nlm.nih.gov/protein/WP_127528789.1?report=genbank&amp;log$=prottop&amp;blast_rank=84&amp;RID=7U875CNM013","WP_127528789.1")</f>
        <v>WP_127528789.1</v>
      </c>
      <c r="J176" s="5" t="s">
        <v>1720</v>
      </c>
    </row>
    <row r="177" spans="1:10" s="4" customFormat="1" x14ac:dyDescent="0.2">
      <c r="A177" s="1" t="s">
        <v>3386</v>
      </c>
      <c r="B177" s="1" t="s">
        <v>3387</v>
      </c>
      <c r="C177" s="1">
        <v>1164</v>
      </c>
      <c r="D177" s="1">
        <v>1164</v>
      </c>
      <c r="E177" s="2">
        <v>0.98</v>
      </c>
      <c r="F177" s="1">
        <v>0</v>
      </c>
      <c r="G177" s="1">
        <v>70.48</v>
      </c>
      <c r="H177" s="1">
        <v>798</v>
      </c>
      <c r="I177" s="1" t="str">
        <f>HYPERLINK("https://www.ncbi.nlm.nih.gov/protein/WP_187608003.1?report=genbank&amp;log$=prottop&amp;blast_rank=84&amp;RID=7U875CNM013","WP_187608003.1")</f>
        <v>WP_187608003.1</v>
      </c>
      <c r="J177" s="1" t="s">
        <v>2134</v>
      </c>
    </row>
    <row r="178" spans="1:10" s="4" customFormat="1" x14ac:dyDescent="0.2">
      <c r="A178" s="1" t="s">
        <v>3404</v>
      </c>
      <c r="B178" s="1" t="s">
        <v>3405</v>
      </c>
      <c r="C178" s="1">
        <v>1158</v>
      </c>
      <c r="D178" s="1">
        <v>1158</v>
      </c>
      <c r="E178" s="2">
        <v>0.99</v>
      </c>
      <c r="F178" s="1">
        <v>0</v>
      </c>
      <c r="G178" s="1">
        <v>70.25</v>
      </c>
      <c r="H178" s="1">
        <v>798</v>
      </c>
      <c r="I178" s="1" t="str">
        <f>HYPERLINK("https://www.ncbi.nlm.nih.gov/protein/WP_008352857.1?report=genbank&amp;log$=prottop&amp;blast_rank=131&amp;RID=7U875CNM013","WP_008352857.1")</f>
        <v>WP_008352857.1</v>
      </c>
      <c r="J178" s="5" t="s">
        <v>1650</v>
      </c>
    </row>
    <row r="179" spans="1:10" s="4" customFormat="1" x14ac:dyDescent="0.2">
      <c r="A179" s="1" t="s">
        <v>3419</v>
      </c>
      <c r="B179" s="1" t="s">
        <v>3420</v>
      </c>
      <c r="C179" s="1">
        <v>1178</v>
      </c>
      <c r="D179" s="1">
        <v>1178</v>
      </c>
      <c r="E179" s="2">
        <v>0.99</v>
      </c>
      <c r="F179" s="1">
        <v>0</v>
      </c>
      <c r="G179" s="1">
        <v>70.150000000000006</v>
      </c>
      <c r="H179" s="1">
        <v>798</v>
      </c>
      <c r="I179" s="1" t="str">
        <f>HYPERLINK("https://www.ncbi.nlm.nih.gov/protein/WP_087043076.1?report=genbank&amp;log$=prottop&amp;blast_rank=158&amp;RID=7U875CNM013","WP_087043076.1")</f>
        <v>WP_087043076.1</v>
      </c>
      <c r="J179" s="5" t="s">
        <v>3421</v>
      </c>
    </row>
    <row r="180" spans="1:10" s="4" customFormat="1" x14ac:dyDescent="0.2">
      <c r="A180" s="1" t="s">
        <v>3422</v>
      </c>
      <c r="B180" s="1" t="s">
        <v>3423</v>
      </c>
      <c r="C180" s="1">
        <v>1171</v>
      </c>
      <c r="D180" s="1">
        <v>1171</v>
      </c>
      <c r="E180" s="2">
        <v>0.99</v>
      </c>
      <c r="F180" s="1">
        <v>0</v>
      </c>
      <c r="G180" s="1">
        <v>70.13</v>
      </c>
      <c r="H180" s="1">
        <v>798</v>
      </c>
      <c r="I180" s="1" t="str">
        <f>HYPERLINK("https://www.ncbi.nlm.nih.gov/protein/WP_061148599.1?report=genbank&amp;log$=prottop&amp;blast_rank=160&amp;RID=7U875CNM013","WP_061148599.1")</f>
        <v>WP_061148599.1</v>
      </c>
      <c r="J180" s="1" t="s">
        <v>2134</v>
      </c>
    </row>
    <row r="181" spans="1:10" s="4" customFormat="1" x14ac:dyDescent="0.2">
      <c r="A181" s="1" t="s">
        <v>3424</v>
      </c>
      <c r="B181" s="1" t="s">
        <v>3425</v>
      </c>
      <c r="C181" s="1">
        <v>1170</v>
      </c>
      <c r="D181" s="1">
        <v>1170</v>
      </c>
      <c r="E181" s="2">
        <v>0.99</v>
      </c>
      <c r="F181" s="1">
        <v>0</v>
      </c>
      <c r="G181" s="1">
        <v>70.13</v>
      </c>
      <c r="H181" s="1">
        <v>798</v>
      </c>
      <c r="I181" s="1" t="str">
        <f>HYPERLINK("https://www.ncbi.nlm.nih.gov/protein/WP_061124961.1?report=genbank&amp;log$=prottop&amp;blast_rank=161&amp;RID=7U875CNM013","WP_061124961.1")</f>
        <v>WP_061124961.1</v>
      </c>
      <c r="J181" s="1" t="s">
        <v>2134</v>
      </c>
    </row>
    <row r="182" spans="1:10" s="4" customFormat="1" x14ac:dyDescent="0.2">
      <c r="A182" s="1" t="s">
        <v>3426</v>
      </c>
      <c r="B182" s="1" t="s">
        <v>3427</v>
      </c>
      <c r="C182" s="1">
        <v>1164</v>
      </c>
      <c r="D182" s="1">
        <v>1164</v>
      </c>
      <c r="E182" s="2">
        <v>0.98</v>
      </c>
      <c r="F182" s="1">
        <v>0</v>
      </c>
      <c r="G182" s="1">
        <v>70.099999999999994</v>
      </c>
      <c r="H182" s="1">
        <v>798</v>
      </c>
      <c r="I182" s="1" t="str">
        <f>HYPERLINK("https://www.ncbi.nlm.nih.gov/protein/KAK44301.1?report=genbank&amp;log$=prottop&amp;blast_rank=172&amp;RID=7U875CNM013","KAK44301.1")</f>
        <v>KAK44301.1</v>
      </c>
      <c r="J182" s="1" t="s">
        <v>2134</v>
      </c>
    </row>
    <row r="183" spans="1:10" s="1" customFormat="1" x14ac:dyDescent="0.2">
      <c r="A183" s="1" t="s">
        <v>3324</v>
      </c>
      <c r="B183" s="1" t="s">
        <v>3325</v>
      </c>
      <c r="C183" s="1">
        <v>1182</v>
      </c>
      <c r="D183" s="1">
        <v>1182</v>
      </c>
      <c r="E183" s="2">
        <v>0.98</v>
      </c>
      <c r="F183" s="1">
        <v>0</v>
      </c>
      <c r="G183" s="1">
        <v>71.08</v>
      </c>
      <c r="H183" s="1">
        <v>798</v>
      </c>
      <c r="I183" s="1" t="str">
        <f>HYPERLINK("https://www.ncbi.nlm.nih.gov/protein/SAL16909.1?report=genbank&amp;log$=prottop&amp;blast_rank=97&amp;RID=7U875CNM013","SAL16909.1")</f>
        <v>SAL16909.1</v>
      </c>
      <c r="J183" s="5" t="s">
        <v>3326</v>
      </c>
    </row>
    <row r="184" spans="1:10" s="4" customFormat="1" x14ac:dyDescent="0.2">
      <c r="A184" s="1" t="s">
        <v>3339</v>
      </c>
      <c r="B184" s="1" t="s">
        <v>3340</v>
      </c>
      <c r="C184" s="1">
        <v>1183</v>
      </c>
      <c r="D184" s="1">
        <v>1183</v>
      </c>
      <c r="E184" s="2">
        <v>0.99</v>
      </c>
      <c r="F184" s="1">
        <v>0</v>
      </c>
      <c r="G184" s="1">
        <v>70.849999999999994</v>
      </c>
      <c r="H184" s="1">
        <v>798</v>
      </c>
      <c r="I184" s="1" t="str">
        <f>HYPERLINK("https://www.ncbi.nlm.nih.gov/protein/WP_176332787.1?report=genbank&amp;log$=prottop&amp;blast_rank=20&amp;RID=7U875CNM013","WP_176332787.1")</f>
        <v>WP_176332787.1</v>
      </c>
      <c r="J184" s="1" t="s">
        <v>2134</v>
      </c>
    </row>
    <row r="185" spans="1:10" s="4" customFormat="1" x14ac:dyDescent="0.2">
      <c r="A185" s="1" t="s">
        <v>3394</v>
      </c>
      <c r="B185" s="1" t="s">
        <v>3395</v>
      </c>
      <c r="C185" s="1">
        <v>1180</v>
      </c>
      <c r="D185" s="1">
        <v>1180</v>
      </c>
      <c r="E185" s="2">
        <v>0.99</v>
      </c>
      <c r="F185" s="1">
        <v>0</v>
      </c>
      <c r="G185" s="1">
        <v>70.400000000000006</v>
      </c>
      <c r="H185" s="1">
        <v>798</v>
      </c>
      <c r="I185" s="1" t="str">
        <f>HYPERLINK("https://www.ncbi.nlm.nih.gov/protein/KXV16110.1?report=genbank&amp;log$=prottop&amp;blast_rank=102&amp;RID=7U875CNM013","KXV16110.1")</f>
        <v>KXV16110.1</v>
      </c>
      <c r="J185" s="1" t="s">
        <v>2134</v>
      </c>
    </row>
    <row r="186" spans="1:10" s="4" customFormat="1" x14ac:dyDescent="0.2">
      <c r="A186" s="1" t="s">
        <v>3400</v>
      </c>
      <c r="B186" s="1" t="s">
        <v>3401</v>
      </c>
      <c r="C186" s="1">
        <v>1174</v>
      </c>
      <c r="D186" s="1">
        <v>1174</v>
      </c>
      <c r="E186" s="2">
        <v>0.99</v>
      </c>
      <c r="F186" s="1">
        <v>0</v>
      </c>
      <c r="G186" s="1">
        <v>70.38</v>
      </c>
      <c r="H186" s="1">
        <v>798</v>
      </c>
      <c r="I186" s="1" t="str">
        <f>HYPERLINK("https://www.ncbi.nlm.nih.gov/protein/WP_053569033.1?report=genbank&amp;log$=prottop&amp;blast_rank=106&amp;RID=7U875CNM013","WP_053569033.1")</f>
        <v>WP_053569033.1</v>
      </c>
      <c r="J186" s="1" t="s">
        <v>2134</v>
      </c>
    </row>
    <row r="187" spans="1:10" s="7" customFormat="1" x14ac:dyDescent="0.2">
      <c r="A187" s="5" t="s">
        <v>3472</v>
      </c>
      <c r="B187" s="5" t="s">
        <v>3473</v>
      </c>
      <c r="C187" s="5">
        <v>1159</v>
      </c>
      <c r="D187" s="5">
        <v>1159</v>
      </c>
      <c r="E187" s="6">
        <v>0.99</v>
      </c>
      <c r="F187" s="5">
        <v>0</v>
      </c>
      <c r="G187" s="5">
        <v>69.75</v>
      </c>
      <c r="H187" s="5">
        <v>798</v>
      </c>
      <c r="I187" s="5" t="str">
        <f>HYPERLINK("https://www.ncbi.nlm.nih.gov/protein/WP_061169687.1?report=genbank&amp;log$=prottop&amp;blast_rank=65&amp;RID=7U875CNM013","WP_061169687.1")</f>
        <v>WP_061169687.1</v>
      </c>
      <c r="J187" s="5" t="s">
        <v>2134</v>
      </c>
    </row>
    <row r="188" spans="1:10" s="7" customFormat="1" x14ac:dyDescent="0.2">
      <c r="A188" s="5" t="s">
        <v>3474</v>
      </c>
      <c r="B188" s="5" t="s">
        <v>3475</v>
      </c>
      <c r="C188" s="5">
        <v>1154</v>
      </c>
      <c r="D188" s="5">
        <v>1154</v>
      </c>
      <c r="E188" s="6">
        <v>0.99</v>
      </c>
      <c r="F188" s="5">
        <v>0</v>
      </c>
      <c r="G188" s="5">
        <v>69.75</v>
      </c>
      <c r="H188" s="5">
        <v>798</v>
      </c>
      <c r="I188" s="5" t="str">
        <f>HYPERLINK("https://www.ncbi.nlm.nih.gov/protein/WP_061164899.1?report=genbank&amp;log$=prottop&amp;blast_rank=66&amp;RID=7U875CNM013","WP_061164899.1")</f>
        <v>WP_061164899.1</v>
      </c>
      <c r="J188" s="5" t="s">
        <v>2134</v>
      </c>
    </row>
    <row r="189" spans="1:10" s="7" customFormat="1" x14ac:dyDescent="0.2">
      <c r="A189" s="5" t="s">
        <v>1683</v>
      </c>
      <c r="B189" s="5" t="s">
        <v>1684</v>
      </c>
      <c r="C189" s="5">
        <v>1160</v>
      </c>
      <c r="D189" s="5">
        <v>1160</v>
      </c>
      <c r="E189" s="6">
        <v>0.98</v>
      </c>
      <c r="F189" s="5">
        <v>0</v>
      </c>
      <c r="G189" s="5">
        <v>69.569999999999993</v>
      </c>
      <c r="H189" s="5">
        <v>795</v>
      </c>
      <c r="I189" s="5" t="str">
        <f>HYPERLINK("https://www.ncbi.nlm.nih.gov/protein/WP_089163222.1?report=genbank&amp;log$=prottop&amp;blast_rank=121&amp;RID=7U875CNM013","WP_089163222.1")</f>
        <v>WP_089163222.1</v>
      </c>
      <c r="J189" s="5" t="s">
        <v>1685</v>
      </c>
    </row>
    <row r="190" spans="1:10" s="7" customFormat="1" x14ac:dyDescent="0.2">
      <c r="A190" s="5" t="s">
        <v>4170</v>
      </c>
      <c r="B190" s="5" t="s">
        <v>4171</v>
      </c>
      <c r="C190" s="5">
        <v>1047</v>
      </c>
      <c r="D190" s="5">
        <v>1047</v>
      </c>
      <c r="E190" s="6">
        <v>0.99</v>
      </c>
      <c r="F190" s="5">
        <v>0</v>
      </c>
      <c r="G190" s="5">
        <v>62.77</v>
      </c>
      <c r="H190" s="5">
        <v>820</v>
      </c>
      <c r="I190" s="5" t="str">
        <f>HYPERLINK("https://www.ncbi.nlm.nih.gov/protein/WP_081664825.1?report=genbank&amp;log$=prottop&amp;blast_rank=118&amp;RID=7U875CNM013","WP_081664825.1")</f>
        <v>WP_081664825.1</v>
      </c>
      <c r="J190" s="5" t="s">
        <v>4172</v>
      </c>
    </row>
    <row r="191" spans="1:10" s="7" customFormat="1" x14ac:dyDescent="0.2">
      <c r="A191" s="5" t="s">
        <v>2089</v>
      </c>
      <c r="B191" s="5" t="s">
        <v>2090</v>
      </c>
      <c r="C191" s="5">
        <v>1046</v>
      </c>
      <c r="D191" s="5">
        <v>1046</v>
      </c>
      <c r="E191" s="6">
        <v>0.99</v>
      </c>
      <c r="F191" s="5">
        <v>0</v>
      </c>
      <c r="G191" s="5">
        <v>62.77</v>
      </c>
      <c r="H191" s="5">
        <v>820</v>
      </c>
      <c r="I191" s="5" t="str">
        <f>HYPERLINK("https://www.ncbi.nlm.nih.gov/protein/WP_018209289.1?report=genbank&amp;log$=prottop&amp;blast_rank=119&amp;RID=7U875CNM013","WP_018209289.1")</f>
        <v>WP_018209289.1</v>
      </c>
      <c r="J191" s="5" t="s">
        <v>4172</v>
      </c>
    </row>
    <row r="192" spans="1:10" s="7" customFormat="1" x14ac:dyDescent="0.2">
      <c r="A192" s="5" t="s">
        <v>1909</v>
      </c>
      <c r="B192" s="5" t="s">
        <v>1910</v>
      </c>
      <c r="C192" s="5">
        <v>1044</v>
      </c>
      <c r="D192" s="5">
        <v>1044</v>
      </c>
      <c r="E192" s="6">
        <v>0.99</v>
      </c>
      <c r="F192" s="5">
        <v>0</v>
      </c>
      <c r="G192" s="5">
        <v>62.77</v>
      </c>
      <c r="H192" s="5">
        <v>818</v>
      </c>
      <c r="I192" s="5" t="str">
        <f>HYPERLINK("https://www.ncbi.nlm.nih.gov/protein/WP_104839357.1?report=genbank&amp;log$=prottop&amp;blast_rank=121&amp;RID=7U875CNM013","WP_104839357.1")</f>
        <v>WP_104839357.1</v>
      </c>
      <c r="J192" s="5" t="s">
        <v>4172</v>
      </c>
    </row>
    <row r="193" spans="1:10" s="7" customFormat="1" x14ac:dyDescent="0.2">
      <c r="A193" s="5" t="s">
        <v>4173</v>
      </c>
      <c r="B193" s="5" t="s">
        <v>4174</v>
      </c>
      <c r="C193" s="5">
        <v>1044</v>
      </c>
      <c r="D193" s="5">
        <v>1044</v>
      </c>
      <c r="E193" s="6">
        <v>0.99</v>
      </c>
      <c r="F193" s="5">
        <v>0</v>
      </c>
      <c r="G193" s="5">
        <v>62.77</v>
      </c>
      <c r="H193" s="5">
        <v>818</v>
      </c>
      <c r="I193" s="5" t="str">
        <f>HYPERLINK("https://www.ncbi.nlm.nih.gov/protein/WP_086022788.1?report=genbank&amp;log$=prottop&amp;blast_rank=122&amp;RID=7U875CNM013","WP_086022788.1")</f>
        <v>WP_086022788.1</v>
      </c>
      <c r="J193" s="5" t="s">
        <v>4172</v>
      </c>
    </row>
    <row r="194" spans="1:10" x14ac:dyDescent="0.2">
      <c r="A194" s="5" t="s">
        <v>1930</v>
      </c>
      <c r="B194" s="5" t="s">
        <v>1931</v>
      </c>
      <c r="C194" s="5">
        <v>1046</v>
      </c>
      <c r="D194" s="5">
        <v>1046</v>
      </c>
      <c r="E194" s="6">
        <v>0.99</v>
      </c>
      <c r="F194" s="5">
        <v>0</v>
      </c>
      <c r="G194" s="5">
        <v>62.64</v>
      </c>
      <c r="H194" s="5">
        <v>820</v>
      </c>
      <c r="I194" s="35" t="str">
        <f>HYPERLINK("https://www.ncbi.nlm.nih.gov/protein/'Nitrogen-fixation bacteria'!I:I?report=genbank&amp;log$=prottop&amp;blast_rank=26&amp;RID=7U875CNM013","QND34585.1")</f>
        <v>QND34585.1</v>
      </c>
      <c r="J194" s="5" t="s">
        <v>1720</v>
      </c>
    </row>
    <row r="195" spans="1:10" x14ac:dyDescent="0.2">
      <c r="A195" s="5" t="s">
        <v>1930</v>
      </c>
      <c r="B195" s="5" t="s">
        <v>1931</v>
      </c>
      <c r="C195" s="5">
        <v>1046</v>
      </c>
      <c r="D195" s="5">
        <v>1046</v>
      </c>
      <c r="E195" s="6">
        <v>0.99</v>
      </c>
      <c r="F195" s="5">
        <v>0</v>
      </c>
      <c r="G195" s="5">
        <v>62.64</v>
      </c>
      <c r="H195" s="5">
        <v>820</v>
      </c>
      <c r="I195" s="5" t="str">
        <f>HYPERLINK("https://www.ncbi.nlm.nih.gov/protein/WP_127664627.1?report=genbank&amp;log$=prottop&amp;blast_rank=27&amp;RID=7U875CNM013","WP_127664627.1")</f>
        <v>WP_127664627.1</v>
      </c>
      <c r="J195" s="5" t="s">
        <v>1720</v>
      </c>
    </row>
    <row r="196" spans="1:10" x14ac:dyDescent="0.2">
      <c r="A196" s="5" t="s">
        <v>4170</v>
      </c>
      <c r="B196" s="5" t="s">
        <v>4171</v>
      </c>
      <c r="C196" s="5">
        <v>1045</v>
      </c>
      <c r="D196" s="5">
        <v>1045</v>
      </c>
      <c r="E196" s="6">
        <v>0.99</v>
      </c>
      <c r="F196" s="5">
        <v>0</v>
      </c>
      <c r="G196" s="5">
        <v>62.64</v>
      </c>
      <c r="H196" s="5">
        <v>820</v>
      </c>
      <c r="I196" s="5" t="str">
        <f>HYPERLINK("https://www.ncbi.nlm.nih.gov/protein/WP_153493125.1?report=genbank&amp;log$=prottop&amp;blast_rank=28&amp;RID=7U875CNM013","WP_153493125.1")</f>
        <v>WP_153493125.1</v>
      </c>
      <c r="J196" s="5" t="s">
        <v>1720</v>
      </c>
    </row>
    <row r="197" spans="1:10" x14ac:dyDescent="0.2">
      <c r="A197" s="5" t="s">
        <v>4226</v>
      </c>
      <c r="B197" s="5" t="s">
        <v>2090</v>
      </c>
      <c r="C197" s="5">
        <v>1042</v>
      </c>
      <c r="D197" s="5">
        <v>1042</v>
      </c>
      <c r="E197" s="6">
        <v>0.99</v>
      </c>
      <c r="F197" s="5">
        <v>0</v>
      </c>
      <c r="G197" s="5">
        <v>62.64</v>
      </c>
      <c r="H197" s="5">
        <v>818</v>
      </c>
      <c r="I197" s="5" t="str">
        <f>HYPERLINK("https://www.ncbi.nlm.nih.gov/protein/WP_176536501.1?report=genbank&amp;log$=prottop&amp;blast_rank=29&amp;RID=7U875CNM013","WP_176536501.1")</f>
        <v>WP_176536501.1</v>
      </c>
      <c r="J197" s="5" t="s">
        <v>1720</v>
      </c>
    </row>
    <row r="198" spans="1:10" x14ac:dyDescent="0.2">
      <c r="A198" s="5" t="s">
        <v>4227</v>
      </c>
      <c r="B198" s="5" t="s">
        <v>4228</v>
      </c>
      <c r="C198" s="5">
        <v>1042</v>
      </c>
      <c r="D198" s="5">
        <v>1042</v>
      </c>
      <c r="E198" s="6">
        <v>0.99</v>
      </c>
      <c r="F198" s="5">
        <v>0</v>
      </c>
      <c r="G198" s="5">
        <v>62.64</v>
      </c>
      <c r="H198" s="5">
        <v>812</v>
      </c>
      <c r="I198" s="5" t="str">
        <f>HYPERLINK("https://www.ncbi.nlm.nih.gov/protein/PDT55420.1?report=genbank&amp;log$=prottop&amp;blast_rank=30&amp;RID=7U875CNM013","PDT55420.1")</f>
        <v>PDT55420.1</v>
      </c>
      <c r="J198" s="5" t="s">
        <v>1720</v>
      </c>
    </row>
    <row r="199" spans="1:10" s="7" customFormat="1" x14ac:dyDescent="0.2">
      <c r="A199" s="5" t="s">
        <v>4226</v>
      </c>
      <c r="B199" s="5" t="s">
        <v>2090</v>
      </c>
      <c r="C199" s="5">
        <v>1027</v>
      </c>
      <c r="D199" s="5">
        <v>1027</v>
      </c>
      <c r="E199" s="6">
        <v>0.99</v>
      </c>
      <c r="F199" s="5">
        <v>0</v>
      </c>
      <c r="G199" s="5">
        <v>62.64</v>
      </c>
      <c r="H199" s="5">
        <v>818</v>
      </c>
      <c r="I199" s="5" t="str">
        <f>HYPERLINK("https://www.ncbi.nlm.nih.gov/protein/WP_179864702.1?report=genbank&amp;log$=prottop&amp;blast_rank=32&amp;RID=7U875CNM013","WP_179864702.1")</f>
        <v>WP_179864702.1</v>
      </c>
      <c r="J199" s="5" t="s">
        <v>1720</v>
      </c>
    </row>
    <row r="200" spans="1:10" s="7" customFormat="1" x14ac:dyDescent="0.2">
      <c r="A200" s="5" t="s">
        <v>4229</v>
      </c>
      <c r="B200" s="5" t="s">
        <v>4230</v>
      </c>
      <c r="C200" s="5">
        <v>1026</v>
      </c>
      <c r="D200" s="5">
        <v>1026</v>
      </c>
      <c r="E200" s="6">
        <v>0.99</v>
      </c>
      <c r="F200" s="5">
        <v>0</v>
      </c>
      <c r="G200" s="5">
        <v>62.64</v>
      </c>
      <c r="H200" s="5">
        <v>812</v>
      </c>
      <c r="I200" s="5" t="str">
        <f>HYPERLINK("https://www.ncbi.nlm.nih.gov/protein/PDT43125.1?report=genbank&amp;log$=prottop&amp;blast_rank=33&amp;RID=7U875CNM013","PDT43125.1")</f>
        <v>PDT43125.1</v>
      </c>
      <c r="J200" s="5" t="s">
        <v>1720</v>
      </c>
    </row>
    <row r="201" spans="1:10" x14ac:dyDescent="0.2">
      <c r="A201" s="5" t="s">
        <v>1930</v>
      </c>
      <c r="B201" s="5" t="s">
        <v>1931</v>
      </c>
      <c r="C201" s="5">
        <v>1046</v>
      </c>
      <c r="D201" s="5">
        <v>1046</v>
      </c>
      <c r="E201" s="6">
        <v>0.99</v>
      </c>
      <c r="F201" s="5">
        <v>0</v>
      </c>
      <c r="G201" s="5">
        <v>62.45</v>
      </c>
      <c r="H201" s="5">
        <v>801</v>
      </c>
      <c r="I201" s="5" t="str">
        <f>HYPERLINK("https://www.ncbi.nlm.nih.gov/protein/WP_153517686.1?report=genbank&amp;log$=prottop&amp;blast_rank=21&amp;RID=7U875CNM013","WP_153517686.1")</f>
        <v>WP_153517686.1</v>
      </c>
      <c r="J201" s="5" t="s">
        <v>1720</v>
      </c>
    </row>
    <row r="202" spans="1:10" x14ac:dyDescent="0.2">
      <c r="A202" s="5" t="s">
        <v>1930</v>
      </c>
      <c r="B202" s="5" t="s">
        <v>1931</v>
      </c>
      <c r="C202" s="5">
        <v>1031</v>
      </c>
      <c r="D202" s="5">
        <v>1031</v>
      </c>
      <c r="E202" s="6">
        <v>0.99</v>
      </c>
      <c r="F202" s="5">
        <v>0</v>
      </c>
      <c r="G202" s="5">
        <v>62.44</v>
      </c>
      <c r="H202" s="5">
        <v>817</v>
      </c>
      <c r="I202" s="5" t="str">
        <f>HYPERLINK("https://www.ncbi.nlm.nih.gov/protein/QND31249.1?report=genbank&amp;log$=prottop&amp;blast_rank=34&amp;RID=7U875CNM013","QND31249.1")</f>
        <v>QND31249.1</v>
      </c>
      <c r="J202" s="5" t="s">
        <v>1720</v>
      </c>
    </row>
    <row r="203" spans="1:10" x14ac:dyDescent="0.2">
      <c r="A203" s="5" t="s">
        <v>4414</v>
      </c>
      <c r="B203" s="5" t="s">
        <v>4415</v>
      </c>
      <c r="C203" s="5">
        <v>1035</v>
      </c>
      <c r="D203" s="5">
        <v>1035</v>
      </c>
      <c r="E203" s="6">
        <v>0.99</v>
      </c>
      <c r="F203" s="5">
        <v>0</v>
      </c>
      <c r="G203" s="5">
        <v>62.01</v>
      </c>
      <c r="H203" s="5">
        <v>820</v>
      </c>
      <c r="I203" s="5" t="str">
        <f>HYPERLINK("https://www.ncbi.nlm.nih.gov/protein/WP_131588501.1?report=genbank&amp;log$=prottop&amp;blast_rank=152&amp;RID=7U875CNM013","WP_131588501.1")</f>
        <v>WP_131588501.1</v>
      </c>
      <c r="J203" s="5" t="s">
        <v>1720</v>
      </c>
    </row>
    <row r="204" spans="1:10" x14ac:dyDescent="0.2">
      <c r="A204" s="5" t="s">
        <v>4414</v>
      </c>
      <c r="B204" s="5" t="s">
        <v>4415</v>
      </c>
      <c r="C204" s="5">
        <v>1035</v>
      </c>
      <c r="D204" s="5">
        <v>1035</v>
      </c>
      <c r="E204" s="6">
        <v>0.99</v>
      </c>
      <c r="F204" s="5">
        <v>0</v>
      </c>
      <c r="G204" s="5">
        <v>62.01</v>
      </c>
      <c r="H204" s="5">
        <v>820</v>
      </c>
      <c r="I204" s="5" t="str">
        <f>HYPERLINK("https://www.ncbi.nlm.nih.gov/protein/WP_125846005.1?report=genbank&amp;log$=prottop&amp;blast_rank=153&amp;RID=7U875CNM013","WP_125846005.1")</f>
        <v>WP_125846005.1</v>
      </c>
      <c r="J204" s="5" t="s">
        <v>1720</v>
      </c>
    </row>
    <row r="205" spans="1:10" x14ac:dyDescent="0.2">
      <c r="A205" s="5" t="s">
        <v>4419</v>
      </c>
      <c r="B205" s="5" t="s">
        <v>4420</v>
      </c>
      <c r="C205" s="5">
        <v>1034</v>
      </c>
      <c r="D205" s="5">
        <v>1034</v>
      </c>
      <c r="E205" s="6">
        <v>0.99</v>
      </c>
      <c r="F205" s="5">
        <v>0</v>
      </c>
      <c r="G205" s="5">
        <v>61.96</v>
      </c>
      <c r="H205" s="5">
        <v>820</v>
      </c>
      <c r="I205" s="5" t="str">
        <f>HYPERLINK("https://www.ncbi.nlm.nih.gov/protein/WP_183734651.1?report=genbank&amp;log$=prottop&amp;blast_rank=16&amp;RID=7U875CNM013","WP_183734651.1")</f>
        <v>WP_183734651.1</v>
      </c>
      <c r="J205" s="5" t="s">
        <v>4385</v>
      </c>
    </row>
    <row r="206" spans="1:10" x14ac:dyDescent="0.2">
      <c r="A206" s="5" t="s">
        <v>4421</v>
      </c>
      <c r="B206" s="5" t="s">
        <v>4420</v>
      </c>
      <c r="C206" s="5">
        <v>1034</v>
      </c>
      <c r="D206" s="5">
        <v>1034</v>
      </c>
      <c r="E206" s="6">
        <v>0.99</v>
      </c>
      <c r="F206" s="5">
        <v>0</v>
      </c>
      <c r="G206" s="5">
        <v>61.96</v>
      </c>
      <c r="H206" s="5">
        <v>880</v>
      </c>
      <c r="I206" s="5" t="str">
        <f>HYPERLINK("https://www.ncbi.nlm.nih.gov/protein/MBB3391317.1?report=genbank&amp;log$=prottop&amp;blast_rank=17&amp;RID=7U875CNM013","MBB3391317.1")</f>
        <v>MBB3391317.1</v>
      </c>
      <c r="J206" s="5" t="s">
        <v>4385</v>
      </c>
    </row>
    <row r="207" spans="1:10" ht="14" customHeight="1" x14ac:dyDescent="0.2">
      <c r="A207" s="5" t="s">
        <v>4442</v>
      </c>
      <c r="B207" s="5" t="s">
        <v>4443</v>
      </c>
      <c r="C207" s="5">
        <v>1033</v>
      </c>
      <c r="D207" s="5">
        <v>1033</v>
      </c>
      <c r="E207" s="6">
        <v>0.99</v>
      </c>
      <c r="F207" s="5">
        <v>0</v>
      </c>
      <c r="G207" s="5">
        <v>61.84</v>
      </c>
      <c r="H207" s="5">
        <v>880</v>
      </c>
      <c r="I207" s="5" t="str">
        <f>HYPERLINK("https://www.ncbi.nlm.nih.gov/protein/MBB3411689.1?report=genbank&amp;log$=prottop&amp;blast_rank=86&amp;RID=7U875CNM013","MBB3411689.1")</f>
        <v>MBB3411689.1</v>
      </c>
      <c r="J207" s="5" t="s">
        <v>4385</v>
      </c>
    </row>
    <row r="208" spans="1:10" x14ac:dyDescent="0.2">
      <c r="A208" s="5" t="s">
        <v>4444</v>
      </c>
      <c r="B208" s="5" t="s">
        <v>4443</v>
      </c>
      <c r="C208" s="5">
        <v>1032</v>
      </c>
      <c r="D208" s="5">
        <v>1032</v>
      </c>
      <c r="E208" s="6">
        <v>0.99</v>
      </c>
      <c r="F208" s="5">
        <v>0</v>
      </c>
      <c r="G208" s="5">
        <v>61.84</v>
      </c>
      <c r="H208" s="5">
        <v>820</v>
      </c>
      <c r="I208" s="5" t="str">
        <f>HYPERLINK("https://www.ncbi.nlm.nih.gov/protein/WP_183805971.1?report=genbank&amp;log$=prottop&amp;blast_rank=87&amp;RID=7U875CNM013","WP_183805971.1")</f>
        <v>WP_183805971.1</v>
      </c>
      <c r="J208" s="5" t="s">
        <v>4385</v>
      </c>
    </row>
    <row r="209" spans="1:10" x14ac:dyDescent="0.2">
      <c r="A209" s="5" t="s">
        <v>2054</v>
      </c>
      <c r="B209" s="5" t="s">
        <v>2027</v>
      </c>
      <c r="C209" s="5">
        <v>1041</v>
      </c>
      <c r="D209" s="5">
        <v>1041</v>
      </c>
      <c r="E209" s="6">
        <v>0.99</v>
      </c>
      <c r="F209" s="5">
        <v>0</v>
      </c>
      <c r="G209" s="5">
        <v>61.8</v>
      </c>
      <c r="H209" s="5">
        <v>815</v>
      </c>
      <c r="I209" s="5" t="str">
        <f>HYPERLINK("https://www.ncbi.nlm.nih.gov/protein/WP_183753971.1?report=genbank&amp;log$=prottop&amp;blast_rank=107&amp;RID=7U875CNM013","WP_183753971.1")</f>
        <v>WP_183753971.1</v>
      </c>
      <c r="J209" s="5" t="s">
        <v>4385</v>
      </c>
    </row>
    <row r="210" spans="1:10" x14ac:dyDescent="0.2">
      <c r="A210" s="5" t="s">
        <v>4450</v>
      </c>
      <c r="B210" s="5" t="s">
        <v>4451</v>
      </c>
      <c r="C210" s="5">
        <v>1039</v>
      </c>
      <c r="D210" s="5">
        <v>1039</v>
      </c>
      <c r="E210" s="6">
        <v>0.99</v>
      </c>
      <c r="F210" s="5">
        <v>0</v>
      </c>
      <c r="G210" s="5">
        <v>61.8</v>
      </c>
      <c r="H210" s="5">
        <v>884</v>
      </c>
      <c r="I210" s="5" t="str">
        <f>HYPERLINK("https://www.ncbi.nlm.nih.gov/protein/EPE94285.1?report=genbank&amp;log$=prottop&amp;blast_rank=108&amp;RID=7U875CNM013","EPE94285.1")</f>
        <v>EPE94285.1</v>
      </c>
      <c r="J210" s="5" t="s">
        <v>4385</v>
      </c>
    </row>
    <row r="211" spans="1:10" x14ac:dyDescent="0.2">
      <c r="A211" s="5" t="s">
        <v>4459</v>
      </c>
      <c r="B211" s="5" t="s">
        <v>4460</v>
      </c>
      <c r="C211" s="5">
        <v>1029</v>
      </c>
      <c r="D211" s="5">
        <v>1029</v>
      </c>
      <c r="E211" s="6">
        <v>0.98</v>
      </c>
      <c r="F211" s="5">
        <v>0</v>
      </c>
      <c r="G211" s="5">
        <v>61.72</v>
      </c>
      <c r="H211" s="5">
        <v>815</v>
      </c>
      <c r="I211" s="5" t="str">
        <f>HYPERLINK("https://www.ncbi.nlm.nih.gov/protein/WP_207240900.1?report=genbank&amp;log$=prottop&amp;blast_rank=160&amp;RID=7U875CNM013","WP_207240900.1")</f>
        <v>WP_207240900.1</v>
      </c>
      <c r="J211" s="5" t="s">
        <v>4461</v>
      </c>
    </row>
  </sheetData>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topLeftCell="C1" workbookViewId="0">
      <selection activeCell="A5" sqref="A5:XFD5"/>
    </sheetView>
  </sheetViews>
  <sheetFormatPr baseColWidth="10" defaultRowHeight="16" x14ac:dyDescent="0.2"/>
  <sheetData>
    <row r="1" spans="1:10" s="3" customFormat="1" x14ac:dyDescent="0.2">
      <c r="A1" s="3" t="s">
        <v>5</v>
      </c>
      <c r="B1" s="3" t="s">
        <v>6</v>
      </c>
      <c r="C1" s="3" t="s">
        <v>7</v>
      </c>
      <c r="D1" s="3" t="s">
        <v>8</v>
      </c>
      <c r="E1" s="3" t="s">
        <v>9</v>
      </c>
      <c r="F1" s="3" t="s">
        <v>10</v>
      </c>
      <c r="G1" s="3" t="s">
        <v>11</v>
      </c>
      <c r="H1" s="3" t="s">
        <v>12</v>
      </c>
      <c r="I1" s="3" t="s">
        <v>13</v>
      </c>
      <c r="J1" s="1"/>
    </row>
    <row r="2" spans="1:10" s="4" customFormat="1" x14ac:dyDescent="0.2">
      <c r="A2" s="1" t="s">
        <v>1653</v>
      </c>
      <c r="B2" s="1" t="s">
        <v>1654</v>
      </c>
      <c r="C2" s="1">
        <v>1184</v>
      </c>
      <c r="D2" s="1">
        <v>1184</v>
      </c>
      <c r="E2" s="2">
        <v>0.98</v>
      </c>
      <c r="F2" s="1">
        <v>0</v>
      </c>
      <c r="G2" s="1">
        <v>70.540000000000006</v>
      </c>
      <c r="H2" s="1">
        <v>797</v>
      </c>
      <c r="I2" s="1" t="str">
        <f>HYPERLINK("https://www.ncbi.nlm.nih.gov/protein/NHZ69750.1?report=genbank&amp;log$=prottop&amp;blast_rank=71&amp;RID=7U875CNM013","NHZ69750.1")</f>
        <v>NHZ69750.1</v>
      </c>
      <c r="J2" s="5" t="s">
        <v>1655</v>
      </c>
    </row>
    <row r="3" spans="1:10" s="7" customFormat="1" x14ac:dyDescent="0.2">
      <c r="A3" s="5" t="s">
        <v>1900</v>
      </c>
      <c r="B3" s="5" t="s">
        <v>1901</v>
      </c>
      <c r="C3" s="5">
        <v>1058</v>
      </c>
      <c r="D3" s="5">
        <v>1058</v>
      </c>
      <c r="E3" s="6">
        <v>0.98</v>
      </c>
      <c r="F3" s="5">
        <v>0</v>
      </c>
      <c r="G3" s="5">
        <v>63.88</v>
      </c>
      <c r="H3" s="5">
        <v>799</v>
      </c>
      <c r="I3" s="5" t="str">
        <f>HYPERLINK("https://www.ncbi.nlm.nih.gov/protein/HHS39488.1?report=genbank&amp;log$=prottop&amp;blast_rank=167&amp;RID=7U875CNM013","HHS39488.1")</f>
        <v>HHS39488.1</v>
      </c>
      <c r="J3" s="5" t="s">
        <v>1902</v>
      </c>
    </row>
    <row r="4" spans="1:10" s="7" customFormat="1" x14ac:dyDescent="0.2">
      <c r="A4" s="5" t="s">
        <v>1992</v>
      </c>
      <c r="B4" s="5" t="s">
        <v>1993</v>
      </c>
      <c r="C4" s="5">
        <v>1071</v>
      </c>
      <c r="D4" s="5">
        <v>1071</v>
      </c>
      <c r="E4" s="6">
        <v>0.98</v>
      </c>
      <c r="F4" s="5">
        <v>0</v>
      </c>
      <c r="G4" s="5">
        <v>63.36</v>
      </c>
      <c r="H4" s="5">
        <v>790</v>
      </c>
      <c r="I4" s="5" t="str">
        <f>HYPERLINK("https://www.ncbi.nlm.nih.gov/protein/WP_069808931.1?report=genbank&amp;log$=prottop&amp;blast_rank=105&amp;RID=7U875CNM013","WP_069808931.1")</f>
        <v>WP_069808931.1</v>
      </c>
      <c r="J4" s="5" t="s">
        <v>1394</v>
      </c>
    </row>
    <row r="5" spans="1:10" s="7" customFormat="1" x14ac:dyDescent="0.2">
      <c r="A5" s="5" t="s">
        <v>2012</v>
      </c>
      <c r="B5" s="5" t="s">
        <v>2013</v>
      </c>
      <c r="C5" s="5">
        <v>1061</v>
      </c>
      <c r="D5" s="5">
        <v>1061</v>
      </c>
      <c r="E5" s="6">
        <v>0.98</v>
      </c>
      <c r="F5" s="5">
        <v>0</v>
      </c>
      <c r="G5" s="5">
        <v>63.22</v>
      </c>
      <c r="H5" s="5">
        <v>788</v>
      </c>
      <c r="I5" s="5" t="str">
        <f>HYPERLINK("https://www.ncbi.nlm.nih.gov/protein/MBO0720095.1?report=genbank&amp;log$=prottop&amp;blast_rank=28&amp;RID=7U875CNM013","MBO0720095.1")</f>
        <v>MBO0720095.1</v>
      </c>
      <c r="J5" s="5" t="s">
        <v>2014</v>
      </c>
    </row>
    <row r="6" spans="1:10" s="7" customFormat="1" x14ac:dyDescent="0.2">
      <c r="A6" s="5"/>
      <c r="B6" s="5"/>
      <c r="C6" s="5"/>
      <c r="D6" s="5"/>
      <c r="E6" s="6"/>
      <c r="F6" s="5"/>
      <c r="G6" s="5"/>
      <c r="H6" s="5"/>
      <c r="I6" s="5"/>
      <c r="J6" s="5"/>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8"/>
  <sheetViews>
    <sheetView workbookViewId="0">
      <selection activeCell="A868" sqref="A868:XFD868"/>
    </sheetView>
  </sheetViews>
  <sheetFormatPr baseColWidth="10" defaultRowHeight="16" x14ac:dyDescent="0.2"/>
  <cols>
    <col min="1" max="1" width="29.1640625" customWidth="1"/>
    <col min="2" max="2" width="31.33203125" customWidth="1"/>
    <col min="9" max="9" width="23" customWidth="1"/>
  </cols>
  <sheetData>
    <row r="1" spans="1:10" s="3" customFormat="1" x14ac:dyDescent="0.2">
      <c r="A1" s="3" t="s">
        <v>5</v>
      </c>
      <c r="B1" s="3" t="s">
        <v>6</v>
      </c>
      <c r="C1" s="3" t="s">
        <v>7</v>
      </c>
      <c r="D1" s="3" t="s">
        <v>8</v>
      </c>
      <c r="E1" s="3" t="s">
        <v>9</v>
      </c>
      <c r="F1" s="3" t="s">
        <v>10</v>
      </c>
      <c r="G1" s="3" t="s">
        <v>11</v>
      </c>
      <c r="H1" s="3" t="s">
        <v>12</v>
      </c>
      <c r="I1" s="3" t="s">
        <v>13</v>
      </c>
      <c r="J1" s="1"/>
    </row>
    <row r="2" spans="1:10" s="1" customFormat="1" x14ac:dyDescent="0.2">
      <c r="A2" s="1" t="s">
        <v>3281</v>
      </c>
      <c r="B2" s="1" t="s">
        <v>3282</v>
      </c>
      <c r="C2" s="1">
        <v>1232</v>
      </c>
      <c r="D2" s="1">
        <v>1232</v>
      </c>
      <c r="E2" s="2">
        <v>0.98</v>
      </c>
      <c r="F2" s="1">
        <v>0</v>
      </c>
      <c r="G2" s="1">
        <v>73.72</v>
      </c>
      <c r="H2" s="1">
        <v>798</v>
      </c>
      <c r="I2" s="1" t="str">
        <f>HYPERLINK("https://www.ncbi.nlm.nih.gov/protein/HFX17490.1?report=genbank&amp;log$=prottop&amp;blast_rank=5&amp;RID=7U875CNM013","HFX17490.1")</f>
        <v>HFX17490.1</v>
      </c>
      <c r="J2" s="1" t="s">
        <v>3277</v>
      </c>
    </row>
    <row r="3" spans="1:10" s="1" customFormat="1" x14ac:dyDescent="0.2">
      <c r="A3" s="1" t="s">
        <v>3283</v>
      </c>
      <c r="B3" s="1" t="s">
        <v>3282</v>
      </c>
      <c r="C3" s="1">
        <v>1207</v>
      </c>
      <c r="D3" s="1">
        <v>1207</v>
      </c>
      <c r="E3" s="2">
        <v>0.98</v>
      </c>
      <c r="F3" s="1">
        <v>0</v>
      </c>
      <c r="G3" s="1">
        <v>72.650000000000006</v>
      </c>
      <c r="H3" s="1">
        <v>800</v>
      </c>
      <c r="I3" s="1" t="str">
        <f>HYPERLINK("https://www.ncbi.nlm.nih.gov/protein/MBE3605088.1?report=genbank&amp;log$=prottop&amp;blast_rank=15&amp;RID=7U875CNM013","MBE3605088.1")</f>
        <v>MBE3605088.1</v>
      </c>
      <c r="J3" s="1" t="s">
        <v>3277</v>
      </c>
    </row>
    <row r="4" spans="1:10" s="1" customFormat="1" x14ac:dyDescent="0.2">
      <c r="A4" s="1" t="s">
        <v>3284</v>
      </c>
      <c r="B4" s="1" t="s">
        <v>3285</v>
      </c>
      <c r="C4" s="1">
        <v>1041</v>
      </c>
      <c r="D4" s="1">
        <v>1041</v>
      </c>
      <c r="E4" s="2">
        <v>0.84</v>
      </c>
      <c r="F4" s="1">
        <v>0</v>
      </c>
      <c r="G4" s="1">
        <v>72.59</v>
      </c>
      <c r="H4" s="1">
        <v>673</v>
      </c>
      <c r="I4" s="1" t="str">
        <f>HYPERLINK("https://www.ncbi.nlm.nih.gov/protein/OPY65580.1?report=genbank&amp;log$=prottop&amp;blast_rank=16&amp;RID=7U875CNM013","OPY65580.1")</f>
        <v>OPY65580.1</v>
      </c>
      <c r="J4" s="1" t="s">
        <v>3286</v>
      </c>
    </row>
    <row r="5" spans="1:10" s="1" customFormat="1" x14ac:dyDescent="0.2">
      <c r="A5" s="1" t="s">
        <v>3287</v>
      </c>
      <c r="B5" s="1" t="s">
        <v>3288</v>
      </c>
      <c r="C5" s="1">
        <v>1180</v>
      </c>
      <c r="D5" s="1">
        <v>1180</v>
      </c>
      <c r="E5" s="2">
        <v>0.97</v>
      </c>
      <c r="F5" s="1">
        <v>0</v>
      </c>
      <c r="G5" s="1">
        <v>71.790000000000006</v>
      </c>
      <c r="H5" s="1">
        <v>811</v>
      </c>
      <c r="I5" s="1" t="str">
        <f>HYPERLINK("https://www.ncbi.nlm.nih.gov/protein/ALL70562.1?report=genbank&amp;log$=prottop&amp;blast_rank=52&amp;RID=7U875CNM013","ALL70562.1")</f>
        <v>ALL70562.1</v>
      </c>
      <c r="J5" s="1" t="s">
        <v>2134</v>
      </c>
    </row>
    <row r="6" spans="1:10" s="1" customFormat="1" x14ac:dyDescent="0.2">
      <c r="A6" s="1" t="s">
        <v>3289</v>
      </c>
      <c r="B6" s="1" t="s">
        <v>3290</v>
      </c>
      <c r="C6" s="1">
        <v>1179</v>
      </c>
      <c r="D6" s="1">
        <v>1179</v>
      </c>
      <c r="E6" s="2">
        <v>0.97</v>
      </c>
      <c r="F6" s="1">
        <v>0</v>
      </c>
      <c r="G6" s="1">
        <v>71.790000000000006</v>
      </c>
      <c r="H6" s="1">
        <v>799</v>
      </c>
      <c r="I6" s="1" t="str">
        <f>HYPERLINK("https://www.ncbi.nlm.nih.gov/protein/WP_035993980.1?report=genbank&amp;log$=prottop&amp;blast_rank=53&amp;RID=7U875CNM013","WP_035993980.1")</f>
        <v>WP_035993980.1</v>
      </c>
      <c r="J6" s="1" t="s">
        <v>2134</v>
      </c>
    </row>
    <row r="7" spans="1:10" s="1" customFormat="1" x14ac:dyDescent="0.2">
      <c r="A7" s="1" t="s">
        <v>1343</v>
      </c>
      <c r="B7" s="1" t="s">
        <v>1344</v>
      </c>
      <c r="C7" s="1">
        <v>1165</v>
      </c>
      <c r="D7" s="1">
        <v>1165</v>
      </c>
      <c r="E7" s="2">
        <v>0.98</v>
      </c>
      <c r="F7" s="1">
        <v>0</v>
      </c>
      <c r="G7" s="1">
        <v>71.680000000000007</v>
      </c>
      <c r="H7" s="1">
        <v>800</v>
      </c>
      <c r="I7" s="36" t="str">
        <f>HYPERLINK("https://www.ncbi.nlm.nih.gov/protein/MBL8223952.1?report=genbank&amp;log$=prottop&amp;blast_rank=59&amp;RID=7U875CNM013","MBL8223952.1")</f>
        <v>MBL8223952.1</v>
      </c>
      <c r="J7" s="1" t="s">
        <v>3294</v>
      </c>
    </row>
    <row r="8" spans="1:10" s="1" customFormat="1" x14ac:dyDescent="0.2">
      <c r="A8" s="1" t="s">
        <v>2767</v>
      </c>
      <c r="B8" s="1" t="s">
        <v>2768</v>
      </c>
      <c r="C8" s="1">
        <v>1205</v>
      </c>
      <c r="D8" s="1">
        <v>1205</v>
      </c>
      <c r="E8" s="2">
        <v>0.98</v>
      </c>
      <c r="F8" s="1">
        <v>0</v>
      </c>
      <c r="G8" s="1">
        <v>71.63</v>
      </c>
      <c r="H8" s="1">
        <v>803</v>
      </c>
      <c r="I8" s="1" t="str">
        <f>HYPERLINK("https://www.ncbi.nlm.nih.gov/protein/KAA0206784.1?report=genbank&amp;log$=prottop&amp;blast_rank=60&amp;RID=7U875CNM013","KAA0206784.1")</f>
        <v>KAA0206784.1</v>
      </c>
      <c r="J8" s="1" t="s">
        <v>2769</v>
      </c>
    </row>
    <row r="9" spans="1:10" s="1" customFormat="1" x14ac:dyDescent="0.2">
      <c r="A9" s="1" t="s">
        <v>3295</v>
      </c>
      <c r="B9" s="1" t="s">
        <v>853</v>
      </c>
      <c r="C9" s="1">
        <v>1206</v>
      </c>
      <c r="D9" s="1">
        <v>1206</v>
      </c>
      <c r="E9" s="2">
        <v>0.99</v>
      </c>
      <c r="F9" s="1">
        <v>0</v>
      </c>
      <c r="G9" s="1">
        <v>71.61</v>
      </c>
      <c r="H9" s="1">
        <v>805</v>
      </c>
      <c r="I9" s="1" t="str">
        <f>HYPERLINK("https://www.ncbi.nlm.nih.gov/protein/HHR97828.1?report=genbank&amp;log$=prottop&amp;blast_rank=61&amp;RID=7U875CNM013","HHR97828.1")</f>
        <v>HHR97828.1</v>
      </c>
      <c r="J9" s="1" t="s">
        <v>854</v>
      </c>
    </row>
    <row r="10" spans="1:10" s="1" customFormat="1" x14ac:dyDescent="0.2">
      <c r="A10" s="1" t="s">
        <v>3296</v>
      </c>
      <c r="B10" s="1" t="s">
        <v>3297</v>
      </c>
      <c r="C10" s="1">
        <v>1204</v>
      </c>
      <c r="D10" s="1">
        <v>1204</v>
      </c>
      <c r="E10" s="2">
        <v>0.98</v>
      </c>
      <c r="F10" s="1">
        <v>0</v>
      </c>
      <c r="G10" s="1">
        <v>71.45</v>
      </c>
      <c r="H10" s="1">
        <v>800</v>
      </c>
      <c r="I10" s="1" t="str">
        <f>HYPERLINK("https://www.ncbi.nlm.nih.gov/protein/MBF6561214.1?report=genbank&amp;log$=prottop&amp;blast_rank=69&amp;RID=7U875CNM013","MBF6561214.1")</f>
        <v>MBF6561214.1</v>
      </c>
      <c r="J10" s="1" t="s">
        <v>3277</v>
      </c>
    </row>
    <row r="11" spans="1:10" s="1" customFormat="1" x14ac:dyDescent="0.2">
      <c r="A11" s="1" t="s">
        <v>3298</v>
      </c>
      <c r="B11" s="1" t="s">
        <v>3299</v>
      </c>
      <c r="C11" s="1">
        <v>1184</v>
      </c>
      <c r="D11" s="1">
        <v>1184</v>
      </c>
      <c r="E11" s="2">
        <v>0.98</v>
      </c>
      <c r="F11" s="1">
        <v>0</v>
      </c>
      <c r="G11" s="1">
        <v>71.430000000000007</v>
      </c>
      <c r="H11" s="1">
        <v>796</v>
      </c>
      <c r="I11" s="1" t="str">
        <f>HYPERLINK("https://www.ncbi.nlm.nih.gov/protein/MBM69754.1?report=genbank&amp;log$=prottop&amp;blast_rank=70&amp;RID=7U875CNM013","MBM69754.1")</f>
        <v>MBM69754.1</v>
      </c>
      <c r="J11" s="1" t="s">
        <v>3294</v>
      </c>
    </row>
    <row r="12" spans="1:10" s="1" customFormat="1" x14ac:dyDescent="0.2">
      <c r="A12" s="1" t="s">
        <v>3300</v>
      </c>
      <c r="B12" s="1" t="s">
        <v>3301</v>
      </c>
      <c r="C12" s="1">
        <v>1181</v>
      </c>
      <c r="D12" s="1">
        <v>1181</v>
      </c>
      <c r="E12" s="2">
        <v>0.99</v>
      </c>
      <c r="F12" s="1">
        <v>0</v>
      </c>
      <c r="G12" s="1">
        <v>71.430000000000007</v>
      </c>
      <c r="H12" s="1">
        <v>799</v>
      </c>
      <c r="I12" s="1" t="str">
        <f>HYPERLINK("https://www.ncbi.nlm.nih.gov/protein/WP_028232178.1?report=genbank&amp;log$=prottop&amp;blast_rank=71&amp;RID=7U875CNM013","WP_028232178.1")</f>
        <v>WP_028232178.1</v>
      </c>
      <c r="J12" s="1" t="s">
        <v>2134</v>
      </c>
    </row>
    <row r="13" spans="1:10" s="1" customFormat="1" x14ac:dyDescent="0.2">
      <c r="A13" s="1" t="s">
        <v>3302</v>
      </c>
      <c r="B13" s="1" t="s">
        <v>3303</v>
      </c>
      <c r="C13" s="1">
        <v>1198</v>
      </c>
      <c r="D13" s="1">
        <v>1198</v>
      </c>
      <c r="E13" s="2">
        <v>0.99</v>
      </c>
      <c r="F13" s="1">
        <v>0</v>
      </c>
      <c r="G13" s="1">
        <v>71.39</v>
      </c>
      <c r="H13" s="1">
        <v>799</v>
      </c>
      <c r="I13" s="1" t="str">
        <f>HYPERLINK("https://www.ncbi.nlm.nih.gov/protein/WP_180736067.1?report=genbank&amp;log$=prottop&amp;blast_rank=72&amp;RID=7U875CNM013","WP_180736067.1")</f>
        <v>WP_180736067.1</v>
      </c>
      <c r="J13" s="1" t="s">
        <v>2134</v>
      </c>
    </row>
    <row r="14" spans="1:10" s="1" customFormat="1" x14ac:dyDescent="0.2">
      <c r="A14" s="1" t="s">
        <v>3304</v>
      </c>
      <c r="B14" s="1" t="s">
        <v>3305</v>
      </c>
      <c r="C14" s="1">
        <v>1189</v>
      </c>
      <c r="D14" s="1">
        <v>1189</v>
      </c>
      <c r="E14" s="2">
        <v>0.99</v>
      </c>
      <c r="F14" s="1">
        <v>0</v>
      </c>
      <c r="G14" s="1">
        <v>71.37</v>
      </c>
      <c r="H14" s="1">
        <v>798</v>
      </c>
      <c r="I14" s="1" t="str">
        <f>HYPERLINK("https://www.ncbi.nlm.nih.gov/protein/WP_090872942.1?report=genbank&amp;log$=prottop&amp;blast_rank=76&amp;RID=7U875CNM013","WP_090872942.1")</f>
        <v>WP_090872942.1</v>
      </c>
      <c r="J14" s="1" t="s">
        <v>2134</v>
      </c>
    </row>
    <row r="15" spans="1:10" s="1" customFormat="1" x14ac:dyDescent="0.2">
      <c r="A15" s="1" t="s">
        <v>3300</v>
      </c>
      <c r="B15" s="1" t="s">
        <v>3301</v>
      </c>
      <c r="C15" s="1">
        <v>1179</v>
      </c>
      <c r="D15" s="1">
        <v>1179</v>
      </c>
      <c r="E15" s="2">
        <v>0.99</v>
      </c>
      <c r="F15" s="1">
        <v>0</v>
      </c>
      <c r="G15" s="1">
        <v>71.3</v>
      </c>
      <c r="H15" s="1">
        <v>799</v>
      </c>
      <c r="I15" s="1" t="str">
        <f>HYPERLINK("https://www.ncbi.nlm.nih.gov/protein/WP_028212224.1?report=genbank&amp;log$=prottop&amp;blast_rank=78&amp;RID=7U875CNM013","WP_028212224.1")</f>
        <v>WP_028212224.1</v>
      </c>
      <c r="J15" s="1" t="s">
        <v>2134</v>
      </c>
    </row>
    <row r="16" spans="1:10" s="1" customFormat="1" x14ac:dyDescent="0.2">
      <c r="A16" s="1" t="s">
        <v>3306</v>
      </c>
      <c r="B16" s="1" t="s">
        <v>3307</v>
      </c>
      <c r="C16" s="1">
        <v>1181</v>
      </c>
      <c r="D16" s="1">
        <v>1181</v>
      </c>
      <c r="E16" s="2">
        <v>0.98</v>
      </c>
      <c r="F16" s="1">
        <v>0</v>
      </c>
      <c r="G16" s="1">
        <v>71.3</v>
      </c>
      <c r="H16" s="1">
        <v>799</v>
      </c>
      <c r="I16" s="1" t="str">
        <f>HYPERLINK("https://www.ncbi.nlm.nih.gov/protein/VBB05452.1?report=genbank&amp;log$=prottop&amp;blast_rank=79&amp;RID=7U875CNM013","VBB05452.1")</f>
        <v>VBB05452.1</v>
      </c>
      <c r="J16" s="5" t="s">
        <v>3308</v>
      </c>
    </row>
    <row r="17" spans="1:10" s="1" customFormat="1" x14ac:dyDescent="0.2">
      <c r="A17" s="1" t="s">
        <v>3309</v>
      </c>
      <c r="B17" s="1" t="s">
        <v>3307</v>
      </c>
      <c r="C17" s="1">
        <v>1181</v>
      </c>
      <c r="D17" s="1">
        <v>1181</v>
      </c>
      <c r="E17" s="2">
        <v>0.98</v>
      </c>
      <c r="F17" s="1">
        <v>0</v>
      </c>
      <c r="G17" s="1">
        <v>71.3</v>
      </c>
      <c r="H17" s="1">
        <v>794</v>
      </c>
      <c r="I17" s="1" t="str">
        <f>HYPERLINK("https://www.ncbi.nlm.nih.gov/protein/WP_122626538.1?report=genbank&amp;log$=prottop&amp;blast_rank=80&amp;RID=7U875CNM013","WP_122626538.1")</f>
        <v>WP_122626538.1</v>
      </c>
      <c r="J17" s="5" t="s">
        <v>3308</v>
      </c>
    </row>
    <row r="18" spans="1:10" s="1" customFormat="1" x14ac:dyDescent="0.2">
      <c r="A18" s="1" t="s">
        <v>3310</v>
      </c>
      <c r="B18" s="1" t="s">
        <v>3311</v>
      </c>
      <c r="C18" s="1">
        <v>1187</v>
      </c>
      <c r="D18" s="1">
        <v>1187</v>
      </c>
      <c r="E18" s="2">
        <v>0.99</v>
      </c>
      <c r="F18" s="1">
        <v>0</v>
      </c>
      <c r="G18" s="1">
        <v>71.25</v>
      </c>
      <c r="H18" s="1">
        <v>798</v>
      </c>
      <c r="I18" s="1" t="str">
        <f>HYPERLINK("https://www.ncbi.nlm.nih.gov/protein/WP_152767334.1?report=genbank&amp;log$=prottop&amp;blast_rank=84&amp;RID=7U875CNM013","WP_152767334.1")</f>
        <v>WP_152767334.1</v>
      </c>
      <c r="J18" s="1" t="s">
        <v>2134</v>
      </c>
    </row>
    <row r="19" spans="1:10" s="1" customFormat="1" x14ac:dyDescent="0.2">
      <c r="A19" s="1" t="s">
        <v>3312</v>
      </c>
      <c r="B19" s="1" t="s">
        <v>3313</v>
      </c>
      <c r="C19" s="1">
        <v>1186</v>
      </c>
      <c r="D19" s="1">
        <v>1186</v>
      </c>
      <c r="E19" s="2">
        <v>0.99</v>
      </c>
      <c r="F19" s="1">
        <v>0</v>
      </c>
      <c r="G19" s="1">
        <v>71.25</v>
      </c>
      <c r="H19" s="1">
        <v>798</v>
      </c>
      <c r="I19" s="1" t="str">
        <f>HYPERLINK("https://www.ncbi.nlm.nih.gov/protein/WP_205803819.1?report=genbank&amp;log$=prottop&amp;blast_rank=85&amp;RID=7U875CNM013","WP_205803819.1")</f>
        <v>WP_205803819.1</v>
      </c>
      <c r="J19" s="1" t="s">
        <v>2134</v>
      </c>
    </row>
    <row r="20" spans="1:10" s="1" customFormat="1" x14ac:dyDescent="0.2">
      <c r="A20" s="1" t="s">
        <v>3314</v>
      </c>
      <c r="B20" s="1" t="s">
        <v>3315</v>
      </c>
      <c r="C20" s="1">
        <v>1184</v>
      </c>
      <c r="D20" s="1">
        <v>1184</v>
      </c>
      <c r="E20" s="2">
        <v>0.99</v>
      </c>
      <c r="F20" s="1">
        <v>0</v>
      </c>
      <c r="G20" s="1">
        <v>71.23</v>
      </c>
      <c r="H20" s="1">
        <v>810</v>
      </c>
      <c r="I20" s="1" t="str">
        <f>HYPERLINK("https://www.ncbi.nlm.nih.gov/protein/NPU93904.1?report=genbank&amp;log$=prottop&amp;blast_rank=86&amp;RID=7U875CNM013","NPU93904.1")</f>
        <v>NPU93904.1</v>
      </c>
      <c r="J20" s="1" t="s">
        <v>3294</v>
      </c>
    </row>
    <row r="21" spans="1:10" s="1" customFormat="1" x14ac:dyDescent="0.2">
      <c r="A21" s="1" t="s">
        <v>3316</v>
      </c>
      <c r="B21" s="1" t="s">
        <v>3317</v>
      </c>
      <c r="C21" s="1">
        <v>1197</v>
      </c>
      <c r="D21" s="1">
        <v>1197</v>
      </c>
      <c r="E21" s="2">
        <v>0.99</v>
      </c>
      <c r="F21" s="1">
        <v>0</v>
      </c>
      <c r="G21" s="1">
        <v>71.14</v>
      </c>
      <c r="H21" s="1">
        <v>799</v>
      </c>
      <c r="I21" s="1" t="str">
        <f>HYPERLINK("https://www.ncbi.nlm.nih.gov/protein/TCG10156.1?report=genbank&amp;log$=prottop&amp;blast_rank=93&amp;RID=7U875CNM013","TCG10156.1")</f>
        <v>TCG10156.1</v>
      </c>
      <c r="J21" s="1" t="s">
        <v>2134</v>
      </c>
    </row>
    <row r="22" spans="1:10" s="1" customFormat="1" x14ac:dyDescent="0.2">
      <c r="A22" s="1" t="s">
        <v>3318</v>
      </c>
      <c r="B22" s="1" t="s">
        <v>3317</v>
      </c>
      <c r="C22" s="1">
        <v>1196</v>
      </c>
      <c r="D22" s="1">
        <v>1196</v>
      </c>
      <c r="E22" s="2">
        <v>0.99</v>
      </c>
      <c r="F22" s="1">
        <v>0</v>
      </c>
      <c r="G22" s="1">
        <v>71.14</v>
      </c>
      <c r="H22" s="1">
        <v>799</v>
      </c>
      <c r="I22" s="1" t="str">
        <f>HYPERLINK("https://www.ncbi.nlm.nih.gov/protein/WP_091782995.1?report=genbank&amp;log$=prottop&amp;blast_rank=94&amp;RID=7U875CNM013","WP_091782995.1")</f>
        <v>WP_091782995.1</v>
      </c>
      <c r="J22" s="1" t="s">
        <v>2134</v>
      </c>
    </row>
    <row r="23" spans="1:10" s="1" customFormat="1" x14ac:dyDescent="0.2">
      <c r="A23" s="1" t="s">
        <v>3319</v>
      </c>
      <c r="B23" s="1" t="s">
        <v>3320</v>
      </c>
      <c r="C23" s="1">
        <v>1158</v>
      </c>
      <c r="D23" s="1">
        <v>1158</v>
      </c>
      <c r="E23" s="2">
        <v>0.98</v>
      </c>
      <c r="F23" s="1">
        <v>0</v>
      </c>
      <c r="G23" s="1">
        <v>71.14</v>
      </c>
      <c r="H23" s="1">
        <v>796</v>
      </c>
      <c r="I23" s="1" t="str">
        <f>HYPERLINK("https://www.ncbi.nlm.nih.gov/protein/OZA29394.1?report=genbank&amp;log$=prottop&amp;blast_rank=95&amp;RID=7U875CNM013","OZA29394.1")</f>
        <v>OZA29394.1</v>
      </c>
      <c r="J23" s="1" t="s">
        <v>2769</v>
      </c>
    </row>
    <row r="24" spans="1:10" s="1" customFormat="1" x14ac:dyDescent="0.2">
      <c r="A24" s="1" t="s">
        <v>3321</v>
      </c>
      <c r="B24" s="1" t="s">
        <v>3322</v>
      </c>
      <c r="C24" s="1">
        <v>1104</v>
      </c>
      <c r="D24" s="1">
        <v>1104</v>
      </c>
      <c r="E24" s="2">
        <v>0.91</v>
      </c>
      <c r="F24" s="1">
        <v>0</v>
      </c>
      <c r="G24" s="1">
        <v>71.11</v>
      </c>
      <c r="H24" s="1">
        <v>727</v>
      </c>
      <c r="I24" s="1" t="str">
        <f>HYPERLINK("https://www.ncbi.nlm.nih.gov/protein/PYN88256.1?report=genbank&amp;log$=prottop&amp;blast_rank=96&amp;RID=7U875CNM013","PYN88256.1")</f>
        <v>PYN88256.1</v>
      </c>
      <c r="J24" s="5" t="s">
        <v>3323</v>
      </c>
    </row>
    <row r="25" spans="1:10" s="7" customFormat="1" x14ac:dyDescent="0.2">
      <c r="A25" s="5" t="s">
        <v>1971</v>
      </c>
      <c r="B25" s="5" t="s">
        <v>1972</v>
      </c>
      <c r="C25" s="5">
        <v>1049</v>
      </c>
      <c r="D25" s="5">
        <v>1049</v>
      </c>
      <c r="E25" s="6">
        <v>0.99</v>
      </c>
      <c r="F25" s="5">
        <v>0</v>
      </c>
      <c r="G25" s="5">
        <v>63.48</v>
      </c>
      <c r="H25" s="5">
        <v>820</v>
      </c>
      <c r="I25" s="5" t="str">
        <f>HYPERLINK("https://www.ncbi.nlm.nih.gov/protein/WP_095087767.1?report=genbank&amp;log$=prottop&amp;blast_rank=215&amp;RID=7U875CNM013","WP_095087767.1")</f>
        <v>WP_095087767.1</v>
      </c>
      <c r="J25" s="5" t="s">
        <v>4202</v>
      </c>
    </row>
    <row r="26" spans="1:10" s="1" customFormat="1" x14ac:dyDescent="0.2">
      <c r="A26" s="1" t="s">
        <v>3327</v>
      </c>
      <c r="B26" s="1" t="s">
        <v>3328</v>
      </c>
      <c r="C26" s="1">
        <v>1189</v>
      </c>
      <c r="D26" s="1">
        <v>1189</v>
      </c>
      <c r="E26" s="2">
        <v>0.98</v>
      </c>
      <c r="F26" s="1">
        <v>0</v>
      </c>
      <c r="G26" s="1">
        <v>71.069999999999993</v>
      </c>
      <c r="H26" s="1">
        <v>802</v>
      </c>
      <c r="I26" s="36" t="str">
        <f>HYPERLINK("https://www.ncbi.nlm.nih.gov/protein/WP_047213815.1?report=genbank&amp;log$=prottop&amp;blast_rank=98&amp;RID=7U875CNM013","WP_047213815.1")</f>
        <v>WP_047213815.1</v>
      </c>
      <c r="J26" s="5" t="s">
        <v>3329</v>
      </c>
    </row>
    <row r="27" spans="1:10" s="4" customFormat="1" x14ac:dyDescent="0.2">
      <c r="A27" s="1" t="s">
        <v>3330</v>
      </c>
      <c r="B27" s="1" t="s">
        <v>3331</v>
      </c>
      <c r="C27" s="1">
        <v>1181</v>
      </c>
      <c r="D27" s="1">
        <v>1181</v>
      </c>
      <c r="E27" s="2">
        <v>0.97</v>
      </c>
      <c r="F27" s="1">
        <v>0</v>
      </c>
      <c r="G27" s="1">
        <v>70.989999999999995</v>
      </c>
      <c r="H27" s="1">
        <v>796</v>
      </c>
      <c r="I27" s="1" t="str">
        <f>HYPERLINK("https://www.ncbi.nlm.nih.gov/protein/MBA3034680.1?report=genbank&amp;log$=prottop&amp;blast_rank=1&amp;RID=7U875CNM013","MBA3034680.1")</f>
        <v>MBA3034680.1</v>
      </c>
      <c r="J27" s="1" t="s">
        <v>2134</v>
      </c>
    </row>
    <row r="28" spans="1:10" s="4" customFormat="1" x14ac:dyDescent="0.2">
      <c r="A28" s="1" t="s">
        <v>3314</v>
      </c>
      <c r="B28" s="1" t="s">
        <v>3315</v>
      </c>
      <c r="C28" s="1">
        <v>1191</v>
      </c>
      <c r="D28" s="1">
        <v>1191</v>
      </c>
      <c r="E28" s="2">
        <v>0.98</v>
      </c>
      <c r="F28" s="1">
        <v>0</v>
      </c>
      <c r="G28" s="1">
        <v>70.959999999999994</v>
      </c>
      <c r="H28" s="1">
        <v>789</v>
      </c>
      <c r="I28" s="1" t="str">
        <f>HYPERLINK("https://www.ncbi.nlm.nih.gov/protein/MBI4693804.1?report=genbank&amp;log$=prottop&amp;blast_rank=5&amp;RID=7U875CNM013","MBI4693804.1")</f>
        <v>MBI4693804.1</v>
      </c>
      <c r="J28" s="1" t="s">
        <v>3276</v>
      </c>
    </row>
    <row r="29" spans="1:10" s="4" customFormat="1" x14ac:dyDescent="0.2">
      <c r="A29" s="1" t="s">
        <v>3332</v>
      </c>
      <c r="B29" s="1" t="s">
        <v>3333</v>
      </c>
      <c r="C29" s="1">
        <v>1177</v>
      </c>
      <c r="D29" s="1">
        <v>1177</v>
      </c>
      <c r="E29" s="2">
        <v>0.98</v>
      </c>
      <c r="F29" s="1">
        <v>0</v>
      </c>
      <c r="G29" s="1">
        <v>70.930000000000007</v>
      </c>
      <c r="H29" s="1">
        <v>794</v>
      </c>
      <c r="I29" s="1" t="str">
        <f>HYPERLINK("https://www.ncbi.nlm.nih.gov/protein/OYY61570.1?report=genbank&amp;log$=prottop&amp;blast_rank=10&amp;RID=7U875CNM013","OYY61570.1")</f>
        <v>OYY61570.1</v>
      </c>
      <c r="J29" s="1" t="s">
        <v>2769</v>
      </c>
    </row>
    <row r="30" spans="1:10" s="4" customFormat="1" x14ac:dyDescent="0.2">
      <c r="A30" s="1" t="s">
        <v>3334</v>
      </c>
      <c r="B30" s="1" t="s">
        <v>3335</v>
      </c>
      <c r="C30" s="1">
        <v>1170</v>
      </c>
      <c r="D30" s="1">
        <v>1170</v>
      </c>
      <c r="E30" s="2">
        <v>0.98</v>
      </c>
      <c r="F30" s="1">
        <v>0</v>
      </c>
      <c r="G30" s="1">
        <v>70.930000000000007</v>
      </c>
      <c r="H30" s="1">
        <v>798</v>
      </c>
      <c r="I30" s="1" t="str">
        <f>HYPERLINK("https://www.ncbi.nlm.nih.gov/protein/WP_162068956.1?report=genbank&amp;log$=prottop&amp;blast_rank=11&amp;RID=7U875CNM013","WP_162068956.1")</f>
        <v>WP_162068956.1</v>
      </c>
      <c r="J30" s="1" t="s">
        <v>2134</v>
      </c>
    </row>
    <row r="31" spans="1:10" s="4" customFormat="1" x14ac:dyDescent="0.2">
      <c r="A31" s="1" t="s">
        <v>3336</v>
      </c>
      <c r="B31" s="1" t="s">
        <v>2768</v>
      </c>
      <c r="C31" s="1">
        <v>1182</v>
      </c>
      <c r="D31" s="1">
        <v>1182</v>
      </c>
      <c r="E31" s="2">
        <v>0.99</v>
      </c>
      <c r="F31" s="1">
        <v>0</v>
      </c>
      <c r="G31" s="1">
        <v>70.89</v>
      </c>
      <c r="H31" s="1">
        <v>819</v>
      </c>
      <c r="I31" s="1" t="str">
        <f>HYPERLINK("https://www.ncbi.nlm.nih.gov/protein/RIL00810.1?report=genbank&amp;log$=prottop&amp;blast_rank=16&amp;RID=7U875CNM013","RIL00810.1")</f>
        <v>RIL00810.1</v>
      </c>
      <c r="J31" s="1" t="s">
        <v>2769</v>
      </c>
    </row>
    <row r="32" spans="1:10" s="4" customFormat="1" x14ac:dyDescent="0.2">
      <c r="A32" s="1" t="s">
        <v>3337</v>
      </c>
      <c r="B32" s="1" t="s">
        <v>3338</v>
      </c>
      <c r="C32" s="1">
        <v>1186</v>
      </c>
      <c r="D32" s="1">
        <v>1186</v>
      </c>
      <c r="E32" s="2">
        <v>0.99</v>
      </c>
      <c r="F32" s="1">
        <v>0</v>
      </c>
      <c r="G32" s="1">
        <v>70.87</v>
      </c>
      <c r="H32" s="1">
        <v>798</v>
      </c>
      <c r="I32" s="1" t="str">
        <f>HYPERLINK("https://www.ncbi.nlm.nih.gov/protein/WP_149671809.1?report=genbank&amp;log$=prottop&amp;blast_rank=18&amp;RID=7U875CNM013","WP_149671809.1")</f>
        <v>WP_149671809.1</v>
      </c>
      <c r="J32" s="1" t="s">
        <v>2134</v>
      </c>
    </row>
    <row r="33" spans="1:10" s="4" customFormat="1" x14ac:dyDescent="0.2">
      <c r="A33" s="1" t="s">
        <v>3341</v>
      </c>
      <c r="B33" s="1" t="s">
        <v>3342</v>
      </c>
      <c r="C33" s="1">
        <v>1183</v>
      </c>
      <c r="D33" s="1">
        <v>1183</v>
      </c>
      <c r="E33" s="2">
        <v>0.99</v>
      </c>
      <c r="F33" s="1">
        <v>0</v>
      </c>
      <c r="G33" s="1">
        <v>70.849999999999994</v>
      </c>
      <c r="H33" s="1">
        <v>798</v>
      </c>
      <c r="I33" s="1" t="str">
        <f>HYPERLINK("https://www.ncbi.nlm.nih.gov/protein/WP_132459307.1?report=genbank&amp;log$=prottop&amp;blast_rank=21&amp;RID=7U875CNM013","WP_132459307.1")</f>
        <v>WP_132459307.1</v>
      </c>
      <c r="J33" s="1" t="s">
        <v>2134</v>
      </c>
    </row>
    <row r="34" spans="1:10" s="4" customFormat="1" x14ac:dyDescent="0.2">
      <c r="A34" s="1" t="s">
        <v>3341</v>
      </c>
      <c r="B34" s="1" t="s">
        <v>3342</v>
      </c>
      <c r="C34" s="1">
        <v>1182</v>
      </c>
      <c r="D34" s="1">
        <v>1182</v>
      </c>
      <c r="E34" s="2">
        <v>0.99</v>
      </c>
      <c r="F34" s="1">
        <v>0</v>
      </c>
      <c r="G34" s="1">
        <v>70.849999999999994</v>
      </c>
      <c r="H34" s="1">
        <v>798</v>
      </c>
      <c r="I34" s="1" t="str">
        <f>HYPERLINK("https://www.ncbi.nlm.nih.gov/protein/WP_035928484.1?report=genbank&amp;log$=prottop&amp;blast_rank=22&amp;RID=7U875CNM013","WP_035928484.1")</f>
        <v>WP_035928484.1</v>
      </c>
      <c r="J34" s="1" t="s">
        <v>2134</v>
      </c>
    </row>
    <row r="35" spans="1:10" s="4" customFormat="1" x14ac:dyDescent="0.2">
      <c r="A35" s="1" t="s">
        <v>3314</v>
      </c>
      <c r="B35" s="1" t="s">
        <v>3315</v>
      </c>
      <c r="C35" s="1">
        <v>1150</v>
      </c>
      <c r="D35" s="1">
        <v>1150</v>
      </c>
      <c r="E35" s="2">
        <v>0.97</v>
      </c>
      <c r="F35" s="1">
        <v>0</v>
      </c>
      <c r="G35" s="1">
        <v>70.84</v>
      </c>
      <c r="H35" s="1">
        <v>795</v>
      </c>
      <c r="I35" s="1" t="str">
        <f>HYPERLINK("https://www.ncbi.nlm.nih.gov/protein/MBK8991842.1?report=genbank&amp;log$=prottop&amp;blast_rank=26&amp;RID=7U875CNM013","MBK8991842.1")</f>
        <v>MBK8991842.1</v>
      </c>
      <c r="J35" s="1" t="s">
        <v>3276</v>
      </c>
    </row>
    <row r="36" spans="1:10" s="4" customFormat="1" x14ac:dyDescent="0.2">
      <c r="A36" s="1" t="s">
        <v>3343</v>
      </c>
      <c r="B36" s="1" t="s">
        <v>3344</v>
      </c>
      <c r="C36" s="1">
        <v>1177</v>
      </c>
      <c r="D36" s="1">
        <v>1177</v>
      </c>
      <c r="E36" s="2">
        <v>0.99</v>
      </c>
      <c r="F36" s="1">
        <v>0</v>
      </c>
      <c r="G36" s="1">
        <v>70.83</v>
      </c>
      <c r="H36" s="1">
        <v>799</v>
      </c>
      <c r="I36" s="1" t="str">
        <f>HYPERLINK("https://www.ncbi.nlm.nih.gov/protein/WP_124152485.1?report=genbank&amp;log$=prottop&amp;blast_rank=27&amp;RID=7U875CNM013","WP_124152485.1")</f>
        <v>WP_124152485.1</v>
      </c>
      <c r="J36" s="1" t="s">
        <v>2134</v>
      </c>
    </row>
    <row r="37" spans="1:10" s="4" customFormat="1" x14ac:dyDescent="0.2">
      <c r="A37" s="1" t="s">
        <v>3345</v>
      </c>
      <c r="B37" s="1" t="s">
        <v>3346</v>
      </c>
      <c r="C37" s="1">
        <v>1167</v>
      </c>
      <c r="D37" s="1">
        <v>1167</v>
      </c>
      <c r="E37" s="2">
        <v>0.98</v>
      </c>
      <c r="F37" s="1">
        <v>0</v>
      </c>
      <c r="G37" s="1">
        <v>70.83</v>
      </c>
      <c r="H37" s="1">
        <v>799</v>
      </c>
      <c r="I37" s="1" t="str">
        <f>HYPERLINK("https://www.ncbi.nlm.nih.gov/protein/WP_075298895.1?report=genbank&amp;log$=prottop&amp;blast_rank=28&amp;RID=7U875CNM013","WP_075298895.1")</f>
        <v>WP_075298895.1</v>
      </c>
      <c r="J37" s="1" t="s">
        <v>2134</v>
      </c>
    </row>
    <row r="38" spans="1:10" s="4" customFormat="1" x14ac:dyDescent="0.2">
      <c r="A38" s="1" t="s">
        <v>3347</v>
      </c>
      <c r="B38" s="1" t="s">
        <v>3348</v>
      </c>
      <c r="C38" s="1">
        <v>1183</v>
      </c>
      <c r="D38" s="1">
        <v>1183</v>
      </c>
      <c r="E38" s="2">
        <v>0.98</v>
      </c>
      <c r="F38" s="1">
        <v>0</v>
      </c>
      <c r="G38" s="1">
        <v>70.81</v>
      </c>
      <c r="H38" s="1">
        <v>802</v>
      </c>
      <c r="I38" s="1" t="str">
        <f>HYPERLINK("https://www.ncbi.nlm.nih.gov/protein/TAL53503.1?report=genbank&amp;log$=prottop&amp;blast_rank=30&amp;RID=7U875CNM013","TAL53503.1")</f>
        <v>TAL53503.1</v>
      </c>
      <c r="J38" s="1" t="s">
        <v>2134</v>
      </c>
    </row>
    <row r="39" spans="1:10" s="4" customFormat="1" x14ac:dyDescent="0.2">
      <c r="A39" s="1" t="s">
        <v>3349</v>
      </c>
      <c r="B39" s="1" t="s">
        <v>3350</v>
      </c>
      <c r="C39" s="1">
        <v>1159</v>
      </c>
      <c r="D39" s="1">
        <v>1159</v>
      </c>
      <c r="E39" s="2">
        <v>0.98</v>
      </c>
      <c r="F39" s="1">
        <v>0</v>
      </c>
      <c r="G39" s="1">
        <v>70.75</v>
      </c>
      <c r="H39" s="1">
        <v>790</v>
      </c>
      <c r="I39" s="1" t="str">
        <f>HYPERLINK("https://www.ncbi.nlm.nih.gov/protein/WP_163495254.1?report=genbank&amp;log$=prottop&amp;blast_rank=40&amp;RID=7U875CNM013","WP_163495254.1")</f>
        <v>WP_163495254.1</v>
      </c>
      <c r="J39" s="1" t="s">
        <v>3276</v>
      </c>
    </row>
    <row r="40" spans="1:10" s="4" customFormat="1" x14ac:dyDescent="0.2">
      <c r="A40" s="1" t="s">
        <v>3351</v>
      </c>
      <c r="B40" s="1" t="s">
        <v>3352</v>
      </c>
      <c r="C40" s="1">
        <v>1191</v>
      </c>
      <c r="D40" s="1">
        <v>1191</v>
      </c>
      <c r="E40" s="2">
        <v>1</v>
      </c>
      <c r="F40" s="1">
        <v>0</v>
      </c>
      <c r="G40" s="1">
        <v>70.75</v>
      </c>
      <c r="H40" s="1">
        <v>800</v>
      </c>
      <c r="I40" s="1" t="str">
        <f>HYPERLINK("https://www.ncbi.nlm.nih.gov/protein/MBK9451583.1?report=genbank&amp;log$=prottop&amp;blast_rank=41&amp;RID=7U875CNM013","MBK9451583.1")</f>
        <v>MBK9451583.1</v>
      </c>
      <c r="J40" s="5" t="s">
        <v>3353</v>
      </c>
    </row>
    <row r="41" spans="1:10" s="4" customFormat="1" x14ac:dyDescent="0.2">
      <c r="A41" s="1" t="s">
        <v>3354</v>
      </c>
      <c r="B41" s="1" t="s">
        <v>3355</v>
      </c>
      <c r="C41" s="1">
        <v>1185</v>
      </c>
      <c r="D41" s="1">
        <v>1185</v>
      </c>
      <c r="E41" s="2">
        <v>0.99</v>
      </c>
      <c r="F41" s="1">
        <v>0</v>
      </c>
      <c r="G41" s="1">
        <v>70.72</v>
      </c>
      <c r="H41" s="1">
        <v>798</v>
      </c>
      <c r="I41" s="1" t="str">
        <f>HYPERLINK("https://www.ncbi.nlm.nih.gov/protein/RZL90800.1?report=genbank&amp;log$=prottop&amp;blast_rank=45&amp;RID=7U875CNM013","RZL90800.1")</f>
        <v>RZL90800.1</v>
      </c>
      <c r="J41" s="1" t="s">
        <v>2134</v>
      </c>
    </row>
    <row r="42" spans="1:10" s="4" customFormat="1" x14ac:dyDescent="0.2">
      <c r="A42" s="1" t="s">
        <v>3356</v>
      </c>
      <c r="B42" s="1" t="s">
        <v>3357</v>
      </c>
      <c r="C42" s="1">
        <v>1182</v>
      </c>
      <c r="D42" s="1">
        <v>1182</v>
      </c>
      <c r="E42" s="2">
        <v>0.99</v>
      </c>
      <c r="F42" s="1">
        <v>0</v>
      </c>
      <c r="G42" s="1">
        <v>70.72</v>
      </c>
      <c r="H42" s="1">
        <v>789</v>
      </c>
      <c r="I42" s="1" t="str">
        <f>HYPERLINK("https://www.ncbi.nlm.nih.gov/protein/WP_176975419.1?report=genbank&amp;log$=prottop&amp;blast_rank=46&amp;RID=7U875CNM013","WP_176975419.1")</f>
        <v>WP_176975419.1</v>
      </c>
      <c r="J42" s="5" t="s">
        <v>3358</v>
      </c>
    </row>
    <row r="43" spans="1:10" s="4" customFormat="1" x14ac:dyDescent="0.2">
      <c r="A43" s="1" t="s">
        <v>3359</v>
      </c>
      <c r="B43" s="1" t="s">
        <v>3360</v>
      </c>
      <c r="C43" s="1">
        <v>1170</v>
      </c>
      <c r="D43" s="1">
        <v>1170</v>
      </c>
      <c r="E43" s="2">
        <v>0.98</v>
      </c>
      <c r="F43" s="1">
        <v>0</v>
      </c>
      <c r="G43" s="1">
        <v>70.66</v>
      </c>
      <c r="H43" s="1">
        <v>788</v>
      </c>
      <c r="I43" s="1" t="str">
        <f>HYPERLINK("https://www.ncbi.nlm.nih.gov/protein/MBP1687722.1?report=genbank&amp;log$=prottop&amp;blast_rank=50&amp;RID=7U875CNM013","MBP1687722.1")</f>
        <v>MBP1687722.1</v>
      </c>
      <c r="J43" s="1" t="s">
        <v>3286</v>
      </c>
    </row>
    <row r="44" spans="1:10" s="4" customFormat="1" x14ac:dyDescent="0.2">
      <c r="A44" s="1" t="s">
        <v>3361</v>
      </c>
      <c r="B44" s="1" t="s">
        <v>3362</v>
      </c>
      <c r="C44" s="1">
        <v>1184</v>
      </c>
      <c r="D44" s="1">
        <v>1184</v>
      </c>
      <c r="E44" s="2">
        <v>0.98</v>
      </c>
      <c r="F44" s="1">
        <v>0</v>
      </c>
      <c r="G44" s="1">
        <v>70.650000000000006</v>
      </c>
      <c r="H44" s="1">
        <v>794</v>
      </c>
      <c r="I44" s="36" t="str">
        <f>HYPERLINK("https://www.ncbi.nlm.nih.gov/protein/OYW64545.1?report=genbank&amp;log$=prottop&amp;blast_rank=51&amp;RID=7U875CNM013","OYW64545.1")</f>
        <v>OYW64545.1</v>
      </c>
      <c r="J44" s="1" t="s">
        <v>2769</v>
      </c>
    </row>
    <row r="45" spans="1:10" s="4" customFormat="1" x14ac:dyDescent="0.2">
      <c r="A45" s="1" t="s">
        <v>3321</v>
      </c>
      <c r="B45" s="1" t="s">
        <v>3322</v>
      </c>
      <c r="C45" s="1">
        <v>1186</v>
      </c>
      <c r="D45" s="1">
        <v>1186</v>
      </c>
      <c r="E45" s="2">
        <v>0.98</v>
      </c>
      <c r="F45" s="1">
        <v>0</v>
      </c>
      <c r="G45" s="1">
        <v>70.63</v>
      </c>
      <c r="H45" s="1">
        <v>806</v>
      </c>
      <c r="I45" s="1" t="str">
        <f>HYPERLINK("https://www.ncbi.nlm.nih.gov/protein/PYN59464.1?report=genbank&amp;log$=prottop&amp;blast_rank=56&amp;RID=7U875CNM013","PYN59464.1")</f>
        <v>PYN59464.1</v>
      </c>
      <c r="J45" s="5" t="s">
        <v>3323</v>
      </c>
    </row>
    <row r="46" spans="1:10" s="4" customFormat="1" x14ac:dyDescent="0.2">
      <c r="A46" s="1" t="s">
        <v>3363</v>
      </c>
      <c r="B46" s="1" t="s">
        <v>3364</v>
      </c>
      <c r="C46" s="1">
        <v>1184</v>
      </c>
      <c r="D46" s="1">
        <v>1184</v>
      </c>
      <c r="E46" s="2">
        <v>0.98</v>
      </c>
      <c r="F46" s="1">
        <v>0</v>
      </c>
      <c r="G46" s="1">
        <v>70.63</v>
      </c>
      <c r="H46" s="1">
        <v>799</v>
      </c>
      <c r="I46" s="1" t="str">
        <f>HYPERLINK("https://www.ncbi.nlm.nih.gov/protein/OLC58401.1?report=genbank&amp;log$=prottop&amp;blast_rank=57&amp;RID=7U875CNM013","OLC58401.1")</f>
        <v>OLC58401.1</v>
      </c>
      <c r="J46" s="5" t="s">
        <v>3323</v>
      </c>
    </row>
    <row r="47" spans="1:10" s="4" customFormat="1" x14ac:dyDescent="0.2">
      <c r="A47" s="1" t="s">
        <v>3365</v>
      </c>
      <c r="B47" s="1" t="s">
        <v>3360</v>
      </c>
      <c r="C47" s="1">
        <v>1164</v>
      </c>
      <c r="D47" s="1">
        <v>1164</v>
      </c>
      <c r="E47" s="2">
        <v>0.98</v>
      </c>
      <c r="F47" s="1">
        <v>0</v>
      </c>
      <c r="G47" s="1">
        <v>70.63</v>
      </c>
      <c r="H47" s="1">
        <v>800</v>
      </c>
      <c r="I47" s="1" t="str">
        <f>HYPERLINK("https://www.ncbi.nlm.nih.gov/protein/HET53252.1?report=genbank&amp;log$=prottop&amp;blast_rank=59&amp;RID=7U875CNM013","HET53252.1")</f>
        <v>HET53252.1</v>
      </c>
      <c r="J47" s="1" t="s">
        <v>3286</v>
      </c>
    </row>
    <row r="48" spans="1:10" s="4" customFormat="1" x14ac:dyDescent="0.2">
      <c r="A48" s="1" t="s">
        <v>3366</v>
      </c>
      <c r="B48" s="1" t="s">
        <v>3367</v>
      </c>
      <c r="C48" s="1">
        <v>1158</v>
      </c>
      <c r="D48" s="1">
        <v>1158</v>
      </c>
      <c r="E48" s="2">
        <v>0.98</v>
      </c>
      <c r="F48" s="1">
        <v>0</v>
      </c>
      <c r="G48" s="1">
        <v>70.63</v>
      </c>
      <c r="H48" s="1">
        <v>804</v>
      </c>
      <c r="I48" s="1" t="str">
        <f>HYPERLINK("https://www.ncbi.nlm.nih.gov/protein/NNM61248.1?report=genbank&amp;log$=prottop&amp;blast_rank=60&amp;RID=7U875CNM013","NNM61248.1")</f>
        <v>NNM61248.1</v>
      </c>
      <c r="J48" s="1" t="s">
        <v>3276</v>
      </c>
    </row>
    <row r="49" spans="1:10" s="4" customFormat="1" x14ac:dyDescent="0.2">
      <c r="A49" s="1" t="s">
        <v>3368</v>
      </c>
      <c r="B49" s="1" t="s">
        <v>3369</v>
      </c>
      <c r="C49" s="1">
        <v>1181</v>
      </c>
      <c r="D49" s="1">
        <v>1181</v>
      </c>
      <c r="E49" s="2">
        <v>0.98</v>
      </c>
      <c r="F49" s="1">
        <v>0</v>
      </c>
      <c r="G49" s="1">
        <v>70.61</v>
      </c>
      <c r="H49" s="1">
        <v>792</v>
      </c>
      <c r="I49" s="1" t="str">
        <f>HYPERLINK("https://www.ncbi.nlm.nih.gov/protein/PKM13423.1?report=genbank&amp;log$=prottop&amp;blast_rank=61&amp;RID=7U875CNM013","PKM13423.1")</f>
        <v>PKM13423.1</v>
      </c>
      <c r="J49" s="1" t="s">
        <v>3276</v>
      </c>
    </row>
    <row r="50" spans="1:10" s="4" customFormat="1" x14ac:dyDescent="0.2">
      <c r="A50" s="1" t="s">
        <v>3370</v>
      </c>
      <c r="B50" s="1" t="s">
        <v>3371</v>
      </c>
      <c r="C50" s="1">
        <v>1177</v>
      </c>
      <c r="D50" s="1">
        <v>1177</v>
      </c>
      <c r="E50" s="2">
        <v>0.99</v>
      </c>
      <c r="F50" s="1">
        <v>0</v>
      </c>
      <c r="G50" s="1">
        <v>70.599999999999994</v>
      </c>
      <c r="H50" s="1">
        <v>798</v>
      </c>
      <c r="I50" s="1" t="str">
        <f>HYPERLINK("https://www.ncbi.nlm.nih.gov/protein/WP_175148836.1?report=genbank&amp;log$=prottop&amp;blast_rank=63&amp;RID=7U875CNM013","WP_175148836.1")</f>
        <v>WP_175148836.1</v>
      </c>
      <c r="J50" s="1" t="s">
        <v>2134</v>
      </c>
    </row>
    <row r="51" spans="1:10" s="4" customFormat="1" x14ac:dyDescent="0.2">
      <c r="A51" s="1" t="s">
        <v>3390</v>
      </c>
      <c r="B51" s="1" t="s">
        <v>3391</v>
      </c>
      <c r="C51" s="1">
        <v>1178</v>
      </c>
      <c r="D51" s="1">
        <v>1178</v>
      </c>
      <c r="E51" s="2">
        <v>0.99</v>
      </c>
      <c r="F51" s="1">
        <v>0</v>
      </c>
      <c r="G51" s="1">
        <v>70.47</v>
      </c>
      <c r="H51" s="1">
        <v>789</v>
      </c>
      <c r="I51" s="1" t="str">
        <f>HYPERLINK("https://www.ncbi.nlm.nih.gov/protein/WP_091334624.1?report=genbank&amp;log$=prottop&amp;blast_rank=86&amp;RID=7U875CNM013","WP_091334624.1")</f>
        <v>WP_091334624.1</v>
      </c>
      <c r="J51" s="5" t="s">
        <v>3392</v>
      </c>
    </row>
    <row r="52" spans="1:10" s="4" customFormat="1" x14ac:dyDescent="0.2">
      <c r="A52" s="1" t="s">
        <v>3314</v>
      </c>
      <c r="B52" s="1" t="s">
        <v>3315</v>
      </c>
      <c r="C52" s="1">
        <v>1130</v>
      </c>
      <c r="D52" s="1">
        <v>1130</v>
      </c>
      <c r="E52" s="2">
        <v>0.97</v>
      </c>
      <c r="F52" s="1">
        <v>0</v>
      </c>
      <c r="G52" s="1">
        <v>70.45</v>
      </c>
      <c r="H52" s="1">
        <v>795</v>
      </c>
      <c r="I52" s="1" t="str">
        <f>HYPERLINK("https://www.ncbi.nlm.nih.gov/protein/MBK6279343.1?report=genbank&amp;log$=prottop&amp;blast_rank=89&amp;RID=7U875CNM013","MBK6279343.1")</f>
        <v>MBK6279343.1</v>
      </c>
      <c r="J52" s="1" t="s">
        <v>3276</v>
      </c>
    </row>
    <row r="53" spans="1:10" s="4" customFormat="1" x14ac:dyDescent="0.2">
      <c r="A53" s="1" t="s">
        <v>3314</v>
      </c>
      <c r="B53" s="1" t="s">
        <v>3315</v>
      </c>
      <c r="C53" s="1">
        <v>1128</v>
      </c>
      <c r="D53" s="1">
        <v>1128</v>
      </c>
      <c r="E53" s="2">
        <v>0.97</v>
      </c>
      <c r="F53" s="1">
        <v>0</v>
      </c>
      <c r="G53" s="1">
        <v>70.45</v>
      </c>
      <c r="H53" s="1">
        <v>795</v>
      </c>
      <c r="I53" s="1" t="str">
        <f>HYPERLINK("https://www.ncbi.nlm.nih.gov/protein/MBK9468771.1?report=genbank&amp;log$=prottop&amp;blast_rank=90&amp;RID=7U875CNM013","MBK9468771.1")</f>
        <v>MBK9468771.1</v>
      </c>
      <c r="J53" s="1" t="s">
        <v>3276</v>
      </c>
    </row>
    <row r="54" spans="1:10" s="4" customFormat="1" x14ac:dyDescent="0.2">
      <c r="A54" s="1" t="s">
        <v>3388</v>
      </c>
      <c r="B54" s="1" t="s">
        <v>3389</v>
      </c>
      <c r="C54" s="1">
        <v>1186</v>
      </c>
      <c r="D54" s="1">
        <v>1186</v>
      </c>
      <c r="E54" s="2">
        <v>0.98</v>
      </c>
      <c r="F54" s="1">
        <v>0</v>
      </c>
      <c r="G54" s="1">
        <v>70.45</v>
      </c>
      <c r="H54" s="1">
        <v>795</v>
      </c>
      <c r="I54" s="1" t="str">
        <f>HYPERLINK("https://www.ncbi.nlm.nih.gov/protein/MBI5937361.1?report=genbank&amp;log$=prottop&amp;blast_rank=91&amp;RID=7U875CNM013","MBI5937361.1")</f>
        <v>MBI5937361.1</v>
      </c>
      <c r="J54" s="1" t="s">
        <v>2134</v>
      </c>
    </row>
    <row r="55" spans="1:10" s="4" customFormat="1" x14ac:dyDescent="0.2">
      <c r="A55" s="1" t="s">
        <v>3393</v>
      </c>
      <c r="B55" s="1" t="s">
        <v>3315</v>
      </c>
      <c r="C55" s="1">
        <v>1179</v>
      </c>
      <c r="D55" s="1">
        <v>1179</v>
      </c>
      <c r="E55" s="2">
        <v>0.98</v>
      </c>
      <c r="F55" s="1">
        <v>0</v>
      </c>
      <c r="G55" s="1">
        <v>70.41</v>
      </c>
      <c r="H55" s="1">
        <v>797</v>
      </c>
      <c r="I55" s="1" t="str">
        <f>HYPERLINK("https://www.ncbi.nlm.nih.gov/protein/HHH45198.1?report=genbank&amp;log$=prottop&amp;blast_rank=99&amp;RID=7U875CNM013","HHH45198.1")</f>
        <v>HHH45198.1</v>
      </c>
      <c r="J55" s="1" t="s">
        <v>3276</v>
      </c>
    </row>
    <row r="56" spans="1:10" s="4" customFormat="1" x14ac:dyDescent="0.2">
      <c r="A56" s="1" t="s">
        <v>3396</v>
      </c>
      <c r="B56" s="1" t="s">
        <v>3397</v>
      </c>
      <c r="C56" s="1">
        <v>1157</v>
      </c>
      <c r="D56" s="1">
        <v>1157</v>
      </c>
      <c r="E56" s="2">
        <v>0.98</v>
      </c>
      <c r="F56" s="1">
        <v>0</v>
      </c>
      <c r="G56" s="1">
        <v>70.39</v>
      </c>
      <c r="H56" s="1">
        <v>794</v>
      </c>
      <c r="I56" s="1" t="str">
        <f>HYPERLINK("https://www.ncbi.nlm.nih.gov/protein/KAB2319815.1?report=genbank&amp;log$=prottop&amp;blast_rank=103&amp;RID=7U875CNM013","KAB2319815.1")</f>
        <v>KAB2319815.1</v>
      </c>
      <c r="J56" s="1" t="s">
        <v>2134</v>
      </c>
    </row>
    <row r="57" spans="1:10" s="4" customFormat="1" x14ac:dyDescent="0.2">
      <c r="A57" s="1" t="s">
        <v>3398</v>
      </c>
      <c r="B57" s="1" t="s">
        <v>3399</v>
      </c>
      <c r="C57" s="1">
        <v>1204</v>
      </c>
      <c r="D57" s="1">
        <v>1204</v>
      </c>
      <c r="E57" s="2">
        <v>0.99</v>
      </c>
      <c r="F57" s="1">
        <v>0</v>
      </c>
      <c r="G57" s="1">
        <v>70.38</v>
      </c>
      <c r="H57" s="1">
        <v>792</v>
      </c>
      <c r="I57" s="1" t="str">
        <f>HYPERLINK("https://www.ncbi.nlm.nih.gov/protein/OTE97044.1?report=genbank&amp;log$=prottop&amp;blast_rank=105&amp;RID=7U875CNM013","OTE97044.1")</f>
        <v>OTE97044.1</v>
      </c>
      <c r="J57" s="1" t="s">
        <v>3276</v>
      </c>
    </row>
    <row r="58" spans="1:10" s="4" customFormat="1" x14ac:dyDescent="0.2">
      <c r="A58" s="1" t="s">
        <v>3402</v>
      </c>
      <c r="B58" s="1" t="s">
        <v>3403</v>
      </c>
      <c r="C58" s="1">
        <v>1171</v>
      </c>
      <c r="D58" s="1">
        <v>1171</v>
      </c>
      <c r="E58" s="2">
        <v>0.99</v>
      </c>
      <c r="F58" s="1">
        <v>0</v>
      </c>
      <c r="G58" s="1">
        <v>70.38</v>
      </c>
      <c r="H58" s="1">
        <v>798</v>
      </c>
      <c r="I58" s="1" t="str">
        <f>HYPERLINK("https://www.ncbi.nlm.nih.gov/protein/WP_014250482.1?report=genbank&amp;log$=prottop&amp;blast_rank=107&amp;RID=7U875CNM013","WP_014250482.1")</f>
        <v>WP_014250482.1</v>
      </c>
      <c r="J58" s="1" t="s">
        <v>2134</v>
      </c>
    </row>
    <row r="59" spans="1:10" s="4" customFormat="1" x14ac:dyDescent="0.2">
      <c r="A59" s="1" t="s">
        <v>3406</v>
      </c>
      <c r="B59" s="1" t="s">
        <v>3407</v>
      </c>
      <c r="C59" s="1">
        <v>1174</v>
      </c>
      <c r="D59" s="1">
        <v>1174</v>
      </c>
      <c r="E59" s="2">
        <v>0.98</v>
      </c>
      <c r="F59" s="1">
        <v>0</v>
      </c>
      <c r="G59" s="1">
        <v>70.23</v>
      </c>
      <c r="H59" s="1">
        <v>798</v>
      </c>
      <c r="I59" s="1" t="str">
        <f>HYPERLINK("https://www.ncbi.nlm.nih.gov/protein/WP_116145391.1?report=genbank&amp;log$=prottop&amp;blast_rank=140&amp;RID=7U875CNM013","WP_116145391.1")</f>
        <v>WP_116145391.1</v>
      </c>
      <c r="J59" s="1" t="s">
        <v>2134</v>
      </c>
    </row>
    <row r="60" spans="1:10" s="4" customFormat="1" x14ac:dyDescent="0.2">
      <c r="A60" s="1" t="s">
        <v>3408</v>
      </c>
      <c r="B60" s="1" t="s">
        <v>3409</v>
      </c>
      <c r="C60" s="1">
        <v>1168</v>
      </c>
      <c r="D60" s="1">
        <v>1168</v>
      </c>
      <c r="E60" s="2">
        <v>0.98</v>
      </c>
      <c r="F60" s="1">
        <v>0</v>
      </c>
      <c r="G60" s="1">
        <v>70.23</v>
      </c>
      <c r="H60" s="1">
        <v>798</v>
      </c>
      <c r="I60" s="1" t="str">
        <f>HYPERLINK("https://www.ncbi.nlm.nih.gov/protein/WP_175159850.1?report=genbank&amp;log$=prottop&amp;blast_rank=141&amp;RID=7U875CNM013","WP_175159850.1")</f>
        <v>WP_175159850.1</v>
      </c>
      <c r="J60" s="1" t="s">
        <v>2134</v>
      </c>
    </row>
    <row r="61" spans="1:10" s="4" customFormat="1" x14ac:dyDescent="0.2">
      <c r="A61" s="1" t="s">
        <v>3410</v>
      </c>
      <c r="B61" s="1" t="s">
        <v>3411</v>
      </c>
      <c r="C61" s="1">
        <v>1162</v>
      </c>
      <c r="D61" s="1">
        <v>1162</v>
      </c>
      <c r="E61" s="2">
        <v>0.98</v>
      </c>
      <c r="F61" s="1">
        <v>0</v>
      </c>
      <c r="G61" s="1">
        <v>70.23</v>
      </c>
      <c r="H61" s="1">
        <v>798</v>
      </c>
      <c r="I61" s="1" t="str">
        <f>HYPERLINK("https://www.ncbi.nlm.nih.gov/protein/WP_128597488.1?report=genbank&amp;log$=prottop&amp;blast_rank=142&amp;RID=7U875CNM013","WP_128597488.1")</f>
        <v>WP_128597488.1</v>
      </c>
      <c r="J61" s="1" t="s">
        <v>2134</v>
      </c>
    </row>
    <row r="62" spans="1:10" s="4" customFormat="1" x14ac:dyDescent="0.2">
      <c r="A62" s="1" t="s">
        <v>3412</v>
      </c>
      <c r="B62" s="1" t="s">
        <v>3413</v>
      </c>
      <c r="C62" s="1">
        <v>1179</v>
      </c>
      <c r="D62" s="1">
        <v>1179</v>
      </c>
      <c r="E62" s="2">
        <v>0.99</v>
      </c>
      <c r="F62" s="1">
        <v>0</v>
      </c>
      <c r="G62" s="1">
        <v>70.22</v>
      </c>
      <c r="H62" s="1">
        <v>798</v>
      </c>
      <c r="I62" s="1" t="str">
        <f>HYPERLINK("https://www.ncbi.nlm.nih.gov/protein/WP_204522029.1?report=genbank&amp;log$=prottop&amp;blast_rank=144&amp;RID=7U875CNM013","WP_204522029.1")</f>
        <v>WP_204522029.1</v>
      </c>
      <c r="J62" s="1" t="s">
        <v>2134</v>
      </c>
    </row>
    <row r="63" spans="1:10" s="4" customFormat="1" x14ac:dyDescent="0.2">
      <c r="A63" s="1" t="s">
        <v>3414</v>
      </c>
      <c r="B63" s="1" t="s">
        <v>3413</v>
      </c>
      <c r="C63" s="1">
        <v>1177</v>
      </c>
      <c r="D63" s="1">
        <v>1177</v>
      </c>
      <c r="E63" s="2">
        <v>0.99</v>
      </c>
      <c r="F63" s="1">
        <v>0</v>
      </c>
      <c r="G63" s="1">
        <v>70.22</v>
      </c>
      <c r="H63" s="1">
        <v>798</v>
      </c>
      <c r="I63" s="1" t="str">
        <f>HYPERLINK("https://www.ncbi.nlm.nih.gov/protein/WP_087752063.1?report=genbank&amp;log$=prottop&amp;blast_rank=145&amp;RID=7U875CNM013","WP_087752063.1")</f>
        <v>WP_087752063.1</v>
      </c>
      <c r="J63" s="1" t="s">
        <v>2134</v>
      </c>
    </row>
    <row r="64" spans="1:10" s="4" customFormat="1" x14ac:dyDescent="0.2">
      <c r="A64" s="1" t="s">
        <v>3415</v>
      </c>
      <c r="B64" s="1" t="s">
        <v>3416</v>
      </c>
      <c r="C64" s="1">
        <v>1169</v>
      </c>
      <c r="D64" s="1">
        <v>1169</v>
      </c>
      <c r="E64" s="2">
        <v>0.98</v>
      </c>
      <c r="F64" s="1">
        <v>0</v>
      </c>
      <c r="G64" s="1">
        <v>70.17</v>
      </c>
      <c r="H64" s="1">
        <v>808</v>
      </c>
      <c r="I64" s="1" t="str">
        <f>HYPERLINK("https://www.ncbi.nlm.nih.gov/protein/OYW39733.1?report=genbank&amp;log$=prottop&amp;blast_rank=153&amp;RID=7U875CNM013","OYW39733.1")</f>
        <v>OYW39733.1</v>
      </c>
      <c r="J64" s="1" t="s">
        <v>2769</v>
      </c>
    </row>
    <row r="65" spans="1:10" s="4" customFormat="1" x14ac:dyDescent="0.2">
      <c r="A65" s="1" t="s">
        <v>3314</v>
      </c>
      <c r="B65" s="1" t="s">
        <v>3315</v>
      </c>
      <c r="C65" s="1">
        <v>1163</v>
      </c>
      <c r="D65" s="1">
        <v>1163</v>
      </c>
      <c r="E65" s="2">
        <v>0.98</v>
      </c>
      <c r="F65" s="1">
        <v>0</v>
      </c>
      <c r="G65" s="1">
        <v>70.150000000000006</v>
      </c>
      <c r="H65" s="1">
        <v>788</v>
      </c>
      <c r="I65" s="1" t="str">
        <f>HYPERLINK("https://www.ncbi.nlm.nih.gov/protein/QOJ32353.1?report=genbank&amp;log$=prottop&amp;blast_rank=156&amp;RID=7U875CNM013","QOJ32353.1")</f>
        <v>QOJ32353.1</v>
      </c>
      <c r="J65" s="1" t="s">
        <v>3276</v>
      </c>
    </row>
    <row r="66" spans="1:10" s="4" customFormat="1" x14ac:dyDescent="0.2">
      <c r="A66" s="1" t="s">
        <v>852</v>
      </c>
      <c r="B66" s="1" t="s">
        <v>853</v>
      </c>
      <c r="C66" s="1">
        <v>1191</v>
      </c>
      <c r="D66" s="1">
        <v>1191</v>
      </c>
      <c r="E66" s="2">
        <v>0.99</v>
      </c>
      <c r="F66" s="1">
        <v>0</v>
      </c>
      <c r="G66" s="1">
        <v>70.150000000000006</v>
      </c>
      <c r="H66" s="1">
        <v>799</v>
      </c>
      <c r="I66" s="1" t="str">
        <f>HYPERLINK("https://www.ncbi.nlm.nih.gov/protein/PYR21571.1?report=genbank&amp;log$=prottop&amp;blast_rank=157&amp;RID=7U875CNM013","PYR21571.1")</f>
        <v>PYR21571.1</v>
      </c>
      <c r="J66" s="1" t="s">
        <v>854</v>
      </c>
    </row>
    <row r="67" spans="1:10" s="4" customFormat="1" x14ac:dyDescent="0.2">
      <c r="A67" s="1" t="s">
        <v>3417</v>
      </c>
      <c r="B67" s="1" t="s">
        <v>3418</v>
      </c>
      <c r="C67" s="1">
        <v>1186</v>
      </c>
      <c r="D67" s="1">
        <v>1186</v>
      </c>
      <c r="E67" s="2">
        <v>0.98</v>
      </c>
      <c r="F67" s="1">
        <v>0</v>
      </c>
      <c r="G67" s="1">
        <v>70.14</v>
      </c>
      <c r="H67" s="1">
        <v>791</v>
      </c>
      <c r="I67" s="28" t="str">
        <f>HYPERLINK("https://www.ncbi.nlm.nih.gov/protein/WP_087144628.1?report=genbank&amp;log$=prottop&amp;blast_rank=159&amp;RID=7U875CNM013","WP_087144628.1")</f>
        <v>WP_087144628.1</v>
      </c>
      <c r="J67" s="1" t="s">
        <v>3276</v>
      </c>
    </row>
    <row r="68" spans="1:10" s="4" customFormat="1" x14ac:dyDescent="0.2">
      <c r="A68" s="1" t="s">
        <v>3428</v>
      </c>
      <c r="B68" s="1" t="s">
        <v>3429</v>
      </c>
      <c r="C68" s="1">
        <v>1174</v>
      </c>
      <c r="D68" s="1">
        <v>1174</v>
      </c>
      <c r="E68" s="2">
        <v>0.98</v>
      </c>
      <c r="F68" s="1">
        <v>0</v>
      </c>
      <c r="G68" s="1">
        <v>70.099999999999994</v>
      </c>
      <c r="H68" s="1">
        <v>798</v>
      </c>
      <c r="I68" s="1" t="str">
        <f>HYPERLINK("https://www.ncbi.nlm.nih.gov/protein/WP_134132540.1?report=genbank&amp;log$=prottop&amp;blast_rank=170&amp;RID=7U875CNM013","WP_134132540.1")</f>
        <v>WP_134132540.1</v>
      </c>
      <c r="J68" s="1" t="s">
        <v>2134</v>
      </c>
    </row>
    <row r="69" spans="1:10" s="4" customFormat="1" x14ac:dyDescent="0.2">
      <c r="A69" s="1" t="s">
        <v>3430</v>
      </c>
      <c r="B69" s="1" t="s">
        <v>3431</v>
      </c>
      <c r="C69" s="1">
        <v>1172</v>
      </c>
      <c r="D69" s="1">
        <v>1172</v>
      </c>
      <c r="E69" s="2">
        <v>0.98</v>
      </c>
      <c r="F69" s="1">
        <v>0</v>
      </c>
      <c r="G69" s="1">
        <v>70.099999999999994</v>
      </c>
      <c r="H69" s="1">
        <v>798</v>
      </c>
      <c r="I69" s="1" t="str">
        <f>HYPERLINK("https://www.ncbi.nlm.nih.gov/protein/WP_121308956.1?report=genbank&amp;log$=prottop&amp;blast_rank=171&amp;RID=7U875CNM013","WP_121308956.1")</f>
        <v>WP_121308956.1</v>
      </c>
      <c r="J69" s="1" t="s">
        <v>2134</v>
      </c>
    </row>
    <row r="70" spans="1:10" s="4" customFormat="1" x14ac:dyDescent="0.2">
      <c r="A70" s="1" t="s">
        <v>3432</v>
      </c>
      <c r="B70" s="1" t="s">
        <v>3433</v>
      </c>
      <c r="C70" s="1">
        <v>1176</v>
      </c>
      <c r="D70" s="1">
        <v>1176</v>
      </c>
      <c r="E70" s="2">
        <v>0.99</v>
      </c>
      <c r="F70" s="1">
        <v>0</v>
      </c>
      <c r="G70" s="1">
        <v>70.09</v>
      </c>
      <c r="H70" s="1">
        <v>798</v>
      </c>
      <c r="I70" s="1" t="str">
        <f>HYPERLINK("https://www.ncbi.nlm.nih.gov/protein/WP_088174043.1?report=genbank&amp;log$=prottop&amp;blast_rank=176&amp;RID=7U875CNM013","WP_088174043.1")</f>
        <v>WP_088174043.1</v>
      </c>
      <c r="J70" s="1" t="s">
        <v>2134</v>
      </c>
    </row>
    <row r="71" spans="1:10" s="4" customFormat="1" x14ac:dyDescent="0.2">
      <c r="A71" s="1" t="s">
        <v>3434</v>
      </c>
      <c r="B71" s="1" t="s">
        <v>3435</v>
      </c>
      <c r="C71" s="1">
        <v>1189</v>
      </c>
      <c r="D71" s="1">
        <v>1189</v>
      </c>
      <c r="E71" s="2">
        <v>0.98</v>
      </c>
      <c r="F71" s="1">
        <v>0</v>
      </c>
      <c r="G71" s="1">
        <v>70.06</v>
      </c>
      <c r="H71" s="1">
        <v>797</v>
      </c>
      <c r="I71" s="1" t="str">
        <f>HYPERLINK("https://www.ncbi.nlm.nih.gov/protein/OQW69750.1?report=genbank&amp;log$=prottop&amp;blast_rank=177&amp;RID=7U875CNM013","OQW69750.1")</f>
        <v>OQW69750.1</v>
      </c>
      <c r="J71" s="1" t="s">
        <v>2769</v>
      </c>
    </row>
    <row r="72" spans="1:10" s="4" customFormat="1" x14ac:dyDescent="0.2">
      <c r="A72" s="1" t="s">
        <v>3393</v>
      </c>
      <c r="B72" s="1" t="s">
        <v>3315</v>
      </c>
      <c r="C72" s="1">
        <v>1188</v>
      </c>
      <c r="D72" s="1">
        <v>1188</v>
      </c>
      <c r="E72" s="2">
        <v>1</v>
      </c>
      <c r="F72" s="1">
        <v>0</v>
      </c>
      <c r="G72" s="1">
        <v>70.05</v>
      </c>
      <c r="H72" s="1">
        <v>797</v>
      </c>
      <c r="I72" s="1" t="str">
        <f>HYPERLINK("https://www.ncbi.nlm.nih.gov/protein/HED15831.1?report=genbank&amp;log$=prottop&amp;blast_rank=178&amp;RID=7U875CNM013","HED15831.1")</f>
        <v>HED15831.1</v>
      </c>
      <c r="J72" s="1" t="s">
        <v>3276</v>
      </c>
    </row>
    <row r="73" spans="1:10" s="4" customFormat="1" x14ac:dyDescent="0.2">
      <c r="A73" s="1" t="s">
        <v>3436</v>
      </c>
      <c r="B73" s="1" t="s">
        <v>3437</v>
      </c>
      <c r="C73" s="1">
        <v>1165</v>
      </c>
      <c r="D73" s="1">
        <v>1165</v>
      </c>
      <c r="E73" s="2">
        <v>0.98</v>
      </c>
      <c r="F73" s="1">
        <v>0</v>
      </c>
      <c r="G73" s="1">
        <v>70.040000000000006</v>
      </c>
      <c r="H73" s="1">
        <v>794</v>
      </c>
      <c r="I73" s="1" t="str">
        <f>HYPERLINK("https://www.ncbi.nlm.nih.gov/protein/OYX29717.1?report=genbank&amp;log$=prottop&amp;blast_rank=180&amp;RID=7U875CNM013","OYX29717.1")</f>
        <v>OYX29717.1</v>
      </c>
      <c r="J73" s="1" t="s">
        <v>2769</v>
      </c>
    </row>
    <row r="74" spans="1:10" s="4" customFormat="1" x14ac:dyDescent="0.2">
      <c r="A74" s="1" t="s">
        <v>3438</v>
      </c>
      <c r="B74" s="1" t="s">
        <v>3439</v>
      </c>
      <c r="C74" s="1">
        <v>1170</v>
      </c>
      <c r="D74" s="1">
        <v>1170</v>
      </c>
      <c r="E74" s="2">
        <v>0.99</v>
      </c>
      <c r="F74" s="1">
        <v>0</v>
      </c>
      <c r="G74" s="1">
        <v>70.040000000000006</v>
      </c>
      <c r="H74" s="1">
        <v>798</v>
      </c>
      <c r="I74" s="1" t="str">
        <f>HYPERLINK("https://www.ncbi.nlm.nih.gov/protein/WP_121324737.1?report=genbank&amp;log$=prottop&amp;blast_rank=183&amp;RID=7U875CNM013","WP_121324737.1")</f>
        <v>WP_121324737.1</v>
      </c>
      <c r="J74" s="1" t="s">
        <v>2134</v>
      </c>
    </row>
    <row r="75" spans="1:10" s="7" customFormat="1" x14ac:dyDescent="0.2">
      <c r="A75" s="5" t="s">
        <v>3440</v>
      </c>
      <c r="B75" s="5" t="s">
        <v>3441</v>
      </c>
      <c r="C75" s="5">
        <v>1181</v>
      </c>
      <c r="D75" s="5">
        <v>1181</v>
      </c>
      <c r="E75" s="6">
        <v>0.98</v>
      </c>
      <c r="F75" s="5">
        <v>0</v>
      </c>
      <c r="G75" s="5">
        <v>69.97</v>
      </c>
      <c r="H75" s="5">
        <v>792</v>
      </c>
      <c r="I75" s="5" t="str">
        <f>HYPERLINK("https://www.ncbi.nlm.nih.gov/protein/OYY94589.1?report=genbank&amp;log$=prottop&amp;blast_rank=9&amp;RID=7U875CNM013","OYY94589.1")</f>
        <v>OYY94589.1</v>
      </c>
      <c r="J75" s="5" t="s">
        <v>2769</v>
      </c>
    </row>
    <row r="76" spans="1:10" s="7" customFormat="1" x14ac:dyDescent="0.2">
      <c r="A76" s="5" t="s">
        <v>3442</v>
      </c>
      <c r="B76" s="5" t="s">
        <v>3443</v>
      </c>
      <c r="C76" s="5">
        <v>1172</v>
      </c>
      <c r="D76" s="5">
        <v>1172</v>
      </c>
      <c r="E76" s="6">
        <v>0.98</v>
      </c>
      <c r="F76" s="5">
        <v>0</v>
      </c>
      <c r="G76" s="5">
        <v>69.97</v>
      </c>
      <c r="H76" s="5">
        <v>798</v>
      </c>
      <c r="I76" s="5" t="str">
        <f>HYPERLINK("https://www.ncbi.nlm.nih.gov/protein/WP_116123648.1?report=genbank&amp;log$=prottop&amp;blast_rank=11&amp;RID=7U875CNM013","WP_116123648.1")</f>
        <v>WP_116123648.1</v>
      </c>
      <c r="J76" s="5" t="s">
        <v>2134</v>
      </c>
    </row>
    <row r="77" spans="1:10" s="7" customFormat="1" x14ac:dyDescent="0.2">
      <c r="A77" s="5" t="s">
        <v>3444</v>
      </c>
      <c r="B77" s="5" t="s">
        <v>3445</v>
      </c>
      <c r="C77" s="5">
        <v>1164</v>
      </c>
      <c r="D77" s="5">
        <v>1164</v>
      </c>
      <c r="E77" s="6">
        <v>0.98</v>
      </c>
      <c r="F77" s="5">
        <v>0</v>
      </c>
      <c r="G77" s="5">
        <v>69.97</v>
      </c>
      <c r="H77" s="5">
        <v>798</v>
      </c>
      <c r="I77" s="5" t="str">
        <f>HYPERLINK("https://www.ncbi.nlm.nih.gov/protein/WP_006051616.1?report=genbank&amp;log$=prottop&amp;blast_rank=12&amp;RID=7U875CNM013","WP_006051616.1")</f>
        <v>WP_006051616.1</v>
      </c>
      <c r="J77" s="5" t="s">
        <v>2134</v>
      </c>
    </row>
    <row r="78" spans="1:10" s="7" customFormat="1" x14ac:dyDescent="0.2">
      <c r="A78" s="5" t="s">
        <v>3446</v>
      </c>
      <c r="B78" s="5" t="s">
        <v>3447</v>
      </c>
      <c r="C78" s="5">
        <v>1163</v>
      </c>
      <c r="D78" s="5">
        <v>1163</v>
      </c>
      <c r="E78" s="6">
        <v>0.98</v>
      </c>
      <c r="F78" s="5">
        <v>0</v>
      </c>
      <c r="G78" s="5">
        <v>69.97</v>
      </c>
      <c r="H78" s="5">
        <v>798</v>
      </c>
      <c r="I78" s="5" t="str">
        <f>HYPERLINK("https://www.ncbi.nlm.nih.gov/protein/WP_107707960.1?report=genbank&amp;log$=prottop&amp;blast_rank=13&amp;RID=7U875CNM013","WP_107707960.1")</f>
        <v>WP_107707960.1</v>
      </c>
      <c r="J78" s="5" t="s">
        <v>2134</v>
      </c>
    </row>
    <row r="79" spans="1:10" s="7" customFormat="1" x14ac:dyDescent="0.2">
      <c r="A79" s="5" t="s">
        <v>3448</v>
      </c>
      <c r="B79" s="5" t="s">
        <v>3449</v>
      </c>
      <c r="C79" s="5">
        <v>1162</v>
      </c>
      <c r="D79" s="5">
        <v>1162</v>
      </c>
      <c r="E79" s="6">
        <v>0.98</v>
      </c>
      <c r="F79" s="5">
        <v>0</v>
      </c>
      <c r="G79" s="5">
        <v>69.97</v>
      </c>
      <c r="H79" s="5">
        <v>798</v>
      </c>
      <c r="I79" s="5" t="str">
        <f>HYPERLINK("https://www.ncbi.nlm.nih.gov/protein/WP_053860468.1?report=genbank&amp;log$=prottop&amp;blast_rank=14&amp;RID=7U875CNM013","WP_053860468.1")</f>
        <v>WP_053860468.1</v>
      </c>
      <c r="J79" s="5" t="s">
        <v>2134</v>
      </c>
    </row>
    <row r="80" spans="1:10" s="7" customFormat="1" x14ac:dyDescent="0.2">
      <c r="A80" s="5" t="s">
        <v>3414</v>
      </c>
      <c r="B80" s="5" t="s">
        <v>3413</v>
      </c>
      <c r="C80" s="5">
        <v>1175</v>
      </c>
      <c r="D80" s="5">
        <v>1175</v>
      </c>
      <c r="E80" s="6">
        <v>0.99</v>
      </c>
      <c r="F80" s="5">
        <v>0</v>
      </c>
      <c r="G80" s="5">
        <v>69.959999999999994</v>
      </c>
      <c r="H80" s="5">
        <v>798</v>
      </c>
      <c r="I80" s="5" t="str">
        <f>HYPERLINK("https://www.ncbi.nlm.nih.gov/protein/WP_020066891.1?report=genbank&amp;log$=prottop&amp;blast_rank=15&amp;RID=7U875CNM013","WP_020066891.1")</f>
        <v>WP_020066891.1</v>
      </c>
      <c r="J80" s="5" t="s">
        <v>2134</v>
      </c>
    </row>
    <row r="81" spans="1:10" s="7" customFormat="1" x14ac:dyDescent="0.2">
      <c r="A81" s="5" t="s">
        <v>3450</v>
      </c>
      <c r="B81" s="5" t="s">
        <v>3451</v>
      </c>
      <c r="C81" s="5">
        <v>1172</v>
      </c>
      <c r="D81" s="5">
        <v>1172</v>
      </c>
      <c r="E81" s="6">
        <v>0.99</v>
      </c>
      <c r="F81" s="5">
        <v>0</v>
      </c>
      <c r="G81" s="5">
        <v>69.959999999999994</v>
      </c>
      <c r="H81" s="5">
        <v>798</v>
      </c>
      <c r="I81" s="5" t="str">
        <f>HYPERLINK("https://www.ncbi.nlm.nih.gov/protein/TCG01980.1?report=genbank&amp;log$=prottop&amp;blast_rank=16&amp;RID=7U875CNM013","TCG01980.1")</f>
        <v>TCG01980.1</v>
      </c>
      <c r="J81" s="5" t="s">
        <v>2134</v>
      </c>
    </row>
    <row r="82" spans="1:10" s="7" customFormat="1" x14ac:dyDescent="0.2">
      <c r="A82" s="5" t="s">
        <v>3393</v>
      </c>
      <c r="B82" s="5" t="s">
        <v>3315</v>
      </c>
      <c r="C82" s="5">
        <v>1178</v>
      </c>
      <c r="D82" s="5">
        <v>1178</v>
      </c>
      <c r="E82" s="6">
        <v>0.98</v>
      </c>
      <c r="F82" s="5">
        <v>0</v>
      </c>
      <c r="G82" s="5">
        <v>69.900000000000006</v>
      </c>
      <c r="H82" s="5">
        <v>812</v>
      </c>
      <c r="I82" s="5" t="str">
        <f>HYPERLINK("https://www.ncbi.nlm.nih.gov/protein/HHJ16222.1?report=genbank&amp;log$=prottop&amp;blast_rank=25&amp;RID=7U875CNM013","HHJ16222.1")</f>
        <v>HHJ16222.1</v>
      </c>
      <c r="J82" s="5" t="s">
        <v>3276</v>
      </c>
    </row>
    <row r="83" spans="1:10" s="7" customFormat="1" x14ac:dyDescent="0.2">
      <c r="A83" s="5" t="s">
        <v>3452</v>
      </c>
      <c r="B83" s="5" t="s">
        <v>3453</v>
      </c>
      <c r="C83" s="5">
        <v>1168</v>
      </c>
      <c r="D83" s="5">
        <v>1168</v>
      </c>
      <c r="E83" s="6">
        <v>0.99</v>
      </c>
      <c r="F83" s="5">
        <v>0</v>
      </c>
      <c r="G83" s="5">
        <v>69.87</v>
      </c>
      <c r="H83" s="5">
        <v>798</v>
      </c>
      <c r="I83" s="35" t="str">
        <f>HYPERLINK("https://www.ncbi.nlm.nih.gov/protein/WP_027197453.1?report=genbank&amp;log$=prottop&amp;blast_rank=30&amp;RID=7U875CNM013","WP_027197453.1")</f>
        <v>WP_027197453.1</v>
      </c>
      <c r="J83" s="5" t="s">
        <v>2134</v>
      </c>
    </row>
    <row r="84" spans="1:10" s="7" customFormat="1" x14ac:dyDescent="0.2">
      <c r="A84" s="5" t="s">
        <v>3454</v>
      </c>
      <c r="B84" s="5" t="s">
        <v>3455</v>
      </c>
      <c r="C84" s="5">
        <v>1170</v>
      </c>
      <c r="D84" s="5">
        <v>1170</v>
      </c>
      <c r="E84" s="6">
        <v>0.98</v>
      </c>
      <c r="F84" s="5">
        <v>0</v>
      </c>
      <c r="G84" s="5">
        <v>69.86</v>
      </c>
      <c r="H84" s="5">
        <v>792</v>
      </c>
      <c r="I84" s="5" t="str">
        <f>HYPERLINK("https://www.ncbi.nlm.nih.gov/protein/WP_206604631.1?report=genbank&amp;log$=prottop&amp;blast_rank=35&amp;RID=7U875CNM013","WP_206604631.1")</f>
        <v>WP_206604631.1</v>
      </c>
      <c r="J84" s="5" t="s">
        <v>3276</v>
      </c>
    </row>
    <row r="85" spans="1:10" s="31" customFormat="1" x14ac:dyDescent="0.2">
      <c r="A85" s="29" t="s">
        <v>3456</v>
      </c>
      <c r="B85" s="29" t="s">
        <v>3457</v>
      </c>
      <c r="C85" s="29">
        <v>1136</v>
      </c>
      <c r="D85" s="29">
        <v>1136</v>
      </c>
      <c r="E85" s="30">
        <v>0.98</v>
      </c>
      <c r="F85" s="29">
        <v>0</v>
      </c>
      <c r="G85" s="29">
        <v>69.86</v>
      </c>
      <c r="H85" s="29">
        <v>1305</v>
      </c>
      <c r="I85" s="29" t="str">
        <f>HYPERLINK("https://www.ncbi.nlm.nih.gov/protein/ABS26341.1?report=genbank&amp;log$=prottop&amp;blast_rank=39&amp;RID=7U875CNM013","ABS26341.1")</f>
        <v>ABS26341.1</v>
      </c>
      <c r="J85" s="29" t="s">
        <v>3286</v>
      </c>
    </row>
    <row r="86" spans="1:10" s="7" customFormat="1" x14ac:dyDescent="0.2">
      <c r="A86" s="5" t="s">
        <v>3458</v>
      </c>
      <c r="B86" s="5" t="s">
        <v>3459</v>
      </c>
      <c r="C86" s="5">
        <v>1135</v>
      </c>
      <c r="D86" s="5">
        <v>1135</v>
      </c>
      <c r="E86" s="6">
        <v>0.98</v>
      </c>
      <c r="F86" s="5">
        <v>0</v>
      </c>
      <c r="G86" s="5">
        <v>69.86</v>
      </c>
      <c r="H86" s="5">
        <v>1228</v>
      </c>
      <c r="I86" s="5" t="str">
        <f>HYPERLINK("https://www.ncbi.nlm.nih.gov/protein/WP_011422167.1?report=genbank&amp;log$=prottop&amp;blast_rank=40&amp;RID=7U875CNM013","WP_011422167.1")</f>
        <v>WP_011422167.1</v>
      </c>
      <c r="J86" s="5" t="s">
        <v>3286</v>
      </c>
    </row>
    <row r="87" spans="1:10" s="7" customFormat="1" x14ac:dyDescent="0.2">
      <c r="A87" s="5" t="s">
        <v>3460</v>
      </c>
      <c r="B87" s="5" t="s">
        <v>3461</v>
      </c>
      <c r="C87" s="5">
        <v>1135</v>
      </c>
      <c r="D87" s="5">
        <v>1135</v>
      </c>
      <c r="E87" s="6">
        <v>0.98</v>
      </c>
      <c r="F87" s="5">
        <v>0</v>
      </c>
      <c r="G87" s="5">
        <v>69.86</v>
      </c>
      <c r="H87" s="5">
        <v>1230</v>
      </c>
      <c r="I87" s="5" t="str">
        <f>HYPERLINK("https://www.ncbi.nlm.nih.gov/protein/WP_012527220.1?report=genbank&amp;log$=prottop&amp;blast_rank=41&amp;RID=7U875CNM013","WP_012527220.1")</f>
        <v>WP_012527220.1</v>
      </c>
      <c r="J87" s="5" t="s">
        <v>3286</v>
      </c>
    </row>
    <row r="88" spans="1:10" s="7" customFormat="1" x14ac:dyDescent="0.2">
      <c r="A88" s="5" t="s">
        <v>3462</v>
      </c>
      <c r="B88" s="5" t="s">
        <v>3457</v>
      </c>
      <c r="C88" s="5">
        <v>1134</v>
      </c>
      <c r="D88" s="5">
        <v>1134</v>
      </c>
      <c r="E88" s="6">
        <v>0.98</v>
      </c>
      <c r="F88" s="5">
        <v>0</v>
      </c>
      <c r="G88" s="5">
        <v>69.86</v>
      </c>
      <c r="H88" s="5">
        <v>1219</v>
      </c>
      <c r="I88" s="5" t="str">
        <f>HYPERLINK("https://www.ncbi.nlm.nih.gov/protein/WP_143827950.1?report=genbank&amp;log$=prottop&amp;blast_rank=42&amp;RID=7U875CNM013","WP_143827950.1")</f>
        <v>WP_143827950.1</v>
      </c>
      <c r="J88" s="5" t="s">
        <v>3286</v>
      </c>
    </row>
    <row r="89" spans="1:10" s="7" customFormat="1" x14ac:dyDescent="0.2">
      <c r="A89" s="5" t="s">
        <v>3463</v>
      </c>
      <c r="B89" s="5" t="s">
        <v>3464</v>
      </c>
      <c r="C89" s="5">
        <v>1180</v>
      </c>
      <c r="D89" s="5">
        <v>1180</v>
      </c>
      <c r="E89" s="6">
        <v>1</v>
      </c>
      <c r="F89" s="5">
        <v>0</v>
      </c>
      <c r="G89" s="5">
        <v>69.849999999999994</v>
      </c>
      <c r="H89" s="5">
        <v>795</v>
      </c>
      <c r="I89" s="5" t="str">
        <f>HYPERLINK("https://www.ncbi.nlm.nih.gov/protein/WP_155450260.1?report=genbank&amp;log$=prottop&amp;blast_rank=43&amp;RID=7U875CNM013","WP_155450260.1")</f>
        <v>WP_155450260.1</v>
      </c>
      <c r="J89" s="5" t="s">
        <v>3276</v>
      </c>
    </row>
    <row r="90" spans="1:10" s="7" customFormat="1" x14ac:dyDescent="0.2">
      <c r="A90" s="5" t="s">
        <v>3465</v>
      </c>
      <c r="B90" s="5" t="s">
        <v>3466</v>
      </c>
      <c r="C90" s="5">
        <v>1167</v>
      </c>
      <c r="D90" s="5">
        <v>1167</v>
      </c>
      <c r="E90" s="6">
        <v>0.97</v>
      </c>
      <c r="F90" s="5">
        <v>0</v>
      </c>
      <c r="G90" s="5">
        <v>69.849999999999994</v>
      </c>
      <c r="H90" s="5">
        <v>793</v>
      </c>
      <c r="I90" s="5" t="str">
        <f>HYPERLINK("https://www.ncbi.nlm.nih.gov/protein/PVV10220.1?report=genbank&amp;log$=prottop&amp;blast_rank=46&amp;RID=7U875CNM013","PVV10220.1")</f>
        <v>PVV10220.1</v>
      </c>
      <c r="J90" s="5" t="s">
        <v>3276</v>
      </c>
    </row>
    <row r="91" spans="1:10" s="7" customFormat="1" x14ac:dyDescent="0.2">
      <c r="A91" s="5" t="s">
        <v>3465</v>
      </c>
      <c r="B91" s="5" t="s">
        <v>3466</v>
      </c>
      <c r="C91" s="5">
        <v>1167</v>
      </c>
      <c r="D91" s="5">
        <v>1167</v>
      </c>
      <c r="E91" s="6">
        <v>0.97</v>
      </c>
      <c r="F91" s="5">
        <v>0</v>
      </c>
      <c r="G91" s="5">
        <v>69.849999999999994</v>
      </c>
      <c r="H91" s="5">
        <v>793</v>
      </c>
      <c r="I91" s="5" t="str">
        <f>HYPERLINK("https://www.ncbi.nlm.nih.gov/protein/PVV24826.1?report=genbank&amp;log$=prottop&amp;blast_rank=47&amp;RID=7U875CNM013","PVV24826.1")</f>
        <v>PVV24826.1</v>
      </c>
      <c r="J91" s="5" t="s">
        <v>3276</v>
      </c>
    </row>
    <row r="92" spans="1:10" s="7" customFormat="1" x14ac:dyDescent="0.2">
      <c r="A92" s="5" t="s">
        <v>3393</v>
      </c>
      <c r="B92" s="5" t="s">
        <v>3315</v>
      </c>
      <c r="C92" s="5">
        <v>1157</v>
      </c>
      <c r="D92" s="5">
        <v>1157</v>
      </c>
      <c r="E92" s="6">
        <v>0.98</v>
      </c>
      <c r="F92" s="5">
        <v>0</v>
      </c>
      <c r="G92" s="5">
        <v>69.77</v>
      </c>
      <c r="H92" s="5">
        <v>800</v>
      </c>
      <c r="I92" s="5" t="str">
        <f>HYPERLINK("https://www.ncbi.nlm.nih.gov/protein/HFD91745.1?report=genbank&amp;log$=prottop&amp;blast_rank=60&amp;RID=7U875CNM013","HFD91745.1")</f>
        <v>HFD91745.1</v>
      </c>
      <c r="J92" s="5" t="s">
        <v>3276</v>
      </c>
    </row>
    <row r="93" spans="1:10" s="7" customFormat="1" x14ac:dyDescent="0.2">
      <c r="A93" s="5" t="s">
        <v>3467</v>
      </c>
      <c r="B93" s="5" t="s">
        <v>3468</v>
      </c>
      <c r="C93" s="5">
        <v>1165</v>
      </c>
      <c r="D93" s="5">
        <v>1165</v>
      </c>
      <c r="E93" s="6">
        <v>0.98</v>
      </c>
      <c r="F93" s="5">
        <v>0</v>
      </c>
      <c r="G93" s="5">
        <v>69.760000000000005</v>
      </c>
      <c r="H93" s="5">
        <v>797</v>
      </c>
      <c r="I93" s="5" t="str">
        <f>HYPERLINK("https://www.ncbi.nlm.nih.gov/protein/WP_133190443.1?report=genbank&amp;log$=prottop&amp;blast_rank=63&amp;RID=7U875CNM013","WP_133190443.1")</f>
        <v>WP_133190443.1</v>
      </c>
      <c r="J93" s="5" t="s">
        <v>2134</v>
      </c>
    </row>
    <row r="94" spans="1:10" s="7" customFormat="1" x14ac:dyDescent="0.2">
      <c r="A94" s="5" t="s">
        <v>3469</v>
      </c>
      <c r="B94" s="5" t="s">
        <v>3470</v>
      </c>
      <c r="C94" s="5">
        <v>1176</v>
      </c>
      <c r="D94" s="5">
        <v>1176</v>
      </c>
      <c r="E94" s="6">
        <v>0.99</v>
      </c>
      <c r="F94" s="5">
        <v>0</v>
      </c>
      <c r="G94" s="5">
        <v>69.75</v>
      </c>
      <c r="H94" s="5">
        <v>811</v>
      </c>
      <c r="I94" s="5" t="str">
        <f>HYPERLINK("https://www.ncbi.nlm.nih.gov/protein/WP_073103239.1?report=genbank&amp;log$=prottop&amp;blast_rank=64&amp;RID=7U875CNM013","WP_073103239.1")</f>
        <v>WP_073103239.1</v>
      </c>
      <c r="J94" s="5" t="s">
        <v>3471</v>
      </c>
    </row>
    <row r="95" spans="1:10" s="7" customFormat="1" x14ac:dyDescent="0.2">
      <c r="A95" s="5" t="s">
        <v>3476</v>
      </c>
      <c r="B95" s="5" t="s">
        <v>3477</v>
      </c>
      <c r="C95" s="5">
        <v>1159</v>
      </c>
      <c r="D95" s="5">
        <v>1159</v>
      </c>
      <c r="E95" s="6">
        <v>0.98</v>
      </c>
      <c r="F95" s="5">
        <v>0</v>
      </c>
      <c r="G95" s="5">
        <v>69.72</v>
      </c>
      <c r="H95" s="5">
        <v>798</v>
      </c>
      <c r="I95" s="5" t="str">
        <f>HYPERLINK("https://www.ncbi.nlm.nih.gov/protein/WP_192700272.1?report=genbank&amp;log$=prottop&amp;blast_rank=77&amp;RID=7U875CNM013","WP_192700272.1")</f>
        <v>WP_192700272.1</v>
      </c>
      <c r="J95" s="5" t="s">
        <v>2134</v>
      </c>
    </row>
    <row r="96" spans="1:10" s="7" customFormat="1" x14ac:dyDescent="0.2">
      <c r="A96" s="5" t="s">
        <v>3414</v>
      </c>
      <c r="B96" s="5" t="s">
        <v>3413</v>
      </c>
      <c r="C96" s="5">
        <v>1176</v>
      </c>
      <c r="D96" s="5">
        <v>1176</v>
      </c>
      <c r="E96" s="6">
        <v>0.99</v>
      </c>
      <c r="F96" s="5">
        <v>0</v>
      </c>
      <c r="G96" s="5">
        <v>69.709999999999994</v>
      </c>
      <c r="H96" s="5">
        <v>798</v>
      </c>
      <c r="I96" s="5" t="str">
        <f>HYPERLINK("https://www.ncbi.nlm.nih.gov/protein/WP_027778795.1?report=genbank&amp;log$=prottop&amp;blast_rank=78&amp;RID=7U875CNM013","WP_027778795.1")</f>
        <v>WP_027778795.1</v>
      </c>
      <c r="J96" s="5" t="s">
        <v>2134</v>
      </c>
    </row>
    <row r="97" spans="1:10" s="7" customFormat="1" x14ac:dyDescent="0.2">
      <c r="A97" s="5" t="s">
        <v>3414</v>
      </c>
      <c r="B97" s="5" t="s">
        <v>3413</v>
      </c>
      <c r="C97" s="5">
        <v>1174</v>
      </c>
      <c r="D97" s="5">
        <v>1174</v>
      </c>
      <c r="E97" s="6">
        <v>0.99</v>
      </c>
      <c r="F97" s="5">
        <v>0</v>
      </c>
      <c r="G97" s="5">
        <v>69.709999999999994</v>
      </c>
      <c r="H97" s="5">
        <v>798</v>
      </c>
      <c r="I97" s="5" t="str">
        <f>HYPERLINK("https://www.ncbi.nlm.nih.gov/protein/WP_114199565.1?report=genbank&amp;log$=prottop&amp;blast_rank=79&amp;RID=7U875CNM013","WP_114199565.1")</f>
        <v>WP_114199565.1</v>
      </c>
      <c r="J97" s="5" t="s">
        <v>2134</v>
      </c>
    </row>
    <row r="98" spans="1:10" s="7" customFormat="1" x14ac:dyDescent="0.2">
      <c r="A98" s="5" t="s">
        <v>3478</v>
      </c>
      <c r="B98" s="5" t="s">
        <v>3479</v>
      </c>
      <c r="C98" s="5">
        <v>1190</v>
      </c>
      <c r="D98" s="5">
        <v>1190</v>
      </c>
      <c r="E98" s="6">
        <v>0.99</v>
      </c>
      <c r="F98" s="5">
        <v>0</v>
      </c>
      <c r="G98" s="5">
        <v>69.69</v>
      </c>
      <c r="H98" s="5">
        <v>800</v>
      </c>
      <c r="I98" s="5" t="str">
        <f>HYPERLINK("https://www.ncbi.nlm.nih.gov/protein/WP_113931223.1?report=genbank&amp;log$=prottop&amp;blast_rank=88&amp;RID=7U875CNM013","WP_113931223.1")</f>
        <v>WP_113931223.1</v>
      </c>
      <c r="J98" s="5" t="s">
        <v>2134</v>
      </c>
    </row>
    <row r="99" spans="1:10" s="7" customFormat="1" x14ac:dyDescent="0.2">
      <c r="A99" s="5" t="s">
        <v>3480</v>
      </c>
      <c r="B99" s="5" t="s">
        <v>3481</v>
      </c>
      <c r="C99" s="5">
        <v>1189</v>
      </c>
      <c r="D99" s="5">
        <v>1189</v>
      </c>
      <c r="E99" s="6">
        <v>0.99</v>
      </c>
      <c r="F99" s="5">
        <v>0</v>
      </c>
      <c r="G99" s="5">
        <v>69.69</v>
      </c>
      <c r="H99" s="5">
        <v>797</v>
      </c>
      <c r="I99" s="5" t="str">
        <f>HYPERLINK("https://www.ncbi.nlm.nih.gov/protein/KPJ94865.1?report=genbank&amp;log$=prottop&amp;blast_rank=89&amp;RID=7U875CNM013","KPJ94865.1")</f>
        <v>KPJ94865.1</v>
      </c>
      <c r="J99" s="5" t="s">
        <v>3276</v>
      </c>
    </row>
    <row r="100" spans="1:10" s="7" customFormat="1" x14ac:dyDescent="0.2">
      <c r="A100" s="5" t="s">
        <v>3482</v>
      </c>
      <c r="B100" s="5" t="s">
        <v>3483</v>
      </c>
      <c r="C100" s="5">
        <v>1179</v>
      </c>
      <c r="D100" s="5">
        <v>1179</v>
      </c>
      <c r="E100" s="6">
        <v>0.98</v>
      </c>
      <c r="F100" s="5">
        <v>0</v>
      </c>
      <c r="G100" s="5">
        <v>69.64</v>
      </c>
      <c r="H100" s="5">
        <v>785</v>
      </c>
      <c r="I100" s="5" t="str">
        <f>HYPERLINK("https://www.ncbi.nlm.nih.gov/protein/MBF0282606.1?report=genbank&amp;log$=prottop&amp;blast_rank=96&amp;RID=7U875CNM013","MBF0282606.1")</f>
        <v>MBF0282606.1</v>
      </c>
      <c r="J100" s="5" t="s">
        <v>3484</v>
      </c>
    </row>
    <row r="101" spans="1:10" s="7" customFormat="1" x14ac:dyDescent="0.2">
      <c r="A101" s="5" t="s">
        <v>3485</v>
      </c>
      <c r="B101" s="5" t="s">
        <v>3486</v>
      </c>
      <c r="C101" s="5">
        <v>1167</v>
      </c>
      <c r="D101" s="5">
        <v>1167</v>
      </c>
      <c r="E101" s="6">
        <v>0.99</v>
      </c>
      <c r="F101" s="5">
        <v>0</v>
      </c>
      <c r="G101" s="5">
        <v>69.61</v>
      </c>
      <c r="H101" s="5">
        <v>798</v>
      </c>
      <c r="I101" s="5" t="str">
        <f>HYPERLINK("https://www.ncbi.nlm.nih.gov/protein/WP_094777919.1?report=genbank&amp;log$=prottop&amp;blast_rank=106&amp;RID=7U875CNM013","WP_094777919.1")</f>
        <v>WP_094777919.1</v>
      </c>
      <c r="J101" s="5" t="s">
        <v>2134</v>
      </c>
    </row>
    <row r="102" spans="1:10" s="7" customFormat="1" x14ac:dyDescent="0.2">
      <c r="A102" s="5" t="s">
        <v>3321</v>
      </c>
      <c r="B102" s="5" t="s">
        <v>3322</v>
      </c>
      <c r="C102" s="5">
        <v>1156</v>
      </c>
      <c r="D102" s="5">
        <v>1156</v>
      </c>
      <c r="E102" s="6">
        <v>0.98</v>
      </c>
      <c r="F102" s="5">
        <v>0</v>
      </c>
      <c r="G102" s="5">
        <v>69.599999999999994</v>
      </c>
      <c r="H102" s="5">
        <v>805</v>
      </c>
      <c r="I102" s="5" t="str">
        <f>HYPERLINK("https://www.ncbi.nlm.nih.gov/protein/PYN46006.1?report=genbank&amp;log$=prottop&amp;blast_rank=109&amp;RID=7U875CNM013","PYN46006.1")</f>
        <v>PYN46006.1</v>
      </c>
      <c r="J102" s="5" t="s">
        <v>3323</v>
      </c>
    </row>
    <row r="103" spans="1:10" s="7" customFormat="1" x14ac:dyDescent="0.2">
      <c r="A103" s="5" t="s">
        <v>3458</v>
      </c>
      <c r="B103" s="5" t="s">
        <v>3459</v>
      </c>
      <c r="C103" s="5">
        <v>1133</v>
      </c>
      <c r="D103" s="5">
        <v>1133</v>
      </c>
      <c r="E103" s="6">
        <v>0.98</v>
      </c>
      <c r="F103" s="5">
        <v>0</v>
      </c>
      <c r="G103" s="5">
        <v>69.599999999999994</v>
      </c>
      <c r="H103" s="5">
        <v>1230</v>
      </c>
      <c r="I103" s="5" t="str">
        <f>HYPERLINK("https://www.ncbi.nlm.nih.gov/protein/WP_015934455.1?report=genbank&amp;log$=prottop&amp;blast_rank=113&amp;RID=7U875CNM013","WP_015934455.1")</f>
        <v>WP_015934455.1</v>
      </c>
      <c r="J103" s="5" t="s">
        <v>3487</v>
      </c>
    </row>
    <row r="104" spans="1:10" s="7" customFormat="1" x14ac:dyDescent="0.2">
      <c r="A104" s="5" t="s">
        <v>3365</v>
      </c>
      <c r="B104" s="5" t="s">
        <v>3360</v>
      </c>
      <c r="C104" s="5">
        <v>1184</v>
      </c>
      <c r="D104" s="5">
        <v>1184</v>
      </c>
      <c r="E104" s="6">
        <v>1</v>
      </c>
      <c r="F104" s="5">
        <v>0</v>
      </c>
      <c r="G104" s="5">
        <v>69.599999999999994</v>
      </c>
      <c r="H104" s="5">
        <v>796</v>
      </c>
      <c r="I104" s="5" t="str">
        <f>HYPERLINK("https://www.ncbi.nlm.nih.gov/protein/HFZ28514.1?report=genbank&amp;log$=prottop&amp;blast_rank=114&amp;RID=7U875CNM013","HFZ28514.1")</f>
        <v>HFZ28514.1</v>
      </c>
      <c r="J104" s="5" t="s">
        <v>3286</v>
      </c>
    </row>
    <row r="105" spans="1:10" s="7" customFormat="1" ht="17" customHeight="1" x14ac:dyDescent="0.2">
      <c r="A105" s="5" t="s">
        <v>3488</v>
      </c>
      <c r="B105" s="5" t="s">
        <v>3489</v>
      </c>
      <c r="C105" s="5">
        <v>1175</v>
      </c>
      <c r="D105" s="5">
        <v>1175</v>
      </c>
      <c r="E105" s="6">
        <v>0.98</v>
      </c>
      <c r="F105" s="5">
        <v>0</v>
      </c>
      <c r="G105" s="5">
        <v>69.59</v>
      </c>
      <c r="H105" s="5">
        <v>786</v>
      </c>
      <c r="I105" s="5" t="str">
        <f>HYPERLINK("https://www.ncbi.nlm.nih.gov/protein/HCI13987.1?report=genbank&amp;log$=prottop&amp;blast_rank=116&amp;RID=7U875CNM013","HCI13987.1")</f>
        <v>HCI13987.1</v>
      </c>
      <c r="J105" s="5" t="s">
        <v>2134</v>
      </c>
    </row>
    <row r="106" spans="1:10" s="7" customFormat="1" ht="17" customHeight="1" x14ac:dyDescent="0.2">
      <c r="A106" s="5" t="s">
        <v>3490</v>
      </c>
      <c r="B106" s="5" t="s">
        <v>3491</v>
      </c>
      <c r="C106" s="5">
        <v>1173</v>
      </c>
      <c r="D106" s="5">
        <v>1173</v>
      </c>
      <c r="E106" s="6">
        <v>0.99</v>
      </c>
      <c r="F106" s="5">
        <v>0</v>
      </c>
      <c r="G106" s="5">
        <v>69.58</v>
      </c>
      <c r="H106" s="5">
        <v>798</v>
      </c>
      <c r="I106" s="5" t="str">
        <f>HYPERLINK("https://www.ncbi.nlm.nih.gov/protein/WP_110403968.1?report=genbank&amp;log$=prottop&amp;blast_rank=117&amp;RID=7U875CNM013","WP_110403968.1")</f>
        <v>WP_110403968.1</v>
      </c>
      <c r="J106" s="5" t="s">
        <v>2134</v>
      </c>
    </row>
    <row r="107" spans="1:10" s="7" customFormat="1" x14ac:dyDescent="0.2">
      <c r="A107" s="5" t="s">
        <v>3535</v>
      </c>
      <c r="B107" s="5" t="s">
        <v>3536</v>
      </c>
      <c r="C107" s="5">
        <v>1115</v>
      </c>
      <c r="D107" s="5">
        <v>1115</v>
      </c>
      <c r="E107" s="6">
        <v>0.98</v>
      </c>
      <c r="F107" s="5">
        <v>0</v>
      </c>
      <c r="G107" s="5">
        <v>69.13</v>
      </c>
      <c r="H107" s="5">
        <v>807</v>
      </c>
      <c r="I107" s="5" t="str">
        <f>HYPERLINK("https://www.ncbi.nlm.nih.gov/protein/MBL8528165.1?report=genbank&amp;log$=prottop&amp;blast_rank=13&amp;RID=7U875CNM013","MBL8528165.1")</f>
        <v>MBL8528165.1</v>
      </c>
      <c r="J107" s="5" t="s">
        <v>2134</v>
      </c>
    </row>
    <row r="108" spans="1:10" s="7" customFormat="1" x14ac:dyDescent="0.2">
      <c r="A108" s="5" t="s">
        <v>3537</v>
      </c>
      <c r="B108" s="5" t="s">
        <v>3538</v>
      </c>
      <c r="C108" s="5">
        <v>1156</v>
      </c>
      <c r="D108" s="5">
        <v>1156</v>
      </c>
      <c r="E108" s="6">
        <v>0.99</v>
      </c>
      <c r="F108" s="5">
        <v>0</v>
      </c>
      <c r="G108" s="5">
        <v>69.11</v>
      </c>
      <c r="H108" s="5">
        <v>798</v>
      </c>
      <c r="I108" s="5" t="str">
        <f>HYPERLINK("https://www.ncbi.nlm.nih.gov/protein/WP_187610366.1?report=genbank&amp;log$=prottop&amp;blast_rank=21&amp;RID=7U875CNM013","WP_187610366.1")</f>
        <v>WP_187610366.1</v>
      </c>
      <c r="J108" s="5" t="s">
        <v>2134</v>
      </c>
    </row>
    <row r="109" spans="1:10" s="7" customFormat="1" x14ac:dyDescent="0.2">
      <c r="A109" s="5" t="s">
        <v>3539</v>
      </c>
      <c r="B109" s="5" t="s">
        <v>3540</v>
      </c>
      <c r="C109" s="5">
        <v>1139</v>
      </c>
      <c r="D109" s="5">
        <v>1139</v>
      </c>
      <c r="E109" s="6">
        <v>0.99</v>
      </c>
      <c r="F109" s="5">
        <v>0</v>
      </c>
      <c r="G109" s="5">
        <v>69.099999999999994</v>
      </c>
      <c r="H109" s="5">
        <v>799</v>
      </c>
      <c r="I109" s="5" t="str">
        <f>HYPERLINK("https://www.ncbi.nlm.nih.gov/protein/OLB53237.1?report=genbank&amp;log$=prottop&amp;blast_rank=23&amp;RID=7U875CNM013","OLB53237.1")</f>
        <v>OLB53237.1</v>
      </c>
      <c r="J109" s="5" t="s">
        <v>3323</v>
      </c>
    </row>
    <row r="110" spans="1:10" s="7" customFormat="1" x14ac:dyDescent="0.2">
      <c r="A110" s="5" t="s">
        <v>3541</v>
      </c>
      <c r="B110" s="5" t="s">
        <v>3542</v>
      </c>
      <c r="C110" s="5">
        <v>1167</v>
      </c>
      <c r="D110" s="5">
        <v>1167</v>
      </c>
      <c r="E110" s="6">
        <v>1</v>
      </c>
      <c r="F110" s="5">
        <v>0</v>
      </c>
      <c r="G110" s="5">
        <v>69.099999999999994</v>
      </c>
      <c r="H110" s="5">
        <v>794</v>
      </c>
      <c r="I110" s="5" t="str">
        <f>HYPERLINK("https://www.ncbi.nlm.nih.gov/protein/OYZ27001.1?report=genbank&amp;log$=prottop&amp;blast_rank=26&amp;RID=7U875CNM013","OYZ27001.1")</f>
        <v>OYZ27001.1</v>
      </c>
      <c r="J110" s="5" t="s">
        <v>2769</v>
      </c>
    </row>
    <row r="111" spans="1:10" s="7" customFormat="1" x14ac:dyDescent="0.2">
      <c r="A111" s="5" t="s">
        <v>3543</v>
      </c>
      <c r="B111" s="5" t="s">
        <v>3544</v>
      </c>
      <c r="C111" s="5">
        <v>1167</v>
      </c>
      <c r="D111" s="5">
        <v>1167</v>
      </c>
      <c r="E111" s="6">
        <v>0.98</v>
      </c>
      <c r="F111" s="5">
        <v>0</v>
      </c>
      <c r="G111" s="5">
        <v>69.09</v>
      </c>
      <c r="H111" s="5">
        <v>787</v>
      </c>
      <c r="I111" s="5" t="str">
        <f>HYPERLINK("https://www.ncbi.nlm.nih.gov/protein/KJS09378.1?report=genbank&amp;log$=prottop&amp;blast_rank=27&amp;RID=7U875CNM013","KJS09378.1")</f>
        <v>KJS09378.1</v>
      </c>
      <c r="J111" s="5" t="s">
        <v>3276</v>
      </c>
    </row>
    <row r="112" spans="1:10" s="7" customFormat="1" x14ac:dyDescent="0.2">
      <c r="A112" s="5" t="s">
        <v>3545</v>
      </c>
      <c r="B112" s="5" t="s">
        <v>3546</v>
      </c>
      <c r="C112" s="5">
        <v>1147</v>
      </c>
      <c r="D112" s="5">
        <v>1147</v>
      </c>
      <c r="E112" s="6">
        <v>0.98</v>
      </c>
      <c r="F112" s="5">
        <v>0</v>
      </c>
      <c r="G112" s="5">
        <v>69.08</v>
      </c>
      <c r="H112" s="5">
        <v>794</v>
      </c>
      <c r="I112" s="5" t="str">
        <f>HYPERLINK("https://www.ncbi.nlm.nih.gov/protein/WP_123139774.1?report=genbank&amp;log$=prottop&amp;blast_rank=32&amp;RID=7U875CNM013","WP_123139774.1")</f>
        <v>WP_123139774.1</v>
      </c>
      <c r="J112" s="5" t="s">
        <v>3276</v>
      </c>
    </row>
    <row r="113" spans="1:10" s="7" customFormat="1" x14ac:dyDescent="0.2">
      <c r="A113" s="5" t="s">
        <v>3488</v>
      </c>
      <c r="B113" s="5" t="s">
        <v>3489</v>
      </c>
      <c r="C113" s="5">
        <v>1174</v>
      </c>
      <c r="D113" s="5">
        <v>1174</v>
      </c>
      <c r="E113" s="6">
        <v>0.99</v>
      </c>
      <c r="F113" s="5">
        <v>0</v>
      </c>
      <c r="G113" s="5">
        <v>69.069999999999993</v>
      </c>
      <c r="H113" s="5">
        <v>789</v>
      </c>
      <c r="I113" s="5" t="str">
        <f>HYPERLINK("https://www.ncbi.nlm.nih.gov/protein/HCI14667.1?report=genbank&amp;log$=prottop&amp;blast_rank=35&amp;RID=7U875CNM013","HCI14667.1")</f>
        <v>HCI14667.1</v>
      </c>
      <c r="J113" s="5" t="s">
        <v>2134</v>
      </c>
    </row>
    <row r="114" spans="1:10" s="7" customFormat="1" x14ac:dyDescent="0.2">
      <c r="A114" s="5" t="s">
        <v>3547</v>
      </c>
      <c r="B114" s="5" t="s">
        <v>3548</v>
      </c>
      <c r="C114" s="5">
        <v>1172</v>
      </c>
      <c r="D114" s="5">
        <v>1172</v>
      </c>
      <c r="E114" s="6">
        <v>0.99</v>
      </c>
      <c r="F114" s="5">
        <v>0</v>
      </c>
      <c r="G114" s="5">
        <v>69.069999999999993</v>
      </c>
      <c r="H114" s="5">
        <v>792</v>
      </c>
      <c r="I114" s="5" t="str">
        <f>HYPERLINK("https://www.ncbi.nlm.nih.gov/protein/WP_093070262.1?report=genbank&amp;log$=prottop&amp;blast_rank=36&amp;RID=7U875CNM013","WP_093070262.1")</f>
        <v>WP_093070262.1</v>
      </c>
      <c r="J114" s="5" t="s">
        <v>3276</v>
      </c>
    </row>
    <row r="115" spans="1:10" s="7" customFormat="1" x14ac:dyDescent="0.2">
      <c r="A115" s="5" t="s">
        <v>3454</v>
      </c>
      <c r="B115" s="5" t="s">
        <v>3455</v>
      </c>
      <c r="C115" s="5">
        <v>1175</v>
      </c>
      <c r="D115" s="5">
        <v>1175</v>
      </c>
      <c r="E115" s="6">
        <v>0.99</v>
      </c>
      <c r="F115" s="5">
        <v>0</v>
      </c>
      <c r="G115" s="5">
        <v>69.06</v>
      </c>
      <c r="H115" s="5">
        <v>799</v>
      </c>
      <c r="I115" s="5" t="str">
        <f>HYPERLINK("https://www.ncbi.nlm.nih.gov/protein/PLW84294.1?report=genbank&amp;log$=prottop&amp;blast_rank=45&amp;RID=7U875CNM013","PLW84294.1")</f>
        <v>PLW84294.1</v>
      </c>
      <c r="J115" s="5" t="s">
        <v>3276</v>
      </c>
    </row>
    <row r="116" spans="1:10" s="7" customFormat="1" x14ac:dyDescent="0.2">
      <c r="A116" s="5" t="s">
        <v>3549</v>
      </c>
      <c r="B116" s="5" t="s">
        <v>3550</v>
      </c>
      <c r="C116" s="5">
        <v>1156</v>
      </c>
      <c r="D116" s="5">
        <v>1156</v>
      </c>
      <c r="E116" s="6">
        <v>0.99</v>
      </c>
      <c r="F116" s="5">
        <v>0</v>
      </c>
      <c r="G116" s="5">
        <v>68.989999999999995</v>
      </c>
      <c r="H116" s="5">
        <v>798</v>
      </c>
      <c r="I116" s="5" t="str">
        <f>HYPERLINK("https://www.ncbi.nlm.nih.gov/protein/WP_184044041.1?report=genbank&amp;log$=prottop&amp;blast_rank=57&amp;RID=7U875CNM013","WP_184044041.1")</f>
        <v>WP_184044041.1</v>
      </c>
      <c r="J116" s="5" t="s">
        <v>2134</v>
      </c>
    </row>
    <row r="117" spans="1:10" s="7" customFormat="1" x14ac:dyDescent="0.2">
      <c r="A117" s="5" t="s">
        <v>3551</v>
      </c>
      <c r="B117" s="5" t="s">
        <v>3552</v>
      </c>
      <c r="C117" s="5">
        <v>1164</v>
      </c>
      <c r="D117" s="5">
        <v>1164</v>
      </c>
      <c r="E117" s="6">
        <v>0.98</v>
      </c>
      <c r="F117" s="5">
        <v>0</v>
      </c>
      <c r="G117" s="5">
        <v>68.959999999999994</v>
      </c>
      <c r="H117" s="5">
        <v>790</v>
      </c>
      <c r="I117" s="5" t="str">
        <f>HYPERLINK("https://www.ncbi.nlm.nih.gov/protein/WP_047552117.1?report=genbank&amp;log$=prottop&amp;blast_rank=69&amp;RID=7U875CNM013","WP_047552117.1")</f>
        <v>WP_047552117.1</v>
      </c>
      <c r="J117" s="5" t="s">
        <v>2134</v>
      </c>
    </row>
    <row r="118" spans="1:10" s="7" customFormat="1" x14ac:dyDescent="0.2">
      <c r="A118" s="5" t="s">
        <v>2767</v>
      </c>
      <c r="B118" s="5" t="s">
        <v>2768</v>
      </c>
      <c r="C118" s="5">
        <v>1178</v>
      </c>
      <c r="D118" s="5">
        <v>1178</v>
      </c>
      <c r="E118" s="6">
        <v>0.99</v>
      </c>
      <c r="F118" s="5">
        <v>0</v>
      </c>
      <c r="G118" s="5">
        <v>68.92</v>
      </c>
      <c r="H118" s="5">
        <v>798</v>
      </c>
      <c r="I118" s="5" t="str">
        <f>HYPERLINK("https://www.ncbi.nlm.nih.gov/protein/MBK6453356.1?report=genbank&amp;log$=prottop&amp;blast_rank=92&amp;RID=7U875CNM013","MBK6453356.1")</f>
        <v>MBK6453356.1</v>
      </c>
      <c r="J118" s="5" t="s">
        <v>2769</v>
      </c>
    </row>
    <row r="119" spans="1:10" s="7" customFormat="1" x14ac:dyDescent="0.2">
      <c r="A119" s="5" t="s">
        <v>3314</v>
      </c>
      <c r="B119" s="5" t="s">
        <v>3315</v>
      </c>
      <c r="C119" s="5">
        <v>1169</v>
      </c>
      <c r="D119" s="5">
        <v>1169</v>
      </c>
      <c r="E119" s="6">
        <v>0.98</v>
      </c>
      <c r="F119" s="5">
        <v>0</v>
      </c>
      <c r="G119" s="5">
        <v>68.91</v>
      </c>
      <c r="H119" s="5">
        <v>797</v>
      </c>
      <c r="I119" s="5" t="str">
        <f>HYPERLINK("https://www.ncbi.nlm.nih.gov/protein/MBE0439212.1?report=genbank&amp;log$=prottop&amp;blast_rank=96&amp;RID=7U875CNM013","MBE0439212.1")</f>
        <v>MBE0439212.1</v>
      </c>
      <c r="J119" s="5" t="s">
        <v>3276</v>
      </c>
    </row>
    <row r="120" spans="1:10" s="7" customFormat="1" x14ac:dyDescent="0.2">
      <c r="A120" s="5" t="s">
        <v>3553</v>
      </c>
      <c r="B120" s="5" t="s">
        <v>3554</v>
      </c>
      <c r="C120" s="5">
        <v>1159</v>
      </c>
      <c r="D120" s="5">
        <v>1159</v>
      </c>
      <c r="E120" s="6">
        <v>0.99</v>
      </c>
      <c r="F120" s="5">
        <v>0</v>
      </c>
      <c r="G120" s="5">
        <v>68.89</v>
      </c>
      <c r="H120" s="5">
        <v>798</v>
      </c>
      <c r="I120" s="5" t="str">
        <f>HYPERLINK("https://www.ncbi.nlm.nih.gov/protein/EEA03867.1?report=genbank&amp;log$=prottop&amp;blast_rank=98&amp;RID=7U875CNM013","EEA03867.1")</f>
        <v>EEA03867.1</v>
      </c>
      <c r="J120" s="5" t="s">
        <v>2134</v>
      </c>
    </row>
    <row r="121" spans="1:10" s="7" customFormat="1" x14ac:dyDescent="0.2">
      <c r="A121" s="5" t="s">
        <v>3555</v>
      </c>
      <c r="B121" s="5" t="s">
        <v>3556</v>
      </c>
      <c r="C121" s="5">
        <v>1174</v>
      </c>
      <c r="D121" s="5">
        <v>1174</v>
      </c>
      <c r="E121" s="6">
        <v>0.98</v>
      </c>
      <c r="F121" s="5">
        <v>0</v>
      </c>
      <c r="G121" s="5">
        <v>68.88</v>
      </c>
      <c r="H121" s="5">
        <v>813</v>
      </c>
      <c r="I121" s="5" t="str">
        <f>HYPERLINK("https://www.ncbi.nlm.nih.gov/protein/OJV39527.1?report=genbank&amp;log$=prottop&amp;blast_rank=103&amp;RID=7U875CNM013","OJV39527.1")</f>
        <v>OJV39527.1</v>
      </c>
      <c r="J121" s="5" t="s">
        <v>854</v>
      </c>
    </row>
    <row r="122" spans="1:10" s="7" customFormat="1" x14ac:dyDescent="0.2">
      <c r="A122" s="5" t="s">
        <v>3560</v>
      </c>
      <c r="B122" s="5" t="s">
        <v>3561</v>
      </c>
      <c r="C122" s="5">
        <v>1177</v>
      </c>
      <c r="D122" s="5">
        <v>1177</v>
      </c>
      <c r="E122" s="6">
        <v>0.98</v>
      </c>
      <c r="F122" s="5">
        <v>0</v>
      </c>
      <c r="G122" s="5">
        <v>68.83</v>
      </c>
      <c r="H122" s="5">
        <v>790</v>
      </c>
      <c r="I122" s="5" t="str">
        <f>HYPERLINK("https://www.ncbi.nlm.nih.gov/protein/NQY26153.1?report=genbank&amp;log$=prottop&amp;blast_rank=115&amp;RID=7U875CNM013","NQY26153.1")</f>
        <v>NQY26153.1</v>
      </c>
      <c r="J122" s="5" t="s">
        <v>3276</v>
      </c>
    </row>
    <row r="123" spans="1:10" s="7" customFormat="1" x14ac:dyDescent="0.2">
      <c r="A123" s="5" t="s">
        <v>3314</v>
      </c>
      <c r="B123" s="5" t="s">
        <v>3315</v>
      </c>
      <c r="C123" s="5">
        <v>1159</v>
      </c>
      <c r="D123" s="5">
        <v>1159</v>
      </c>
      <c r="E123" s="6">
        <v>0.98</v>
      </c>
      <c r="F123" s="5">
        <v>0</v>
      </c>
      <c r="G123" s="5">
        <v>68.83</v>
      </c>
      <c r="H123" s="5">
        <v>787</v>
      </c>
      <c r="I123" s="5" t="str">
        <f>HYPERLINK("https://www.ncbi.nlm.nih.gov/protein/MBI5450222.1?report=genbank&amp;log$=prottop&amp;blast_rank=116&amp;RID=7U875CNM013","MBI5450222.1")</f>
        <v>MBI5450222.1</v>
      </c>
      <c r="J123" s="5" t="s">
        <v>3276</v>
      </c>
    </row>
    <row r="124" spans="1:10" s="7" customFormat="1" x14ac:dyDescent="0.2">
      <c r="A124" s="5" t="s">
        <v>3562</v>
      </c>
      <c r="B124" s="5" t="s">
        <v>3563</v>
      </c>
      <c r="C124" s="5">
        <v>1153</v>
      </c>
      <c r="D124" s="5">
        <v>1153</v>
      </c>
      <c r="E124" s="6">
        <v>0.98</v>
      </c>
      <c r="F124" s="5">
        <v>0</v>
      </c>
      <c r="G124" s="5">
        <v>68.83</v>
      </c>
      <c r="H124" s="5">
        <v>797</v>
      </c>
      <c r="I124" s="5" t="str">
        <f>HYPERLINK("https://www.ncbi.nlm.nih.gov/protein/WP_020502897.1?report=genbank&amp;log$=prottop&amp;blast_rank=117&amp;RID=7U875CNM013","WP_020502897.1")</f>
        <v>WP_020502897.1</v>
      </c>
      <c r="J124" s="5" t="s">
        <v>3276</v>
      </c>
    </row>
    <row r="125" spans="1:10" s="7" customFormat="1" x14ac:dyDescent="0.2">
      <c r="A125" s="5" t="s">
        <v>3564</v>
      </c>
      <c r="B125" s="5" t="s">
        <v>3565</v>
      </c>
      <c r="C125" s="5">
        <v>1147</v>
      </c>
      <c r="D125" s="5">
        <v>1147</v>
      </c>
      <c r="E125" s="6">
        <v>0.98</v>
      </c>
      <c r="F125" s="5">
        <v>0</v>
      </c>
      <c r="G125" s="5">
        <v>68.83</v>
      </c>
      <c r="H125" s="5">
        <v>794</v>
      </c>
      <c r="I125" s="5" t="str">
        <f>HYPERLINK("https://www.ncbi.nlm.nih.gov/protein/WP_168666016.1?report=genbank&amp;log$=prottop&amp;blast_rank=118&amp;RID=7U875CNM013","WP_168666016.1")</f>
        <v>WP_168666016.1</v>
      </c>
      <c r="J125" s="5" t="s">
        <v>3276</v>
      </c>
    </row>
    <row r="126" spans="1:10" s="7" customFormat="1" x14ac:dyDescent="0.2">
      <c r="A126" s="5" t="s">
        <v>3566</v>
      </c>
      <c r="B126" s="5" t="s">
        <v>3567</v>
      </c>
      <c r="C126" s="5">
        <v>1145</v>
      </c>
      <c r="D126" s="5">
        <v>1145</v>
      </c>
      <c r="E126" s="6">
        <v>0.98</v>
      </c>
      <c r="F126" s="5">
        <v>0</v>
      </c>
      <c r="G126" s="5">
        <v>68.83</v>
      </c>
      <c r="H126" s="5">
        <v>794</v>
      </c>
      <c r="I126" s="5" t="str">
        <f>HYPERLINK("https://www.ncbi.nlm.nih.gov/protein/WP_062276604.1?report=genbank&amp;log$=prottop&amp;blast_rank=119&amp;RID=7U875CNM013","WP_062276604.1")</f>
        <v>WP_062276604.1</v>
      </c>
      <c r="J126" s="5" t="s">
        <v>3276</v>
      </c>
    </row>
    <row r="127" spans="1:10" s="7" customFormat="1" x14ac:dyDescent="0.2">
      <c r="A127" s="5" t="s">
        <v>3568</v>
      </c>
      <c r="B127" s="5" t="s">
        <v>3569</v>
      </c>
      <c r="C127" s="5">
        <v>1158</v>
      </c>
      <c r="D127" s="5">
        <v>1158</v>
      </c>
      <c r="E127" s="6">
        <v>0.99</v>
      </c>
      <c r="F127" s="5">
        <v>0</v>
      </c>
      <c r="G127" s="5">
        <v>68.819999999999993</v>
      </c>
      <c r="H127" s="5">
        <v>799</v>
      </c>
      <c r="I127" s="5" t="str">
        <f>HYPERLINK("https://www.ncbi.nlm.nih.gov/protein/BBI98881.1?report=genbank&amp;log$=prottop&amp;blast_rank=120&amp;RID=7U875CNM013","BBI98881.1")</f>
        <v>BBI98881.1</v>
      </c>
      <c r="J127" s="5" t="s">
        <v>2134</v>
      </c>
    </row>
    <row r="128" spans="1:10" s="7" customFormat="1" x14ac:dyDescent="0.2">
      <c r="A128" s="5" t="s">
        <v>3570</v>
      </c>
      <c r="B128" s="5" t="s">
        <v>3315</v>
      </c>
      <c r="C128" s="5">
        <v>1120</v>
      </c>
      <c r="D128" s="5">
        <v>1120</v>
      </c>
      <c r="E128" s="6">
        <v>0.97</v>
      </c>
      <c r="F128" s="5">
        <v>0</v>
      </c>
      <c r="G128" s="5">
        <v>68.81</v>
      </c>
      <c r="H128" s="5">
        <v>794</v>
      </c>
      <c r="I128" s="5" t="str">
        <f>HYPERLINK("https://www.ncbi.nlm.nih.gov/protein/NBC48052.1?report=genbank&amp;log$=prottop&amp;blast_rank=123&amp;RID=7U875CNM013","NBC48052.1")</f>
        <v>NBC48052.1</v>
      </c>
      <c r="J128" s="5" t="s">
        <v>3276</v>
      </c>
    </row>
    <row r="129" spans="1:10" s="7" customFormat="1" x14ac:dyDescent="0.2">
      <c r="A129" s="5" t="s">
        <v>3434</v>
      </c>
      <c r="B129" s="5" t="s">
        <v>3435</v>
      </c>
      <c r="C129" s="5">
        <v>1170</v>
      </c>
      <c r="D129" s="5">
        <v>1170</v>
      </c>
      <c r="E129" s="6">
        <v>0.98</v>
      </c>
      <c r="F129" s="5">
        <v>0</v>
      </c>
      <c r="G129" s="5">
        <v>68.790000000000006</v>
      </c>
      <c r="H129" s="5">
        <v>786</v>
      </c>
      <c r="I129" s="5" t="str">
        <f>HYPERLINK("https://www.ncbi.nlm.nih.gov/protein/OQW71186.1?report=genbank&amp;log$=prottop&amp;blast_rank=140&amp;RID=7U875CNM013","OQW71186.1")</f>
        <v>OQW71186.1</v>
      </c>
      <c r="J129" s="5" t="s">
        <v>2769</v>
      </c>
    </row>
    <row r="130" spans="1:10" s="7" customFormat="1" x14ac:dyDescent="0.2">
      <c r="A130" s="5" t="s">
        <v>3571</v>
      </c>
      <c r="B130" s="5" t="s">
        <v>3572</v>
      </c>
      <c r="C130" s="5">
        <v>1129</v>
      </c>
      <c r="D130" s="5">
        <v>1129</v>
      </c>
      <c r="E130" s="6">
        <v>0.98</v>
      </c>
      <c r="F130" s="5">
        <v>0</v>
      </c>
      <c r="G130" s="5">
        <v>68.709999999999994</v>
      </c>
      <c r="H130" s="5">
        <v>795</v>
      </c>
      <c r="I130" s="5" t="str">
        <f>HYPERLINK("https://www.ncbi.nlm.nih.gov/protein/WP_157469053.1?report=genbank&amp;log$=prottop&amp;blast_rank=156&amp;RID=7U875CNM013","WP_157469053.1")</f>
        <v>WP_157469053.1</v>
      </c>
      <c r="J130" s="5" t="s">
        <v>3276</v>
      </c>
    </row>
    <row r="131" spans="1:10" s="7" customFormat="1" x14ac:dyDescent="0.2">
      <c r="A131" s="5" t="s">
        <v>3573</v>
      </c>
      <c r="B131" s="5" t="s">
        <v>3574</v>
      </c>
      <c r="C131" s="5">
        <v>1143</v>
      </c>
      <c r="D131" s="5">
        <v>1143</v>
      </c>
      <c r="E131" s="6">
        <v>0.98</v>
      </c>
      <c r="F131" s="5">
        <v>0</v>
      </c>
      <c r="G131" s="5">
        <v>68.7</v>
      </c>
      <c r="H131" s="5">
        <v>817</v>
      </c>
      <c r="I131" s="5" t="str">
        <f>HYPERLINK("https://www.ncbi.nlm.nih.gov/protein/NEX16011.1?report=genbank&amp;log$=prottop&amp;blast_rank=160&amp;RID=7U875CNM013","NEX16011.1")</f>
        <v>NEX16011.1</v>
      </c>
      <c r="J131" s="5" t="s">
        <v>3276</v>
      </c>
    </row>
    <row r="132" spans="1:10" s="7" customFormat="1" x14ac:dyDescent="0.2">
      <c r="A132" s="5" t="s">
        <v>3575</v>
      </c>
      <c r="B132" s="5" t="s">
        <v>3576</v>
      </c>
      <c r="C132" s="5">
        <v>1142</v>
      </c>
      <c r="D132" s="5">
        <v>1142</v>
      </c>
      <c r="E132" s="6">
        <v>0.98</v>
      </c>
      <c r="F132" s="5">
        <v>0</v>
      </c>
      <c r="G132" s="5">
        <v>68.7</v>
      </c>
      <c r="H132" s="5">
        <v>794</v>
      </c>
      <c r="I132" s="5" t="str">
        <f>HYPERLINK("https://www.ncbi.nlm.nih.gov/protein/WP_200244859.1?report=genbank&amp;log$=prottop&amp;blast_rank=161&amp;RID=7U875CNM013","WP_200244859.1")</f>
        <v>WP_200244859.1</v>
      </c>
      <c r="J132" s="5" t="s">
        <v>3276</v>
      </c>
    </row>
    <row r="133" spans="1:10" s="7" customFormat="1" x14ac:dyDescent="0.2">
      <c r="A133" s="5" t="s">
        <v>3577</v>
      </c>
      <c r="B133" s="5" t="s">
        <v>3578</v>
      </c>
      <c r="C133" s="5">
        <v>1176</v>
      </c>
      <c r="D133" s="5">
        <v>1176</v>
      </c>
      <c r="E133" s="6">
        <v>0.99</v>
      </c>
      <c r="F133" s="5">
        <v>0</v>
      </c>
      <c r="G133" s="5">
        <v>68.69</v>
      </c>
      <c r="H133" s="5">
        <v>789</v>
      </c>
      <c r="I133" s="5" t="str">
        <f>HYPERLINK("https://www.ncbi.nlm.nih.gov/protein/NOT20775.1?report=genbank&amp;log$=prottop&amp;blast_rank=162&amp;RID=7U875CNM013","NOT20775.1")</f>
        <v>NOT20775.1</v>
      </c>
      <c r="J133" s="5" t="s">
        <v>2134</v>
      </c>
    </row>
    <row r="134" spans="1:10" s="7" customFormat="1" x14ac:dyDescent="0.2">
      <c r="A134" s="5" t="s">
        <v>3579</v>
      </c>
      <c r="B134" s="5" t="s">
        <v>3580</v>
      </c>
      <c r="C134" s="5">
        <v>1167</v>
      </c>
      <c r="D134" s="5">
        <v>1167</v>
      </c>
      <c r="E134" s="6">
        <v>0.98</v>
      </c>
      <c r="F134" s="5">
        <v>0</v>
      </c>
      <c r="G134" s="5">
        <v>68.66</v>
      </c>
      <c r="H134" s="5">
        <v>800</v>
      </c>
      <c r="I134" s="5" t="str">
        <f>HYPERLINK("https://www.ncbi.nlm.nih.gov/protein/QEP41731.1?report=genbank&amp;log$=prottop&amp;blast_rank=180&amp;RID=7U875CNM013","QEP41731.1")</f>
        <v>QEP41731.1</v>
      </c>
      <c r="J134" s="5" t="s">
        <v>3276</v>
      </c>
    </row>
    <row r="135" spans="1:10" s="7" customFormat="1" x14ac:dyDescent="0.2">
      <c r="A135" s="5" t="s">
        <v>3581</v>
      </c>
      <c r="B135" s="5" t="s">
        <v>3582</v>
      </c>
      <c r="C135" s="5">
        <v>1152</v>
      </c>
      <c r="D135" s="5">
        <v>1152</v>
      </c>
      <c r="E135" s="6">
        <v>0.98</v>
      </c>
      <c r="F135" s="5">
        <v>0</v>
      </c>
      <c r="G135" s="5">
        <v>68.66</v>
      </c>
      <c r="H135" s="5">
        <v>789</v>
      </c>
      <c r="I135" s="5" t="str">
        <f>HYPERLINK("https://www.ncbi.nlm.nih.gov/protein/OYY45031.1?report=genbank&amp;log$=prottop&amp;blast_rank=182&amp;RID=7U875CNM013","OYY45031.1")</f>
        <v>OYY45031.1</v>
      </c>
      <c r="J135" s="5" t="s">
        <v>2134</v>
      </c>
    </row>
    <row r="136" spans="1:10" s="7" customFormat="1" x14ac:dyDescent="0.2">
      <c r="A136" s="5" t="s">
        <v>852</v>
      </c>
      <c r="B136" s="5" t="s">
        <v>853</v>
      </c>
      <c r="C136" s="5">
        <v>1160</v>
      </c>
      <c r="D136" s="5">
        <v>1160</v>
      </c>
      <c r="E136" s="6">
        <v>0.99</v>
      </c>
      <c r="F136" s="5">
        <v>0</v>
      </c>
      <c r="G136" s="5">
        <v>68.64</v>
      </c>
      <c r="H136" s="5">
        <v>806</v>
      </c>
      <c r="I136" s="5" t="str">
        <f>HYPERLINK("https://www.ncbi.nlm.nih.gov/protein/PYX47346.1?report=genbank&amp;log$=prottop&amp;blast_rank=189&amp;RID=7U875CNM013","PYX47346.1")</f>
        <v>PYX47346.1</v>
      </c>
      <c r="J136" s="5" t="s">
        <v>854</v>
      </c>
    </row>
    <row r="137" spans="1:10" s="7" customFormat="1" x14ac:dyDescent="0.2">
      <c r="A137" s="5" t="s">
        <v>3577</v>
      </c>
      <c r="B137" s="5" t="s">
        <v>3578</v>
      </c>
      <c r="C137" s="5">
        <v>1173</v>
      </c>
      <c r="D137" s="5">
        <v>1173</v>
      </c>
      <c r="E137" s="6">
        <v>0.99</v>
      </c>
      <c r="F137" s="5">
        <v>0</v>
      </c>
      <c r="G137" s="5">
        <v>68.569999999999993</v>
      </c>
      <c r="H137" s="5">
        <v>789</v>
      </c>
      <c r="I137" s="5" t="str">
        <f>HYPERLINK("https://www.ncbi.nlm.nih.gov/protein/NOT99726.1?report=genbank&amp;log$=prottop&amp;blast_rank=204&amp;RID=7U875CNM013","NOT99726.1")</f>
        <v>NOT99726.1</v>
      </c>
      <c r="J137" s="5" t="s">
        <v>2134</v>
      </c>
    </row>
    <row r="138" spans="1:10" s="7" customFormat="1" x14ac:dyDescent="0.2">
      <c r="A138" s="5" t="s">
        <v>3585</v>
      </c>
      <c r="B138" s="5" t="s">
        <v>1505</v>
      </c>
      <c r="C138" s="5">
        <v>1160</v>
      </c>
      <c r="D138" s="5">
        <v>1160</v>
      </c>
      <c r="E138" s="6">
        <v>0.97</v>
      </c>
      <c r="F138" s="5">
        <v>0</v>
      </c>
      <c r="G138" s="5">
        <v>68.56</v>
      </c>
      <c r="H138" s="5">
        <v>792</v>
      </c>
      <c r="I138" s="5" t="str">
        <f>HYPERLINK("https://www.ncbi.nlm.nih.gov/protein/MTI63521.1?report=genbank&amp;log$=prottop&amp;blast_rank=205&amp;RID=7U875CNM013","MTI63521.1")</f>
        <v>MTI63521.1</v>
      </c>
      <c r="J138" s="5" t="s">
        <v>3276</v>
      </c>
    </row>
    <row r="139" spans="1:10" s="7" customFormat="1" x14ac:dyDescent="0.2">
      <c r="A139" s="5" t="s">
        <v>3586</v>
      </c>
      <c r="B139" s="5" t="s">
        <v>3587</v>
      </c>
      <c r="C139" s="5">
        <v>1113</v>
      </c>
      <c r="D139" s="5">
        <v>1113</v>
      </c>
      <c r="E139" s="6">
        <v>0.97</v>
      </c>
      <c r="F139" s="5">
        <v>0</v>
      </c>
      <c r="G139" s="5">
        <v>68.56</v>
      </c>
      <c r="H139" s="5">
        <v>794</v>
      </c>
      <c r="I139" s="5" t="str">
        <f>HYPERLINK("https://www.ncbi.nlm.nih.gov/protein/WP_200348467.1?report=genbank&amp;log$=prottop&amp;blast_rank=213&amp;RID=7U875CNM013","WP_200348467.1")</f>
        <v>WP_200348467.1</v>
      </c>
      <c r="J139" s="5" t="s">
        <v>3276</v>
      </c>
    </row>
    <row r="140" spans="1:10" s="7" customFormat="1" x14ac:dyDescent="0.2">
      <c r="A140" s="5" t="s">
        <v>3588</v>
      </c>
      <c r="B140" s="5" t="s">
        <v>3589</v>
      </c>
      <c r="C140" s="5">
        <v>1159</v>
      </c>
      <c r="D140" s="5">
        <v>1159</v>
      </c>
      <c r="E140" s="6">
        <v>0.99</v>
      </c>
      <c r="F140" s="5">
        <v>0</v>
      </c>
      <c r="G140" s="5">
        <v>68.510000000000005</v>
      </c>
      <c r="H140" s="5">
        <v>798</v>
      </c>
      <c r="I140" s="5" t="str">
        <f>HYPERLINK("https://www.ncbi.nlm.nih.gov/protein/WP_120797676.1?report=genbank&amp;log$=prottop&amp;blast_rank=223&amp;RID=7U875CNM013","WP_120797676.1")</f>
        <v>WP_120797676.1</v>
      </c>
      <c r="J140" s="5" t="s">
        <v>3276</v>
      </c>
    </row>
    <row r="141" spans="1:10" s="7" customFormat="1" x14ac:dyDescent="0.2">
      <c r="A141" s="5" t="s">
        <v>3590</v>
      </c>
      <c r="B141" s="5" t="s">
        <v>3360</v>
      </c>
      <c r="C141" s="5">
        <v>1147</v>
      </c>
      <c r="D141" s="5">
        <v>1147</v>
      </c>
      <c r="E141" s="6">
        <v>0.98</v>
      </c>
      <c r="F141" s="5">
        <v>0</v>
      </c>
      <c r="G141" s="5">
        <v>68.5</v>
      </c>
      <c r="H141" s="5">
        <v>834</v>
      </c>
      <c r="I141" s="5" t="str">
        <f>HYPERLINK("https://www.ncbi.nlm.nih.gov/protein/MBI5503307.1?report=genbank&amp;log$=prottop&amp;blast_rank=1&amp;RID=7U875CNM013","MBI5503307.1")</f>
        <v>MBI5503307.1</v>
      </c>
      <c r="J141" s="5" t="s">
        <v>3286</v>
      </c>
    </row>
    <row r="142" spans="1:10" s="7" customFormat="1" x14ac:dyDescent="0.2">
      <c r="A142" s="5" t="s">
        <v>3591</v>
      </c>
      <c r="B142" s="5" t="s">
        <v>3592</v>
      </c>
      <c r="C142" s="5">
        <v>1169</v>
      </c>
      <c r="D142" s="5">
        <v>1169</v>
      </c>
      <c r="E142" s="6">
        <v>1</v>
      </c>
      <c r="F142" s="5">
        <v>0</v>
      </c>
      <c r="G142" s="5">
        <v>68.47</v>
      </c>
      <c r="H142" s="5">
        <v>795</v>
      </c>
      <c r="I142" s="5" t="str">
        <f>HYPERLINK("https://www.ncbi.nlm.nih.gov/protein/WP_043756776.1?report=genbank&amp;log$=prottop&amp;blast_rank=7&amp;RID=7U875CNM013","WP_043756776.1")</f>
        <v>WP_043756776.1</v>
      </c>
      <c r="J142" s="5" t="s">
        <v>3276</v>
      </c>
    </row>
    <row r="143" spans="1:10" s="7" customFormat="1" x14ac:dyDescent="0.2">
      <c r="A143" s="5" t="s">
        <v>3593</v>
      </c>
      <c r="B143" s="5" t="s">
        <v>3594</v>
      </c>
      <c r="C143" s="5">
        <v>1139</v>
      </c>
      <c r="D143" s="5">
        <v>1139</v>
      </c>
      <c r="E143" s="6">
        <v>0.99</v>
      </c>
      <c r="F143" s="5">
        <v>0</v>
      </c>
      <c r="G143" s="5">
        <v>68.47</v>
      </c>
      <c r="H143" s="5">
        <v>798</v>
      </c>
      <c r="I143" s="5" t="str">
        <f>HYPERLINK("https://www.ncbi.nlm.nih.gov/protein/WP_117319007.1?report=genbank&amp;log$=prottop&amp;blast_rank=9&amp;RID=7U875CNM013","WP_117319007.1")</f>
        <v>WP_117319007.1</v>
      </c>
      <c r="J143" s="5" t="s">
        <v>3276</v>
      </c>
    </row>
    <row r="144" spans="1:10" s="7" customFormat="1" x14ac:dyDescent="0.2">
      <c r="A144" s="5" t="s">
        <v>3595</v>
      </c>
      <c r="B144" s="5" t="s">
        <v>3596</v>
      </c>
      <c r="C144" s="5">
        <v>1123</v>
      </c>
      <c r="D144" s="5">
        <v>1123</v>
      </c>
      <c r="E144" s="6">
        <v>0.98</v>
      </c>
      <c r="F144" s="5">
        <v>0</v>
      </c>
      <c r="G144" s="5">
        <v>68.45</v>
      </c>
      <c r="H144" s="5">
        <v>795</v>
      </c>
      <c r="I144" s="5" t="str">
        <f>HYPERLINK("https://www.ncbi.nlm.nih.gov/protein/WP_017461033.1?report=genbank&amp;log$=prottop&amp;blast_rank=11&amp;RID=7U875CNM013","WP_017461033.1")</f>
        <v>WP_017461033.1</v>
      </c>
      <c r="J144" s="5" t="s">
        <v>3276</v>
      </c>
    </row>
    <row r="145" spans="1:10" s="7" customFormat="1" x14ac:dyDescent="0.2">
      <c r="A145" s="5" t="s">
        <v>3597</v>
      </c>
      <c r="B145" s="5" t="s">
        <v>3598</v>
      </c>
      <c r="C145" s="5">
        <v>1147</v>
      </c>
      <c r="D145" s="5">
        <v>1147</v>
      </c>
      <c r="E145" s="6">
        <v>0.98</v>
      </c>
      <c r="F145" s="5">
        <v>0</v>
      </c>
      <c r="G145" s="5">
        <v>68.45</v>
      </c>
      <c r="H145" s="5">
        <v>853</v>
      </c>
      <c r="I145" s="5" t="str">
        <f>HYPERLINK("https://www.ncbi.nlm.nih.gov/protein/MBE2260461.1?report=genbank&amp;log$=prottop&amp;blast_rank=13&amp;RID=7U875CNM013","MBE2260461.1")</f>
        <v>MBE2260461.1</v>
      </c>
      <c r="J145" s="5" t="s">
        <v>1720</v>
      </c>
    </row>
    <row r="146" spans="1:10" s="7" customFormat="1" x14ac:dyDescent="0.2">
      <c r="A146" s="5" t="s">
        <v>3585</v>
      </c>
      <c r="B146" s="5" t="s">
        <v>1505</v>
      </c>
      <c r="C146" s="5">
        <v>1159</v>
      </c>
      <c r="D146" s="5">
        <v>1159</v>
      </c>
      <c r="E146" s="6">
        <v>0.97</v>
      </c>
      <c r="F146" s="5">
        <v>0</v>
      </c>
      <c r="G146" s="5">
        <v>68.430000000000007</v>
      </c>
      <c r="H146" s="5">
        <v>792</v>
      </c>
      <c r="I146" s="5" t="str">
        <f>HYPERLINK("https://www.ncbi.nlm.nih.gov/protein/MBD3634037.1?report=genbank&amp;log$=prottop&amp;blast_rank=20&amp;RID=7U875CNM013","MBD3634037.1")</f>
        <v>MBD3634037.1</v>
      </c>
      <c r="J146" s="5" t="s">
        <v>3276</v>
      </c>
    </row>
    <row r="147" spans="1:10" s="7" customFormat="1" x14ac:dyDescent="0.2">
      <c r="A147" s="5" t="s">
        <v>3281</v>
      </c>
      <c r="B147" s="5" t="s">
        <v>3282</v>
      </c>
      <c r="C147" s="5">
        <v>1110</v>
      </c>
      <c r="D147" s="5">
        <v>1110</v>
      </c>
      <c r="E147" s="6">
        <v>0.98</v>
      </c>
      <c r="F147" s="5">
        <v>0</v>
      </c>
      <c r="G147" s="5">
        <v>68.41</v>
      </c>
      <c r="H147" s="5">
        <v>787</v>
      </c>
      <c r="I147" s="5" t="str">
        <f>HYPERLINK("https://www.ncbi.nlm.nih.gov/protein/HFL74226.1?report=genbank&amp;log$=prottop&amp;blast_rank=36&amp;RID=7U875CNM013","HFL74226.1")</f>
        <v>HFL74226.1</v>
      </c>
      <c r="J147" s="5" t="s">
        <v>3277</v>
      </c>
    </row>
    <row r="148" spans="1:10" s="7" customFormat="1" x14ac:dyDescent="0.2">
      <c r="A148" s="5" t="s">
        <v>3599</v>
      </c>
      <c r="B148" s="5" t="s">
        <v>3600</v>
      </c>
      <c r="C148" s="5">
        <v>1151</v>
      </c>
      <c r="D148" s="5">
        <v>1151</v>
      </c>
      <c r="E148" s="6">
        <v>0.98</v>
      </c>
      <c r="F148" s="5">
        <v>0</v>
      </c>
      <c r="G148" s="5">
        <v>68.400000000000006</v>
      </c>
      <c r="H148" s="5">
        <v>803</v>
      </c>
      <c r="I148" s="5" t="str">
        <f>HYPERLINK("https://www.ncbi.nlm.nih.gov/protein/WP_068812118.1?report=genbank&amp;log$=prottop&amp;blast_rank=38&amp;RID=7U875CNM013","WP_068812118.1")</f>
        <v>WP_068812118.1</v>
      </c>
      <c r="J148" s="5" t="s">
        <v>3276</v>
      </c>
    </row>
    <row r="149" spans="1:10" s="7" customFormat="1" x14ac:dyDescent="0.2">
      <c r="A149" s="5" t="s">
        <v>3601</v>
      </c>
      <c r="B149" s="5" t="s">
        <v>3602</v>
      </c>
      <c r="C149" s="5">
        <v>1145</v>
      </c>
      <c r="D149" s="5">
        <v>1145</v>
      </c>
      <c r="E149" s="6">
        <v>0.99</v>
      </c>
      <c r="F149" s="5">
        <v>0</v>
      </c>
      <c r="G149" s="5">
        <v>68.39</v>
      </c>
      <c r="H149" s="5">
        <v>797</v>
      </c>
      <c r="I149" s="5" t="str">
        <f>HYPERLINK("https://www.ncbi.nlm.nih.gov/protein/WP_164654861.1?report=genbank&amp;log$=prottop&amp;blast_rank=40&amp;RID=7U875CNM013","WP_164654861.1")</f>
        <v>WP_164654861.1</v>
      </c>
      <c r="J149" s="5" t="s">
        <v>3276</v>
      </c>
    </row>
    <row r="150" spans="1:10" s="7" customFormat="1" x14ac:dyDescent="0.2">
      <c r="A150" s="5" t="s">
        <v>3603</v>
      </c>
      <c r="B150" s="5" t="s">
        <v>3604</v>
      </c>
      <c r="C150" s="5">
        <v>1158</v>
      </c>
      <c r="D150" s="5">
        <v>1158</v>
      </c>
      <c r="E150" s="6">
        <v>0.99</v>
      </c>
      <c r="F150" s="5">
        <v>0</v>
      </c>
      <c r="G150" s="5">
        <v>68.38</v>
      </c>
      <c r="H150" s="5">
        <v>798</v>
      </c>
      <c r="I150" s="5" t="str">
        <f>HYPERLINK("https://www.ncbi.nlm.nih.gov/protein/WP_007195019.1?report=genbank&amp;log$=prottop&amp;blast_rank=43&amp;RID=7U875CNM013","WP_007195019.1")</f>
        <v>WP_007195019.1</v>
      </c>
      <c r="J150" s="5" t="s">
        <v>3276</v>
      </c>
    </row>
    <row r="151" spans="1:10" s="7" customFormat="1" x14ac:dyDescent="0.2">
      <c r="A151" s="5" t="s">
        <v>3607</v>
      </c>
      <c r="B151" s="5" t="s">
        <v>3578</v>
      </c>
      <c r="C151" s="5">
        <v>1173</v>
      </c>
      <c r="D151" s="5">
        <v>1173</v>
      </c>
      <c r="E151" s="6">
        <v>0.99</v>
      </c>
      <c r="F151" s="5">
        <v>0</v>
      </c>
      <c r="G151" s="5">
        <v>68.31</v>
      </c>
      <c r="H151" s="5">
        <v>789</v>
      </c>
      <c r="I151" s="5" t="str">
        <f>HYPERLINK("https://www.ncbi.nlm.nih.gov/protein/MBA4381069.1?report=genbank&amp;log$=prottop&amp;blast_rank=58&amp;RID=7U875CNM013","MBA4381069.1")</f>
        <v>MBA4381069.1</v>
      </c>
      <c r="J151" s="5" t="s">
        <v>2134</v>
      </c>
    </row>
    <row r="152" spans="1:10" s="7" customFormat="1" x14ac:dyDescent="0.2">
      <c r="A152" s="5" t="s">
        <v>3608</v>
      </c>
      <c r="B152" s="5" t="s">
        <v>3609</v>
      </c>
      <c r="C152" s="5">
        <v>1112</v>
      </c>
      <c r="D152" s="5">
        <v>1112</v>
      </c>
      <c r="E152" s="6">
        <v>0.98</v>
      </c>
      <c r="F152" s="5">
        <v>0</v>
      </c>
      <c r="G152" s="5">
        <v>68.28</v>
      </c>
      <c r="H152" s="5">
        <v>806</v>
      </c>
      <c r="I152" s="5" t="str">
        <f>HYPERLINK("https://www.ncbi.nlm.nih.gov/protein/CAG0999952.1?report=genbank&amp;log$=prottop&amp;blast_rank=73&amp;RID=7U875CNM013","CAG0999952.1")</f>
        <v>CAG0999952.1</v>
      </c>
      <c r="J152" s="5" t="s">
        <v>3286</v>
      </c>
    </row>
    <row r="153" spans="1:10" s="7" customFormat="1" x14ac:dyDescent="0.2">
      <c r="A153" s="5" t="s">
        <v>3388</v>
      </c>
      <c r="B153" s="5" t="s">
        <v>3389</v>
      </c>
      <c r="C153" s="5">
        <v>1085</v>
      </c>
      <c r="D153" s="5">
        <v>1085</v>
      </c>
      <c r="E153" s="6">
        <v>0.98</v>
      </c>
      <c r="F153" s="5">
        <v>0</v>
      </c>
      <c r="G153" s="5">
        <v>68.239999999999995</v>
      </c>
      <c r="H153" s="5">
        <v>804</v>
      </c>
      <c r="I153" s="5" t="str">
        <f>HYPERLINK("https://www.ncbi.nlm.nih.gov/protein/MBL8535584.1?report=genbank&amp;log$=prottop&amp;blast_rank=87&amp;RID=7U875CNM013","MBL8535584.1")</f>
        <v>MBL8535584.1</v>
      </c>
      <c r="J153" s="5" t="s">
        <v>2134</v>
      </c>
    </row>
    <row r="154" spans="1:10" s="7" customFormat="1" x14ac:dyDescent="0.2">
      <c r="A154" s="5" t="s">
        <v>3610</v>
      </c>
      <c r="B154" s="5" t="s">
        <v>3611</v>
      </c>
      <c r="C154" s="5">
        <v>1128</v>
      </c>
      <c r="D154" s="5">
        <v>1128</v>
      </c>
      <c r="E154" s="6">
        <v>0.97</v>
      </c>
      <c r="F154" s="5">
        <v>0</v>
      </c>
      <c r="G154" s="5">
        <v>68.209999999999994</v>
      </c>
      <c r="H154" s="5">
        <v>795</v>
      </c>
      <c r="I154" s="5" t="str">
        <f>HYPERLINK("https://www.ncbi.nlm.nih.gov/protein/WP_123889027.1?report=genbank&amp;log$=prottop&amp;blast_rank=92&amp;RID=7U875CNM013","WP_123889027.1")</f>
        <v>WP_123889027.1</v>
      </c>
      <c r="J154" s="5" t="s">
        <v>3276</v>
      </c>
    </row>
    <row r="155" spans="1:10" s="7" customFormat="1" x14ac:dyDescent="0.2">
      <c r="A155" s="5" t="s">
        <v>3612</v>
      </c>
      <c r="B155" s="5" t="s">
        <v>3613</v>
      </c>
      <c r="C155" s="5">
        <v>1148</v>
      </c>
      <c r="D155" s="5">
        <v>1148</v>
      </c>
      <c r="E155" s="6">
        <v>0.98</v>
      </c>
      <c r="F155" s="5">
        <v>0</v>
      </c>
      <c r="G155" s="5">
        <v>68.150000000000006</v>
      </c>
      <c r="H155" s="5">
        <v>823</v>
      </c>
      <c r="I155" s="5" t="str">
        <f>HYPERLINK("https://www.ncbi.nlm.nih.gov/protein/WP_153248042.1?report=genbank&amp;log$=prottop&amp;blast_rank=106&amp;RID=7U875CNM013","WP_153248042.1")</f>
        <v>WP_153248042.1</v>
      </c>
      <c r="J155" s="5" t="s">
        <v>3276</v>
      </c>
    </row>
    <row r="156" spans="1:10" s="7" customFormat="1" x14ac:dyDescent="0.2">
      <c r="A156" s="5" t="s">
        <v>3614</v>
      </c>
      <c r="B156" s="5" t="s">
        <v>3615</v>
      </c>
      <c r="C156" s="5">
        <v>1152</v>
      </c>
      <c r="D156" s="5">
        <v>1152</v>
      </c>
      <c r="E156" s="6">
        <v>0.99</v>
      </c>
      <c r="F156" s="5">
        <v>0</v>
      </c>
      <c r="G156" s="5">
        <v>68.14</v>
      </c>
      <c r="H156" s="5">
        <v>823</v>
      </c>
      <c r="I156" s="5" t="str">
        <f>HYPERLINK("https://www.ncbi.nlm.nih.gov/protein/NUM99922.1?report=genbank&amp;log$=prottop&amp;blast_rank=111&amp;RID=7U875CNM013","NUM99922.1")</f>
        <v>NUM99922.1</v>
      </c>
      <c r="J156" s="5" t="s">
        <v>854</v>
      </c>
    </row>
    <row r="157" spans="1:10" s="7" customFormat="1" x14ac:dyDescent="0.2">
      <c r="A157" s="5" t="s">
        <v>3616</v>
      </c>
      <c r="B157" s="5" t="s">
        <v>3617</v>
      </c>
      <c r="C157" s="5">
        <v>1152</v>
      </c>
      <c r="D157" s="5">
        <v>1152</v>
      </c>
      <c r="E157" s="6">
        <v>0.98</v>
      </c>
      <c r="F157" s="5">
        <v>0</v>
      </c>
      <c r="G157" s="5">
        <v>68.12</v>
      </c>
      <c r="H157" s="5">
        <v>794</v>
      </c>
      <c r="I157" s="5" t="str">
        <f>HYPERLINK("https://www.ncbi.nlm.nih.gov/protein/WP_138261237.1?report=genbank&amp;log$=prottop&amp;blast_rank=113&amp;RID=7U875CNM013","WP_138261237.1")</f>
        <v>WP_138261237.1</v>
      </c>
      <c r="J157" s="5" t="s">
        <v>3484</v>
      </c>
    </row>
    <row r="158" spans="1:10" s="7" customFormat="1" x14ac:dyDescent="0.2">
      <c r="A158" s="5" t="s">
        <v>2631</v>
      </c>
      <c r="B158" s="5" t="s">
        <v>2632</v>
      </c>
      <c r="C158" s="5">
        <v>1145</v>
      </c>
      <c r="D158" s="5">
        <v>1145</v>
      </c>
      <c r="E158" s="6">
        <v>0.98</v>
      </c>
      <c r="F158" s="5">
        <v>0</v>
      </c>
      <c r="G158" s="5">
        <v>68.11</v>
      </c>
      <c r="H158" s="5">
        <v>811</v>
      </c>
      <c r="I158" s="5" t="str">
        <f>HYPERLINK("https://www.ncbi.nlm.nih.gov/protein/MBL8232297.1?report=genbank&amp;log$=prottop&amp;blast_rank=117&amp;RID=7U875CNM013","MBL8232297.1")</f>
        <v>MBL8232297.1</v>
      </c>
      <c r="J158" s="5" t="s">
        <v>854</v>
      </c>
    </row>
    <row r="159" spans="1:10" s="7" customFormat="1" x14ac:dyDescent="0.2">
      <c r="A159" s="5" t="s">
        <v>3388</v>
      </c>
      <c r="B159" s="5" t="s">
        <v>3389</v>
      </c>
      <c r="C159" s="5">
        <v>1080</v>
      </c>
      <c r="D159" s="5">
        <v>1080</v>
      </c>
      <c r="E159" s="6">
        <v>0.98</v>
      </c>
      <c r="F159" s="5">
        <v>0</v>
      </c>
      <c r="G159" s="5">
        <v>68.11</v>
      </c>
      <c r="H159" s="5">
        <v>804</v>
      </c>
      <c r="I159" s="5" t="str">
        <f>HYPERLINK("https://www.ncbi.nlm.nih.gov/protein/MBK8017514.1?report=genbank&amp;log$=prottop&amp;blast_rank=119&amp;RID=7U875CNM013","MBK8017514.1")</f>
        <v>MBK8017514.1</v>
      </c>
      <c r="J159" s="5" t="s">
        <v>2134</v>
      </c>
    </row>
    <row r="160" spans="1:10" s="7" customFormat="1" x14ac:dyDescent="0.2">
      <c r="A160" s="5" t="s">
        <v>3618</v>
      </c>
      <c r="B160" s="5" t="s">
        <v>3619</v>
      </c>
      <c r="C160" s="5">
        <v>1150</v>
      </c>
      <c r="D160" s="5">
        <v>1150</v>
      </c>
      <c r="E160" s="6">
        <v>1</v>
      </c>
      <c r="F160" s="5">
        <v>0</v>
      </c>
      <c r="G160" s="5">
        <v>68.05</v>
      </c>
      <c r="H160" s="5">
        <v>797</v>
      </c>
      <c r="I160" s="5" t="str">
        <f>HYPERLINK("https://www.ncbi.nlm.nih.gov/protein/WP_209262413.1?report=genbank&amp;log$=prottop&amp;blast_rank=133&amp;RID=7U875CNM013","WP_209262413.1")</f>
        <v>WP_209262413.1</v>
      </c>
      <c r="J160" s="5" t="s">
        <v>3276</v>
      </c>
    </row>
    <row r="161" spans="1:10" s="7" customFormat="1" x14ac:dyDescent="0.2">
      <c r="A161" s="5" t="s">
        <v>3618</v>
      </c>
      <c r="B161" s="5" t="s">
        <v>3619</v>
      </c>
      <c r="C161" s="5">
        <v>1149</v>
      </c>
      <c r="D161" s="5">
        <v>1149</v>
      </c>
      <c r="E161" s="6">
        <v>1</v>
      </c>
      <c r="F161" s="5">
        <v>0</v>
      </c>
      <c r="G161" s="5">
        <v>68.05</v>
      </c>
      <c r="H161" s="5">
        <v>814</v>
      </c>
      <c r="I161" s="5" t="str">
        <f>HYPERLINK("https://www.ncbi.nlm.nih.gov/protein/NEV62958.1?report=genbank&amp;log$=prottop&amp;blast_rank=134&amp;RID=7U875CNM013","NEV62958.1")</f>
        <v>NEV62958.1</v>
      </c>
      <c r="J161" s="5" t="s">
        <v>3276</v>
      </c>
    </row>
    <row r="162" spans="1:10" s="7" customFormat="1" x14ac:dyDescent="0.2">
      <c r="A162" s="5" t="s">
        <v>3620</v>
      </c>
      <c r="B162" s="5" t="s">
        <v>3621</v>
      </c>
      <c r="C162" s="5">
        <v>1155</v>
      </c>
      <c r="D162" s="5">
        <v>1155</v>
      </c>
      <c r="E162" s="6">
        <v>0.99</v>
      </c>
      <c r="F162" s="5">
        <v>0</v>
      </c>
      <c r="G162" s="5">
        <v>68.010000000000005</v>
      </c>
      <c r="H162" s="5">
        <v>798</v>
      </c>
      <c r="I162" s="5" t="str">
        <f>HYPERLINK("https://www.ncbi.nlm.nih.gov/protein/WP_093028150.1?report=genbank&amp;log$=prottop&amp;blast_rank=147&amp;RID=7U875CNM013","WP_093028150.1")</f>
        <v>WP_093028150.1</v>
      </c>
      <c r="J162" s="5" t="s">
        <v>3276</v>
      </c>
    </row>
    <row r="163" spans="1:10" s="7" customFormat="1" x14ac:dyDescent="0.2">
      <c r="A163" s="5" t="s">
        <v>1343</v>
      </c>
      <c r="B163" s="5" t="s">
        <v>1344</v>
      </c>
      <c r="C163" s="5">
        <v>1125</v>
      </c>
      <c r="D163" s="5">
        <v>1125</v>
      </c>
      <c r="E163" s="6">
        <v>0.97</v>
      </c>
      <c r="F163" s="5">
        <v>0</v>
      </c>
      <c r="G163" s="5">
        <v>68</v>
      </c>
      <c r="H163" s="5">
        <v>790</v>
      </c>
      <c r="I163" s="5" t="str">
        <f>HYPERLINK("https://www.ncbi.nlm.nih.gov/protein/MBL8199623.1?report=genbank&amp;log$=prottop&amp;blast_rank=149&amp;RID=7U875CNM013","MBL8199623.1")</f>
        <v>MBL8199623.1</v>
      </c>
      <c r="J163" s="5" t="s">
        <v>3276</v>
      </c>
    </row>
    <row r="164" spans="1:10" s="7" customFormat="1" x14ac:dyDescent="0.2">
      <c r="A164" s="5" t="s">
        <v>3623</v>
      </c>
      <c r="B164" s="5" t="s">
        <v>3624</v>
      </c>
      <c r="C164" s="5">
        <v>1130</v>
      </c>
      <c r="D164" s="5">
        <v>1130</v>
      </c>
      <c r="E164" s="6">
        <v>0.98</v>
      </c>
      <c r="F164" s="5">
        <v>0</v>
      </c>
      <c r="G164" s="5">
        <v>67.900000000000006</v>
      </c>
      <c r="H164" s="5">
        <v>794</v>
      </c>
      <c r="I164" s="5" t="str">
        <f>HYPERLINK("https://www.ncbi.nlm.nih.gov/protein/WP_079488720.1?report=genbank&amp;log$=prottop&amp;blast_rank=163&amp;RID=7U875CNM013","WP_079488720.1")</f>
        <v>WP_079488720.1</v>
      </c>
      <c r="J164" s="5" t="s">
        <v>2134</v>
      </c>
    </row>
    <row r="165" spans="1:10" s="7" customFormat="1" x14ac:dyDescent="0.2">
      <c r="A165" s="5" t="s">
        <v>3625</v>
      </c>
      <c r="B165" s="5" t="s">
        <v>3626</v>
      </c>
      <c r="C165" s="5">
        <v>1107</v>
      </c>
      <c r="D165" s="5">
        <v>1107</v>
      </c>
      <c r="E165" s="6">
        <v>0.98</v>
      </c>
      <c r="F165" s="5">
        <v>0</v>
      </c>
      <c r="G165" s="5">
        <v>67.900000000000006</v>
      </c>
      <c r="H165" s="5">
        <v>789</v>
      </c>
      <c r="I165" s="5" t="str">
        <f>HYPERLINK("https://www.ncbi.nlm.nih.gov/protein/WP_147891298.1?report=genbank&amp;log$=prottop&amp;blast_rank=165&amp;RID=7U875CNM013","WP_147891298.1")</f>
        <v>WP_147891298.1</v>
      </c>
      <c r="J165" s="5" t="s">
        <v>3276</v>
      </c>
    </row>
    <row r="166" spans="1:10" s="7" customFormat="1" x14ac:dyDescent="0.2">
      <c r="A166" s="5" t="s">
        <v>3627</v>
      </c>
      <c r="B166" s="5" t="s">
        <v>3628</v>
      </c>
      <c r="C166" s="5">
        <v>1118</v>
      </c>
      <c r="D166" s="5">
        <v>1118</v>
      </c>
      <c r="E166" s="6">
        <v>0.98</v>
      </c>
      <c r="F166" s="5">
        <v>0</v>
      </c>
      <c r="G166" s="5">
        <v>67.89</v>
      </c>
      <c r="H166" s="5">
        <v>795</v>
      </c>
      <c r="I166" s="5" t="str">
        <f>HYPERLINK("https://www.ncbi.nlm.nih.gov/protein/OZB57991.1?report=genbank&amp;log$=prottop&amp;blast_rank=171&amp;RID=7U875CNM013","OZB57991.1")</f>
        <v>OZB57991.1</v>
      </c>
      <c r="J166" s="5" t="s">
        <v>3276</v>
      </c>
    </row>
    <row r="167" spans="1:10" s="7" customFormat="1" ht="15" customHeight="1" x14ac:dyDescent="0.2">
      <c r="A167" s="5" t="s">
        <v>3629</v>
      </c>
      <c r="B167" s="5" t="s">
        <v>853</v>
      </c>
      <c r="C167" s="5">
        <v>1150</v>
      </c>
      <c r="D167" s="5">
        <v>1150</v>
      </c>
      <c r="E167" s="6">
        <v>0.98</v>
      </c>
      <c r="F167" s="5">
        <v>0</v>
      </c>
      <c r="G167" s="5">
        <v>67.86</v>
      </c>
      <c r="H167" s="5">
        <v>803</v>
      </c>
      <c r="I167" s="5" t="str">
        <f>HYPERLINK("https://www.ncbi.nlm.nih.gov/protein/MBI4909766.1?report=genbank&amp;log$=prottop&amp;blast_rank=176&amp;RID=7U875CNM013","MBI4909766.1")</f>
        <v>MBI4909766.1</v>
      </c>
      <c r="J167" s="5" t="s">
        <v>854</v>
      </c>
    </row>
    <row r="168" spans="1:10" s="7" customFormat="1" ht="18" customHeight="1" x14ac:dyDescent="0.2">
      <c r="A168" s="5" t="s">
        <v>3630</v>
      </c>
      <c r="B168" s="5" t="s">
        <v>3631</v>
      </c>
      <c r="C168" s="5">
        <v>1149</v>
      </c>
      <c r="D168" s="5">
        <v>1149</v>
      </c>
      <c r="E168" s="6">
        <v>1</v>
      </c>
      <c r="F168" s="5">
        <v>0</v>
      </c>
      <c r="G168" s="5">
        <v>67.84</v>
      </c>
      <c r="H168" s="5">
        <v>795</v>
      </c>
      <c r="I168" s="5" t="str">
        <f>HYPERLINK("https://www.ncbi.nlm.nih.gov/protein/WP_007039637.1?report=genbank&amp;log$=prottop&amp;blast_rank=184&amp;RID=7U875CNM013","WP_007039637.1")</f>
        <v>WP_007039637.1</v>
      </c>
      <c r="J168" s="5" t="s">
        <v>3276</v>
      </c>
    </row>
    <row r="169" spans="1:10" s="5" customFormat="1" x14ac:dyDescent="0.2">
      <c r="A169" s="5" t="s">
        <v>3465</v>
      </c>
      <c r="B169" s="5" t="s">
        <v>3466</v>
      </c>
      <c r="C169" s="5">
        <v>1156</v>
      </c>
      <c r="D169" s="5">
        <v>1156</v>
      </c>
      <c r="E169" s="6">
        <v>0.99</v>
      </c>
      <c r="F169" s="5">
        <v>0</v>
      </c>
      <c r="G169" s="5">
        <v>67.8</v>
      </c>
      <c r="H169" s="5">
        <v>793</v>
      </c>
      <c r="I169" s="5" t="str">
        <f>HYPERLINK("https://www.ncbi.nlm.nih.gov/protein/PVV06972.1?report=genbank&amp;log$=prottop&amp;blast_rank=3&amp;RID=7U875CNM013","PVV06972.1")</f>
        <v>PVV06972.1</v>
      </c>
      <c r="J169" s="5" t="s">
        <v>3632</v>
      </c>
    </row>
    <row r="170" spans="1:10" s="5" customFormat="1" x14ac:dyDescent="0.2">
      <c r="A170" s="5" t="s">
        <v>3633</v>
      </c>
      <c r="B170" s="5" t="s">
        <v>3634</v>
      </c>
      <c r="C170" s="5">
        <v>1147</v>
      </c>
      <c r="D170" s="5">
        <v>1147</v>
      </c>
      <c r="E170" s="6">
        <v>0.98</v>
      </c>
      <c r="F170" s="5">
        <v>0</v>
      </c>
      <c r="G170" s="5">
        <v>67.77</v>
      </c>
      <c r="H170" s="5">
        <v>793</v>
      </c>
      <c r="I170" s="5" t="str">
        <f>HYPERLINK("https://www.ncbi.nlm.nih.gov/protein/WP_019529978.1?report=genbank&amp;log$=prottop&amp;blast_rank=7&amp;RID=7U875CNM013","WP_019529978.1")</f>
        <v>WP_019529978.1</v>
      </c>
      <c r="J170" s="5" t="s">
        <v>3632</v>
      </c>
    </row>
    <row r="171" spans="1:10" s="5" customFormat="1" x14ac:dyDescent="0.2">
      <c r="A171" s="5" t="s">
        <v>3635</v>
      </c>
      <c r="B171" s="5" t="s">
        <v>3636</v>
      </c>
      <c r="C171" s="5">
        <v>1162</v>
      </c>
      <c r="D171" s="5">
        <v>1162</v>
      </c>
      <c r="E171" s="6">
        <v>0.98</v>
      </c>
      <c r="F171" s="5">
        <v>0</v>
      </c>
      <c r="G171" s="5">
        <v>67.77</v>
      </c>
      <c r="H171" s="5">
        <v>823</v>
      </c>
      <c r="I171" s="5" t="str">
        <f>HYPERLINK("https://www.ncbi.nlm.nih.gov/protein/MBK8223507.1?report=genbank&amp;log$=prottop&amp;blast_rank=11&amp;RID=7U875CNM013","MBK8223507.1")</f>
        <v>MBK8223507.1</v>
      </c>
      <c r="J171" s="5" t="s">
        <v>3277</v>
      </c>
    </row>
    <row r="172" spans="1:10" s="5" customFormat="1" x14ac:dyDescent="0.2">
      <c r="A172" s="5" t="s">
        <v>3637</v>
      </c>
      <c r="B172" s="5" t="s">
        <v>3638</v>
      </c>
      <c r="C172" s="5">
        <v>1148</v>
      </c>
      <c r="D172" s="5">
        <v>1148</v>
      </c>
      <c r="E172" s="6">
        <v>0.99</v>
      </c>
      <c r="F172" s="5">
        <v>0</v>
      </c>
      <c r="G172" s="5">
        <v>67.75</v>
      </c>
      <c r="H172" s="5">
        <v>798</v>
      </c>
      <c r="I172" s="5" t="str">
        <f>HYPERLINK("https://www.ncbi.nlm.nih.gov/protein/WP_093190318.1?report=genbank&amp;log$=prottop&amp;blast_rank=15&amp;RID=7U875CNM013","WP_093190318.1")</f>
        <v>WP_093190318.1</v>
      </c>
      <c r="J172" s="5" t="s">
        <v>3632</v>
      </c>
    </row>
    <row r="173" spans="1:10" s="5" customFormat="1" x14ac:dyDescent="0.2">
      <c r="A173" s="5" t="s">
        <v>3639</v>
      </c>
      <c r="B173" s="5" t="s">
        <v>3640</v>
      </c>
      <c r="C173" s="5">
        <v>1108</v>
      </c>
      <c r="D173" s="5">
        <v>1108</v>
      </c>
      <c r="E173" s="6">
        <v>0.97</v>
      </c>
      <c r="F173" s="5">
        <v>0</v>
      </c>
      <c r="G173" s="5">
        <v>67.739999999999995</v>
      </c>
      <c r="H173" s="5">
        <v>797</v>
      </c>
      <c r="I173" s="5" t="str">
        <f>HYPERLINK("https://www.ncbi.nlm.nih.gov/protein/WP_093970131.1?report=genbank&amp;log$=prottop&amp;blast_rank=16&amp;RID=7U875CNM013","WP_093970131.1")</f>
        <v>WP_093970131.1</v>
      </c>
      <c r="J173" s="5" t="s">
        <v>2134</v>
      </c>
    </row>
    <row r="174" spans="1:10" s="5" customFormat="1" x14ac:dyDescent="0.2">
      <c r="A174" s="5" t="s">
        <v>3641</v>
      </c>
      <c r="B174" s="5" t="s">
        <v>610</v>
      </c>
      <c r="C174" s="5">
        <v>1160</v>
      </c>
      <c r="D174" s="5">
        <v>1160</v>
      </c>
      <c r="E174" s="6">
        <v>0.98</v>
      </c>
      <c r="F174" s="5">
        <v>0</v>
      </c>
      <c r="G174" s="5">
        <v>67.73</v>
      </c>
      <c r="H174" s="5">
        <v>812</v>
      </c>
      <c r="I174" s="5" t="str">
        <f>HYPERLINK("https://www.ncbi.nlm.nih.gov/protein/MBK9145030.1?report=genbank&amp;log$=prottop&amp;blast_rank=17&amp;RID=7U875CNM013","MBK9145030.1")</f>
        <v>MBK9145030.1</v>
      </c>
      <c r="J174" s="5" t="s">
        <v>3277</v>
      </c>
    </row>
    <row r="175" spans="1:10" s="5" customFormat="1" x14ac:dyDescent="0.2">
      <c r="A175" s="5" t="s">
        <v>3642</v>
      </c>
      <c r="B175" s="5" t="s">
        <v>3643</v>
      </c>
      <c r="C175" s="5">
        <v>1130</v>
      </c>
      <c r="D175" s="5">
        <v>1130</v>
      </c>
      <c r="E175" s="6">
        <v>0.98</v>
      </c>
      <c r="F175" s="5">
        <v>0</v>
      </c>
      <c r="G175" s="5">
        <v>67.69</v>
      </c>
      <c r="H175" s="5">
        <v>826</v>
      </c>
      <c r="I175" s="5" t="str">
        <f>HYPERLINK("https://www.ncbi.nlm.nih.gov/protein/WP_146647843.1?report=genbank&amp;log$=prottop&amp;blast_rank=27&amp;RID=7U875CNM013","WP_146647843.1")</f>
        <v>WP_146647843.1</v>
      </c>
      <c r="J175" s="5" t="s">
        <v>3286</v>
      </c>
    </row>
    <row r="176" spans="1:10" s="5" customFormat="1" x14ac:dyDescent="0.2">
      <c r="A176" s="5" t="s">
        <v>3498</v>
      </c>
      <c r="B176" s="5" t="s">
        <v>3499</v>
      </c>
      <c r="C176" s="5">
        <v>1148</v>
      </c>
      <c r="D176" s="5">
        <v>1148</v>
      </c>
      <c r="E176" s="6">
        <v>0.98</v>
      </c>
      <c r="F176" s="5">
        <v>0</v>
      </c>
      <c r="G176" s="5">
        <v>67.680000000000007</v>
      </c>
      <c r="H176" s="5">
        <v>811</v>
      </c>
      <c r="I176" s="5" t="str">
        <f>HYPERLINK("https://www.ncbi.nlm.nih.gov/protein/MBK8337088.1?report=genbank&amp;log$=prottop&amp;blast_rank=30&amp;RID=7U875CNM013","MBK8337088.1")</f>
        <v>MBK8337088.1</v>
      </c>
      <c r="J176" s="5" t="s">
        <v>2134</v>
      </c>
    </row>
    <row r="177" spans="1:10" s="5" customFormat="1" x14ac:dyDescent="0.2">
      <c r="A177" s="5" t="s">
        <v>3465</v>
      </c>
      <c r="B177" s="5" t="s">
        <v>3466</v>
      </c>
      <c r="C177" s="5">
        <v>1159</v>
      </c>
      <c r="D177" s="5">
        <v>1159</v>
      </c>
      <c r="E177" s="6">
        <v>0.99</v>
      </c>
      <c r="F177" s="5">
        <v>0</v>
      </c>
      <c r="G177" s="5">
        <v>67.67</v>
      </c>
      <c r="H177" s="5">
        <v>793</v>
      </c>
      <c r="I177" s="5" t="str">
        <f>HYPERLINK("https://www.ncbi.nlm.nih.gov/protein/PUB72019.1?report=genbank&amp;log$=prottop&amp;blast_rank=32&amp;RID=7U875CNM013","PUB72019.1")</f>
        <v>PUB72019.1</v>
      </c>
      <c r="J177" s="5" t="s">
        <v>3632</v>
      </c>
    </row>
    <row r="178" spans="1:10" s="5" customFormat="1" x14ac:dyDescent="0.2">
      <c r="A178" s="5" t="s">
        <v>3465</v>
      </c>
      <c r="B178" s="5" t="s">
        <v>3466</v>
      </c>
      <c r="C178" s="5">
        <v>1158</v>
      </c>
      <c r="D178" s="5">
        <v>1158</v>
      </c>
      <c r="E178" s="6">
        <v>0.99</v>
      </c>
      <c r="F178" s="5">
        <v>0</v>
      </c>
      <c r="G178" s="5">
        <v>67.67</v>
      </c>
      <c r="H178" s="5">
        <v>793</v>
      </c>
      <c r="I178" s="5" t="str">
        <f>HYPERLINK("https://www.ncbi.nlm.nih.gov/protein/PUB75841.1?report=genbank&amp;log$=prottop&amp;blast_rank=33&amp;RID=7U875CNM013","PUB75841.1")</f>
        <v>PUB75841.1</v>
      </c>
      <c r="J178" s="5" t="s">
        <v>3632</v>
      </c>
    </row>
    <row r="179" spans="1:10" s="5" customFormat="1" x14ac:dyDescent="0.2">
      <c r="A179" s="5" t="s">
        <v>3644</v>
      </c>
      <c r="B179" s="5" t="s">
        <v>3645</v>
      </c>
      <c r="C179" s="5">
        <v>1143</v>
      </c>
      <c r="D179" s="5">
        <v>1143</v>
      </c>
      <c r="E179" s="6">
        <v>0.98</v>
      </c>
      <c r="F179" s="5">
        <v>0</v>
      </c>
      <c r="G179" s="5">
        <v>67.599999999999994</v>
      </c>
      <c r="H179" s="5">
        <v>815</v>
      </c>
      <c r="I179" s="5" t="str">
        <f>HYPERLINK("https://www.ncbi.nlm.nih.gov/protein/WP_163058438.1?report=genbank&amp;log$=prottop&amp;blast_rank=43&amp;RID=7U875CNM013","WP_163058438.1")</f>
        <v>WP_163058438.1</v>
      </c>
      <c r="J179" s="5" t="s">
        <v>2769</v>
      </c>
    </row>
    <row r="180" spans="1:10" s="5" customFormat="1" x14ac:dyDescent="0.2">
      <c r="A180" s="5" t="s">
        <v>3646</v>
      </c>
      <c r="B180" s="5" t="s">
        <v>3489</v>
      </c>
      <c r="C180" s="5">
        <v>1159</v>
      </c>
      <c r="D180" s="5">
        <v>1159</v>
      </c>
      <c r="E180" s="6">
        <v>0.98</v>
      </c>
      <c r="F180" s="5">
        <v>0</v>
      </c>
      <c r="G180" s="5">
        <v>67.58</v>
      </c>
      <c r="H180" s="5">
        <v>807</v>
      </c>
      <c r="I180" s="5" t="str">
        <f>HYPERLINK("https://www.ncbi.nlm.nih.gov/protein/TAJ78725.1?report=genbank&amp;log$=prottop&amp;blast_rank=48&amp;RID=7U875CNM013","TAJ78725.1")</f>
        <v>TAJ78725.1</v>
      </c>
      <c r="J180" s="5" t="s">
        <v>2134</v>
      </c>
    </row>
    <row r="181" spans="1:10" s="5" customFormat="1" x14ac:dyDescent="0.2">
      <c r="A181" s="5" t="s">
        <v>3314</v>
      </c>
      <c r="B181" s="5" t="s">
        <v>3315</v>
      </c>
      <c r="C181" s="5">
        <v>1129</v>
      </c>
      <c r="D181" s="5">
        <v>1129</v>
      </c>
      <c r="E181" s="6">
        <v>0.97</v>
      </c>
      <c r="F181" s="5">
        <v>0</v>
      </c>
      <c r="G181" s="5">
        <v>67.569999999999993</v>
      </c>
      <c r="H181" s="5">
        <v>810</v>
      </c>
      <c r="I181" s="5" t="str">
        <f>HYPERLINK("https://www.ncbi.nlm.nih.gov/protein/NDE55381.1?report=genbank&amp;log$=prottop&amp;blast_rank=50&amp;RID=7U875CNM013","NDE55381.1")</f>
        <v>NDE55381.1</v>
      </c>
      <c r="J181" s="5" t="s">
        <v>3632</v>
      </c>
    </row>
    <row r="182" spans="1:10" s="5" customFormat="1" x14ac:dyDescent="0.2">
      <c r="A182" s="5" t="s">
        <v>3647</v>
      </c>
      <c r="B182" s="5" t="s">
        <v>3648</v>
      </c>
      <c r="C182" s="5">
        <v>1113</v>
      </c>
      <c r="D182" s="5">
        <v>1113</v>
      </c>
      <c r="E182" s="6">
        <v>0.97</v>
      </c>
      <c r="F182" s="5">
        <v>0</v>
      </c>
      <c r="G182" s="5">
        <v>67.569999999999993</v>
      </c>
      <c r="H182" s="5">
        <v>795</v>
      </c>
      <c r="I182" s="5" t="str">
        <f>HYPERLINK("https://www.ncbi.nlm.nih.gov/protein/MAB25834.1?report=genbank&amp;log$=prottop&amp;blast_rank=51&amp;RID=7U875CNM013","MAB25834.1")</f>
        <v>MAB25834.1</v>
      </c>
      <c r="J182" s="5" t="s">
        <v>3632</v>
      </c>
    </row>
    <row r="183" spans="1:10" s="5" customFormat="1" ht="17" customHeight="1" x14ac:dyDescent="0.2">
      <c r="A183" s="5" t="s">
        <v>3649</v>
      </c>
      <c r="B183" s="5" t="s">
        <v>3650</v>
      </c>
      <c r="C183" s="5">
        <v>1140</v>
      </c>
      <c r="D183" s="5">
        <v>1140</v>
      </c>
      <c r="E183" s="6">
        <v>0.98</v>
      </c>
      <c r="F183" s="5">
        <v>0</v>
      </c>
      <c r="G183" s="5">
        <v>67.47</v>
      </c>
      <c r="H183" s="5">
        <v>815</v>
      </c>
      <c r="I183" s="5" t="str">
        <f>HYPERLINK("https://www.ncbi.nlm.nih.gov/protein/WP_012536934.1?report=genbank&amp;log$=prottop&amp;blast_rank=72&amp;RID=7U875CNM013","WP_012536934.1")</f>
        <v>WP_012536934.1</v>
      </c>
      <c r="J183" s="5" t="s">
        <v>2769</v>
      </c>
    </row>
    <row r="184" spans="1:10" s="5" customFormat="1" x14ac:dyDescent="0.2">
      <c r="A184" s="5" t="s">
        <v>3651</v>
      </c>
      <c r="B184" s="5" t="s">
        <v>3652</v>
      </c>
      <c r="C184" s="5">
        <v>1103</v>
      </c>
      <c r="D184" s="5">
        <v>1103</v>
      </c>
      <c r="E184" s="6">
        <v>0.99</v>
      </c>
      <c r="F184" s="5">
        <v>0</v>
      </c>
      <c r="G184" s="5">
        <v>67.47</v>
      </c>
      <c r="H184" s="5">
        <v>792</v>
      </c>
      <c r="I184" s="5" t="str">
        <f>HYPERLINK("https://www.ncbi.nlm.nih.gov/protein/TVQ92021.1?report=genbank&amp;log$=prottop&amp;blast_rank=75&amp;RID=7U875CNM013","TVQ92021.1")</f>
        <v>TVQ92021.1</v>
      </c>
      <c r="J184" s="5" t="s">
        <v>3632</v>
      </c>
    </row>
    <row r="185" spans="1:10" s="5" customFormat="1" x14ac:dyDescent="0.2">
      <c r="A185" s="5" t="s">
        <v>3653</v>
      </c>
      <c r="B185" s="5" t="s">
        <v>3654</v>
      </c>
      <c r="C185" s="5">
        <v>1070</v>
      </c>
      <c r="D185" s="5">
        <v>1070</v>
      </c>
      <c r="E185" s="6">
        <v>0.97</v>
      </c>
      <c r="F185" s="5">
        <v>0</v>
      </c>
      <c r="G185" s="5">
        <v>67.44</v>
      </c>
      <c r="H185" s="5">
        <v>782</v>
      </c>
      <c r="I185" s="5" t="str">
        <f>HYPERLINK("https://www.ncbi.nlm.nih.gov/protein/MAO51099.1?report=genbank&amp;log$=prottop&amp;blast_rank=77&amp;RID=7U875CNM013","MAO51099.1")</f>
        <v>MAO51099.1</v>
      </c>
      <c r="J185" s="5" t="s">
        <v>2134</v>
      </c>
    </row>
    <row r="186" spans="1:10" s="5" customFormat="1" x14ac:dyDescent="0.2">
      <c r="A186" s="5" t="s">
        <v>3655</v>
      </c>
      <c r="B186" s="5" t="s">
        <v>3656</v>
      </c>
      <c r="C186" s="5">
        <v>1141</v>
      </c>
      <c r="D186" s="5">
        <v>1141</v>
      </c>
      <c r="E186" s="6">
        <v>0.98</v>
      </c>
      <c r="F186" s="5">
        <v>0</v>
      </c>
      <c r="G186" s="5">
        <v>67.430000000000007</v>
      </c>
      <c r="H186" s="5">
        <v>811</v>
      </c>
      <c r="I186" s="5" t="str">
        <f>HYPERLINK("https://www.ncbi.nlm.nih.gov/protein/PZN78688.1?report=genbank&amp;log$=prottop&amp;blast_rank=88&amp;RID=7U875CNM013","PZN78688.1")</f>
        <v>PZN78688.1</v>
      </c>
      <c r="J186" s="5" t="s">
        <v>3632</v>
      </c>
    </row>
    <row r="187" spans="1:10" s="5" customFormat="1" x14ac:dyDescent="0.2">
      <c r="A187" s="5" t="s">
        <v>3657</v>
      </c>
      <c r="B187" s="5" t="s">
        <v>3658</v>
      </c>
      <c r="C187" s="5">
        <v>1139</v>
      </c>
      <c r="D187" s="5">
        <v>1139</v>
      </c>
      <c r="E187" s="6">
        <v>0.99</v>
      </c>
      <c r="F187" s="5">
        <v>0</v>
      </c>
      <c r="G187" s="5">
        <v>67.42</v>
      </c>
      <c r="H187" s="5">
        <v>797</v>
      </c>
      <c r="I187" s="5" t="str">
        <f>HYPERLINK("https://www.ncbi.nlm.nih.gov/protein/NLZ10284.1?report=genbank&amp;log$=prottop&amp;blast_rank=90&amp;RID=7U875CNM013","NLZ10284.1")</f>
        <v>NLZ10284.1</v>
      </c>
      <c r="J187" s="5" t="s">
        <v>2134</v>
      </c>
    </row>
    <row r="188" spans="1:10" s="5" customFormat="1" x14ac:dyDescent="0.2">
      <c r="A188" s="5" t="s">
        <v>3659</v>
      </c>
      <c r="B188" s="5" t="s">
        <v>3660</v>
      </c>
      <c r="C188" s="5">
        <v>1138</v>
      </c>
      <c r="D188" s="5">
        <v>1138</v>
      </c>
      <c r="E188" s="6">
        <v>0.99</v>
      </c>
      <c r="F188" s="5">
        <v>0</v>
      </c>
      <c r="G188" s="5">
        <v>67.34</v>
      </c>
      <c r="H188" s="5">
        <v>796</v>
      </c>
      <c r="I188" s="5" t="str">
        <f>HYPERLINK("https://www.ncbi.nlm.nih.gov/protein/WP_100920907.1?report=genbank&amp;log$=prottop&amp;blast_rank=128&amp;RID=7U875CNM013","WP_100920907.1")</f>
        <v>WP_100920907.1</v>
      </c>
      <c r="J188" s="5" t="s">
        <v>3632</v>
      </c>
    </row>
    <row r="189" spans="1:10" s="5" customFormat="1" x14ac:dyDescent="0.2">
      <c r="A189" s="5" t="s">
        <v>2631</v>
      </c>
      <c r="B189" s="5" t="s">
        <v>2632</v>
      </c>
      <c r="C189" s="5">
        <v>1115</v>
      </c>
      <c r="D189" s="5">
        <v>1115</v>
      </c>
      <c r="E189" s="6">
        <v>0.98</v>
      </c>
      <c r="F189" s="5">
        <v>0</v>
      </c>
      <c r="G189" s="5">
        <v>67.31</v>
      </c>
      <c r="H189" s="5">
        <v>810</v>
      </c>
      <c r="I189" s="5" t="str">
        <f>HYPERLINK("https://www.ncbi.nlm.nih.gov/protein/MBL8292603.1?report=genbank&amp;log$=prottop&amp;blast_rank=135&amp;RID=7U875CNM013","MBL8292603.1")</f>
        <v>MBL8292603.1</v>
      </c>
      <c r="J189" s="5" t="s">
        <v>854</v>
      </c>
    </row>
    <row r="190" spans="1:10" s="5" customFormat="1" x14ac:dyDescent="0.2">
      <c r="A190" s="5" t="s">
        <v>3535</v>
      </c>
      <c r="B190" s="5" t="s">
        <v>3536</v>
      </c>
      <c r="C190" s="5">
        <v>1134</v>
      </c>
      <c r="D190" s="5">
        <v>1134</v>
      </c>
      <c r="E190" s="6">
        <v>0.98</v>
      </c>
      <c r="F190" s="5">
        <v>0</v>
      </c>
      <c r="G190" s="5">
        <v>67.22</v>
      </c>
      <c r="H190" s="5">
        <v>782</v>
      </c>
      <c r="I190" s="5" t="str">
        <f>HYPERLINK("https://www.ncbi.nlm.nih.gov/protein/NNM81570.1?report=genbank&amp;log$=prottop&amp;blast_rank=164&amp;RID=7U875CNM013","NNM81570.1")</f>
        <v>NNM81570.1</v>
      </c>
      <c r="J190" s="5" t="s">
        <v>2134</v>
      </c>
    </row>
    <row r="191" spans="1:10" s="5" customFormat="1" x14ac:dyDescent="0.2">
      <c r="A191" s="5" t="s">
        <v>3661</v>
      </c>
      <c r="B191" s="5" t="s">
        <v>3662</v>
      </c>
      <c r="C191" s="5">
        <v>1078</v>
      </c>
      <c r="D191" s="5">
        <v>1078</v>
      </c>
      <c r="E191" s="6">
        <v>0.97</v>
      </c>
      <c r="F191" s="5">
        <v>0</v>
      </c>
      <c r="G191" s="5">
        <v>67.22</v>
      </c>
      <c r="H191" s="5">
        <v>806</v>
      </c>
      <c r="I191" s="5" t="str">
        <f>HYPERLINK("https://www.ncbi.nlm.nih.gov/protein/WP_130459883.1?report=genbank&amp;log$=prottop&amp;blast_rank=165&amp;RID=7U875CNM013","WP_130459883.1")</f>
        <v>WP_130459883.1</v>
      </c>
      <c r="J191" s="5" t="s">
        <v>2134</v>
      </c>
    </row>
    <row r="192" spans="1:10" s="5" customFormat="1" x14ac:dyDescent="0.2">
      <c r="A192" s="5" t="s">
        <v>3663</v>
      </c>
      <c r="B192" s="5" t="s">
        <v>3664</v>
      </c>
      <c r="C192" s="5">
        <v>1095</v>
      </c>
      <c r="D192" s="5">
        <v>1095</v>
      </c>
      <c r="E192" s="6">
        <v>0.98</v>
      </c>
      <c r="F192" s="5">
        <v>0</v>
      </c>
      <c r="G192" s="5">
        <v>67.22</v>
      </c>
      <c r="H192" s="5">
        <v>804</v>
      </c>
      <c r="I192" s="5" t="str">
        <f>HYPERLINK("https://www.ncbi.nlm.nih.gov/protein/WP_205962291.1?report=genbank&amp;log$=prottop&amp;blast_rank=167&amp;RID=7U875CNM013","WP_205962291.1")</f>
        <v>WP_205962291.1</v>
      </c>
      <c r="J192" s="5" t="s">
        <v>2134</v>
      </c>
    </row>
    <row r="193" spans="1:10" s="5" customFormat="1" x14ac:dyDescent="0.2">
      <c r="A193" s="5" t="s">
        <v>3665</v>
      </c>
      <c r="B193" s="5" t="s">
        <v>3322</v>
      </c>
      <c r="C193" s="5">
        <v>1094</v>
      </c>
      <c r="D193" s="5">
        <v>1094</v>
      </c>
      <c r="E193" s="6">
        <v>0.98</v>
      </c>
      <c r="F193" s="5">
        <v>0</v>
      </c>
      <c r="G193" s="5">
        <v>67.09</v>
      </c>
      <c r="H193" s="5">
        <v>794</v>
      </c>
      <c r="I193" s="5" t="str">
        <f>HYPERLINK("https://www.ncbi.nlm.nih.gov/protein/MBI4609652.1?report=genbank&amp;log$=prottop&amp;blast_rank=201&amp;RID=7U875CNM013","MBI4609652.1")</f>
        <v>MBI4609652.1</v>
      </c>
      <c r="J193" s="5" t="s">
        <v>3323</v>
      </c>
    </row>
    <row r="194" spans="1:10" s="5" customFormat="1" x14ac:dyDescent="0.2">
      <c r="A194" s="5" t="s">
        <v>3666</v>
      </c>
      <c r="B194" s="5" t="s">
        <v>3667</v>
      </c>
      <c r="C194" s="5">
        <v>1148</v>
      </c>
      <c r="D194" s="5">
        <v>1148</v>
      </c>
      <c r="E194" s="6">
        <v>0.99</v>
      </c>
      <c r="F194" s="5">
        <v>0</v>
      </c>
      <c r="G194" s="5">
        <v>67.09</v>
      </c>
      <c r="H194" s="5">
        <v>798</v>
      </c>
      <c r="I194" s="5" t="str">
        <f>HYPERLINK("https://www.ncbi.nlm.nih.gov/protein/WP_101198574.1?report=genbank&amp;log$=prottop&amp;blast_rank=202&amp;RID=7U875CNM013","WP_101198574.1")</f>
        <v>WP_101198574.1</v>
      </c>
      <c r="J194" s="5" t="s">
        <v>3632</v>
      </c>
    </row>
    <row r="195" spans="1:10" s="5" customFormat="1" x14ac:dyDescent="0.2">
      <c r="A195" s="5" t="s">
        <v>3665</v>
      </c>
      <c r="B195" s="5" t="s">
        <v>3322</v>
      </c>
      <c r="C195" s="5">
        <v>1133</v>
      </c>
      <c r="D195" s="5">
        <v>1133</v>
      </c>
      <c r="E195" s="6">
        <v>0.98</v>
      </c>
      <c r="F195" s="5">
        <v>0</v>
      </c>
      <c r="G195" s="5">
        <v>67.010000000000005</v>
      </c>
      <c r="H195" s="5">
        <v>788</v>
      </c>
      <c r="I195" s="5" t="str">
        <f>HYPERLINK("https://www.ncbi.nlm.nih.gov/protein/MBI3456544.1?report=genbank&amp;log$=prottop&amp;blast_rank=222&amp;RID=7U875CNM013","MBI3456544.1")</f>
        <v>MBI3456544.1</v>
      </c>
      <c r="J195" s="5" t="s">
        <v>3323</v>
      </c>
    </row>
    <row r="196" spans="1:10" s="5" customFormat="1" x14ac:dyDescent="0.2">
      <c r="A196" s="5" t="s">
        <v>3388</v>
      </c>
      <c r="B196" s="5" t="s">
        <v>3389</v>
      </c>
      <c r="C196" s="5">
        <v>1073</v>
      </c>
      <c r="D196" s="5">
        <v>1073</v>
      </c>
      <c r="E196" s="6">
        <v>0.97</v>
      </c>
      <c r="F196" s="5">
        <v>0</v>
      </c>
      <c r="G196" s="5">
        <v>66.97</v>
      </c>
      <c r="H196" s="5">
        <v>790</v>
      </c>
      <c r="I196" s="5" t="str">
        <f>HYPERLINK("https://www.ncbi.nlm.nih.gov/protein/TLS17247.1?report=genbank&amp;log$=prottop&amp;blast_rank=8&amp;RID=7U875CNM013","TLS17247.1")</f>
        <v>TLS17247.1</v>
      </c>
      <c r="J196" s="5" t="s">
        <v>2134</v>
      </c>
    </row>
    <row r="197" spans="1:10" s="5" customFormat="1" x14ac:dyDescent="0.2">
      <c r="A197" s="5" t="s">
        <v>3668</v>
      </c>
      <c r="B197" s="5" t="s">
        <v>3282</v>
      </c>
      <c r="C197" s="5">
        <v>1156</v>
      </c>
      <c r="D197" s="5">
        <v>1156</v>
      </c>
      <c r="E197" s="6">
        <v>0.98</v>
      </c>
      <c r="F197" s="5">
        <v>0</v>
      </c>
      <c r="G197" s="5">
        <v>66.959999999999994</v>
      </c>
      <c r="H197" s="5">
        <v>812</v>
      </c>
      <c r="I197" s="5" t="str">
        <f>HYPERLINK("https://www.ncbi.nlm.nih.gov/protein/MBI1272307.1?report=genbank&amp;log$=prottop&amp;blast_rank=9&amp;RID=7U875CNM013","MBI1272307.1")</f>
        <v>MBI1272307.1</v>
      </c>
      <c r="J197" s="5" t="s">
        <v>3277</v>
      </c>
    </row>
    <row r="198" spans="1:10" s="5" customFormat="1" x14ac:dyDescent="0.2">
      <c r="A198" s="5" t="s">
        <v>3669</v>
      </c>
      <c r="B198" s="5" t="s">
        <v>3670</v>
      </c>
      <c r="C198" s="5">
        <v>1124</v>
      </c>
      <c r="D198" s="5">
        <v>1124</v>
      </c>
      <c r="E198" s="6">
        <v>0.98</v>
      </c>
      <c r="F198" s="5">
        <v>0</v>
      </c>
      <c r="G198" s="5">
        <v>66.959999999999994</v>
      </c>
      <c r="H198" s="5">
        <v>788</v>
      </c>
      <c r="I198" s="5" t="str">
        <f>HYPERLINK("https://www.ncbi.nlm.nih.gov/protein/MBI2113536.1?report=genbank&amp;log$=prottop&amp;blast_rank=12&amp;RID=7U875CNM013","MBI2113536.1")</f>
        <v>MBI2113536.1</v>
      </c>
      <c r="J198" s="5" t="s">
        <v>3277</v>
      </c>
    </row>
    <row r="199" spans="1:10" s="5" customFormat="1" x14ac:dyDescent="0.2">
      <c r="A199" s="5" t="s">
        <v>3314</v>
      </c>
      <c r="B199" s="5" t="s">
        <v>3315</v>
      </c>
      <c r="C199" s="5">
        <v>1151</v>
      </c>
      <c r="D199" s="5">
        <v>1151</v>
      </c>
      <c r="E199" s="6">
        <v>0.99</v>
      </c>
      <c r="F199" s="5">
        <v>0</v>
      </c>
      <c r="G199" s="5">
        <v>66.959999999999994</v>
      </c>
      <c r="H199" s="5">
        <v>809</v>
      </c>
      <c r="I199" s="5" t="str">
        <f>HYPERLINK("https://www.ncbi.nlm.nih.gov/protein/MBK7168308.1?report=genbank&amp;log$=prottop&amp;blast_rank=13&amp;RID=7U875CNM013","MBK7168308.1")</f>
        <v>MBK7168308.1</v>
      </c>
      <c r="J199" s="5" t="s">
        <v>3276</v>
      </c>
    </row>
    <row r="200" spans="1:10" s="5" customFormat="1" x14ac:dyDescent="0.2">
      <c r="A200" s="5" t="s">
        <v>3314</v>
      </c>
      <c r="B200" s="5" t="s">
        <v>3315</v>
      </c>
      <c r="C200" s="5">
        <v>1149</v>
      </c>
      <c r="D200" s="5">
        <v>1149</v>
      </c>
      <c r="E200" s="6">
        <v>0.99</v>
      </c>
      <c r="F200" s="5">
        <v>0</v>
      </c>
      <c r="G200" s="5">
        <v>66.959999999999994</v>
      </c>
      <c r="H200" s="5">
        <v>809</v>
      </c>
      <c r="I200" s="5" t="str">
        <f>HYPERLINK("https://www.ncbi.nlm.nih.gov/protein/MBK7727840.1?report=genbank&amp;log$=prottop&amp;blast_rank=14&amp;RID=7U875CNM013","MBK7727840.1")</f>
        <v>MBK7727840.1</v>
      </c>
      <c r="J200" s="5" t="s">
        <v>3276</v>
      </c>
    </row>
    <row r="201" spans="1:10" s="5" customFormat="1" x14ac:dyDescent="0.2">
      <c r="A201" s="5" t="s">
        <v>3671</v>
      </c>
      <c r="B201" s="5" t="s">
        <v>3672</v>
      </c>
      <c r="C201" s="5">
        <v>1135</v>
      </c>
      <c r="D201" s="5">
        <v>1135</v>
      </c>
      <c r="E201" s="6">
        <v>1</v>
      </c>
      <c r="F201" s="5">
        <v>0</v>
      </c>
      <c r="G201" s="5">
        <v>66.92</v>
      </c>
      <c r="H201" s="5">
        <v>793</v>
      </c>
      <c r="I201" s="5" t="str">
        <f>HYPERLINK("https://www.ncbi.nlm.nih.gov/protein/QLQ32467.1?report=genbank&amp;log$=prottop&amp;blast_rank=26&amp;RID=7U875CNM013","QLQ32467.1")</f>
        <v>QLQ32467.1</v>
      </c>
      <c r="J201" s="5" t="s">
        <v>3276</v>
      </c>
    </row>
    <row r="202" spans="1:10" s="5" customFormat="1" x14ac:dyDescent="0.2">
      <c r="A202" s="5" t="s">
        <v>3673</v>
      </c>
      <c r="B202" s="5" t="s">
        <v>3674</v>
      </c>
      <c r="C202" s="5">
        <v>1072</v>
      </c>
      <c r="D202" s="5">
        <v>1072</v>
      </c>
      <c r="E202" s="6">
        <v>0.94</v>
      </c>
      <c r="F202" s="5">
        <v>0</v>
      </c>
      <c r="G202" s="5">
        <v>66.84</v>
      </c>
      <c r="H202" s="5">
        <v>765</v>
      </c>
      <c r="I202" s="5" t="str">
        <f>HYPERLINK("https://www.ncbi.nlm.nih.gov/protein/OGI64458.1?report=genbank&amp;log$=prottop&amp;blast_rank=33&amp;RID=7U875CNM013","OGI64458.1")</f>
        <v>OGI64458.1</v>
      </c>
      <c r="J202" s="5" t="s">
        <v>2769</v>
      </c>
    </row>
    <row r="203" spans="1:10" s="5" customFormat="1" x14ac:dyDescent="0.2">
      <c r="A203" s="5" t="s">
        <v>3675</v>
      </c>
      <c r="B203" s="5" t="s">
        <v>3676</v>
      </c>
      <c r="C203" s="5">
        <v>1071</v>
      </c>
      <c r="D203" s="5">
        <v>1071</v>
      </c>
      <c r="E203" s="6">
        <v>0.97</v>
      </c>
      <c r="F203" s="5">
        <v>0</v>
      </c>
      <c r="G203" s="5">
        <v>66.84</v>
      </c>
      <c r="H203" s="5">
        <v>806</v>
      </c>
      <c r="I203" s="5" t="str">
        <f>HYPERLINK("https://www.ncbi.nlm.nih.gov/protein/AEV24838.1?report=genbank&amp;log$=prottop&amp;blast_rank=35&amp;RID=7U875CNM013","AEV24838.1")</f>
        <v>AEV24838.1</v>
      </c>
      <c r="J203" s="5" t="s">
        <v>2134</v>
      </c>
    </row>
    <row r="204" spans="1:10" s="5" customFormat="1" x14ac:dyDescent="0.2">
      <c r="A204" s="5" t="s">
        <v>3661</v>
      </c>
      <c r="B204" s="5" t="s">
        <v>3662</v>
      </c>
      <c r="C204" s="5">
        <v>1070</v>
      </c>
      <c r="D204" s="5">
        <v>1070</v>
      </c>
      <c r="E204" s="6">
        <v>0.97</v>
      </c>
      <c r="F204" s="5">
        <v>0</v>
      </c>
      <c r="G204" s="5">
        <v>66.84</v>
      </c>
      <c r="H204" s="5">
        <v>803</v>
      </c>
      <c r="I204" s="5" t="str">
        <f>HYPERLINK("https://www.ncbi.nlm.nih.gov/protein/WP_050804335.1?report=genbank&amp;log$=prottop&amp;blast_rank=36&amp;RID=7U875CNM013","WP_050804335.1")</f>
        <v>WP_050804335.1</v>
      </c>
      <c r="J204" s="5" t="s">
        <v>2134</v>
      </c>
    </row>
    <row r="205" spans="1:10" s="5" customFormat="1" x14ac:dyDescent="0.2">
      <c r="A205" s="5" t="s">
        <v>3669</v>
      </c>
      <c r="B205" s="5" t="s">
        <v>3670</v>
      </c>
      <c r="C205" s="5">
        <v>1123</v>
      </c>
      <c r="D205" s="5">
        <v>1123</v>
      </c>
      <c r="E205" s="6">
        <v>0.98</v>
      </c>
      <c r="F205" s="5">
        <v>0</v>
      </c>
      <c r="G205" s="5">
        <v>66.84</v>
      </c>
      <c r="H205" s="5">
        <v>788</v>
      </c>
      <c r="I205" s="5" t="str">
        <f>HYPERLINK("https://www.ncbi.nlm.nih.gov/protein/MBI2001121.1?report=genbank&amp;log$=prottop&amp;blast_rank=37&amp;RID=7U875CNM013","MBI2001121.1")</f>
        <v>MBI2001121.1</v>
      </c>
      <c r="J205" s="5" t="s">
        <v>3277</v>
      </c>
    </row>
    <row r="206" spans="1:10" s="5" customFormat="1" x14ac:dyDescent="0.2">
      <c r="A206" s="5" t="s">
        <v>3314</v>
      </c>
      <c r="B206" s="5" t="s">
        <v>3315</v>
      </c>
      <c r="C206" s="5">
        <v>1148</v>
      </c>
      <c r="D206" s="5">
        <v>1148</v>
      </c>
      <c r="E206" s="6">
        <v>0.99</v>
      </c>
      <c r="F206" s="5">
        <v>0</v>
      </c>
      <c r="G206" s="5">
        <v>66.83</v>
      </c>
      <c r="H206" s="5">
        <v>809</v>
      </c>
      <c r="I206" s="5" t="str">
        <f>HYPERLINK("https://www.ncbi.nlm.nih.gov/protein/MBK6584454.1?report=genbank&amp;log$=prottop&amp;blast_rank=40&amp;RID=7U875CNM013","MBK6584454.1")</f>
        <v>MBK6584454.1</v>
      </c>
      <c r="J206" s="5" t="s">
        <v>3276</v>
      </c>
    </row>
    <row r="207" spans="1:10" s="5" customFormat="1" x14ac:dyDescent="0.2">
      <c r="A207" s="5" t="s">
        <v>3590</v>
      </c>
      <c r="B207" s="5" t="s">
        <v>3360</v>
      </c>
      <c r="C207" s="5">
        <v>1144</v>
      </c>
      <c r="D207" s="5">
        <v>1144</v>
      </c>
      <c r="E207" s="6">
        <v>0.98</v>
      </c>
      <c r="F207" s="5">
        <v>0</v>
      </c>
      <c r="G207" s="5">
        <v>66.790000000000006</v>
      </c>
      <c r="H207" s="5">
        <v>811</v>
      </c>
      <c r="I207" s="5" t="str">
        <f>HYPERLINK("https://www.ncbi.nlm.nih.gov/protein/TMB70895.1?report=genbank&amp;log$=prottop&amp;blast_rank=43&amp;RID=7U875CNM013","TMB70895.1")</f>
        <v>TMB70895.1</v>
      </c>
      <c r="J207" s="5" t="s">
        <v>3286</v>
      </c>
    </row>
    <row r="208" spans="1:10" s="5" customFormat="1" x14ac:dyDescent="0.2">
      <c r="A208" s="5" t="s">
        <v>3281</v>
      </c>
      <c r="B208" s="5" t="s">
        <v>3282</v>
      </c>
      <c r="C208" s="5">
        <v>1112</v>
      </c>
      <c r="D208" s="5">
        <v>1112</v>
      </c>
      <c r="E208" s="6">
        <v>0.98</v>
      </c>
      <c r="F208" s="5">
        <v>0</v>
      </c>
      <c r="G208" s="5">
        <v>66.790000000000006</v>
      </c>
      <c r="H208" s="5">
        <v>792</v>
      </c>
      <c r="I208" s="5" t="str">
        <f>HYPERLINK("https://www.ncbi.nlm.nih.gov/protein/HFL77367.1?report=genbank&amp;log$=prottop&amp;blast_rank=46&amp;RID=7U875CNM013","HFL77367.1")</f>
        <v>HFL77367.1</v>
      </c>
      <c r="J208" s="5" t="s">
        <v>3277</v>
      </c>
    </row>
    <row r="209" spans="1:10" s="5" customFormat="1" x14ac:dyDescent="0.2">
      <c r="A209" s="5" t="s">
        <v>3677</v>
      </c>
      <c r="B209" s="5" t="s">
        <v>3678</v>
      </c>
      <c r="C209" s="5">
        <v>1072</v>
      </c>
      <c r="D209" s="5">
        <v>1072</v>
      </c>
      <c r="E209" s="6">
        <v>0.97</v>
      </c>
      <c r="F209" s="5">
        <v>0</v>
      </c>
      <c r="G209" s="5">
        <v>66.709999999999994</v>
      </c>
      <c r="H209" s="5">
        <v>788</v>
      </c>
      <c r="I209" s="5" t="str">
        <f>HYPERLINK("https://www.ncbi.nlm.nih.gov/protein/WP_043463674.1?report=genbank&amp;log$=prottop&amp;blast_rank=53&amp;RID=7U875CNM013","WP_043463674.1")</f>
        <v>WP_043463674.1</v>
      </c>
      <c r="J209" s="5" t="s">
        <v>2134</v>
      </c>
    </row>
    <row r="210" spans="1:10" s="5" customFormat="1" x14ac:dyDescent="0.2">
      <c r="A210" s="5" t="s">
        <v>3679</v>
      </c>
      <c r="B210" s="5" t="s">
        <v>3662</v>
      </c>
      <c r="C210" s="5">
        <v>1068</v>
      </c>
      <c r="D210" s="5">
        <v>1068</v>
      </c>
      <c r="E210" s="6">
        <v>0.97</v>
      </c>
      <c r="F210" s="5">
        <v>0</v>
      </c>
      <c r="G210" s="5">
        <v>66.709999999999994</v>
      </c>
      <c r="H210" s="5">
        <v>806</v>
      </c>
      <c r="I210" s="5" t="str">
        <f>HYPERLINK("https://www.ncbi.nlm.nih.gov/protein/WP_205229767.1?report=genbank&amp;log$=prottop&amp;blast_rank=54&amp;RID=7U875CNM013","WP_205229767.1")</f>
        <v>WP_205229767.1</v>
      </c>
      <c r="J210" s="5" t="s">
        <v>2134</v>
      </c>
    </row>
    <row r="211" spans="1:10" s="5" customFormat="1" x14ac:dyDescent="0.2">
      <c r="A211" s="5" t="s">
        <v>3669</v>
      </c>
      <c r="B211" s="5" t="s">
        <v>3670</v>
      </c>
      <c r="C211" s="5">
        <v>1122</v>
      </c>
      <c r="D211" s="5">
        <v>1122</v>
      </c>
      <c r="E211" s="6">
        <v>0.98</v>
      </c>
      <c r="F211" s="5">
        <v>0</v>
      </c>
      <c r="G211" s="5">
        <v>66.709999999999994</v>
      </c>
      <c r="H211" s="5">
        <v>788</v>
      </c>
      <c r="I211" s="5" t="str">
        <f>HYPERLINK("https://www.ncbi.nlm.nih.gov/protein/MBI2163798.1?report=genbank&amp;log$=prottop&amp;blast_rank=56&amp;RID=7U875CNM013","MBI2163798.1")</f>
        <v>MBI2163798.1</v>
      </c>
      <c r="J211" s="5" t="s">
        <v>3277</v>
      </c>
    </row>
    <row r="212" spans="1:10" s="5" customFormat="1" x14ac:dyDescent="0.2">
      <c r="A212" s="5" t="s">
        <v>3314</v>
      </c>
      <c r="B212" s="5" t="s">
        <v>3315</v>
      </c>
      <c r="C212" s="5">
        <v>1145</v>
      </c>
      <c r="D212" s="5">
        <v>1145</v>
      </c>
      <c r="E212" s="6">
        <v>0.99</v>
      </c>
      <c r="F212" s="5">
        <v>0</v>
      </c>
      <c r="G212" s="5">
        <v>66.709999999999994</v>
      </c>
      <c r="H212" s="5">
        <v>809</v>
      </c>
      <c r="I212" s="5" t="str">
        <f>HYPERLINK("https://www.ncbi.nlm.nih.gov/protein/MBK6289472.1?report=genbank&amp;log$=prottop&amp;blast_rank=59&amp;RID=7U875CNM013","MBK6289472.1")</f>
        <v>MBK6289472.1</v>
      </c>
      <c r="J212" s="5" t="s">
        <v>3276</v>
      </c>
    </row>
    <row r="213" spans="1:10" s="5" customFormat="1" x14ac:dyDescent="0.2">
      <c r="A213" s="5" t="s">
        <v>510</v>
      </c>
      <c r="B213" s="5" t="s">
        <v>511</v>
      </c>
      <c r="C213" s="5">
        <v>1118</v>
      </c>
      <c r="D213" s="5">
        <v>1118</v>
      </c>
      <c r="E213" s="6">
        <v>1</v>
      </c>
      <c r="F213" s="5">
        <v>0</v>
      </c>
      <c r="G213" s="5">
        <v>66.709999999999994</v>
      </c>
      <c r="H213" s="5">
        <v>809</v>
      </c>
      <c r="I213" s="5" t="str">
        <f>HYPERLINK("https://www.ncbi.nlm.nih.gov/protein/KPQ36821.1?report=genbank&amp;log$=prottop&amp;blast_rank=60&amp;RID=7U875CNM013","KPQ36821.1")</f>
        <v>KPQ36821.1</v>
      </c>
      <c r="J213" s="5" t="s">
        <v>3276</v>
      </c>
    </row>
    <row r="214" spans="1:10" s="5" customFormat="1" x14ac:dyDescent="0.2">
      <c r="A214" s="5" t="s">
        <v>2767</v>
      </c>
      <c r="B214" s="5" t="s">
        <v>2768</v>
      </c>
      <c r="C214" s="5">
        <v>1110</v>
      </c>
      <c r="D214" s="5">
        <v>1110</v>
      </c>
      <c r="E214" s="6">
        <v>0.99</v>
      </c>
      <c r="F214" s="5">
        <v>0</v>
      </c>
      <c r="G214" s="5">
        <v>66.67</v>
      </c>
      <c r="H214" s="5">
        <v>800</v>
      </c>
      <c r="I214" s="5" t="str">
        <f>HYPERLINK("https://www.ncbi.nlm.nih.gov/protein/NDD28890.1?report=genbank&amp;log$=prottop&amp;blast_rank=68&amp;RID=7U875CNM013","NDD28890.1")</f>
        <v>NDD28890.1</v>
      </c>
      <c r="J214" s="5" t="s">
        <v>2769</v>
      </c>
    </row>
    <row r="215" spans="1:10" s="5" customFormat="1" x14ac:dyDescent="0.2">
      <c r="A215" s="5" t="s">
        <v>3680</v>
      </c>
      <c r="B215" s="5" t="s">
        <v>3681</v>
      </c>
      <c r="C215" s="5">
        <v>1089</v>
      </c>
      <c r="D215" s="5">
        <v>1089</v>
      </c>
      <c r="E215" s="6">
        <v>0.94</v>
      </c>
      <c r="F215" s="5">
        <v>0</v>
      </c>
      <c r="G215" s="5">
        <v>66.67</v>
      </c>
      <c r="H215" s="5">
        <v>774</v>
      </c>
      <c r="I215" s="5" t="str">
        <f>HYPERLINK("https://www.ncbi.nlm.nih.gov/protein/OFA14941.1?report=genbank&amp;log$=prottop&amp;blast_rank=69&amp;RID=7U875CNM013","OFA14941.1")</f>
        <v>OFA14941.1</v>
      </c>
      <c r="J215" s="5" t="s">
        <v>2769</v>
      </c>
    </row>
    <row r="216" spans="1:10" s="5" customFormat="1" x14ac:dyDescent="0.2">
      <c r="A216" s="5" t="s">
        <v>3682</v>
      </c>
      <c r="B216" s="5" t="s">
        <v>3681</v>
      </c>
      <c r="C216" s="5">
        <v>1088</v>
      </c>
      <c r="D216" s="5">
        <v>1088</v>
      </c>
      <c r="E216" s="6">
        <v>0.94</v>
      </c>
      <c r="F216" s="5">
        <v>0</v>
      </c>
      <c r="G216" s="5">
        <v>66.67</v>
      </c>
      <c r="H216" s="5">
        <v>761</v>
      </c>
      <c r="I216" s="5" t="str">
        <f>HYPERLINK("https://www.ncbi.nlm.nih.gov/protein/WP_087455015.1?report=genbank&amp;log$=prottop&amp;blast_rank=70&amp;RID=7U875CNM013","WP_087455015.1")</f>
        <v>WP_087455015.1</v>
      </c>
      <c r="J216" s="5" t="s">
        <v>2769</v>
      </c>
    </row>
    <row r="217" spans="1:10" s="5" customFormat="1" x14ac:dyDescent="0.2">
      <c r="A217" s="5" t="s">
        <v>3683</v>
      </c>
      <c r="B217" s="5" t="s">
        <v>3684</v>
      </c>
      <c r="C217" s="5">
        <v>1110</v>
      </c>
      <c r="D217" s="5">
        <v>1110</v>
      </c>
      <c r="E217" s="6">
        <v>0.98</v>
      </c>
      <c r="F217" s="5">
        <v>0</v>
      </c>
      <c r="G217" s="5">
        <v>66.58</v>
      </c>
      <c r="H217" s="5">
        <v>788</v>
      </c>
      <c r="I217" s="5" t="str">
        <f>HYPERLINK("https://www.ncbi.nlm.nih.gov/protein/MBL9007179.1?report=genbank&amp;log$=prottop&amp;blast_rank=77&amp;RID=7U875CNM013","MBL9007179.1")</f>
        <v>MBL9007179.1</v>
      </c>
      <c r="J217" s="5" t="s">
        <v>3286</v>
      </c>
    </row>
    <row r="218" spans="1:10" s="5" customFormat="1" x14ac:dyDescent="0.2">
      <c r="A218" s="5" t="s">
        <v>3669</v>
      </c>
      <c r="B218" s="5" t="s">
        <v>3670</v>
      </c>
      <c r="C218" s="5">
        <v>1121</v>
      </c>
      <c r="D218" s="5">
        <v>1121</v>
      </c>
      <c r="E218" s="6">
        <v>0.98</v>
      </c>
      <c r="F218" s="5">
        <v>0</v>
      </c>
      <c r="G218" s="5">
        <v>66.58</v>
      </c>
      <c r="H218" s="5">
        <v>788</v>
      </c>
      <c r="I218" s="5" t="str">
        <f>HYPERLINK("https://www.ncbi.nlm.nih.gov/protein/MBI2455530.1?report=genbank&amp;log$=prottop&amp;blast_rank=79&amp;RID=7U875CNM013","MBI2455530.1")</f>
        <v>MBI2455530.1</v>
      </c>
      <c r="J218" s="5" t="s">
        <v>3277</v>
      </c>
    </row>
    <row r="219" spans="1:10" s="5" customFormat="1" x14ac:dyDescent="0.2">
      <c r="A219" s="5" t="s">
        <v>3685</v>
      </c>
      <c r="B219" s="5" t="s">
        <v>3686</v>
      </c>
      <c r="C219" s="5">
        <v>1139</v>
      </c>
      <c r="D219" s="5">
        <v>1139</v>
      </c>
      <c r="E219" s="6">
        <v>0.99</v>
      </c>
      <c r="F219" s="5">
        <v>0</v>
      </c>
      <c r="G219" s="5">
        <v>66.5</v>
      </c>
      <c r="H219" s="5">
        <v>814</v>
      </c>
      <c r="I219" s="5" t="str">
        <f>HYPERLINK("https://www.ncbi.nlm.nih.gov/protein/HHS30954.1?report=genbank&amp;log$=prottop&amp;blast_rank=85&amp;RID=7U875CNM013","HHS30954.1")</f>
        <v>HHS30954.1</v>
      </c>
      <c r="J219" s="5" t="s">
        <v>3286</v>
      </c>
    </row>
    <row r="220" spans="1:10" s="5" customFormat="1" x14ac:dyDescent="0.2">
      <c r="A220" s="5" t="s">
        <v>3393</v>
      </c>
      <c r="B220" s="5" t="s">
        <v>3315</v>
      </c>
      <c r="C220" s="5">
        <v>1110</v>
      </c>
      <c r="D220" s="5">
        <v>1110</v>
      </c>
      <c r="E220" s="6">
        <v>0.99</v>
      </c>
      <c r="F220" s="5">
        <v>0</v>
      </c>
      <c r="G220" s="5">
        <v>66.5</v>
      </c>
      <c r="H220" s="5">
        <v>792</v>
      </c>
      <c r="I220" s="5" t="str">
        <f>HYPERLINK("https://www.ncbi.nlm.nih.gov/protein/HHM05340.1?report=genbank&amp;log$=prottop&amp;blast_rank=86&amp;RID=7U875CNM013","HHM05340.1")</f>
        <v>HHM05340.1</v>
      </c>
      <c r="J220" s="5" t="s">
        <v>3276</v>
      </c>
    </row>
    <row r="221" spans="1:10" s="5" customFormat="1" x14ac:dyDescent="0.2">
      <c r="A221" s="5" t="s">
        <v>3687</v>
      </c>
      <c r="B221" s="5" t="s">
        <v>3688</v>
      </c>
      <c r="C221" s="5">
        <v>1092</v>
      </c>
      <c r="D221" s="5">
        <v>1092</v>
      </c>
      <c r="E221" s="6">
        <v>0.98</v>
      </c>
      <c r="F221" s="5">
        <v>0</v>
      </c>
      <c r="G221" s="5">
        <v>66.5</v>
      </c>
      <c r="H221" s="5">
        <v>787</v>
      </c>
      <c r="I221" s="5" t="str">
        <f>HYPERLINK("https://www.ncbi.nlm.nih.gov/protein/WP_200153589.1?report=genbank&amp;log$=prottop&amp;blast_rank=87&amp;RID=7U875CNM013","WP_200153589.1")</f>
        <v>WP_200153589.1</v>
      </c>
      <c r="J221" s="5" t="s">
        <v>3276</v>
      </c>
    </row>
    <row r="222" spans="1:10" s="5" customFormat="1" x14ac:dyDescent="0.2">
      <c r="A222" s="5" t="s">
        <v>852</v>
      </c>
      <c r="B222" s="5" t="s">
        <v>853</v>
      </c>
      <c r="C222" s="5">
        <v>1038</v>
      </c>
      <c r="D222" s="5">
        <v>1038</v>
      </c>
      <c r="E222" s="6">
        <v>0.91</v>
      </c>
      <c r="F222" s="5">
        <v>0</v>
      </c>
      <c r="G222" s="5">
        <v>66.48</v>
      </c>
      <c r="H222" s="5">
        <v>745</v>
      </c>
      <c r="I222" s="5" t="str">
        <f>HYPERLINK("https://www.ncbi.nlm.nih.gov/protein/PYX11724.1?report=genbank&amp;log$=prottop&amp;blast_rank=88&amp;RID=7U875CNM013","PYX11724.1")</f>
        <v>PYX11724.1</v>
      </c>
      <c r="J222" s="5" t="s">
        <v>854</v>
      </c>
    </row>
    <row r="223" spans="1:10" s="5" customFormat="1" x14ac:dyDescent="0.2">
      <c r="A223" s="5" t="s">
        <v>3689</v>
      </c>
      <c r="B223" s="5" t="s">
        <v>3690</v>
      </c>
      <c r="C223" s="5">
        <v>1119</v>
      </c>
      <c r="D223" s="5">
        <v>1119</v>
      </c>
      <c r="E223" s="6">
        <v>0.98</v>
      </c>
      <c r="F223" s="5">
        <v>0</v>
      </c>
      <c r="G223" s="5">
        <v>66.41</v>
      </c>
      <c r="H223" s="5">
        <v>788</v>
      </c>
      <c r="I223" s="5" t="str">
        <f>HYPERLINK("https://www.ncbi.nlm.nih.gov/protein/OGB93141.1?report=genbank&amp;log$=prottop&amp;blast_rank=91&amp;RID=7U875CNM013","OGB93141.1")</f>
        <v>OGB93141.1</v>
      </c>
      <c r="J223" s="5" t="s">
        <v>3277</v>
      </c>
    </row>
    <row r="224" spans="1:10" s="5" customFormat="1" x14ac:dyDescent="0.2">
      <c r="A224" s="5" t="s">
        <v>3691</v>
      </c>
      <c r="B224" s="5" t="s">
        <v>3692</v>
      </c>
      <c r="C224" s="5">
        <v>1098</v>
      </c>
      <c r="D224" s="5">
        <v>1098</v>
      </c>
      <c r="E224" s="6">
        <v>0.99</v>
      </c>
      <c r="F224" s="5">
        <v>0</v>
      </c>
      <c r="G224" s="5">
        <v>66.37</v>
      </c>
      <c r="H224" s="5">
        <v>809</v>
      </c>
      <c r="I224" s="5" t="str">
        <f>HYPERLINK("https://www.ncbi.nlm.nih.gov/protein/GBG04065.1?report=genbank&amp;log$=prottop&amp;blast_rank=94&amp;RID=7U875CNM013","GBG04065.1")</f>
        <v>GBG04065.1</v>
      </c>
      <c r="J224" s="5" t="s">
        <v>2134</v>
      </c>
    </row>
    <row r="225" spans="1:10" s="5" customFormat="1" x14ac:dyDescent="0.2">
      <c r="A225" s="5" t="s">
        <v>3693</v>
      </c>
      <c r="B225" s="5" t="s">
        <v>3692</v>
      </c>
      <c r="C225" s="5">
        <v>1098</v>
      </c>
      <c r="D225" s="5">
        <v>1098</v>
      </c>
      <c r="E225" s="6">
        <v>0.99</v>
      </c>
      <c r="F225" s="5">
        <v>0</v>
      </c>
      <c r="G225" s="5">
        <v>66.37</v>
      </c>
      <c r="H225" s="5">
        <v>799</v>
      </c>
      <c r="I225" s="5" t="str">
        <f>HYPERLINK("https://www.ncbi.nlm.nih.gov/protein/WP_109042384.1?report=genbank&amp;log$=prottop&amp;blast_rank=95&amp;RID=7U875CNM013","WP_109042384.1")</f>
        <v>WP_109042384.1</v>
      </c>
      <c r="J225" s="5" t="s">
        <v>2134</v>
      </c>
    </row>
    <row r="226" spans="1:10" s="5" customFormat="1" x14ac:dyDescent="0.2">
      <c r="A226" s="5" t="s">
        <v>3694</v>
      </c>
      <c r="B226" s="5" t="s">
        <v>3695</v>
      </c>
      <c r="C226" s="5">
        <v>1131</v>
      </c>
      <c r="D226" s="5">
        <v>1131</v>
      </c>
      <c r="E226" s="6">
        <v>0.99</v>
      </c>
      <c r="F226" s="5">
        <v>0</v>
      </c>
      <c r="G226" s="5">
        <v>66.37</v>
      </c>
      <c r="H226" s="5">
        <v>800</v>
      </c>
      <c r="I226" s="5" t="str">
        <f>HYPERLINK("https://www.ncbi.nlm.nih.gov/protein/WP_208832586.1?report=genbank&amp;log$=prottop&amp;blast_rank=99&amp;RID=7U875CNM013","WP_208832586.1")</f>
        <v>WP_208832586.1</v>
      </c>
      <c r="J226" s="5" t="s">
        <v>3276</v>
      </c>
    </row>
    <row r="227" spans="1:10" s="5" customFormat="1" x14ac:dyDescent="0.2">
      <c r="A227" s="5" t="s">
        <v>3637</v>
      </c>
      <c r="B227" s="5" t="s">
        <v>3638</v>
      </c>
      <c r="C227" s="5">
        <v>1093</v>
      </c>
      <c r="D227" s="5">
        <v>1093</v>
      </c>
      <c r="E227" s="6">
        <v>0.98</v>
      </c>
      <c r="F227" s="5">
        <v>0</v>
      </c>
      <c r="G227" s="5">
        <v>66.37</v>
      </c>
      <c r="H227" s="5">
        <v>786</v>
      </c>
      <c r="I227" s="5" t="str">
        <f>HYPERLINK("https://www.ncbi.nlm.nih.gov/protein/WP_093185790.1?report=genbank&amp;log$=prottop&amp;blast_rank=101&amp;RID=7U875CNM013","WP_093185790.1")</f>
        <v>WP_093185790.1</v>
      </c>
      <c r="J227" s="5" t="s">
        <v>3276</v>
      </c>
    </row>
    <row r="228" spans="1:10" s="5" customFormat="1" x14ac:dyDescent="0.2">
      <c r="A228" s="5" t="s">
        <v>3696</v>
      </c>
      <c r="B228" s="5" t="s">
        <v>3697</v>
      </c>
      <c r="C228" s="5">
        <v>1088</v>
      </c>
      <c r="D228" s="5">
        <v>1088</v>
      </c>
      <c r="E228" s="6">
        <v>0.98</v>
      </c>
      <c r="F228" s="5">
        <v>0</v>
      </c>
      <c r="G228" s="5">
        <v>66.37</v>
      </c>
      <c r="H228" s="5">
        <v>793</v>
      </c>
      <c r="I228" s="5" t="str">
        <f>HYPERLINK("https://www.ncbi.nlm.nih.gov/protein/PKO72752.1?report=genbank&amp;log$=prottop&amp;blast_rank=102&amp;RID=7U875CNM013","PKO72752.1")</f>
        <v>PKO72752.1</v>
      </c>
      <c r="J228" s="5" t="s">
        <v>2134</v>
      </c>
    </row>
    <row r="229" spans="1:10" s="5" customFormat="1" x14ac:dyDescent="0.2">
      <c r="A229" s="5" t="s">
        <v>3575</v>
      </c>
      <c r="B229" s="5" t="s">
        <v>3576</v>
      </c>
      <c r="C229" s="5">
        <v>1086</v>
      </c>
      <c r="D229" s="5">
        <v>1086</v>
      </c>
      <c r="E229" s="6">
        <v>0.98</v>
      </c>
      <c r="F229" s="5">
        <v>0</v>
      </c>
      <c r="G229" s="5">
        <v>66.33</v>
      </c>
      <c r="H229" s="5">
        <v>785</v>
      </c>
      <c r="I229" s="5" t="str">
        <f>HYPERLINK("https://www.ncbi.nlm.nih.gov/protein/WP_200241066.1?report=genbank&amp;log$=prottop&amp;blast_rank=103&amp;RID=7U875CNM013","WP_200241066.1")</f>
        <v>WP_200241066.1</v>
      </c>
      <c r="J229" s="5" t="s">
        <v>3698</v>
      </c>
    </row>
    <row r="230" spans="1:10" s="5" customFormat="1" x14ac:dyDescent="0.2">
      <c r="A230" s="5" t="s">
        <v>3699</v>
      </c>
      <c r="B230" s="5" t="s">
        <v>3700</v>
      </c>
      <c r="C230" s="5">
        <v>1129</v>
      </c>
      <c r="D230" s="5">
        <v>1129</v>
      </c>
      <c r="E230" s="6">
        <v>0.98</v>
      </c>
      <c r="F230" s="5">
        <v>0</v>
      </c>
      <c r="G230" s="5">
        <v>66.28</v>
      </c>
      <c r="H230" s="5">
        <v>811</v>
      </c>
      <c r="I230" s="5" t="str">
        <f>HYPERLINK("https://www.ncbi.nlm.nih.gov/protein/PWT96698.1?report=genbank&amp;log$=prottop&amp;blast_rank=106&amp;RID=7U875CNM013","PWT96698.1")</f>
        <v>PWT96698.1</v>
      </c>
      <c r="J230" s="5" t="s">
        <v>854</v>
      </c>
    </row>
    <row r="231" spans="1:10" s="5" customFormat="1" x14ac:dyDescent="0.2">
      <c r="A231" s="5" t="s">
        <v>3588</v>
      </c>
      <c r="B231" s="5" t="s">
        <v>3589</v>
      </c>
      <c r="C231" s="5">
        <v>1092</v>
      </c>
      <c r="D231" s="5">
        <v>1092</v>
      </c>
      <c r="E231" s="6">
        <v>0.98</v>
      </c>
      <c r="F231" s="5">
        <v>0</v>
      </c>
      <c r="G231" s="5">
        <v>66.239999999999995</v>
      </c>
      <c r="H231" s="5">
        <v>785</v>
      </c>
      <c r="I231" s="5" t="str">
        <f>HYPERLINK("https://www.ncbi.nlm.nih.gov/protein/WP_120796987.1?report=genbank&amp;log$=prottop&amp;blast_rank=115&amp;RID=7U875CNM013","WP_120796987.1")</f>
        <v>WP_120796987.1</v>
      </c>
      <c r="J231" s="5" t="s">
        <v>3622</v>
      </c>
    </row>
    <row r="232" spans="1:10" s="5" customFormat="1" x14ac:dyDescent="0.2">
      <c r="A232" s="5" t="s">
        <v>2631</v>
      </c>
      <c r="B232" s="5" t="s">
        <v>2632</v>
      </c>
      <c r="C232" s="5">
        <v>1129</v>
      </c>
      <c r="D232" s="5">
        <v>1129</v>
      </c>
      <c r="E232" s="6">
        <v>0.99</v>
      </c>
      <c r="F232" s="5">
        <v>0</v>
      </c>
      <c r="G232" s="5">
        <v>66.2</v>
      </c>
      <c r="H232" s="5">
        <v>810</v>
      </c>
      <c r="I232" s="5" t="str">
        <f>HYPERLINK("https://www.ncbi.nlm.nih.gov/protein/MBL8292486.1?report=genbank&amp;log$=prottop&amp;blast_rank=117&amp;RID=7U875CNM013","MBL8292486.1")</f>
        <v>MBL8292486.1</v>
      </c>
      <c r="J232" s="5" t="s">
        <v>854</v>
      </c>
    </row>
    <row r="233" spans="1:10" s="5" customFormat="1" x14ac:dyDescent="0.2">
      <c r="A233" s="5" t="s">
        <v>3659</v>
      </c>
      <c r="B233" s="5" t="s">
        <v>3660</v>
      </c>
      <c r="C233" s="5">
        <v>1087</v>
      </c>
      <c r="D233" s="5">
        <v>1087</v>
      </c>
      <c r="E233" s="6">
        <v>0.98</v>
      </c>
      <c r="F233" s="5">
        <v>0</v>
      </c>
      <c r="G233" s="5">
        <v>66.2</v>
      </c>
      <c r="H233" s="5">
        <v>787</v>
      </c>
      <c r="I233" s="5" t="str">
        <f>HYPERLINK("https://www.ncbi.nlm.nih.gov/protein/WP_100920517.1?report=genbank&amp;log$=prottop&amp;blast_rank=119&amp;RID=7U875CNM013","WP_100920517.1")</f>
        <v>WP_100920517.1</v>
      </c>
      <c r="J233" s="5" t="s">
        <v>3276</v>
      </c>
    </row>
    <row r="234" spans="1:10" s="5" customFormat="1" x14ac:dyDescent="0.2">
      <c r="A234" s="5" t="s">
        <v>3321</v>
      </c>
      <c r="B234" s="5" t="s">
        <v>3322</v>
      </c>
      <c r="C234" s="5">
        <v>1081</v>
      </c>
      <c r="D234" s="5">
        <v>1081</v>
      </c>
      <c r="E234" s="6">
        <v>0.98</v>
      </c>
      <c r="F234" s="5">
        <v>0</v>
      </c>
      <c r="G234" s="5">
        <v>66.11</v>
      </c>
      <c r="H234" s="5">
        <v>788</v>
      </c>
      <c r="I234" s="5" t="str">
        <f>HYPERLINK("https://www.ncbi.nlm.nih.gov/protein/PYO57680.1?report=genbank&amp;log$=prottop&amp;blast_rank=127&amp;RID=7U875CNM013","PYO57680.1")</f>
        <v>PYO57680.1</v>
      </c>
      <c r="J234" s="5" t="s">
        <v>3323</v>
      </c>
    </row>
    <row r="235" spans="1:10" s="5" customFormat="1" x14ac:dyDescent="0.2">
      <c r="A235" s="5" t="s">
        <v>3701</v>
      </c>
      <c r="B235" s="5" t="s">
        <v>3702</v>
      </c>
      <c r="C235" s="5">
        <v>1074</v>
      </c>
      <c r="D235" s="5">
        <v>1074</v>
      </c>
      <c r="E235" s="6">
        <v>0.98</v>
      </c>
      <c r="F235" s="5">
        <v>0</v>
      </c>
      <c r="G235" s="5">
        <v>66.11</v>
      </c>
      <c r="H235" s="5">
        <v>796</v>
      </c>
      <c r="I235" s="5" t="str">
        <f>HYPERLINK("https://www.ncbi.nlm.nih.gov/protein/WP_103127986.1?report=genbank&amp;log$=prottop&amp;blast_rank=128&amp;RID=7U875CNM013","WP_103127986.1")</f>
        <v>WP_103127986.1</v>
      </c>
      <c r="J235" s="5" t="s">
        <v>3703</v>
      </c>
    </row>
    <row r="236" spans="1:10" s="5" customFormat="1" x14ac:dyDescent="0.2">
      <c r="A236" s="5" t="s">
        <v>3704</v>
      </c>
      <c r="B236" s="5" t="s">
        <v>3705</v>
      </c>
      <c r="C236" s="5">
        <v>1113</v>
      </c>
      <c r="D236" s="5">
        <v>1113</v>
      </c>
      <c r="E236" s="6">
        <v>0.98</v>
      </c>
      <c r="F236" s="5">
        <v>0</v>
      </c>
      <c r="G236" s="5">
        <v>66.069999999999993</v>
      </c>
      <c r="H236" s="5">
        <v>812</v>
      </c>
      <c r="I236" s="5" t="str">
        <f>HYPERLINK("https://www.ncbi.nlm.nih.gov/protein/WP_206384806.1?report=genbank&amp;log$=prottop&amp;blast_rank=136&amp;RID=7U875CNM013","WP_206384806.1")</f>
        <v>WP_206384806.1</v>
      </c>
      <c r="J236" s="5" t="s">
        <v>2769</v>
      </c>
    </row>
    <row r="237" spans="1:10" s="5" customFormat="1" x14ac:dyDescent="0.2">
      <c r="A237" s="5" t="s">
        <v>3706</v>
      </c>
      <c r="B237" s="5" t="s">
        <v>3707</v>
      </c>
      <c r="C237" s="5">
        <v>1107</v>
      </c>
      <c r="D237" s="5">
        <v>1107</v>
      </c>
      <c r="E237" s="6">
        <v>0.98</v>
      </c>
      <c r="F237" s="5">
        <v>0</v>
      </c>
      <c r="G237" s="5">
        <v>66.069999999999993</v>
      </c>
      <c r="H237" s="5">
        <v>802</v>
      </c>
      <c r="I237" s="5" t="str">
        <f>HYPERLINK("https://www.ncbi.nlm.nih.gov/protein/MBC7190831.1?report=genbank&amp;log$=prottop&amp;blast_rank=138&amp;RID=7U875CNM013","MBC7190831.1")</f>
        <v>MBC7190831.1</v>
      </c>
      <c r="J237" s="5" t="s">
        <v>3276</v>
      </c>
    </row>
    <row r="238" spans="1:10" s="5" customFormat="1" x14ac:dyDescent="0.2">
      <c r="A238" s="5" t="s">
        <v>3708</v>
      </c>
      <c r="B238" s="5" t="s">
        <v>3707</v>
      </c>
      <c r="C238" s="5">
        <v>1106</v>
      </c>
      <c r="D238" s="5">
        <v>1106</v>
      </c>
      <c r="E238" s="6">
        <v>0.98</v>
      </c>
      <c r="F238" s="5">
        <v>0</v>
      </c>
      <c r="G238" s="5">
        <v>66.069999999999993</v>
      </c>
      <c r="H238" s="5">
        <v>798</v>
      </c>
      <c r="I238" s="5" t="str">
        <f>HYPERLINK("https://www.ncbi.nlm.nih.gov/protein/HCW89584.1?report=genbank&amp;log$=prottop&amp;blast_rank=139&amp;RID=7U875CNM013","HCW89584.1")</f>
        <v>HCW89584.1</v>
      </c>
      <c r="J238" s="5" t="s">
        <v>3276</v>
      </c>
    </row>
    <row r="239" spans="1:10" s="4" customFormat="1" x14ac:dyDescent="0.2">
      <c r="A239" s="1" t="s">
        <v>3709</v>
      </c>
      <c r="B239" s="1" t="s">
        <v>3710</v>
      </c>
      <c r="C239" s="1">
        <v>1100</v>
      </c>
      <c r="D239" s="1">
        <v>1100</v>
      </c>
      <c r="E239" s="2">
        <v>0.99</v>
      </c>
      <c r="F239" s="1">
        <v>0</v>
      </c>
      <c r="G239" s="1">
        <v>65.989999999999995</v>
      </c>
      <c r="H239" s="1">
        <v>791</v>
      </c>
      <c r="I239" s="1" t="str">
        <f>HYPERLINK("https://www.ncbi.nlm.nih.gov/protein/ODT59583.1?report=genbank&amp;log$=prottop&amp;blast_rank=4&amp;RID=7U875CNM013","ODT59583.1")</f>
        <v>ODT59583.1</v>
      </c>
      <c r="J239" s="1" t="s">
        <v>3277</v>
      </c>
    </row>
    <row r="240" spans="1:10" s="4" customFormat="1" x14ac:dyDescent="0.2">
      <c r="A240" s="1" t="s">
        <v>3711</v>
      </c>
      <c r="B240" s="1" t="s">
        <v>3712</v>
      </c>
      <c r="C240" s="1">
        <v>1090</v>
      </c>
      <c r="D240" s="1">
        <v>1090</v>
      </c>
      <c r="E240" s="2">
        <v>0.98</v>
      </c>
      <c r="F240" s="1">
        <v>0</v>
      </c>
      <c r="G240" s="1">
        <v>65.989999999999995</v>
      </c>
      <c r="H240" s="1">
        <v>801</v>
      </c>
      <c r="I240" s="1" t="str">
        <f>HYPERLINK("https://www.ncbi.nlm.nih.gov/protein/WP_066099226.1?report=genbank&amp;log$=prottop&amp;blast_rank=6&amp;RID=7U875CNM013","WP_066099226.1")</f>
        <v>WP_066099226.1</v>
      </c>
      <c r="J240" s="1" t="s">
        <v>3276</v>
      </c>
    </row>
    <row r="241" spans="1:10" s="4" customFormat="1" x14ac:dyDescent="0.2">
      <c r="A241" s="1" t="s">
        <v>3713</v>
      </c>
      <c r="B241" s="1" t="s">
        <v>3714</v>
      </c>
      <c r="C241" s="1">
        <v>1132</v>
      </c>
      <c r="D241" s="1">
        <v>1132</v>
      </c>
      <c r="E241" s="2">
        <v>1</v>
      </c>
      <c r="F241" s="1">
        <v>0</v>
      </c>
      <c r="G241" s="1">
        <v>65.91</v>
      </c>
      <c r="H241" s="1">
        <v>799</v>
      </c>
      <c r="I241" s="1" t="str">
        <f>HYPERLINK("https://www.ncbi.nlm.nih.gov/protein/WP_193715391.1?report=genbank&amp;log$=prottop&amp;blast_rank=15&amp;RID=7U875CNM013","WP_193715391.1")</f>
        <v>WP_193715391.1</v>
      </c>
      <c r="J241" s="1" t="s">
        <v>1720</v>
      </c>
    </row>
    <row r="242" spans="1:10" s="4" customFormat="1" x14ac:dyDescent="0.2">
      <c r="A242" s="1" t="s">
        <v>3715</v>
      </c>
      <c r="B242" s="1" t="s">
        <v>3716</v>
      </c>
      <c r="C242" s="1">
        <v>1082</v>
      </c>
      <c r="D242" s="1">
        <v>1082</v>
      </c>
      <c r="E242" s="2">
        <v>0.99</v>
      </c>
      <c r="F242" s="1">
        <v>0</v>
      </c>
      <c r="G242" s="1">
        <v>65.87</v>
      </c>
      <c r="H242" s="1">
        <v>798</v>
      </c>
      <c r="I242" s="1" t="str">
        <f>HYPERLINK("https://www.ncbi.nlm.nih.gov/protein/WP_189088967.1?report=genbank&amp;log$=prottop&amp;blast_rank=22&amp;RID=7U875CNM013","WP_189088967.1")</f>
        <v>WP_189088967.1</v>
      </c>
      <c r="J242" s="5" t="s">
        <v>3717</v>
      </c>
    </row>
    <row r="243" spans="1:10" s="4" customFormat="1" x14ac:dyDescent="0.2">
      <c r="A243" s="1" t="s">
        <v>3718</v>
      </c>
      <c r="B243" s="1" t="s">
        <v>3719</v>
      </c>
      <c r="C243" s="1">
        <v>1099</v>
      </c>
      <c r="D243" s="1">
        <v>1099</v>
      </c>
      <c r="E243" s="2">
        <v>0.98</v>
      </c>
      <c r="F243" s="1">
        <v>0</v>
      </c>
      <c r="G243" s="1">
        <v>65.86</v>
      </c>
      <c r="H243" s="1">
        <v>801</v>
      </c>
      <c r="I243" s="1" t="str">
        <f>HYPERLINK("https://www.ncbi.nlm.nih.gov/protein/MBI5751856.1?report=genbank&amp;log$=prottop&amp;blast_rank=24&amp;RID=7U875CNM013","MBI5751856.1")</f>
        <v>MBI5751856.1</v>
      </c>
      <c r="J243" s="1" t="s">
        <v>2769</v>
      </c>
    </row>
    <row r="244" spans="1:10" s="4" customFormat="1" x14ac:dyDescent="0.2">
      <c r="A244" s="1" t="s">
        <v>3570</v>
      </c>
      <c r="B244" s="1" t="s">
        <v>3315</v>
      </c>
      <c r="C244" s="1">
        <v>1082</v>
      </c>
      <c r="D244" s="1">
        <v>1082</v>
      </c>
      <c r="E244" s="2">
        <v>0.97</v>
      </c>
      <c r="F244" s="1">
        <v>0</v>
      </c>
      <c r="G244" s="1">
        <v>65.849999999999994</v>
      </c>
      <c r="H244" s="1">
        <v>796</v>
      </c>
      <c r="I244" s="1" t="str">
        <f>HYPERLINK("https://www.ncbi.nlm.nih.gov/protein/MBO2513353.1?report=genbank&amp;log$=prottop&amp;blast_rank=25&amp;RID=7U875CNM013","MBO2513353.1")</f>
        <v>MBO2513353.1</v>
      </c>
      <c r="J244" s="1" t="s">
        <v>3276</v>
      </c>
    </row>
    <row r="245" spans="1:10" s="4" customFormat="1" x14ac:dyDescent="0.2">
      <c r="A245" s="1" t="s">
        <v>3720</v>
      </c>
      <c r="B245" s="1" t="s">
        <v>3322</v>
      </c>
      <c r="C245" s="1">
        <v>1065</v>
      </c>
      <c r="D245" s="1">
        <v>1065</v>
      </c>
      <c r="E245" s="2">
        <v>0.98</v>
      </c>
      <c r="F245" s="1">
        <v>0</v>
      </c>
      <c r="G245" s="1">
        <v>65.819999999999993</v>
      </c>
      <c r="H245" s="1">
        <v>798</v>
      </c>
      <c r="I245" s="1" t="str">
        <f>HYPERLINK("https://www.ncbi.nlm.nih.gov/protein/HEU49060.1?report=genbank&amp;log$=prottop&amp;blast_rank=29&amp;RID=7U875CNM013","HEU49060.1")</f>
        <v>HEU49060.1</v>
      </c>
      <c r="J245" s="5" t="s">
        <v>3323</v>
      </c>
    </row>
    <row r="246" spans="1:10" s="4" customFormat="1" x14ac:dyDescent="0.2">
      <c r="A246" s="1" t="s">
        <v>3721</v>
      </c>
      <c r="B246" s="1" t="s">
        <v>3722</v>
      </c>
      <c r="C246" s="1">
        <v>1097</v>
      </c>
      <c r="D246" s="1">
        <v>1097</v>
      </c>
      <c r="E246" s="2">
        <v>0.98</v>
      </c>
      <c r="F246" s="1">
        <v>0</v>
      </c>
      <c r="G246" s="1">
        <v>65.78</v>
      </c>
      <c r="H246" s="1">
        <v>799</v>
      </c>
      <c r="I246" s="1" t="str">
        <f>HYPERLINK("https://www.ncbi.nlm.nih.gov/protein/GBE53832.1?report=genbank&amp;log$=prottop&amp;blast_rank=34&amp;RID=7U875CNM013","GBE53832.1")</f>
        <v>GBE53832.1</v>
      </c>
      <c r="J246" s="1" t="s">
        <v>3277</v>
      </c>
    </row>
    <row r="247" spans="1:10" s="4" customFormat="1" x14ac:dyDescent="0.2">
      <c r="A247" s="1" t="s">
        <v>3723</v>
      </c>
      <c r="B247" s="1" t="s">
        <v>3724</v>
      </c>
      <c r="C247" s="1">
        <v>1096</v>
      </c>
      <c r="D247" s="1">
        <v>1096</v>
      </c>
      <c r="E247" s="2">
        <v>0.98</v>
      </c>
      <c r="F247" s="1">
        <v>0</v>
      </c>
      <c r="G247" s="1">
        <v>65.78</v>
      </c>
      <c r="H247" s="1">
        <v>801</v>
      </c>
      <c r="I247" s="1" t="str">
        <f>HYPERLINK("https://www.ncbi.nlm.nih.gov/protein/HDO29474.1?report=genbank&amp;log$=prottop&amp;blast_rank=35&amp;RID=7U875CNM013","HDO29474.1")</f>
        <v>HDO29474.1</v>
      </c>
      <c r="J247" s="1" t="s">
        <v>3286</v>
      </c>
    </row>
    <row r="248" spans="1:10" s="4" customFormat="1" x14ac:dyDescent="0.2">
      <c r="A248" s="1" t="s">
        <v>852</v>
      </c>
      <c r="B248" s="1" t="s">
        <v>853</v>
      </c>
      <c r="C248" s="1">
        <v>1101</v>
      </c>
      <c r="D248" s="1">
        <v>1101</v>
      </c>
      <c r="E248" s="2">
        <v>0.98</v>
      </c>
      <c r="F248" s="1">
        <v>0</v>
      </c>
      <c r="G248" s="1">
        <v>65.78</v>
      </c>
      <c r="H248" s="1">
        <v>811</v>
      </c>
      <c r="I248" s="1" t="str">
        <f>HYPERLINK("https://www.ncbi.nlm.nih.gov/protein/PYU94020.1?report=genbank&amp;log$=prottop&amp;blast_rank=37&amp;RID=7U875CNM013","PYU94020.1")</f>
        <v>PYU94020.1</v>
      </c>
      <c r="J248" s="1" t="s">
        <v>854</v>
      </c>
    </row>
    <row r="249" spans="1:10" s="4" customFormat="1" x14ac:dyDescent="0.2">
      <c r="A249" s="1" t="s">
        <v>3725</v>
      </c>
      <c r="B249" s="1" t="s">
        <v>3726</v>
      </c>
      <c r="C249" s="1">
        <v>1075</v>
      </c>
      <c r="D249" s="1">
        <v>1075</v>
      </c>
      <c r="E249" s="2">
        <v>0.98</v>
      </c>
      <c r="F249" s="1">
        <v>0</v>
      </c>
      <c r="G249" s="1">
        <v>65.78</v>
      </c>
      <c r="H249" s="1">
        <v>797</v>
      </c>
      <c r="I249" s="1" t="str">
        <f>HYPERLINK("https://www.ncbi.nlm.nih.gov/protein/ODS98947.1?report=genbank&amp;log$=prottop&amp;blast_rank=40&amp;RID=7U875CNM013","ODS98947.1")</f>
        <v>ODS98947.1</v>
      </c>
      <c r="J249" s="1" t="s">
        <v>2134</v>
      </c>
    </row>
    <row r="250" spans="1:10" s="4" customFormat="1" x14ac:dyDescent="0.2">
      <c r="A250" s="1" t="s">
        <v>3673</v>
      </c>
      <c r="B250" s="1" t="s">
        <v>3674</v>
      </c>
      <c r="C250" s="1">
        <v>1066</v>
      </c>
      <c r="D250" s="1">
        <v>1066</v>
      </c>
      <c r="E250" s="2">
        <v>0.98</v>
      </c>
      <c r="F250" s="1">
        <v>0</v>
      </c>
      <c r="G250" s="1">
        <v>65.78</v>
      </c>
      <c r="H250" s="1">
        <v>796</v>
      </c>
      <c r="I250" s="1" t="str">
        <f>HYPERLINK("https://www.ncbi.nlm.nih.gov/protein/OGI69920.1?report=genbank&amp;log$=prottop&amp;blast_rank=41&amp;RID=7U875CNM013","OGI69920.1")</f>
        <v>OGI69920.1</v>
      </c>
      <c r="J250" s="1" t="s">
        <v>2769</v>
      </c>
    </row>
    <row r="251" spans="1:10" s="4" customFormat="1" x14ac:dyDescent="0.2">
      <c r="A251" s="1" t="s">
        <v>3727</v>
      </c>
      <c r="B251" s="1" t="s">
        <v>3728</v>
      </c>
      <c r="C251" s="1">
        <v>1125</v>
      </c>
      <c r="D251" s="1">
        <v>1125</v>
      </c>
      <c r="E251" s="2">
        <v>0.99</v>
      </c>
      <c r="F251" s="1">
        <v>0</v>
      </c>
      <c r="G251" s="1">
        <v>65.739999999999995</v>
      </c>
      <c r="H251" s="1">
        <v>814</v>
      </c>
      <c r="I251" s="1" t="str">
        <f>HYPERLINK("https://www.ncbi.nlm.nih.gov/protein/WP_163098795.1?report=genbank&amp;log$=prottop&amp;blast_rank=44&amp;RID=7U875CNM013","WP_163098795.1")</f>
        <v>WP_163098795.1</v>
      </c>
      <c r="J251" s="1" t="s">
        <v>2769</v>
      </c>
    </row>
    <row r="252" spans="1:10" s="4" customFormat="1" x14ac:dyDescent="0.2">
      <c r="A252" s="1" t="s">
        <v>3729</v>
      </c>
      <c r="B252" s="1" t="s">
        <v>3730</v>
      </c>
      <c r="C252" s="1">
        <v>1101</v>
      </c>
      <c r="D252" s="1">
        <v>1101</v>
      </c>
      <c r="E252" s="2">
        <v>0.98</v>
      </c>
      <c r="F252" s="1">
        <v>0</v>
      </c>
      <c r="G252" s="1">
        <v>65.739999999999995</v>
      </c>
      <c r="H252" s="1">
        <v>798</v>
      </c>
      <c r="I252" s="1" t="str">
        <f>HYPERLINK("https://www.ncbi.nlm.nih.gov/protein/WP_099407845.1?report=genbank&amp;log$=prottop&amp;blast_rank=46&amp;RID=7U875CNM013","WP_099407845.1")</f>
        <v>WP_099407845.1</v>
      </c>
      <c r="J252" s="1" t="s">
        <v>2134</v>
      </c>
    </row>
    <row r="253" spans="1:10" s="4" customFormat="1" x14ac:dyDescent="0.2">
      <c r="A253" s="1" t="s">
        <v>3731</v>
      </c>
      <c r="B253" s="1" t="s">
        <v>3732</v>
      </c>
      <c r="C253" s="1">
        <v>1063</v>
      </c>
      <c r="D253" s="1">
        <v>1063</v>
      </c>
      <c r="E253" s="2">
        <v>0.98</v>
      </c>
      <c r="F253" s="1">
        <v>0</v>
      </c>
      <c r="G253" s="1">
        <v>65.73</v>
      </c>
      <c r="H253" s="1">
        <v>799</v>
      </c>
      <c r="I253" s="1" t="str">
        <f>HYPERLINK("https://www.ncbi.nlm.nih.gov/protein/WP_113891670.1?report=genbank&amp;log$=prottop&amp;blast_rank=47&amp;RID=7U875CNM013","WP_113891670.1")</f>
        <v>WP_113891670.1</v>
      </c>
      <c r="J253" s="1" t="s">
        <v>1720</v>
      </c>
    </row>
    <row r="254" spans="1:10" s="4" customFormat="1" x14ac:dyDescent="0.2">
      <c r="A254" s="1" t="s">
        <v>3733</v>
      </c>
      <c r="B254" s="1" t="s">
        <v>3734</v>
      </c>
      <c r="C254" s="1">
        <v>1065</v>
      </c>
      <c r="D254" s="1">
        <v>1065</v>
      </c>
      <c r="E254" s="2">
        <v>0.95</v>
      </c>
      <c r="F254" s="1">
        <v>0</v>
      </c>
      <c r="G254" s="1">
        <v>65.67</v>
      </c>
      <c r="H254" s="1">
        <v>782</v>
      </c>
      <c r="I254" s="1" t="str">
        <f>HYPERLINK("https://www.ncbi.nlm.nih.gov/protein/HIP00292.1?report=genbank&amp;log$=prottop&amp;blast_rank=54&amp;RID=7U875CNM013","HIP00292.1")</f>
        <v>HIP00292.1</v>
      </c>
      <c r="J254" s="1" t="s">
        <v>3276</v>
      </c>
    </row>
    <row r="255" spans="1:10" s="4" customFormat="1" x14ac:dyDescent="0.2">
      <c r="A255" s="1" t="s">
        <v>3735</v>
      </c>
      <c r="B255" s="1" t="s">
        <v>3736</v>
      </c>
      <c r="C255" s="1">
        <v>1094</v>
      </c>
      <c r="D255" s="1">
        <v>1094</v>
      </c>
      <c r="E255" s="2">
        <v>0.98</v>
      </c>
      <c r="F255" s="1">
        <v>0</v>
      </c>
      <c r="G255" s="1">
        <v>65.650000000000006</v>
      </c>
      <c r="H255" s="1">
        <v>799</v>
      </c>
      <c r="I255" s="1" t="str">
        <f>HYPERLINK("https://www.ncbi.nlm.nih.gov/protein/GBE13167.1?report=genbank&amp;log$=prottop&amp;blast_rank=59&amp;RID=7U875CNM013","GBE13167.1")</f>
        <v>GBE13167.1</v>
      </c>
      <c r="J255" s="1" t="s">
        <v>3277</v>
      </c>
    </row>
    <row r="256" spans="1:10" s="4" customFormat="1" x14ac:dyDescent="0.2">
      <c r="A256" s="1" t="s">
        <v>852</v>
      </c>
      <c r="B256" s="1" t="s">
        <v>853</v>
      </c>
      <c r="C256" s="1">
        <v>1102</v>
      </c>
      <c r="D256" s="1">
        <v>1102</v>
      </c>
      <c r="E256" s="2">
        <v>0.98</v>
      </c>
      <c r="F256" s="1">
        <v>0</v>
      </c>
      <c r="G256" s="1">
        <v>65.650000000000006</v>
      </c>
      <c r="H256" s="1">
        <v>811</v>
      </c>
      <c r="I256" s="1" t="str">
        <f>HYPERLINK("https://www.ncbi.nlm.nih.gov/protein/PYV25601.1?report=genbank&amp;log$=prottop&amp;blast_rank=61&amp;RID=7U875CNM013","PYV25601.1")</f>
        <v>PYV25601.1</v>
      </c>
      <c r="J256" s="1" t="s">
        <v>854</v>
      </c>
    </row>
    <row r="257" spans="1:10" s="4" customFormat="1" x14ac:dyDescent="0.2">
      <c r="A257" s="1" t="s">
        <v>3590</v>
      </c>
      <c r="B257" s="1" t="s">
        <v>3360</v>
      </c>
      <c r="C257" s="1">
        <v>1093</v>
      </c>
      <c r="D257" s="1">
        <v>1093</v>
      </c>
      <c r="E257" s="2">
        <v>0.98</v>
      </c>
      <c r="F257" s="1">
        <v>0</v>
      </c>
      <c r="G257" s="1">
        <v>65.650000000000006</v>
      </c>
      <c r="H257" s="1">
        <v>788</v>
      </c>
      <c r="I257" s="1" t="str">
        <f>HYPERLINK("https://www.ncbi.nlm.nih.gov/protein/MBI2090198.1?report=genbank&amp;log$=prottop&amp;blast_rank=62&amp;RID=7U875CNM013","MBI2090198.1")</f>
        <v>MBI2090198.1</v>
      </c>
      <c r="J257" s="1" t="s">
        <v>3286</v>
      </c>
    </row>
    <row r="258" spans="1:10" s="4" customFormat="1" x14ac:dyDescent="0.2">
      <c r="A258" s="1" t="s">
        <v>3629</v>
      </c>
      <c r="B258" s="1" t="s">
        <v>853</v>
      </c>
      <c r="C258" s="1">
        <v>1087</v>
      </c>
      <c r="D258" s="1">
        <v>1087</v>
      </c>
      <c r="E258" s="2">
        <v>0.98</v>
      </c>
      <c r="F258" s="1">
        <v>0</v>
      </c>
      <c r="G258" s="1">
        <v>65.650000000000006</v>
      </c>
      <c r="H258" s="1">
        <v>797</v>
      </c>
      <c r="I258" s="1" t="str">
        <f>HYPERLINK("https://www.ncbi.nlm.nih.gov/protein/MBI3667604.1?report=genbank&amp;log$=prottop&amp;blast_rank=63&amp;RID=7U875CNM013","MBI3667604.1")</f>
        <v>MBI3667604.1</v>
      </c>
      <c r="J258" s="1" t="s">
        <v>854</v>
      </c>
    </row>
    <row r="259" spans="1:10" s="4" customFormat="1" x14ac:dyDescent="0.2">
      <c r="A259" s="1" t="s">
        <v>3590</v>
      </c>
      <c r="B259" s="1" t="s">
        <v>3360</v>
      </c>
      <c r="C259" s="1">
        <v>1104</v>
      </c>
      <c r="D259" s="1">
        <v>1104</v>
      </c>
      <c r="E259" s="2">
        <v>0.98</v>
      </c>
      <c r="F259" s="1">
        <v>0</v>
      </c>
      <c r="G259" s="1">
        <v>65.64</v>
      </c>
      <c r="H259" s="1">
        <v>787</v>
      </c>
      <c r="I259" s="1" t="str">
        <f>HYPERLINK("https://www.ncbi.nlm.nih.gov/protein/NOY52110.1?report=genbank&amp;log$=prottop&amp;blast_rank=65&amp;RID=7U875CNM013","NOY52110.1")</f>
        <v>NOY52110.1</v>
      </c>
      <c r="J259" s="1" t="s">
        <v>3286</v>
      </c>
    </row>
    <row r="260" spans="1:10" s="4" customFormat="1" x14ac:dyDescent="0.2">
      <c r="A260" s="1" t="s">
        <v>3682</v>
      </c>
      <c r="B260" s="1" t="s">
        <v>3681</v>
      </c>
      <c r="C260" s="1">
        <v>1120</v>
      </c>
      <c r="D260" s="1">
        <v>1120</v>
      </c>
      <c r="E260" s="2">
        <v>0.99</v>
      </c>
      <c r="F260" s="1">
        <v>0</v>
      </c>
      <c r="G260" s="1">
        <v>65.62</v>
      </c>
      <c r="H260" s="1">
        <v>814</v>
      </c>
      <c r="I260" s="1" t="str">
        <f>HYPERLINK("https://www.ncbi.nlm.nih.gov/protein/WP_014027837.1?report=genbank&amp;log$=prottop&amp;blast_rank=68&amp;RID=7U875CNM013","WP_014027837.1")</f>
        <v>WP_014027837.1</v>
      </c>
      <c r="J260" s="1" t="s">
        <v>2769</v>
      </c>
    </row>
    <row r="261" spans="1:10" s="4" customFormat="1" x14ac:dyDescent="0.2">
      <c r="A261" s="1" t="s">
        <v>3336</v>
      </c>
      <c r="B261" s="1" t="s">
        <v>2768</v>
      </c>
      <c r="C261" s="1">
        <v>1107</v>
      </c>
      <c r="D261" s="1">
        <v>1107</v>
      </c>
      <c r="E261" s="2">
        <v>0.98</v>
      </c>
      <c r="F261" s="1">
        <v>0</v>
      </c>
      <c r="G261" s="1">
        <v>65.61</v>
      </c>
      <c r="H261" s="1">
        <v>818</v>
      </c>
      <c r="I261" s="1" t="str">
        <f>HYPERLINK("https://www.ncbi.nlm.nih.gov/protein/NIS59460.1?report=genbank&amp;log$=prottop&amp;blast_rank=69&amp;RID=7U875CNM013","NIS59460.1")</f>
        <v>NIS59460.1</v>
      </c>
      <c r="J261" s="1" t="s">
        <v>2769</v>
      </c>
    </row>
    <row r="262" spans="1:10" s="4" customFormat="1" x14ac:dyDescent="0.2">
      <c r="A262" s="1" t="s">
        <v>3629</v>
      </c>
      <c r="B262" s="1" t="s">
        <v>853</v>
      </c>
      <c r="C262" s="1">
        <v>1098</v>
      </c>
      <c r="D262" s="1">
        <v>1098</v>
      </c>
      <c r="E262" s="2">
        <v>0.98</v>
      </c>
      <c r="F262" s="1">
        <v>0</v>
      </c>
      <c r="G262" s="1">
        <v>65.61</v>
      </c>
      <c r="H262" s="1">
        <v>790</v>
      </c>
      <c r="I262" s="1" t="str">
        <f>HYPERLINK("https://www.ncbi.nlm.nih.gov/protein/MBI3651689.1?report=genbank&amp;log$=prottop&amp;blast_rank=70&amp;RID=7U875CNM013","MBI3651689.1")</f>
        <v>MBI3651689.1</v>
      </c>
      <c r="J262" s="1" t="s">
        <v>854</v>
      </c>
    </row>
    <row r="263" spans="1:10" s="4" customFormat="1" x14ac:dyDescent="0.2">
      <c r="A263" s="1" t="s">
        <v>3590</v>
      </c>
      <c r="B263" s="1" t="s">
        <v>3360</v>
      </c>
      <c r="C263" s="1">
        <v>1090</v>
      </c>
      <c r="D263" s="1">
        <v>1090</v>
      </c>
      <c r="E263" s="2">
        <v>0.98</v>
      </c>
      <c r="F263" s="1">
        <v>0</v>
      </c>
      <c r="G263" s="1">
        <v>65.61</v>
      </c>
      <c r="H263" s="1">
        <v>823</v>
      </c>
      <c r="I263" s="1" t="str">
        <f>HYPERLINK("https://www.ncbi.nlm.nih.gov/protein/NOX80551.1?report=genbank&amp;log$=prottop&amp;blast_rank=71&amp;RID=7U875CNM013","NOX80551.1")</f>
        <v>NOX80551.1</v>
      </c>
      <c r="J263" s="1" t="s">
        <v>3286</v>
      </c>
    </row>
    <row r="264" spans="1:10" s="4" customFormat="1" x14ac:dyDescent="0.2">
      <c r="A264" s="1" t="s">
        <v>3283</v>
      </c>
      <c r="B264" s="1" t="s">
        <v>3282</v>
      </c>
      <c r="C264" s="1">
        <v>1085</v>
      </c>
      <c r="D264" s="1">
        <v>1085</v>
      </c>
      <c r="E264" s="2">
        <v>0.98</v>
      </c>
      <c r="F264" s="1">
        <v>0</v>
      </c>
      <c r="G264" s="1">
        <v>65.61</v>
      </c>
      <c r="H264" s="1">
        <v>809</v>
      </c>
      <c r="I264" s="1" t="str">
        <f>HYPERLINK("https://www.ncbi.nlm.nih.gov/protein/RYX83873.1?report=genbank&amp;log$=prottop&amp;blast_rank=73&amp;RID=7U875CNM013","RYX83873.1")</f>
        <v>RYX83873.1</v>
      </c>
      <c r="J264" s="1" t="s">
        <v>3277</v>
      </c>
    </row>
    <row r="265" spans="1:10" s="4" customFormat="1" x14ac:dyDescent="0.2">
      <c r="A265" s="1" t="s">
        <v>3737</v>
      </c>
      <c r="B265" s="1" t="s">
        <v>3738</v>
      </c>
      <c r="C265" s="1">
        <v>1077</v>
      </c>
      <c r="D265" s="1">
        <v>1077</v>
      </c>
      <c r="E265" s="2">
        <v>0.98</v>
      </c>
      <c r="F265" s="1">
        <v>0</v>
      </c>
      <c r="G265" s="1">
        <v>65.61</v>
      </c>
      <c r="H265" s="1">
        <v>794</v>
      </c>
      <c r="I265" s="1" t="str">
        <f>HYPERLINK("https://www.ncbi.nlm.nih.gov/protein/WP_028989485.1?report=genbank&amp;log$=prottop&amp;blast_rank=74&amp;RID=7U875CNM013","WP_028989485.1")</f>
        <v>WP_028989485.1</v>
      </c>
      <c r="J265" s="1" t="s">
        <v>2769</v>
      </c>
    </row>
    <row r="266" spans="1:10" s="4" customFormat="1" x14ac:dyDescent="0.2">
      <c r="A266" s="1" t="s">
        <v>3739</v>
      </c>
      <c r="B266" s="1" t="s">
        <v>3670</v>
      </c>
      <c r="C266" s="1">
        <v>1073</v>
      </c>
      <c r="D266" s="1">
        <v>1073</v>
      </c>
      <c r="E266" s="2">
        <v>0.96</v>
      </c>
      <c r="F266" s="1">
        <v>0</v>
      </c>
      <c r="G266" s="1">
        <v>65.59</v>
      </c>
      <c r="H266" s="1">
        <v>1607</v>
      </c>
      <c r="I266" s="1" t="str">
        <f>HYPERLINK("https://www.ncbi.nlm.nih.gov/protein/MBI2561761.1?report=genbank&amp;log$=prottop&amp;blast_rank=79&amp;RID=7U875CNM013","MBI2561761.1")</f>
        <v>MBI2561761.1</v>
      </c>
      <c r="J266" s="1" t="s">
        <v>3277</v>
      </c>
    </row>
    <row r="267" spans="1:10" s="4" customFormat="1" x14ac:dyDescent="0.2">
      <c r="A267" s="1" t="s">
        <v>3718</v>
      </c>
      <c r="B267" s="1" t="s">
        <v>3719</v>
      </c>
      <c r="C267" s="1">
        <v>1095</v>
      </c>
      <c r="D267" s="1">
        <v>1095</v>
      </c>
      <c r="E267" s="2">
        <v>0.99</v>
      </c>
      <c r="F267" s="1">
        <v>0</v>
      </c>
      <c r="G267" s="1">
        <v>65.569999999999993</v>
      </c>
      <c r="H267" s="1">
        <v>789</v>
      </c>
      <c r="I267" s="1" t="str">
        <f>HYPERLINK("https://www.ncbi.nlm.nih.gov/protein/MBI5752712.1?report=genbank&amp;log$=prottop&amp;blast_rank=82&amp;RID=7U875CNM013","MBI5752712.1")</f>
        <v>MBI5752712.1</v>
      </c>
      <c r="J267" s="1" t="s">
        <v>2769</v>
      </c>
    </row>
    <row r="268" spans="1:10" s="4" customFormat="1" x14ac:dyDescent="0.2">
      <c r="A268" s="1" t="s">
        <v>3740</v>
      </c>
      <c r="B268" s="1" t="s">
        <v>3741</v>
      </c>
      <c r="C268" s="1">
        <v>1095</v>
      </c>
      <c r="D268" s="1">
        <v>1095</v>
      </c>
      <c r="E268" s="2">
        <v>0.98</v>
      </c>
      <c r="F268" s="1">
        <v>0</v>
      </c>
      <c r="G268" s="1">
        <v>65.56</v>
      </c>
      <c r="H268" s="1">
        <v>794</v>
      </c>
      <c r="I268" s="1" t="str">
        <f>HYPERLINK("https://www.ncbi.nlm.nih.gov/protein/HHA47902.1?report=genbank&amp;log$=prottop&amp;blast_rank=90&amp;RID=7U875CNM013","HHA47902.1")</f>
        <v>HHA47902.1</v>
      </c>
      <c r="J268" s="5" t="s">
        <v>3742</v>
      </c>
    </row>
    <row r="269" spans="1:10" s="4" customFormat="1" x14ac:dyDescent="0.2">
      <c r="A269" s="1" t="s">
        <v>3743</v>
      </c>
      <c r="B269" s="1" t="s">
        <v>3744</v>
      </c>
      <c r="C269" s="1">
        <v>1102</v>
      </c>
      <c r="D269" s="1">
        <v>1102</v>
      </c>
      <c r="E269" s="2">
        <v>0.98</v>
      </c>
      <c r="F269" s="1">
        <v>0</v>
      </c>
      <c r="G269" s="1">
        <v>65.52</v>
      </c>
      <c r="H269" s="1">
        <v>787</v>
      </c>
      <c r="I269" s="1" t="str">
        <f>HYPERLINK("https://www.ncbi.nlm.nih.gov/protein/OGQ82666.1?report=genbank&amp;log$=prottop&amp;blast_rank=98&amp;RID=7U875CNM013","OGQ82666.1")</f>
        <v>OGQ82666.1</v>
      </c>
      <c r="J269" s="1" t="s">
        <v>3286</v>
      </c>
    </row>
    <row r="270" spans="1:10" s="4" customFormat="1" x14ac:dyDescent="0.2">
      <c r="A270" s="1" t="s">
        <v>3745</v>
      </c>
      <c r="B270" s="1" t="s">
        <v>3746</v>
      </c>
      <c r="C270" s="1">
        <v>1094</v>
      </c>
      <c r="D270" s="1">
        <v>1094</v>
      </c>
      <c r="E270" s="2">
        <v>0.98</v>
      </c>
      <c r="F270" s="1">
        <v>0</v>
      </c>
      <c r="G270" s="1">
        <v>65.52</v>
      </c>
      <c r="H270" s="1">
        <v>789</v>
      </c>
      <c r="I270" s="1" t="str">
        <f>HYPERLINK("https://www.ncbi.nlm.nih.gov/protein/MBD3298008.1?report=genbank&amp;log$=prottop&amp;blast_rank=99&amp;RID=7U875CNM013","MBD3298008.1")</f>
        <v>MBD3298008.1</v>
      </c>
      <c r="J270" s="5" t="s">
        <v>3747</v>
      </c>
    </row>
    <row r="271" spans="1:10" s="4" customFormat="1" x14ac:dyDescent="0.2">
      <c r="A271" s="1" t="s">
        <v>3748</v>
      </c>
      <c r="B271" s="1" t="s">
        <v>3749</v>
      </c>
      <c r="C271" s="1">
        <v>1078</v>
      </c>
      <c r="D271" s="1">
        <v>1078</v>
      </c>
      <c r="E271" s="2">
        <v>0.98</v>
      </c>
      <c r="F271" s="1">
        <v>0</v>
      </c>
      <c r="G271" s="1">
        <v>65.52</v>
      </c>
      <c r="H271" s="1">
        <v>826</v>
      </c>
      <c r="I271" s="1" t="str">
        <f>HYPERLINK("https://www.ncbi.nlm.nih.gov/protein/MBA2747776.1?report=genbank&amp;log$=prottop&amp;blast_rank=102&amp;RID=7U875CNM013","MBA2747776.1")</f>
        <v>MBA2747776.1</v>
      </c>
      <c r="J271" s="1" t="s">
        <v>3276</v>
      </c>
    </row>
    <row r="272" spans="1:10" s="4" customFormat="1" x14ac:dyDescent="0.2">
      <c r="A272" s="1" t="s">
        <v>3750</v>
      </c>
      <c r="B272" s="1" t="s">
        <v>3751</v>
      </c>
      <c r="C272" s="1">
        <v>1111</v>
      </c>
      <c r="D272" s="1">
        <v>1111</v>
      </c>
      <c r="E272" s="2">
        <v>0.98</v>
      </c>
      <c r="F272" s="1">
        <v>0</v>
      </c>
      <c r="G272" s="1">
        <v>65.52</v>
      </c>
      <c r="H272" s="1">
        <v>811</v>
      </c>
      <c r="I272" s="1" t="str">
        <f>HYPERLINK("https://www.ncbi.nlm.nih.gov/protein/WP_051978857.1?report=genbank&amp;log$=prottop&amp;blast_rank=103&amp;RID=7U875CNM013","WP_051978857.1")</f>
        <v>WP_051978857.1</v>
      </c>
      <c r="J272" s="1" t="s">
        <v>854</v>
      </c>
    </row>
    <row r="273" spans="1:10" s="7" customFormat="1" x14ac:dyDescent="0.2">
      <c r="A273" s="5" t="s">
        <v>3649</v>
      </c>
      <c r="B273" s="5" t="s">
        <v>3650</v>
      </c>
      <c r="C273" s="5">
        <v>1120</v>
      </c>
      <c r="D273" s="5">
        <v>1120</v>
      </c>
      <c r="E273" s="6">
        <v>0.99</v>
      </c>
      <c r="F273" s="5">
        <v>0</v>
      </c>
      <c r="G273" s="5">
        <v>65.489999999999995</v>
      </c>
      <c r="H273" s="5">
        <v>814</v>
      </c>
      <c r="I273" s="5" t="str">
        <f>HYPERLINK("https://www.ncbi.nlm.nih.gov/protein/WP_151528232.1?report=genbank&amp;log$=prottop&amp;blast_rank=1&amp;RID=7U875CNM013","WP_151528232.1")</f>
        <v>WP_151528232.1</v>
      </c>
      <c r="J273" s="5" t="s">
        <v>2769</v>
      </c>
    </row>
    <row r="274" spans="1:10" s="7" customFormat="1" x14ac:dyDescent="0.2">
      <c r="A274" s="5" t="s">
        <v>3752</v>
      </c>
      <c r="B274" s="5" t="s">
        <v>3730</v>
      </c>
      <c r="C274" s="5">
        <v>1101</v>
      </c>
      <c r="D274" s="5">
        <v>1101</v>
      </c>
      <c r="E274" s="6">
        <v>0.99</v>
      </c>
      <c r="F274" s="5">
        <v>0</v>
      </c>
      <c r="G274" s="5">
        <v>65.489999999999995</v>
      </c>
      <c r="H274" s="5">
        <v>801</v>
      </c>
      <c r="I274" s="5" t="str">
        <f>HYPERLINK("https://www.ncbi.nlm.nih.gov/protein/WP_199065757.1?report=genbank&amp;log$=prottop&amp;blast_rank=6&amp;RID=7U875CNM013","WP_199065757.1")</f>
        <v>WP_199065757.1</v>
      </c>
      <c r="J274" s="5" t="s">
        <v>2134</v>
      </c>
    </row>
    <row r="275" spans="1:10" s="7" customFormat="1" x14ac:dyDescent="0.2">
      <c r="A275" s="5" t="s">
        <v>3753</v>
      </c>
      <c r="B275" s="5" t="s">
        <v>3754</v>
      </c>
      <c r="C275" s="5">
        <v>1061</v>
      </c>
      <c r="D275" s="5">
        <v>1061</v>
      </c>
      <c r="E275" s="6">
        <v>0.98</v>
      </c>
      <c r="F275" s="5">
        <v>0</v>
      </c>
      <c r="G275" s="5">
        <v>65.48</v>
      </c>
      <c r="H275" s="5">
        <v>811</v>
      </c>
      <c r="I275" s="5" t="str">
        <f>HYPERLINK("https://www.ncbi.nlm.nih.gov/protein/WP_137143225.1?report=genbank&amp;log$=prottop&amp;blast_rank=11&amp;RID=7U875CNM013","WP_137143225.1")</f>
        <v>WP_137143225.1</v>
      </c>
      <c r="J275" s="5" t="s">
        <v>1720</v>
      </c>
    </row>
    <row r="276" spans="1:10" s="7" customFormat="1" x14ac:dyDescent="0.2">
      <c r="A276" s="5" t="s">
        <v>1718</v>
      </c>
      <c r="B276" s="5" t="s">
        <v>1719</v>
      </c>
      <c r="C276" s="5">
        <v>1061</v>
      </c>
      <c r="D276" s="5">
        <v>1061</v>
      </c>
      <c r="E276" s="6">
        <v>0.98</v>
      </c>
      <c r="F276" s="5">
        <v>0</v>
      </c>
      <c r="G276" s="5">
        <v>65.48</v>
      </c>
      <c r="H276" s="5">
        <v>799</v>
      </c>
      <c r="I276" s="5" t="str">
        <f>HYPERLINK("https://www.ncbi.nlm.nih.gov/protein/WP_187451691.1?report=genbank&amp;log$=prottop&amp;blast_rank=12&amp;RID=7U875CNM013","WP_187451691.1")</f>
        <v>WP_187451691.1</v>
      </c>
      <c r="J276" s="5" t="s">
        <v>1720</v>
      </c>
    </row>
    <row r="277" spans="1:10" s="7" customFormat="1" x14ac:dyDescent="0.2">
      <c r="A277" s="5" t="s">
        <v>3755</v>
      </c>
      <c r="B277" s="5" t="s">
        <v>3754</v>
      </c>
      <c r="C277" s="5">
        <v>1053</v>
      </c>
      <c r="D277" s="5">
        <v>1053</v>
      </c>
      <c r="E277" s="6">
        <v>0.97</v>
      </c>
      <c r="F277" s="5">
        <v>0</v>
      </c>
      <c r="G277" s="5">
        <v>65.459999999999994</v>
      </c>
      <c r="H277" s="5">
        <v>799</v>
      </c>
      <c r="I277" s="5" t="str">
        <f>HYPERLINK("https://www.ncbi.nlm.nih.gov/protein/AIB12642.1?report=genbank&amp;log$=prottop&amp;blast_rank=15&amp;RID=7U875CNM013","AIB12642.1")</f>
        <v>AIB12642.1</v>
      </c>
      <c r="J277" s="5" t="s">
        <v>1720</v>
      </c>
    </row>
    <row r="278" spans="1:10" s="7" customFormat="1" x14ac:dyDescent="0.2">
      <c r="A278" s="5" t="s">
        <v>3756</v>
      </c>
      <c r="B278" s="5" t="s">
        <v>3757</v>
      </c>
      <c r="C278" s="5">
        <v>1119</v>
      </c>
      <c r="D278" s="5">
        <v>1119</v>
      </c>
      <c r="E278" s="6">
        <v>0.98</v>
      </c>
      <c r="F278" s="5">
        <v>0</v>
      </c>
      <c r="G278" s="5">
        <v>65.430000000000007</v>
      </c>
      <c r="H278" s="5">
        <v>810</v>
      </c>
      <c r="I278" s="5" t="str">
        <f>HYPERLINK("https://www.ncbi.nlm.nih.gov/protein/MBN8659922.1?report=genbank&amp;log$=prottop&amp;blast_rank=18&amp;RID=7U875CNM013","MBN8659922.1")</f>
        <v>MBN8659922.1</v>
      </c>
      <c r="J278" s="5" t="s">
        <v>3277</v>
      </c>
    </row>
    <row r="279" spans="1:10" s="7" customFormat="1" x14ac:dyDescent="0.2">
      <c r="A279" s="5" t="s">
        <v>3314</v>
      </c>
      <c r="B279" s="5" t="s">
        <v>3315</v>
      </c>
      <c r="C279" s="5">
        <v>1096</v>
      </c>
      <c r="D279" s="5">
        <v>1096</v>
      </c>
      <c r="E279" s="6">
        <v>0.98</v>
      </c>
      <c r="F279" s="5">
        <v>0</v>
      </c>
      <c r="G279" s="5">
        <v>65.430000000000007</v>
      </c>
      <c r="H279" s="5">
        <v>793</v>
      </c>
      <c r="I279" s="5" t="str">
        <f>HYPERLINK("https://www.ncbi.nlm.nih.gov/protein/MBI2779286.1?report=genbank&amp;log$=prottop&amp;blast_rank=23&amp;RID=7U875CNM013","MBI2779286.1")</f>
        <v>MBI2779286.1</v>
      </c>
      <c r="J279" s="5" t="s">
        <v>3276</v>
      </c>
    </row>
    <row r="280" spans="1:10" s="7" customFormat="1" x14ac:dyDescent="0.2">
      <c r="A280" s="5" t="s">
        <v>3758</v>
      </c>
      <c r="B280" s="5" t="s">
        <v>3759</v>
      </c>
      <c r="C280" s="5">
        <v>1080</v>
      </c>
      <c r="D280" s="5">
        <v>1080</v>
      </c>
      <c r="E280" s="6">
        <v>0.98</v>
      </c>
      <c r="F280" s="5">
        <v>0</v>
      </c>
      <c r="G280" s="5">
        <v>65.430000000000007</v>
      </c>
      <c r="H280" s="5">
        <v>795</v>
      </c>
      <c r="I280" s="5" t="str">
        <f>HYPERLINK("https://www.ncbi.nlm.nih.gov/protein/ALP54784.1?report=genbank&amp;log$=prottop&amp;blast_rank=25&amp;RID=7U875CNM013","ALP54784.1")</f>
        <v>ALP54784.1</v>
      </c>
      <c r="J280" s="5" t="s">
        <v>3276</v>
      </c>
    </row>
    <row r="281" spans="1:10" s="7" customFormat="1" x14ac:dyDescent="0.2">
      <c r="A281" s="5" t="s">
        <v>3760</v>
      </c>
      <c r="B281" s="5" t="s">
        <v>3761</v>
      </c>
      <c r="C281" s="5">
        <v>1103</v>
      </c>
      <c r="D281" s="5">
        <v>1103</v>
      </c>
      <c r="E281" s="6">
        <v>0.99</v>
      </c>
      <c r="F281" s="5">
        <v>0</v>
      </c>
      <c r="G281" s="5">
        <v>65.41</v>
      </c>
      <c r="H281" s="5">
        <v>796</v>
      </c>
      <c r="I281" s="5" t="str">
        <f>HYPERLINK("https://www.ncbi.nlm.nih.gov/protein/OGA43504.1?report=genbank&amp;log$=prottop&amp;blast_rank=29&amp;RID=7U875CNM013","OGA43504.1")</f>
        <v>OGA43504.1</v>
      </c>
      <c r="J281" s="5" t="s">
        <v>2134</v>
      </c>
    </row>
    <row r="282" spans="1:10" s="7" customFormat="1" x14ac:dyDescent="0.2">
      <c r="A282" s="5" t="s">
        <v>3762</v>
      </c>
      <c r="B282" s="5" t="s">
        <v>3763</v>
      </c>
      <c r="C282" s="5">
        <v>1089</v>
      </c>
      <c r="D282" s="5">
        <v>1089</v>
      </c>
      <c r="E282" s="6">
        <v>0.99</v>
      </c>
      <c r="F282" s="5">
        <v>0</v>
      </c>
      <c r="G282" s="5">
        <v>65.400000000000006</v>
      </c>
      <c r="H282" s="5">
        <v>802</v>
      </c>
      <c r="I282" s="5" t="str">
        <f>HYPERLINK("https://www.ncbi.nlm.nih.gov/protein/WP_058574742.1?report=genbank&amp;log$=prottop&amp;blast_rank=30&amp;RID=7U875CNM013","WP_058574742.1")</f>
        <v>WP_058574742.1</v>
      </c>
      <c r="J282" s="5" t="s">
        <v>3276</v>
      </c>
    </row>
    <row r="283" spans="1:10" s="7" customFormat="1" x14ac:dyDescent="0.2">
      <c r="A283" s="5" t="s">
        <v>3764</v>
      </c>
      <c r="B283" s="5" t="s">
        <v>3765</v>
      </c>
      <c r="C283" s="5">
        <v>1088</v>
      </c>
      <c r="D283" s="5">
        <v>1088</v>
      </c>
      <c r="E283" s="6">
        <v>0.98</v>
      </c>
      <c r="F283" s="5">
        <v>0</v>
      </c>
      <c r="G283" s="5">
        <v>65.39</v>
      </c>
      <c r="H283" s="5">
        <v>834</v>
      </c>
      <c r="I283" s="5" t="str">
        <f>HYPERLINK("https://www.ncbi.nlm.nih.gov/protein/MBN1670381.1?report=genbank&amp;log$=prottop&amp;blast_rank=39&amp;RID=7U875CNM013","MBN1670381.1")</f>
        <v>MBN1670381.1</v>
      </c>
      <c r="J283" s="5" t="s">
        <v>3277</v>
      </c>
    </row>
    <row r="284" spans="1:10" s="7" customFormat="1" x14ac:dyDescent="0.2">
      <c r="A284" s="5" t="s">
        <v>3590</v>
      </c>
      <c r="B284" s="5" t="s">
        <v>3360</v>
      </c>
      <c r="C284" s="5">
        <v>1059</v>
      </c>
      <c r="D284" s="5">
        <v>1059</v>
      </c>
      <c r="E284" s="6">
        <v>0.98</v>
      </c>
      <c r="F284" s="5">
        <v>0</v>
      </c>
      <c r="G284" s="5">
        <v>65.39</v>
      </c>
      <c r="H284" s="5">
        <v>789</v>
      </c>
      <c r="I284" s="5" t="str">
        <f>HYPERLINK("https://www.ncbi.nlm.nih.gov/protein/TMA94266.1?report=genbank&amp;log$=prottop&amp;blast_rank=41&amp;RID=7U875CNM013","TMA94266.1")</f>
        <v>TMA94266.1</v>
      </c>
      <c r="J284" s="5" t="s">
        <v>3286</v>
      </c>
    </row>
    <row r="285" spans="1:10" s="7" customFormat="1" x14ac:dyDescent="0.2">
      <c r="A285" s="5" t="s">
        <v>3314</v>
      </c>
      <c r="B285" s="5" t="s">
        <v>3315</v>
      </c>
      <c r="C285" s="5">
        <v>1067</v>
      </c>
      <c r="D285" s="5">
        <v>1067</v>
      </c>
      <c r="E285" s="6">
        <v>0.98</v>
      </c>
      <c r="F285" s="5">
        <v>0</v>
      </c>
      <c r="G285" s="5">
        <v>65.39</v>
      </c>
      <c r="H285" s="5">
        <v>782</v>
      </c>
      <c r="I285" s="5" t="str">
        <f>HYPERLINK("https://www.ncbi.nlm.nih.gov/protein/MBF0256150.1?report=genbank&amp;log$=prottop&amp;blast_rank=44&amp;RID=7U875CNM013","MBF0256150.1")</f>
        <v>MBF0256150.1</v>
      </c>
      <c r="J285" s="5" t="s">
        <v>3276</v>
      </c>
    </row>
    <row r="286" spans="1:10" s="7" customFormat="1" x14ac:dyDescent="0.2">
      <c r="A286" s="5" t="s">
        <v>852</v>
      </c>
      <c r="B286" s="5" t="s">
        <v>853</v>
      </c>
      <c r="C286" s="5">
        <v>1095</v>
      </c>
      <c r="D286" s="5">
        <v>1095</v>
      </c>
      <c r="E286" s="6">
        <v>0.98</v>
      </c>
      <c r="F286" s="5">
        <v>0</v>
      </c>
      <c r="G286" s="5">
        <v>65.349999999999994</v>
      </c>
      <c r="H286" s="5">
        <v>798</v>
      </c>
      <c r="I286" s="5" t="str">
        <f>HYPERLINK("https://www.ncbi.nlm.nih.gov/protein/PYU57057.1?report=genbank&amp;log$=prottop&amp;blast_rank=53&amp;RID=7U875CNM013","PYU57057.1")</f>
        <v>PYU57057.1</v>
      </c>
      <c r="J286" s="5" t="s">
        <v>854</v>
      </c>
    </row>
    <row r="287" spans="1:10" s="7" customFormat="1" x14ac:dyDescent="0.2">
      <c r="A287" s="5" t="s">
        <v>3753</v>
      </c>
      <c r="B287" s="5" t="s">
        <v>3754</v>
      </c>
      <c r="C287" s="5">
        <v>1061</v>
      </c>
      <c r="D287" s="5">
        <v>1061</v>
      </c>
      <c r="E287" s="6">
        <v>0.98</v>
      </c>
      <c r="F287" s="5">
        <v>0</v>
      </c>
      <c r="G287" s="5">
        <v>65.349999999999994</v>
      </c>
      <c r="H287" s="5">
        <v>811</v>
      </c>
      <c r="I287" s="5" t="str">
        <f>HYPERLINK("https://www.ncbi.nlm.nih.gov/protein/WP_038529474.1?report=genbank&amp;log$=prottop&amp;blast_rank=58&amp;RID=7U875CNM013","WP_038529474.1")</f>
        <v>WP_038529474.1</v>
      </c>
      <c r="J287" s="5" t="s">
        <v>1720</v>
      </c>
    </row>
    <row r="288" spans="1:10" s="7" customFormat="1" x14ac:dyDescent="0.2">
      <c r="A288" s="5" t="s">
        <v>3766</v>
      </c>
      <c r="B288" s="5" t="s">
        <v>3767</v>
      </c>
      <c r="C288" s="5">
        <v>1110</v>
      </c>
      <c r="D288" s="5">
        <v>1110</v>
      </c>
      <c r="E288" s="6">
        <v>0.98</v>
      </c>
      <c r="F288" s="5">
        <v>0</v>
      </c>
      <c r="G288" s="5">
        <v>65.319999999999993</v>
      </c>
      <c r="H288" s="5">
        <v>803</v>
      </c>
      <c r="I288" s="5" t="str">
        <f>HYPERLINK("https://www.ncbi.nlm.nih.gov/protein/MAZ05069.1?report=genbank&amp;log$=prottop&amp;blast_rank=60&amp;RID=7U875CNM013","MAZ05069.1")</f>
        <v>MAZ05069.1</v>
      </c>
      <c r="J288" s="5" t="s">
        <v>3276</v>
      </c>
    </row>
    <row r="289" spans="1:10" s="7" customFormat="1" x14ac:dyDescent="0.2">
      <c r="A289" s="5" t="s">
        <v>3768</v>
      </c>
      <c r="B289" s="5" t="s">
        <v>3769</v>
      </c>
      <c r="C289" s="5">
        <v>1094</v>
      </c>
      <c r="D289" s="5">
        <v>1094</v>
      </c>
      <c r="E289" s="6">
        <v>0.98</v>
      </c>
      <c r="F289" s="5">
        <v>0</v>
      </c>
      <c r="G289" s="5">
        <v>65.31</v>
      </c>
      <c r="H289" s="5">
        <v>798</v>
      </c>
      <c r="I289" s="5" t="str">
        <f>HYPERLINK("https://www.ncbi.nlm.nih.gov/protein/HID81408.1?report=genbank&amp;log$=prottop&amp;blast_rank=65&amp;RID=7U875CNM013","HID81408.1")</f>
        <v>HID81408.1</v>
      </c>
      <c r="J289" s="5" t="s">
        <v>3276</v>
      </c>
    </row>
    <row r="290" spans="1:10" s="7" customFormat="1" x14ac:dyDescent="0.2">
      <c r="A290" s="5" t="s">
        <v>852</v>
      </c>
      <c r="B290" s="5" t="s">
        <v>853</v>
      </c>
      <c r="C290" s="5">
        <v>1084</v>
      </c>
      <c r="D290" s="5">
        <v>1084</v>
      </c>
      <c r="E290" s="6">
        <v>0.98</v>
      </c>
      <c r="F290" s="5">
        <v>0</v>
      </c>
      <c r="G290" s="5">
        <v>65.31</v>
      </c>
      <c r="H290" s="5">
        <v>796</v>
      </c>
      <c r="I290" s="5" t="str">
        <f>HYPERLINK("https://www.ncbi.nlm.nih.gov/protein/PYV67517.1?report=genbank&amp;log$=prottop&amp;blast_rank=66&amp;RID=7U875CNM013","PYV67517.1")</f>
        <v>PYV67517.1</v>
      </c>
      <c r="J290" s="5" t="s">
        <v>854</v>
      </c>
    </row>
    <row r="291" spans="1:10" s="7" customFormat="1" x14ac:dyDescent="0.2">
      <c r="A291" s="5" t="s">
        <v>852</v>
      </c>
      <c r="B291" s="5" t="s">
        <v>853</v>
      </c>
      <c r="C291" s="5">
        <v>1084</v>
      </c>
      <c r="D291" s="5">
        <v>1084</v>
      </c>
      <c r="E291" s="6">
        <v>0.98</v>
      </c>
      <c r="F291" s="5">
        <v>0</v>
      </c>
      <c r="G291" s="5">
        <v>65.31</v>
      </c>
      <c r="H291" s="5">
        <v>796</v>
      </c>
      <c r="I291" s="5" t="str">
        <f>HYPERLINK("https://www.ncbi.nlm.nih.gov/protein/PYV60178.1?report=genbank&amp;log$=prottop&amp;blast_rank=67&amp;RID=7U875CNM013","PYV60178.1")</f>
        <v>PYV60178.1</v>
      </c>
      <c r="J291" s="5" t="s">
        <v>854</v>
      </c>
    </row>
    <row r="292" spans="1:10" s="7" customFormat="1" x14ac:dyDescent="0.2">
      <c r="A292" s="5" t="s">
        <v>852</v>
      </c>
      <c r="B292" s="5" t="s">
        <v>853</v>
      </c>
      <c r="C292" s="5">
        <v>1084</v>
      </c>
      <c r="D292" s="5">
        <v>1084</v>
      </c>
      <c r="E292" s="6">
        <v>0.98</v>
      </c>
      <c r="F292" s="5">
        <v>0</v>
      </c>
      <c r="G292" s="5">
        <v>65.31</v>
      </c>
      <c r="H292" s="5">
        <v>796</v>
      </c>
      <c r="I292" s="5" t="str">
        <f>HYPERLINK("https://www.ncbi.nlm.nih.gov/protein/PYV73468.1?report=genbank&amp;log$=prottop&amp;blast_rank=68&amp;RID=7U875CNM013","PYV73468.1")</f>
        <v>PYV73468.1</v>
      </c>
      <c r="J292" s="5" t="s">
        <v>854</v>
      </c>
    </row>
    <row r="293" spans="1:10" s="7" customFormat="1" x14ac:dyDescent="0.2">
      <c r="A293" s="5" t="s">
        <v>3770</v>
      </c>
      <c r="B293" s="5" t="s">
        <v>3771</v>
      </c>
      <c r="C293" s="5">
        <v>1058</v>
      </c>
      <c r="D293" s="5">
        <v>1058</v>
      </c>
      <c r="E293" s="6">
        <v>0.98</v>
      </c>
      <c r="F293" s="5">
        <v>0</v>
      </c>
      <c r="G293" s="5">
        <v>65.31</v>
      </c>
      <c r="H293" s="5">
        <v>801</v>
      </c>
      <c r="I293" s="5" t="str">
        <f>HYPERLINK("https://www.ncbi.nlm.nih.gov/protein/WP_026873020.1?report=genbank&amp;log$=prottop&amp;blast_rank=74&amp;RID=7U875CNM013","WP_026873020.1")</f>
        <v>WP_026873020.1</v>
      </c>
      <c r="J293" s="5" t="s">
        <v>1720</v>
      </c>
    </row>
    <row r="294" spans="1:10" s="7" customFormat="1" x14ac:dyDescent="0.2">
      <c r="A294" s="5" t="s">
        <v>3314</v>
      </c>
      <c r="B294" s="5" t="s">
        <v>3315</v>
      </c>
      <c r="C294" s="5">
        <v>1077</v>
      </c>
      <c r="D294" s="5">
        <v>1077</v>
      </c>
      <c r="E294" s="6">
        <v>0.98</v>
      </c>
      <c r="F294" s="5">
        <v>0</v>
      </c>
      <c r="G294" s="5">
        <v>65.27</v>
      </c>
      <c r="H294" s="5">
        <v>803</v>
      </c>
      <c r="I294" s="5" t="str">
        <f>HYPERLINK("https://www.ncbi.nlm.nih.gov/protein/MBI3772757.1?report=genbank&amp;log$=prottop&amp;blast_rank=87&amp;RID=7U875CNM013","MBI3772757.1")</f>
        <v>MBI3772757.1</v>
      </c>
      <c r="J294" s="5" t="s">
        <v>3276</v>
      </c>
    </row>
    <row r="295" spans="1:10" s="7" customFormat="1" x14ac:dyDescent="0.2">
      <c r="A295" s="5" t="s">
        <v>3314</v>
      </c>
      <c r="B295" s="5" t="s">
        <v>3315</v>
      </c>
      <c r="C295" s="5">
        <v>1063</v>
      </c>
      <c r="D295" s="5">
        <v>1063</v>
      </c>
      <c r="E295" s="6">
        <v>0.98</v>
      </c>
      <c r="F295" s="5">
        <v>0</v>
      </c>
      <c r="G295" s="5">
        <v>65.27</v>
      </c>
      <c r="H295" s="5">
        <v>796</v>
      </c>
      <c r="I295" s="5" t="str">
        <f>HYPERLINK("https://www.ncbi.nlm.nih.gov/protein/MBK9428086.1?report=genbank&amp;log$=prottop&amp;blast_rank=88&amp;RID=7U875CNM013","MBK9428086.1")</f>
        <v>MBK9428086.1</v>
      </c>
      <c r="J295" s="5" t="s">
        <v>3276</v>
      </c>
    </row>
    <row r="296" spans="1:10" s="7" customFormat="1" x14ac:dyDescent="0.2">
      <c r="A296" s="5" t="s">
        <v>3772</v>
      </c>
      <c r="B296" s="5" t="s">
        <v>3645</v>
      </c>
      <c r="C296" s="5">
        <v>1118</v>
      </c>
      <c r="D296" s="5">
        <v>1118</v>
      </c>
      <c r="E296" s="6">
        <v>0.99</v>
      </c>
      <c r="F296" s="5">
        <v>0</v>
      </c>
      <c r="G296" s="5">
        <v>65.239999999999995</v>
      </c>
      <c r="H296" s="5">
        <v>814</v>
      </c>
      <c r="I296" s="5" t="str">
        <f>HYPERLINK("https://www.ncbi.nlm.nih.gov/protein/WP_064219184.1?report=genbank&amp;log$=prottop&amp;blast_rank=92&amp;RID=7U875CNM013","WP_064219184.1")</f>
        <v>WP_064219184.1</v>
      </c>
      <c r="J296" s="5" t="s">
        <v>2769</v>
      </c>
    </row>
    <row r="297" spans="1:10" s="7" customFormat="1" x14ac:dyDescent="0.2">
      <c r="A297" s="5" t="s">
        <v>3680</v>
      </c>
      <c r="B297" s="5" t="s">
        <v>3681</v>
      </c>
      <c r="C297" s="5">
        <v>1115</v>
      </c>
      <c r="D297" s="5">
        <v>1115</v>
      </c>
      <c r="E297" s="6">
        <v>0.99</v>
      </c>
      <c r="F297" s="5">
        <v>0</v>
      </c>
      <c r="G297" s="5">
        <v>65.239999999999995</v>
      </c>
      <c r="H297" s="5">
        <v>814</v>
      </c>
      <c r="I297" s="5" t="str">
        <f>HYPERLINK("https://www.ncbi.nlm.nih.gov/protein/OYV82869.1?report=genbank&amp;log$=prottop&amp;blast_rank=93&amp;RID=7U875CNM013","OYV82869.1")</f>
        <v>OYV82869.1</v>
      </c>
      <c r="J297" s="5" t="s">
        <v>2769</v>
      </c>
    </row>
    <row r="298" spans="1:10" s="7" customFormat="1" x14ac:dyDescent="0.2">
      <c r="A298" s="5" t="s">
        <v>3773</v>
      </c>
      <c r="B298" s="5" t="s">
        <v>3774</v>
      </c>
      <c r="C298" s="5">
        <v>1092</v>
      </c>
      <c r="D298" s="5">
        <v>1092</v>
      </c>
      <c r="E298" s="6">
        <v>0.99</v>
      </c>
      <c r="F298" s="5">
        <v>0</v>
      </c>
      <c r="G298" s="5">
        <v>65.239999999999995</v>
      </c>
      <c r="H298" s="5">
        <v>800</v>
      </c>
      <c r="I298" s="5" t="str">
        <f>HYPERLINK("https://www.ncbi.nlm.nih.gov/protein/OGA48931.1?report=genbank&amp;log$=prottop&amp;blast_rank=94&amp;RID=7U875CNM013","OGA48931.1")</f>
        <v>OGA48931.1</v>
      </c>
      <c r="J298" s="5" t="s">
        <v>2134</v>
      </c>
    </row>
    <row r="299" spans="1:10" s="7" customFormat="1" x14ac:dyDescent="0.2">
      <c r="A299" s="5" t="s">
        <v>852</v>
      </c>
      <c r="B299" s="5" t="s">
        <v>853</v>
      </c>
      <c r="C299" s="5">
        <v>1094</v>
      </c>
      <c r="D299" s="5">
        <v>1094</v>
      </c>
      <c r="E299" s="6">
        <v>0.98</v>
      </c>
      <c r="F299" s="5">
        <v>0</v>
      </c>
      <c r="G299" s="5">
        <v>65.22</v>
      </c>
      <c r="H299" s="5">
        <v>798</v>
      </c>
      <c r="I299" s="5" t="str">
        <f>HYPERLINK("https://www.ncbi.nlm.nih.gov/protein/PYU65362.1?report=genbank&amp;log$=prottop&amp;blast_rank=100&amp;RID=7U875CNM013","PYU65362.1")</f>
        <v>PYU65362.1</v>
      </c>
      <c r="J299" s="5" t="s">
        <v>854</v>
      </c>
    </row>
    <row r="300" spans="1:10" s="7" customFormat="1" x14ac:dyDescent="0.2">
      <c r="A300" s="5" t="s">
        <v>3777</v>
      </c>
      <c r="B300" s="5" t="s">
        <v>3778</v>
      </c>
      <c r="C300" s="5">
        <v>1068</v>
      </c>
      <c r="D300" s="5">
        <v>1068</v>
      </c>
      <c r="E300" s="6">
        <v>0.98</v>
      </c>
      <c r="F300" s="5">
        <v>0</v>
      </c>
      <c r="G300" s="5">
        <v>65.22</v>
      </c>
      <c r="H300" s="5">
        <v>811</v>
      </c>
      <c r="I300" s="5" t="str">
        <f>HYPERLINK("https://www.ncbi.nlm.nih.gov/protein/WP_074078341.1?report=genbank&amp;log$=prottop&amp;blast_rank=102&amp;RID=7U875CNM013","WP_074078341.1")</f>
        <v>WP_074078341.1</v>
      </c>
      <c r="J300" s="5" t="s">
        <v>1720</v>
      </c>
    </row>
    <row r="301" spans="1:10" s="7" customFormat="1" x14ac:dyDescent="0.2">
      <c r="A301" s="5" t="s">
        <v>3779</v>
      </c>
      <c r="B301" s="5" t="s">
        <v>3780</v>
      </c>
      <c r="C301" s="5">
        <v>1113</v>
      </c>
      <c r="D301" s="5">
        <v>1113</v>
      </c>
      <c r="E301" s="6">
        <v>0.99</v>
      </c>
      <c r="F301" s="5">
        <v>0</v>
      </c>
      <c r="G301" s="5">
        <v>65.2</v>
      </c>
      <c r="H301" s="5">
        <v>811</v>
      </c>
      <c r="I301" s="5" t="str">
        <f>HYPERLINK("https://www.ncbi.nlm.nih.gov/protein/KMQ76213.1?report=genbank&amp;log$=prottop&amp;blast_rank=107&amp;RID=7U875CNM013","KMQ76213.1")</f>
        <v>KMQ76213.1</v>
      </c>
      <c r="J301" s="5" t="s">
        <v>3276</v>
      </c>
    </row>
    <row r="302" spans="1:10" s="7" customFormat="1" x14ac:dyDescent="0.2">
      <c r="A302" s="5" t="s">
        <v>3781</v>
      </c>
      <c r="B302" s="5" t="s">
        <v>3780</v>
      </c>
      <c r="C302" s="5">
        <v>1112</v>
      </c>
      <c r="D302" s="5">
        <v>1112</v>
      </c>
      <c r="E302" s="6">
        <v>0.99</v>
      </c>
      <c r="F302" s="5">
        <v>0</v>
      </c>
      <c r="G302" s="5">
        <v>65.2</v>
      </c>
      <c r="H302" s="5">
        <v>798</v>
      </c>
      <c r="I302" s="5" t="str">
        <f>HYPERLINK("https://www.ncbi.nlm.nih.gov/protein/WP_197083883.1?report=genbank&amp;log$=prottop&amp;blast_rank=108&amp;RID=7U875CNM013","WP_197083883.1")</f>
        <v>WP_197083883.1</v>
      </c>
      <c r="J302" s="5" t="s">
        <v>3276</v>
      </c>
    </row>
    <row r="303" spans="1:10" s="8" customFormat="1" x14ac:dyDescent="0.2">
      <c r="A303" s="5" t="s">
        <v>3590</v>
      </c>
      <c r="B303" s="5" t="s">
        <v>3360</v>
      </c>
      <c r="C303" s="5">
        <v>1086</v>
      </c>
      <c r="D303" s="5">
        <v>1086</v>
      </c>
      <c r="E303" s="6">
        <v>0.98</v>
      </c>
      <c r="F303" s="5">
        <v>0</v>
      </c>
      <c r="G303" s="5">
        <v>65.180000000000007</v>
      </c>
      <c r="H303" s="5">
        <v>788</v>
      </c>
      <c r="I303" s="5" t="str">
        <f>HYPERLINK("https://www.ncbi.nlm.nih.gov/protein/MBK7973054.1?report=genbank&amp;log$=prottop&amp;blast_rank=2&amp;RID=7U875CNM013","MBK7973054.1")</f>
        <v>MBK7973054.1</v>
      </c>
      <c r="J303" s="5" t="s">
        <v>3286</v>
      </c>
    </row>
    <row r="304" spans="1:10" s="8" customFormat="1" x14ac:dyDescent="0.2">
      <c r="A304" s="5" t="s">
        <v>3562</v>
      </c>
      <c r="B304" s="5" t="s">
        <v>3563</v>
      </c>
      <c r="C304" s="5">
        <v>1080</v>
      </c>
      <c r="D304" s="5">
        <v>1080</v>
      </c>
      <c r="E304" s="6">
        <v>0.98</v>
      </c>
      <c r="F304" s="5">
        <v>0</v>
      </c>
      <c r="G304" s="5">
        <v>65.180000000000007</v>
      </c>
      <c r="H304" s="5">
        <v>787</v>
      </c>
      <c r="I304" s="5" t="str">
        <f>HYPERLINK("https://www.ncbi.nlm.nih.gov/protein/WP_020506788.1?report=genbank&amp;log$=prottop&amp;blast_rank=3&amp;RID=7U875CNM013","WP_020506788.1")</f>
        <v>WP_020506788.1</v>
      </c>
      <c r="J304" s="5" t="s">
        <v>3276</v>
      </c>
    </row>
    <row r="305" spans="1:10" s="8" customFormat="1" x14ac:dyDescent="0.2">
      <c r="A305" s="5" t="s">
        <v>3782</v>
      </c>
      <c r="B305" s="5" t="s">
        <v>3783</v>
      </c>
      <c r="C305" s="5">
        <v>1107</v>
      </c>
      <c r="D305" s="5">
        <v>1107</v>
      </c>
      <c r="E305" s="6">
        <v>0.98</v>
      </c>
      <c r="F305" s="5">
        <v>0</v>
      </c>
      <c r="G305" s="5">
        <v>65.180000000000007</v>
      </c>
      <c r="H305" s="5">
        <v>808</v>
      </c>
      <c r="I305" s="5" t="str">
        <f>HYPERLINK("https://www.ncbi.nlm.nih.gov/protein/AXS85188.1?report=genbank&amp;log$=prottop&amp;blast_rank=4&amp;RID=7U875CNM013","AXS85188.1")</f>
        <v>AXS85188.1</v>
      </c>
      <c r="J305" s="5" t="s">
        <v>3276</v>
      </c>
    </row>
    <row r="306" spans="1:10" s="8" customFormat="1" x14ac:dyDescent="0.2">
      <c r="A306" s="5" t="s">
        <v>3784</v>
      </c>
      <c r="B306" s="5" t="s">
        <v>3783</v>
      </c>
      <c r="C306" s="5">
        <v>1107</v>
      </c>
      <c r="D306" s="5">
        <v>1107</v>
      </c>
      <c r="E306" s="6">
        <v>0.98</v>
      </c>
      <c r="F306" s="5">
        <v>0</v>
      </c>
      <c r="G306" s="5">
        <v>65.180000000000007</v>
      </c>
      <c r="H306" s="5">
        <v>804</v>
      </c>
      <c r="I306" s="5" t="str">
        <f>HYPERLINK("https://www.ncbi.nlm.nih.gov/protein/WP_205422316.1?report=genbank&amp;log$=prottop&amp;blast_rank=5&amp;RID=7U875CNM013","WP_205422316.1")</f>
        <v>WP_205422316.1</v>
      </c>
      <c r="J306" s="5" t="s">
        <v>3276</v>
      </c>
    </row>
    <row r="307" spans="1:10" s="8" customFormat="1" x14ac:dyDescent="0.2">
      <c r="A307" s="5" t="s">
        <v>852</v>
      </c>
      <c r="B307" s="5" t="s">
        <v>853</v>
      </c>
      <c r="C307" s="5">
        <v>1095</v>
      </c>
      <c r="D307" s="5">
        <v>1095</v>
      </c>
      <c r="E307" s="6">
        <v>0.98</v>
      </c>
      <c r="F307" s="5">
        <v>0</v>
      </c>
      <c r="G307" s="5">
        <v>65.180000000000007</v>
      </c>
      <c r="H307" s="5">
        <v>796</v>
      </c>
      <c r="I307" s="5" t="str">
        <f>HYPERLINK("https://www.ncbi.nlm.nih.gov/protein/PYV65969.1?report=genbank&amp;log$=prottop&amp;blast_rank=6&amp;RID=7U875CNM013","PYV65969.1")</f>
        <v>PYV65969.1</v>
      </c>
      <c r="J307" s="5" t="s">
        <v>854</v>
      </c>
    </row>
    <row r="308" spans="1:10" s="8" customFormat="1" x14ac:dyDescent="0.2">
      <c r="A308" s="5" t="s">
        <v>3785</v>
      </c>
      <c r="B308" s="5" t="s">
        <v>3786</v>
      </c>
      <c r="C308" s="5">
        <v>1046</v>
      </c>
      <c r="D308" s="5">
        <v>1046</v>
      </c>
      <c r="E308" s="6">
        <v>0.97</v>
      </c>
      <c r="F308" s="5">
        <v>0</v>
      </c>
      <c r="G308" s="5">
        <v>65.17</v>
      </c>
      <c r="H308" s="5">
        <v>797</v>
      </c>
      <c r="I308" s="5" t="str">
        <f>HYPERLINK("https://www.ncbi.nlm.nih.gov/protein/OGA49304.1?report=genbank&amp;log$=prottop&amp;blast_rank=12&amp;RID=7U875CNM013","OGA49304.1")</f>
        <v>OGA49304.1</v>
      </c>
      <c r="J308" s="5" t="s">
        <v>2134</v>
      </c>
    </row>
    <row r="309" spans="1:10" s="8" customFormat="1" x14ac:dyDescent="0.2">
      <c r="A309" s="5" t="s">
        <v>3787</v>
      </c>
      <c r="B309" s="5" t="s">
        <v>3788</v>
      </c>
      <c r="C309" s="5">
        <v>1073</v>
      </c>
      <c r="D309" s="5">
        <v>1073</v>
      </c>
      <c r="E309" s="6">
        <v>0.97</v>
      </c>
      <c r="F309" s="5">
        <v>0</v>
      </c>
      <c r="G309" s="5">
        <v>65.17</v>
      </c>
      <c r="H309" s="5">
        <v>807</v>
      </c>
      <c r="I309" s="5" t="str">
        <f>HYPERLINK("https://www.ncbi.nlm.nih.gov/protein/RRQ20330.1?report=genbank&amp;log$=prottop&amp;blast_rank=13&amp;RID=7U875CNM013","RRQ20330.1")</f>
        <v>RRQ20330.1</v>
      </c>
      <c r="J309" s="5" t="s">
        <v>3276</v>
      </c>
    </row>
    <row r="310" spans="1:10" s="8" customFormat="1" x14ac:dyDescent="0.2">
      <c r="A310" s="5" t="s">
        <v>3789</v>
      </c>
      <c r="B310" s="5" t="s">
        <v>3788</v>
      </c>
      <c r="C310" s="5">
        <v>1073</v>
      </c>
      <c r="D310" s="5">
        <v>1073</v>
      </c>
      <c r="E310" s="6">
        <v>0.97</v>
      </c>
      <c r="F310" s="5">
        <v>0</v>
      </c>
      <c r="G310" s="5">
        <v>65.17</v>
      </c>
      <c r="H310" s="5">
        <v>789</v>
      </c>
      <c r="I310" s="5" t="str">
        <f>HYPERLINK("https://www.ncbi.nlm.nih.gov/protein/WP_204742183.1?report=genbank&amp;log$=prottop&amp;blast_rank=14&amp;RID=7U875CNM013","WP_204742183.1")</f>
        <v>WP_204742183.1</v>
      </c>
      <c r="J310" s="5" t="s">
        <v>3276</v>
      </c>
    </row>
    <row r="311" spans="1:10" s="8" customFormat="1" x14ac:dyDescent="0.2">
      <c r="A311" s="5" t="s">
        <v>3790</v>
      </c>
      <c r="B311" s="5" t="s">
        <v>3791</v>
      </c>
      <c r="C311" s="5">
        <v>1090</v>
      </c>
      <c r="D311" s="5">
        <v>1090</v>
      </c>
      <c r="E311" s="6">
        <v>0.99</v>
      </c>
      <c r="F311" s="5">
        <v>0</v>
      </c>
      <c r="G311" s="5">
        <v>65.16</v>
      </c>
      <c r="H311" s="5">
        <v>813</v>
      </c>
      <c r="I311" s="5" t="str">
        <f>HYPERLINK("https://www.ncbi.nlm.nih.gov/protein/WP_147799900.1?report=genbank&amp;log$=prottop&amp;blast_rank=15&amp;RID=7U875CNM013","WP_147799900.1")</f>
        <v>WP_147799900.1</v>
      </c>
      <c r="J311" s="5" t="s">
        <v>2769</v>
      </c>
    </row>
    <row r="312" spans="1:10" s="8" customFormat="1" x14ac:dyDescent="0.2">
      <c r="A312" s="5" t="s">
        <v>3679</v>
      </c>
      <c r="B312" s="5" t="s">
        <v>3662</v>
      </c>
      <c r="C312" s="5">
        <v>1088</v>
      </c>
      <c r="D312" s="5">
        <v>1088</v>
      </c>
      <c r="E312" s="6">
        <v>0.99</v>
      </c>
      <c r="F312" s="5">
        <v>0</v>
      </c>
      <c r="G312" s="5">
        <v>65.16</v>
      </c>
      <c r="H312" s="5">
        <v>795</v>
      </c>
      <c r="I312" s="5" t="str">
        <f>HYPERLINK("https://www.ncbi.nlm.nih.gov/protein/PZP64670.1?report=genbank&amp;log$=prottop&amp;blast_rank=16&amp;RID=7U875CNM013","PZP64670.1")</f>
        <v>PZP64670.1</v>
      </c>
      <c r="J312" s="5" t="s">
        <v>2134</v>
      </c>
    </row>
    <row r="313" spans="1:10" s="8" customFormat="1" x14ac:dyDescent="0.2">
      <c r="A313" s="5" t="s">
        <v>3792</v>
      </c>
      <c r="B313" s="5" t="s">
        <v>3741</v>
      </c>
      <c r="C313" s="5">
        <v>1092</v>
      </c>
      <c r="D313" s="5">
        <v>1092</v>
      </c>
      <c r="E313" s="6">
        <v>0.98</v>
      </c>
      <c r="F313" s="5">
        <v>0</v>
      </c>
      <c r="G313" s="5">
        <v>65.150000000000006</v>
      </c>
      <c r="H313" s="5">
        <v>799</v>
      </c>
      <c r="I313" s="5" t="str">
        <f>HYPERLINK("https://www.ncbi.nlm.nih.gov/protein/MBI2843896.1?report=genbank&amp;log$=prottop&amp;blast_rank=20&amp;RID=7U875CNM013","MBI2843896.1")</f>
        <v>MBI2843896.1</v>
      </c>
      <c r="J313" s="5" t="s">
        <v>3742</v>
      </c>
    </row>
    <row r="314" spans="1:10" s="8" customFormat="1" x14ac:dyDescent="0.2">
      <c r="A314" s="5" t="s">
        <v>852</v>
      </c>
      <c r="B314" s="5" t="s">
        <v>853</v>
      </c>
      <c r="C314" s="5">
        <v>1082</v>
      </c>
      <c r="D314" s="5">
        <v>1082</v>
      </c>
      <c r="E314" s="6">
        <v>0.98</v>
      </c>
      <c r="F314" s="5">
        <v>0</v>
      </c>
      <c r="G314" s="5">
        <v>65.14</v>
      </c>
      <c r="H314" s="5">
        <v>806</v>
      </c>
      <c r="I314" s="5" t="str">
        <f>HYPERLINK("https://www.ncbi.nlm.nih.gov/protein/PYV03231.1?report=genbank&amp;log$=prottop&amp;blast_rank=35&amp;RID=7U875CNM013","PYV03231.1")</f>
        <v>PYV03231.1</v>
      </c>
      <c r="J314" s="5" t="s">
        <v>854</v>
      </c>
    </row>
    <row r="315" spans="1:10" s="8" customFormat="1" x14ac:dyDescent="0.2">
      <c r="A315" s="5" t="s">
        <v>3793</v>
      </c>
      <c r="B315" s="5" t="s">
        <v>3794</v>
      </c>
      <c r="C315" s="5">
        <v>1031</v>
      </c>
      <c r="D315" s="5">
        <v>1031</v>
      </c>
      <c r="E315" s="6">
        <v>0.98</v>
      </c>
      <c r="F315" s="5">
        <v>0</v>
      </c>
      <c r="G315" s="5">
        <v>65.14</v>
      </c>
      <c r="H315" s="5">
        <v>803</v>
      </c>
      <c r="I315" s="5" t="str">
        <f>HYPERLINK("https://www.ncbi.nlm.nih.gov/protein/WP_150041581.1?report=genbank&amp;log$=prottop&amp;blast_rank=36&amp;RID=7U875CNM013","WP_150041581.1")</f>
        <v>WP_150041581.1</v>
      </c>
      <c r="J315" s="5" t="s">
        <v>1720</v>
      </c>
    </row>
    <row r="316" spans="1:10" s="8" customFormat="1" x14ac:dyDescent="0.2">
      <c r="A316" s="5" t="s">
        <v>3795</v>
      </c>
      <c r="B316" s="5" t="s">
        <v>3796</v>
      </c>
      <c r="C316" s="5">
        <v>1030</v>
      </c>
      <c r="D316" s="5">
        <v>1030</v>
      </c>
      <c r="E316" s="6">
        <v>0.97</v>
      </c>
      <c r="F316" s="5">
        <v>0</v>
      </c>
      <c r="G316" s="5">
        <v>65.13</v>
      </c>
      <c r="H316" s="5">
        <v>809</v>
      </c>
      <c r="I316" s="5" t="str">
        <f>HYPERLINK("https://www.ncbi.nlm.nih.gov/protein/MBO9518720.1?report=genbank&amp;log$=prottop&amp;blast_rank=39&amp;RID=7U875CNM013","MBO9518720.1")</f>
        <v>MBO9518720.1</v>
      </c>
      <c r="J316" s="5" t="s">
        <v>1720</v>
      </c>
    </row>
    <row r="317" spans="1:10" s="8" customFormat="1" x14ac:dyDescent="0.2">
      <c r="A317" s="5" t="s">
        <v>3797</v>
      </c>
      <c r="B317" s="5" t="s">
        <v>3798</v>
      </c>
      <c r="C317" s="5">
        <v>1106</v>
      </c>
      <c r="D317" s="5">
        <v>1106</v>
      </c>
      <c r="E317" s="6">
        <v>0.99</v>
      </c>
      <c r="F317" s="5">
        <v>0</v>
      </c>
      <c r="G317" s="5">
        <v>65.12</v>
      </c>
      <c r="H317" s="5">
        <v>802</v>
      </c>
      <c r="I317" s="5" t="str">
        <f>HYPERLINK("https://www.ncbi.nlm.nih.gov/protein/WP_191967030.1?report=genbank&amp;log$=prottop&amp;blast_rank=40&amp;RID=7U875CNM013","WP_191967030.1")</f>
        <v>WP_191967030.1</v>
      </c>
      <c r="J317" s="5" t="s">
        <v>3276</v>
      </c>
    </row>
    <row r="318" spans="1:10" s="7" customFormat="1" x14ac:dyDescent="0.2">
      <c r="A318" s="5" t="s">
        <v>3680</v>
      </c>
      <c r="B318" s="5" t="s">
        <v>3681</v>
      </c>
      <c r="C318" s="5">
        <v>1114</v>
      </c>
      <c r="D318" s="5">
        <v>1114</v>
      </c>
      <c r="E318" s="6">
        <v>0.99</v>
      </c>
      <c r="F318" s="5">
        <v>0</v>
      </c>
      <c r="G318" s="5">
        <v>65.11</v>
      </c>
      <c r="H318" s="5">
        <v>814</v>
      </c>
      <c r="I318" s="5" t="str">
        <f>HYPERLINK("https://www.ncbi.nlm.nih.gov/protein/WP_198660401.1?report=genbank&amp;log$=prottop&amp;blast_rank=44&amp;RID=7U875CNM013","WP_198660401.1")</f>
        <v>WP_198660401.1</v>
      </c>
      <c r="J318" s="5" t="s">
        <v>2769</v>
      </c>
    </row>
    <row r="319" spans="1:10" s="7" customFormat="1" x14ac:dyDescent="0.2">
      <c r="A319" s="5" t="s">
        <v>3799</v>
      </c>
      <c r="B319" s="5" t="s">
        <v>3800</v>
      </c>
      <c r="C319" s="5">
        <v>1098</v>
      </c>
      <c r="D319" s="5">
        <v>1098</v>
      </c>
      <c r="E319" s="6">
        <v>0.98</v>
      </c>
      <c r="F319" s="5">
        <v>0</v>
      </c>
      <c r="G319" s="5">
        <v>65.099999999999994</v>
      </c>
      <c r="H319" s="5">
        <v>800</v>
      </c>
      <c r="I319" s="5" t="str">
        <f>HYPERLINK("https://www.ncbi.nlm.nih.gov/protein/NNK03138.1?report=genbank&amp;log$=prottop&amp;blast_rank=50&amp;RID=7U875CNM013","NNK03138.1")</f>
        <v>NNK03138.1</v>
      </c>
      <c r="J319" s="5" t="s">
        <v>3276</v>
      </c>
    </row>
    <row r="320" spans="1:10" s="7" customFormat="1" x14ac:dyDescent="0.2">
      <c r="A320" s="5" t="s">
        <v>3753</v>
      </c>
      <c r="B320" s="5" t="s">
        <v>3754</v>
      </c>
      <c r="C320" s="5">
        <v>1056</v>
      </c>
      <c r="D320" s="5">
        <v>1056</v>
      </c>
      <c r="E320" s="6">
        <v>0.98</v>
      </c>
      <c r="F320" s="5">
        <v>0</v>
      </c>
      <c r="G320" s="5">
        <v>65.099999999999994</v>
      </c>
      <c r="H320" s="5">
        <v>811</v>
      </c>
      <c r="I320" s="5" t="str">
        <f>HYPERLINK("https://www.ncbi.nlm.nih.gov/protein/WP_103041669.1?report=genbank&amp;log$=prottop&amp;blast_rank=57&amp;RID=7U875CNM013","WP_103041669.1")</f>
        <v>WP_103041669.1</v>
      </c>
      <c r="J320" s="5" t="s">
        <v>1720</v>
      </c>
    </row>
    <row r="321" spans="1:10" s="7" customFormat="1" x14ac:dyDescent="0.2">
      <c r="A321" s="5" t="s">
        <v>3753</v>
      </c>
      <c r="B321" s="5" t="s">
        <v>3754</v>
      </c>
      <c r="C321" s="5">
        <v>1056</v>
      </c>
      <c r="D321" s="5">
        <v>1056</v>
      </c>
      <c r="E321" s="6">
        <v>0.98</v>
      </c>
      <c r="F321" s="5">
        <v>0</v>
      </c>
      <c r="G321" s="5">
        <v>65.099999999999994</v>
      </c>
      <c r="H321" s="5">
        <v>811</v>
      </c>
      <c r="I321" s="5" t="str">
        <f>HYPERLINK("https://www.ncbi.nlm.nih.gov/protein/WP_137102351.1?report=genbank&amp;log$=prottop&amp;blast_rank=58&amp;RID=7U875CNM013","WP_137102351.1")</f>
        <v>WP_137102351.1</v>
      </c>
      <c r="J321" s="5" t="s">
        <v>1720</v>
      </c>
    </row>
    <row r="322" spans="1:10" s="7" customFormat="1" x14ac:dyDescent="0.2">
      <c r="A322" s="5" t="s">
        <v>3801</v>
      </c>
      <c r="B322" s="5" t="s">
        <v>3802</v>
      </c>
      <c r="C322" s="5">
        <v>1056</v>
      </c>
      <c r="D322" s="5">
        <v>1056</v>
      </c>
      <c r="E322" s="6">
        <v>0.98</v>
      </c>
      <c r="F322" s="5">
        <v>0</v>
      </c>
      <c r="G322" s="5">
        <v>65.099999999999994</v>
      </c>
      <c r="H322" s="5">
        <v>799</v>
      </c>
      <c r="I322" s="5" t="str">
        <f>HYPERLINK("https://www.ncbi.nlm.nih.gov/protein/WP_163260362.1?report=genbank&amp;log$=prottop&amp;blast_rank=59&amp;RID=7U875CNM013","WP_163260362.1")</f>
        <v>WP_163260362.1</v>
      </c>
      <c r="J322" s="5" t="s">
        <v>1720</v>
      </c>
    </row>
    <row r="323" spans="1:10" s="7" customFormat="1" x14ac:dyDescent="0.2">
      <c r="A323" s="5" t="s">
        <v>3365</v>
      </c>
      <c r="B323" s="5" t="s">
        <v>3360</v>
      </c>
      <c r="C323" s="5">
        <v>1050</v>
      </c>
      <c r="D323" s="5">
        <v>1050</v>
      </c>
      <c r="E323" s="6">
        <v>0.97</v>
      </c>
      <c r="F323" s="5">
        <v>0</v>
      </c>
      <c r="G323" s="5">
        <v>65.08</v>
      </c>
      <c r="H323" s="5">
        <v>797</v>
      </c>
      <c r="I323" s="5" t="str">
        <f>HYPERLINK("https://www.ncbi.nlm.nih.gov/protein/HEB90990.1?report=genbank&amp;log$=prottop&amp;blast_rank=63&amp;RID=7U875CNM013","HEB90990.1")</f>
        <v>HEB90990.1</v>
      </c>
      <c r="J323" s="5" t="s">
        <v>3286</v>
      </c>
    </row>
    <row r="324" spans="1:10" s="7" customFormat="1" x14ac:dyDescent="0.2">
      <c r="A324" s="5" t="s">
        <v>3803</v>
      </c>
      <c r="B324" s="5" t="s">
        <v>3804</v>
      </c>
      <c r="C324" s="5">
        <v>1082</v>
      </c>
      <c r="D324" s="5">
        <v>1082</v>
      </c>
      <c r="E324" s="6">
        <v>0.99</v>
      </c>
      <c r="F324" s="5">
        <v>0</v>
      </c>
      <c r="G324" s="5">
        <v>65.03</v>
      </c>
      <c r="H324" s="5">
        <v>799</v>
      </c>
      <c r="I324" s="5" t="str">
        <f>HYPERLINK("https://www.ncbi.nlm.nih.gov/protein/WP_076723783.1?report=genbank&amp;log$=prottop&amp;blast_rank=81&amp;RID=7U875CNM013","WP_076723783.1")</f>
        <v>WP_076723783.1</v>
      </c>
      <c r="J324" s="5" t="s">
        <v>3276</v>
      </c>
    </row>
    <row r="325" spans="1:10" s="7" customFormat="1" x14ac:dyDescent="0.2">
      <c r="A325" s="5" t="s">
        <v>3805</v>
      </c>
      <c r="B325" s="5" t="s">
        <v>3648</v>
      </c>
      <c r="C325" s="5">
        <v>1085</v>
      </c>
      <c r="D325" s="5">
        <v>1085</v>
      </c>
      <c r="E325" s="6">
        <v>0.98</v>
      </c>
      <c r="F325" s="5">
        <v>0</v>
      </c>
      <c r="G325" s="5">
        <v>65.010000000000005</v>
      </c>
      <c r="H325" s="5">
        <v>795</v>
      </c>
      <c r="I325" s="5" t="str">
        <f>HYPERLINK("https://www.ncbi.nlm.nih.gov/protein/MBL4608146.1?report=genbank&amp;log$=prottop&amp;blast_rank=99&amp;RID=7U875CNM013","MBL4608146.1")</f>
        <v>MBL4608146.1</v>
      </c>
      <c r="J325" s="5" t="s">
        <v>3276</v>
      </c>
    </row>
    <row r="326" spans="1:10" s="7" customFormat="1" x14ac:dyDescent="0.2">
      <c r="A326" s="5" t="s">
        <v>3314</v>
      </c>
      <c r="B326" s="5" t="s">
        <v>3315</v>
      </c>
      <c r="C326" s="5">
        <v>1063</v>
      </c>
      <c r="D326" s="5">
        <v>1063</v>
      </c>
      <c r="E326" s="6">
        <v>0.98</v>
      </c>
      <c r="F326" s="5">
        <v>0</v>
      </c>
      <c r="G326" s="5">
        <v>65.010000000000005</v>
      </c>
      <c r="H326" s="5">
        <v>796</v>
      </c>
      <c r="I326" s="5" t="str">
        <f>HYPERLINK("https://www.ncbi.nlm.nih.gov/protein/MBK6959948.1?report=genbank&amp;log$=prottop&amp;blast_rank=100&amp;RID=7U875CNM013","MBK6959948.1")</f>
        <v>MBK6959948.1</v>
      </c>
      <c r="J326" s="5" t="s">
        <v>3276</v>
      </c>
    </row>
    <row r="327" spans="1:10" s="7" customFormat="1" x14ac:dyDescent="0.2">
      <c r="A327" s="5" t="s">
        <v>3806</v>
      </c>
      <c r="B327" s="5" t="s">
        <v>3807</v>
      </c>
      <c r="C327" s="5">
        <v>1053</v>
      </c>
      <c r="D327" s="5">
        <v>1053</v>
      </c>
      <c r="E327" s="6">
        <v>0.98</v>
      </c>
      <c r="F327" s="5">
        <v>0</v>
      </c>
      <c r="G327" s="5">
        <v>65.010000000000005</v>
      </c>
      <c r="H327" s="5">
        <v>796</v>
      </c>
      <c r="I327" s="5" t="str">
        <f>HYPERLINK("https://www.ncbi.nlm.nih.gov/protein/MBL6750321.1?report=genbank&amp;log$=prottop&amp;blast_rank=101&amp;RID=7U875CNM013","MBL6750321.1")</f>
        <v>MBL6750321.1</v>
      </c>
      <c r="J327" s="5" t="s">
        <v>3276</v>
      </c>
    </row>
    <row r="328" spans="1:10" s="7" customFormat="1" x14ac:dyDescent="0.2">
      <c r="A328" s="5" t="s">
        <v>3682</v>
      </c>
      <c r="B328" s="5" t="s">
        <v>3681</v>
      </c>
      <c r="C328" s="5">
        <v>1114</v>
      </c>
      <c r="D328" s="5">
        <v>1114</v>
      </c>
      <c r="E328" s="6">
        <v>0.99</v>
      </c>
      <c r="F328" s="5">
        <v>0</v>
      </c>
      <c r="G328" s="5">
        <v>64.989999999999995</v>
      </c>
      <c r="H328" s="5">
        <v>814</v>
      </c>
      <c r="I328" s="5" t="str">
        <f>HYPERLINK("https://www.ncbi.nlm.nih.gov/protein/WP_051984687.1?report=genbank&amp;log$=prottop&amp;blast_rank=107&amp;RID=7U875CNM013","WP_051984687.1")</f>
        <v>WP_051984687.1</v>
      </c>
      <c r="J328" s="5" t="s">
        <v>2769</v>
      </c>
    </row>
    <row r="329" spans="1:10" s="7" customFormat="1" x14ac:dyDescent="0.2">
      <c r="A329" s="5" t="s">
        <v>3649</v>
      </c>
      <c r="B329" s="5" t="s">
        <v>3650</v>
      </c>
      <c r="C329" s="5">
        <v>1112</v>
      </c>
      <c r="D329" s="5">
        <v>1112</v>
      </c>
      <c r="E329" s="6">
        <v>0.99</v>
      </c>
      <c r="F329" s="5">
        <v>0</v>
      </c>
      <c r="G329" s="5">
        <v>64.989999999999995</v>
      </c>
      <c r="H329" s="5">
        <v>814</v>
      </c>
      <c r="I329" s="5" t="str">
        <f>HYPERLINK("https://www.ncbi.nlm.nih.gov/protein/WP_065413200.1?report=genbank&amp;log$=prottop&amp;blast_rank=108&amp;RID=7U875CNM013","WP_065413200.1")</f>
        <v>WP_065413200.1</v>
      </c>
      <c r="J329" s="5" t="s">
        <v>2769</v>
      </c>
    </row>
    <row r="330" spans="1:10" s="7" customFormat="1" x14ac:dyDescent="0.2">
      <c r="A330" s="5" t="s">
        <v>3809</v>
      </c>
      <c r="B330" s="5" t="s">
        <v>3810</v>
      </c>
      <c r="C330" s="5">
        <v>1094</v>
      </c>
      <c r="D330" s="5">
        <v>1094</v>
      </c>
      <c r="E330" s="6">
        <v>0.98</v>
      </c>
      <c r="F330" s="5">
        <v>0</v>
      </c>
      <c r="G330" s="5">
        <v>64.97</v>
      </c>
      <c r="H330" s="5">
        <v>800</v>
      </c>
      <c r="I330" s="5" t="str">
        <f>HYPERLINK("https://www.ncbi.nlm.nih.gov/protein/OLB40439.1?report=genbank&amp;log$=prottop&amp;blast_rank=116&amp;RID=7U875CNM013","OLB40439.1")</f>
        <v>OLB40439.1</v>
      </c>
      <c r="J330" s="5" t="s">
        <v>854</v>
      </c>
    </row>
    <row r="331" spans="1:10" s="7" customFormat="1" x14ac:dyDescent="0.2">
      <c r="A331" s="5" t="s">
        <v>852</v>
      </c>
      <c r="B331" s="5" t="s">
        <v>853</v>
      </c>
      <c r="C331" s="5">
        <v>1090</v>
      </c>
      <c r="D331" s="5">
        <v>1090</v>
      </c>
      <c r="E331" s="6">
        <v>0.98</v>
      </c>
      <c r="F331" s="5">
        <v>0</v>
      </c>
      <c r="G331" s="5">
        <v>64.97</v>
      </c>
      <c r="H331" s="5">
        <v>798</v>
      </c>
      <c r="I331" s="5" t="str">
        <f>HYPERLINK("https://www.ncbi.nlm.nih.gov/protein/PYU40745.1?report=genbank&amp;log$=prottop&amp;blast_rank=118&amp;RID=7U875CNM013","PYU40745.1")</f>
        <v>PYU40745.1</v>
      </c>
      <c r="J331" s="5" t="s">
        <v>854</v>
      </c>
    </row>
    <row r="332" spans="1:10" s="7" customFormat="1" x14ac:dyDescent="0.2">
      <c r="A332" s="5" t="s">
        <v>3314</v>
      </c>
      <c r="B332" s="5" t="s">
        <v>3315</v>
      </c>
      <c r="C332" s="5">
        <v>1065</v>
      </c>
      <c r="D332" s="5">
        <v>1065</v>
      </c>
      <c r="E332" s="6">
        <v>0.98</v>
      </c>
      <c r="F332" s="5">
        <v>0</v>
      </c>
      <c r="G332" s="5">
        <v>64.97</v>
      </c>
      <c r="H332" s="5">
        <v>809</v>
      </c>
      <c r="I332" s="5" t="str">
        <f>HYPERLINK("https://www.ncbi.nlm.nih.gov/protein/MBI3545673.1?report=genbank&amp;log$=prottop&amp;blast_rank=119&amp;RID=7U875CNM013","MBI3545673.1")</f>
        <v>MBI3545673.1</v>
      </c>
      <c r="J332" s="5" t="s">
        <v>3276</v>
      </c>
    </row>
    <row r="333" spans="1:10" s="7" customFormat="1" x14ac:dyDescent="0.2">
      <c r="A333" s="5" t="s">
        <v>3755</v>
      </c>
      <c r="B333" s="5" t="s">
        <v>3754</v>
      </c>
      <c r="C333" s="5">
        <v>1053</v>
      </c>
      <c r="D333" s="5">
        <v>1053</v>
      </c>
      <c r="E333" s="6">
        <v>0.98</v>
      </c>
      <c r="F333" s="5">
        <v>0</v>
      </c>
      <c r="G333" s="5">
        <v>64.97</v>
      </c>
      <c r="H333" s="5">
        <v>811</v>
      </c>
      <c r="I333" s="5" t="str">
        <f>HYPERLINK("https://www.ncbi.nlm.nih.gov/protein/WP_200474733.1?report=genbank&amp;log$=prottop&amp;blast_rank=124&amp;RID=7U875CNM013","WP_200474733.1")</f>
        <v>WP_200474733.1</v>
      </c>
      <c r="J333" s="5" t="s">
        <v>1720</v>
      </c>
    </row>
    <row r="334" spans="1:10" s="7" customFormat="1" x14ac:dyDescent="0.2">
      <c r="A334" s="5" t="s">
        <v>3811</v>
      </c>
      <c r="B334" s="5" t="s">
        <v>3360</v>
      </c>
      <c r="C334" s="5">
        <v>1086</v>
      </c>
      <c r="D334" s="5">
        <v>1086</v>
      </c>
      <c r="E334" s="6">
        <v>0.98</v>
      </c>
      <c r="F334" s="5">
        <v>0</v>
      </c>
      <c r="G334" s="5">
        <v>64.930000000000007</v>
      </c>
      <c r="H334" s="5">
        <v>794</v>
      </c>
      <c r="I334" s="5" t="str">
        <f>HYPERLINK("https://www.ncbi.nlm.nih.gov/protein/HBA41161.1?report=genbank&amp;log$=prottop&amp;blast_rank=143&amp;RID=7U875CNM013","HBA41161.1")</f>
        <v>HBA41161.1</v>
      </c>
      <c r="J334" s="5" t="s">
        <v>3286</v>
      </c>
    </row>
    <row r="335" spans="1:10" s="7" customFormat="1" x14ac:dyDescent="0.2">
      <c r="A335" s="5" t="s">
        <v>3812</v>
      </c>
      <c r="B335" s="5" t="s">
        <v>3813</v>
      </c>
      <c r="C335" s="5">
        <v>1079</v>
      </c>
      <c r="D335" s="5">
        <v>1079</v>
      </c>
      <c r="E335" s="6">
        <v>0.98</v>
      </c>
      <c r="F335" s="5">
        <v>0</v>
      </c>
      <c r="G335" s="5">
        <v>64.930000000000007</v>
      </c>
      <c r="H335" s="5">
        <v>789</v>
      </c>
      <c r="I335" s="5" t="str">
        <f>HYPERLINK("https://www.ncbi.nlm.nih.gov/protein/WP_173052065.1?report=genbank&amp;log$=prottop&amp;blast_rank=144&amp;RID=7U875CNM013","WP_173052065.1")</f>
        <v>WP_173052065.1</v>
      </c>
      <c r="J335" s="5" t="s">
        <v>2134</v>
      </c>
    </row>
    <row r="336" spans="1:10" s="7" customFormat="1" x14ac:dyDescent="0.2">
      <c r="A336" s="5" t="s">
        <v>3590</v>
      </c>
      <c r="B336" s="5" t="s">
        <v>3360</v>
      </c>
      <c r="C336" s="5">
        <v>1079</v>
      </c>
      <c r="D336" s="5">
        <v>1079</v>
      </c>
      <c r="E336" s="6">
        <v>0.98</v>
      </c>
      <c r="F336" s="5">
        <v>0</v>
      </c>
      <c r="G336" s="5">
        <v>64.92</v>
      </c>
      <c r="H336" s="5">
        <v>794</v>
      </c>
      <c r="I336" s="26" t="str">
        <f>HYPERLINK("https://www.ncbi.nlm.nih.gov/protein/MBI3000590.1?report=genbank&amp;log$=prottop&amp;blast_rank=150&amp;RID=7U875CNM013","MBI3000590.1")</f>
        <v>MBI3000590.1</v>
      </c>
      <c r="J336" s="5" t="s">
        <v>3286</v>
      </c>
    </row>
    <row r="337" spans="1:10" s="7" customFormat="1" x14ac:dyDescent="0.2">
      <c r="A337" s="5" t="s">
        <v>3814</v>
      </c>
      <c r="B337" s="5" t="s">
        <v>3746</v>
      </c>
      <c r="C337" s="5">
        <v>1054</v>
      </c>
      <c r="D337" s="5">
        <v>1054</v>
      </c>
      <c r="E337" s="6">
        <v>0.98</v>
      </c>
      <c r="F337" s="5">
        <v>0</v>
      </c>
      <c r="G337" s="5">
        <v>64.92</v>
      </c>
      <c r="H337" s="5">
        <v>812</v>
      </c>
      <c r="I337" s="5" t="str">
        <f>HYPERLINK("https://www.ncbi.nlm.nih.gov/protein/NMC43685.1?report=genbank&amp;log$=prottop&amp;blast_rank=153&amp;RID=7U875CNM013","NMC43685.1")</f>
        <v>NMC43685.1</v>
      </c>
      <c r="J337" s="5" t="s">
        <v>3815</v>
      </c>
    </row>
    <row r="338" spans="1:10" s="7" customFormat="1" x14ac:dyDescent="0.2">
      <c r="A338" s="5" t="s">
        <v>3739</v>
      </c>
      <c r="B338" s="5" t="s">
        <v>3670</v>
      </c>
      <c r="C338" s="5">
        <v>1048</v>
      </c>
      <c r="D338" s="5">
        <v>1048</v>
      </c>
      <c r="E338" s="6">
        <v>0.98</v>
      </c>
      <c r="F338" s="5">
        <v>0</v>
      </c>
      <c r="G338" s="5">
        <v>64.92</v>
      </c>
      <c r="H338" s="5">
        <v>800</v>
      </c>
      <c r="I338" s="5" t="str">
        <f>HYPERLINK("https://www.ncbi.nlm.nih.gov/protein/PWB46197.1?report=genbank&amp;log$=prottop&amp;blast_rank=154&amp;RID=7U875CNM013","PWB46197.1")</f>
        <v>PWB46197.1</v>
      </c>
      <c r="J338" s="5" t="s">
        <v>3277</v>
      </c>
    </row>
    <row r="339" spans="1:10" s="7" customFormat="1" x14ac:dyDescent="0.2">
      <c r="A339" s="5" t="s">
        <v>3816</v>
      </c>
      <c r="B339" s="5" t="s">
        <v>3804</v>
      </c>
      <c r="C339" s="5">
        <v>1080</v>
      </c>
      <c r="D339" s="5">
        <v>1080</v>
      </c>
      <c r="E339" s="6">
        <v>0.99</v>
      </c>
      <c r="F339" s="5">
        <v>0</v>
      </c>
      <c r="G339" s="5">
        <v>64.91</v>
      </c>
      <c r="H339" s="5">
        <v>799</v>
      </c>
      <c r="I339" s="5" t="str">
        <f>HYPERLINK("https://www.ncbi.nlm.nih.gov/protein/WP_176282421.1?report=genbank&amp;log$=prottop&amp;blast_rank=159&amp;RID=7U875CNM013","WP_176282421.1")</f>
        <v>WP_176282421.1</v>
      </c>
      <c r="J339" s="5" t="s">
        <v>3276</v>
      </c>
    </row>
    <row r="340" spans="1:10" s="7" customFormat="1" x14ac:dyDescent="0.2">
      <c r="A340" s="5" t="s">
        <v>3817</v>
      </c>
      <c r="B340" s="5" t="s">
        <v>3818</v>
      </c>
      <c r="C340" s="5">
        <v>1065</v>
      </c>
      <c r="D340" s="5">
        <v>1065</v>
      </c>
      <c r="E340" s="6">
        <v>0.96</v>
      </c>
      <c r="F340" s="5">
        <v>0</v>
      </c>
      <c r="G340" s="5">
        <v>64.89</v>
      </c>
      <c r="H340" s="5">
        <v>766</v>
      </c>
      <c r="I340" s="5" t="str">
        <f>HYPERLINK("https://www.ncbi.nlm.nih.gov/protein/OIP10676.1?report=genbank&amp;log$=prottop&amp;blast_rank=3&amp;RID=7U875CNM013","OIP10676.1")</f>
        <v>OIP10676.1</v>
      </c>
      <c r="J340" s="5" t="s">
        <v>2134</v>
      </c>
    </row>
    <row r="341" spans="1:10" s="7" customFormat="1" x14ac:dyDescent="0.2">
      <c r="A341" s="5" t="s">
        <v>852</v>
      </c>
      <c r="B341" s="5" t="s">
        <v>853</v>
      </c>
      <c r="C341" s="5">
        <v>1093</v>
      </c>
      <c r="D341" s="5">
        <v>1093</v>
      </c>
      <c r="E341" s="6">
        <v>0.98</v>
      </c>
      <c r="F341" s="5">
        <v>0</v>
      </c>
      <c r="G341" s="5">
        <v>64.89</v>
      </c>
      <c r="H341" s="5">
        <v>800</v>
      </c>
      <c r="I341" s="5" t="str">
        <f>HYPERLINK("https://www.ncbi.nlm.nih.gov/protein/PYU80293.1?report=genbank&amp;log$=prottop&amp;blast_rank=19&amp;RID=7U875CNM013","PYU80293.1")</f>
        <v>PYU80293.1</v>
      </c>
      <c r="J341" s="5" t="s">
        <v>854</v>
      </c>
    </row>
    <row r="342" spans="1:10" s="7" customFormat="1" x14ac:dyDescent="0.2">
      <c r="A342" s="5" t="s">
        <v>852</v>
      </c>
      <c r="B342" s="5" t="s">
        <v>853</v>
      </c>
      <c r="C342" s="5">
        <v>1091</v>
      </c>
      <c r="D342" s="5">
        <v>1091</v>
      </c>
      <c r="E342" s="6">
        <v>0.98</v>
      </c>
      <c r="F342" s="5">
        <v>0</v>
      </c>
      <c r="G342" s="5">
        <v>64.89</v>
      </c>
      <c r="H342" s="5">
        <v>800</v>
      </c>
      <c r="I342" s="5" t="str">
        <f>HYPERLINK("https://www.ncbi.nlm.nih.gov/protein/PYR24144.1?report=genbank&amp;log$=prottop&amp;blast_rank=23&amp;RID=7U875CNM013","PYR24144.1")</f>
        <v>PYR24144.1</v>
      </c>
      <c r="J342" s="5" t="s">
        <v>854</v>
      </c>
    </row>
    <row r="343" spans="1:10" s="7" customFormat="1" x14ac:dyDescent="0.2">
      <c r="A343" s="5" t="s">
        <v>852</v>
      </c>
      <c r="B343" s="5" t="s">
        <v>853</v>
      </c>
      <c r="C343" s="5">
        <v>1090</v>
      </c>
      <c r="D343" s="5">
        <v>1090</v>
      </c>
      <c r="E343" s="6">
        <v>0.98</v>
      </c>
      <c r="F343" s="5">
        <v>0</v>
      </c>
      <c r="G343" s="5">
        <v>64.89</v>
      </c>
      <c r="H343" s="5">
        <v>800</v>
      </c>
      <c r="I343" s="5" t="str">
        <f>HYPERLINK("https://www.ncbi.nlm.nih.gov/protein/PYX56129.1?report=genbank&amp;log$=prottop&amp;blast_rank=24&amp;RID=7U875CNM013","PYX56129.1")</f>
        <v>PYX56129.1</v>
      </c>
      <c r="J343" s="5" t="s">
        <v>854</v>
      </c>
    </row>
    <row r="344" spans="1:10" s="7" customFormat="1" x14ac:dyDescent="0.2">
      <c r="A344" s="5" t="s">
        <v>852</v>
      </c>
      <c r="B344" s="5" t="s">
        <v>853</v>
      </c>
      <c r="C344" s="5">
        <v>1089</v>
      </c>
      <c r="D344" s="5">
        <v>1089</v>
      </c>
      <c r="E344" s="6">
        <v>0.98</v>
      </c>
      <c r="F344" s="5">
        <v>0</v>
      </c>
      <c r="G344" s="5">
        <v>64.89</v>
      </c>
      <c r="H344" s="5">
        <v>800</v>
      </c>
      <c r="I344" s="5" t="str">
        <f>HYPERLINK("https://www.ncbi.nlm.nih.gov/protein/PYY07231.1?report=genbank&amp;log$=prottop&amp;blast_rank=25&amp;RID=7U875CNM013","PYY07231.1")</f>
        <v>PYY07231.1</v>
      </c>
      <c r="J344" s="5" t="s">
        <v>854</v>
      </c>
    </row>
    <row r="345" spans="1:10" s="7" customFormat="1" x14ac:dyDescent="0.2">
      <c r="A345" s="5" t="s">
        <v>3819</v>
      </c>
      <c r="B345" s="5" t="s">
        <v>3820</v>
      </c>
      <c r="C345" s="5">
        <v>1073</v>
      </c>
      <c r="D345" s="5">
        <v>1073</v>
      </c>
      <c r="E345" s="6">
        <v>0.98</v>
      </c>
      <c r="F345" s="5">
        <v>0</v>
      </c>
      <c r="G345" s="5">
        <v>64.89</v>
      </c>
      <c r="H345" s="5">
        <v>809</v>
      </c>
      <c r="I345" s="5" t="str">
        <f>HYPERLINK("https://www.ncbi.nlm.nih.gov/protein/MBC8137713.1?report=genbank&amp;log$=prottop&amp;blast_rank=27&amp;RID=7U875CNM013","MBC8137713.1")</f>
        <v>MBC8137713.1</v>
      </c>
      <c r="J345" s="5" t="s">
        <v>3742</v>
      </c>
    </row>
    <row r="346" spans="1:10" s="7" customFormat="1" x14ac:dyDescent="0.2">
      <c r="A346" s="5" t="s">
        <v>3821</v>
      </c>
      <c r="B346" s="5" t="s">
        <v>3822</v>
      </c>
      <c r="C346" s="5">
        <v>1063</v>
      </c>
      <c r="D346" s="5">
        <v>1063</v>
      </c>
      <c r="E346" s="6">
        <v>0.98</v>
      </c>
      <c r="F346" s="5">
        <v>0</v>
      </c>
      <c r="G346" s="5">
        <v>64.89</v>
      </c>
      <c r="H346" s="5">
        <v>811</v>
      </c>
      <c r="I346" s="5" t="str">
        <f>HYPERLINK("https://www.ncbi.nlm.nih.gov/protein/PYJ70823.1?report=genbank&amp;log$=prottop&amp;blast_rank=29&amp;RID=7U875CNM013","PYJ70823.1")</f>
        <v>PYJ70823.1</v>
      </c>
      <c r="J346" s="5" t="s">
        <v>3742</v>
      </c>
    </row>
    <row r="347" spans="1:10" s="7" customFormat="1" x14ac:dyDescent="0.2">
      <c r="A347" s="5" t="s">
        <v>3823</v>
      </c>
      <c r="B347" s="5" t="s">
        <v>3824</v>
      </c>
      <c r="C347" s="5">
        <v>1046</v>
      </c>
      <c r="D347" s="5">
        <v>1046</v>
      </c>
      <c r="E347" s="6">
        <v>0.98</v>
      </c>
      <c r="F347" s="5">
        <v>0</v>
      </c>
      <c r="G347" s="5">
        <v>64.89</v>
      </c>
      <c r="H347" s="5">
        <v>798</v>
      </c>
      <c r="I347" s="5" t="str">
        <f>HYPERLINK("https://www.ncbi.nlm.nih.gov/protein/WP_068803682.1?report=genbank&amp;log$=prottop&amp;blast_rank=30&amp;RID=7U875CNM013","WP_068803682.1")</f>
        <v>WP_068803682.1</v>
      </c>
      <c r="J347" s="5" t="s">
        <v>3632</v>
      </c>
    </row>
    <row r="348" spans="1:10" s="7" customFormat="1" x14ac:dyDescent="0.2">
      <c r="A348" s="5" t="s">
        <v>3740</v>
      </c>
      <c r="B348" s="5" t="s">
        <v>3741</v>
      </c>
      <c r="C348" s="5">
        <v>1085</v>
      </c>
      <c r="D348" s="5">
        <v>1085</v>
      </c>
      <c r="E348" s="6">
        <v>0.98</v>
      </c>
      <c r="F348" s="5">
        <v>0</v>
      </c>
      <c r="G348" s="5">
        <v>64.88</v>
      </c>
      <c r="H348" s="5">
        <v>796</v>
      </c>
      <c r="I348" s="5" t="str">
        <f>HYPERLINK("https://www.ncbi.nlm.nih.gov/protein/HGY83078.1?report=genbank&amp;log$=prottop&amp;blast_rank=31&amp;RID=7U875CNM013","HGY83078.1")</f>
        <v>HGY83078.1</v>
      </c>
      <c r="J348" s="5" t="s">
        <v>3742</v>
      </c>
    </row>
    <row r="349" spans="1:10" s="7" customFormat="1" x14ac:dyDescent="0.2">
      <c r="A349" s="5" t="s">
        <v>3825</v>
      </c>
      <c r="B349" s="5" t="s">
        <v>3826</v>
      </c>
      <c r="C349" s="5">
        <v>1104</v>
      </c>
      <c r="D349" s="5">
        <v>1104</v>
      </c>
      <c r="E349" s="6">
        <v>0.99</v>
      </c>
      <c r="F349" s="5">
        <v>0</v>
      </c>
      <c r="G349" s="5">
        <v>64.88</v>
      </c>
      <c r="H349" s="5">
        <v>802</v>
      </c>
      <c r="I349" s="5" t="str">
        <f>HYPERLINK("https://www.ncbi.nlm.nih.gov/protein/WP_113864101.1?report=genbank&amp;log$=prottop&amp;blast_rank=33&amp;RID=7U875CNM013","WP_113864101.1")</f>
        <v>WP_113864101.1</v>
      </c>
      <c r="J349" s="5" t="s">
        <v>3632</v>
      </c>
    </row>
    <row r="350" spans="1:10" s="7" customFormat="1" x14ac:dyDescent="0.2">
      <c r="A350" s="5" t="s">
        <v>3590</v>
      </c>
      <c r="B350" s="5" t="s">
        <v>3360</v>
      </c>
      <c r="C350" s="5">
        <v>1043</v>
      </c>
      <c r="D350" s="5">
        <v>1043</v>
      </c>
      <c r="E350" s="6">
        <v>0.98</v>
      </c>
      <c r="F350" s="5">
        <v>0</v>
      </c>
      <c r="G350" s="5">
        <v>64.849999999999994</v>
      </c>
      <c r="H350" s="5">
        <v>805</v>
      </c>
      <c r="I350" s="5" t="str">
        <f>HYPERLINK("https://www.ncbi.nlm.nih.gov/protein/TMA74026.1?report=genbank&amp;log$=prottop&amp;blast_rank=37&amp;RID=7U875CNM013","TMA74026.1")</f>
        <v>TMA74026.1</v>
      </c>
      <c r="J350" s="5" t="s">
        <v>3286</v>
      </c>
    </row>
    <row r="351" spans="1:10" s="7" customFormat="1" x14ac:dyDescent="0.2">
      <c r="A351" s="5" t="s">
        <v>852</v>
      </c>
      <c r="B351" s="5" t="s">
        <v>853</v>
      </c>
      <c r="C351" s="5">
        <v>1092</v>
      </c>
      <c r="D351" s="5">
        <v>1092</v>
      </c>
      <c r="E351" s="6">
        <v>0.98</v>
      </c>
      <c r="F351" s="5">
        <v>0</v>
      </c>
      <c r="G351" s="5">
        <v>64.84</v>
      </c>
      <c r="H351" s="5">
        <v>800</v>
      </c>
      <c r="I351" s="5" t="str">
        <f>HYPERLINK("https://www.ncbi.nlm.nih.gov/protein/PYU83961.1?report=genbank&amp;log$=prottop&amp;blast_rank=39&amp;RID=7U875CNM013","PYU83961.1")</f>
        <v>PYU83961.1</v>
      </c>
      <c r="J351" s="5" t="s">
        <v>854</v>
      </c>
    </row>
    <row r="352" spans="1:10" s="7" customFormat="1" x14ac:dyDescent="0.2">
      <c r="A352" s="5" t="s">
        <v>3827</v>
      </c>
      <c r="B352" s="5" t="s">
        <v>3828</v>
      </c>
      <c r="C352" s="5">
        <v>1092</v>
      </c>
      <c r="D352" s="5">
        <v>1092</v>
      </c>
      <c r="E352" s="6">
        <v>0.98</v>
      </c>
      <c r="F352" s="5">
        <v>0</v>
      </c>
      <c r="G352" s="5">
        <v>64.84</v>
      </c>
      <c r="H352" s="5">
        <v>800</v>
      </c>
      <c r="I352" s="5" t="str">
        <f>HYPERLINK("https://www.ncbi.nlm.nih.gov/protein/OLD80047.1?report=genbank&amp;log$=prottop&amp;blast_rank=40&amp;RID=7U875CNM013","OLD80047.1")</f>
        <v>OLD80047.1</v>
      </c>
      <c r="J352" s="5" t="s">
        <v>854</v>
      </c>
    </row>
    <row r="353" spans="1:10" s="7" customFormat="1" x14ac:dyDescent="0.2">
      <c r="A353" s="5" t="s">
        <v>3829</v>
      </c>
      <c r="B353" s="5" t="s">
        <v>3830</v>
      </c>
      <c r="C353" s="5">
        <v>1053</v>
      </c>
      <c r="D353" s="5">
        <v>1053</v>
      </c>
      <c r="E353" s="6">
        <v>0.98</v>
      </c>
      <c r="F353" s="5">
        <v>0</v>
      </c>
      <c r="G353" s="5">
        <v>64.84</v>
      </c>
      <c r="H353" s="5">
        <v>810</v>
      </c>
      <c r="I353" s="5" t="str">
        <f>HYPERLINK("https://www.ncbi.nlm.nih.gov/protein/WP_014241444.1?report=genbank&amp;log$=prottop&amp;blast_rank=47&amp;RID=7U875CNM013","WP_014241444.1")</f>
        <v>WP_014241444.1</v>
      </c>
      <c r="J353" s="5" t="s">
        <v>1720</v>
      </c>
    </row>
    <row r="354" spans="1:10" s="7" customFormat="1" x14ac:dyDescent="0.2">
      <c r="A354" s="5" t="s">
        <v>3831</v>
      </c>
      <c r="B354" s="5" t="s">
        <v>3832</v>
      </c>
      <c r="C354" s="5">
        <v>1052</v>
      </c>
      <c r="D354" s="5">
        <v>1052</v>
      </c>
      <c r="E354" s="6">
        <v>0.98</v>
      </c>
      <c r="F354" s="5">
        <v>0</v>
      </c>
      <c r="G354" s="5">
        <v>64.84</v>
      </c>
      <c r="H354" s="5">
        <v>816</v>
      </c>
      <c r="I354" s="5" t="str">
        <f>HYPERLINK("https://www.ncbi.nlm.nih.gov/protein/WP_206530104.1?report=genbank&amp;log$=prottop&amp;blast_rank=48&amp;RID=7U875CNM013","WP_206530104.1")</f>
        <v>WP_206530104.1</v>
      </c>
      <c r="J354" s="5" t="s">
        <v>1720</v>
      </c>
    </row>
    <row r="355" spans="1:10" s="7" customFormat="1" x14ac:dyDescent="0.2">
      <c r="A355" s="5" t="s">
        <v>3833</v>
      </c>
      <c r="B355" s="5" t="s">
        <v>3834</v>
      </c>
      <c r="C355" s="5">
        <v>1051</v>
      </c>
      <c r="D355" s="5">
        <v>1051</v>
      </c>
      <c r="E355" s="6">
        <v>0.98</v>
      </c>
      <c r="F355" s="5">
        <v>0</v>
      </c>
      <c r="G355" s="5">
        <v>64.84</v>
      </c>
      <c r="H355" s="5">
        <v>801</v>
      </c>
      <c r="I355" s="5" t="str">
        <f>HYPERLINK("https://www.ncbi.nlm.nih.gov/protein/WP_028164193.1?report=genbank&amp;log$=prottop&amp;blast_rank=49&amp;RID=7U875CNM013","WP_028164193.1")</f>
        <v>WP_028164193.1</v>
      </c>
      <c r="J355" s="5" t="s">
        <v>1720</v>
      </c>
    </row>
    <row r="356" spans="1:10" s="7" customFormat="1" x14ac:dyDescent="0.2">
      <c r="A356" s="5" t="s">
        <v>3835</v>
      </c>
      <c r="B356" s="5" t="s">
        <v>3832</v>
      </c>
      <c r="C356" s="5">
        <v>1051</v>
      </c>
      <c r="D356" s="5">
        <v>1051</v>
      </c>
      <c r="E356" s="6">
        <v>0.98</v>
      </c>
      <c r="F356" s="5">
        <v>0</v>
      </c>
      <c r="G356" s="5">
        <v>64.84</v>
      </c>
      <c r="H356" s="5">
        <v>801</v>
      </c>
      <c r="I356" s="5" t="str">
        <f>HYPERLINK("https://www.ncbi.nlm.nih.gov/protein/QIG51076.1?report=genbank&amp;log$=prottop&amp;blast_rank=50&amp;RID=7U875CNM013","QIG51076.1")</f>
        <v>QIG51076.1</v>
      </c>
      <c r="J356" s="5" t="s">
        <v>1720</v>
      </c>
    </row>
    <row r="357" spans="1:10" s="7" customFormat="1" x14ac:dyDescent="0.2">
      <c r="A357" s="5" t="s">
        <v>3836</v>
      </c>
      <c r="B357" s="5" t="s">
        <v>3837</v>
      </c>
      <c r="C357" s="5">
        <v>1050</v>
      </c>
      <c r="D357" s="5">
        <v>1050</v>
      </c>
      <c r="E357" s="6">
        <v>0.98</v>
      </c>
      <c r="F357" s="5">
        <v>0</v>
      </c>
      <c r="G357" s="5">
        <v>64.84</v>
      </c>
      <c r="H357" s="5">
        <v>801</v>
      </c>
      <c r="I357" s="5" t="str">
        <f>HYPERLINK("https://www.ncbi.nlm.nih.gov/protein/WP_208827154.1?report=genbank&amp;log$=prottop&amp;blast_rank=51&amp;RID=7U875CNM013","WP_208827154.1")</f>
        <v>WP_208827154.1</v>
      </c>
      <c r="J357" s="5" t="s">
        <v>1720</v>
      </c>
    </row>
    <row r="358" spans="1:10" s="7" customFormat="1" x14ac:dyDescent="0.2">
      <c r="A358" s="5" t="s">
        <v>852</v>
      </c>
      <c r="B358" s="5" t="s">
        <v>853</v>
      </c>
      <c r="C358" s="5">
        <v>1082</v>
      </c>
      <c r="D358" s="5">
        <v>1082</v>
      </c>
      <c r="E358" s="6">
        <v>0.98</v>
      </c>
      <c r="F358" s="5">
        <v>0</v>
      </c>
      <c r="G358" s="5">
        <v>64.83</v>
      </c>
      <c r="H358" s="5">
        <v>786</v>
      </c>
      <c r="I358" s="5" t="str">
        <f>HYPERLINK("https://www.ncbi.nlm.nih.gov/protein/PYV04610.1?report=genbank&amp;log$=prottop&amp;blast_rank=52&amp;RID=7U875CNM013","PYV04610.1")</f>
        <v>PYV04610.1</v>
      </c>
      <c r="J358" s="5" t="s">
        <v>854</v>
      </c>
    </row>
    <row r="359" spans="1:10" s="7" customFormat="1" x14ac:dyDescent="0.2">
      <c r="A359" s="5" t="s">
        <v>3838</v>
      </c>
      <c r="B359" s="5" t="s">
        <v>3839</v>
      </c>
      <c r="C359" s="5">
        <v>1090</v>
      </c>
      <c r="D359" s="5">
        <v>1090</v>
      </c>
      <c r="E359" s="6">
        <v>0.99</v>
      </c>
      <c r="F359" s="5">
        <v>0</v>
      </c>
      <c r="G359" s="5">
        <v>64.819999999999993</v>
      </c>
      <c r="H359" s="5">
        <v>802</v>
      </c>
      <c r="I359" s="5" t="str">
        <f>HYPERLINK("https://www.ncbi.nlm.nih.gov/protein/OGI53368.1?report=genbank&amp;log$=prottop&amp;blast_rank=58&amp;RID=7U875CNM013","OGI53368.1")</f>
        <v>OGI53368.1</v>
      </c>
      <c r="J359" s="5" t="s">
        <v>2769</v>
      </c>
    </row>
    <row r="360" spans="1:10" s="7" customFormat="1" x14ac:dyDescent="0.2">
      <c r="A360" s="5" t="s">
        <v>3665</v>
      </c>
      <c r="B360" s="5" t="s">
        <v>3322</v>
      </c>
      <c r="C360" s="5">
        <v>1050</v>
      </c>
      <c r="D360" s="5">
        <v>1050</v>
      </c>
      <c r="E360" s="6">
        <v>0.97</v>
      </c>
      <c r="F360" s="5">
        <v>0</v>
      </c>
      <c r="G360" s="5">
        <v>64.819999999999993</v>
      </c>
      <c r="H360" s="5">
        <v>781</v>
      </c>
      <c r="I360" s="5" t="str">
        <f>HYPERLINK("https://www.ncbi.nlm.nih.gov/protein/MBI1735346.1?report=genbank&amp;log$=prottop&amp;blast_rank=60&amp;RID=7U875CNM013","MBI1735346.1")</f>
        <v>MBI1735346.1</v>
      </c>
      <c r="J360" s="5" t="s">
        <v>3277</v>
      </c>
    </row>
    <row r="361" spans="1:10" s="7" customFormat="1" x14ac:dyDescent="0.2">
      <c r="A361" s="5" t="s">
        <v>3665</v>
      </c>
      <c r="B361" s="5" t="s">
        <v>3322</v>
      </c>
      <c r="C361" s="5">
        <v>1036</v>
      </c>
      <c r="D361" s="5">
        <v>1036</v>
      </c>
      <c r="E361" s="6">
        <v>0.97</v>
      </c>
      <c r="F361" s="5">
        <v>0</v>
      </c>
      <c r="G361" s="5">
        <v>64.819999999999993</v>
      </c>
      <c r="H361" s="5">
        <v>799</v>
      </c>
      <c r="I361" s="5" t="str">
        <f>HYPERLINK("https://www.ncbi.nlm.nih.gov/protein/MBI4011943.1?report=genbank&amp;log$=prottop&amp;blast_rank=62&amp;RID=7U875CNM013","MBI4011943.1")</f>
        <v>MBI4011943.1</v>
      </c>
      <c r="J361" s="5" t="s">
        <v>3277</v>
      </c>
    </row>
    <row r="362" spans="1:10" s="7" customFormat="1" x14ac:dyDescent="0.2">
      <c r="A362" s="5" t="s">
        <v>3840</v>
      </c>
      <c r="B362" s="5" t="s">
        <v>3822</v>
      </c>
      <c r="C362" s="5">
        <v>1061</v>
      </c>
      <c r="D362" s="5">
        <v>1061</v>
      </c>
      <c r="E362" s="6">
        <v>0.98</v>
      </c>
      <c r="F362" s="5">
        <v>0</v>
      </c>
      <c r="G362" s="5">
        <v>64.8</v>
      </c>
      <c r="H362" s="5">
        <v>794</v>
      </c>
      <c r="I362" s="5" t="str">
        <f>HYPERLINK("https://www.ncbi.nlm.nih.gov/protein/MBI3867834.1?report=genbank&amp;log$=prottop&amp;blast_rank=70&amp;RID=7U875CNM013","MBI3867834.1")</f>
        <v>MBI3867834.1</v>
      </c>
      <c r="J362" s="5" t="s">
        <v>3742</v>
      </c>
    </row>
    <row r="363" spans="1:10" s="7" customFormat="1" x14ac:dyDescent="0.2">
      <c r="A363" s="5" t="s">
        <v>3841</v>
      </c>
      <c r="B363" s="5" t="s">
        <v>3842</v>
      </c>
      <c r="C363" s="5">
        <v>1103</v>
      </c>
      <c r="D363" s="5">
        <v>1103</v>
      </c>
      <c r="E363" s="6">
        <v>0.98</v>
      </c>
      <c r="F363" s="5">
        <v>0</v>
      </c>
      <c r="G363" s="5">
        <v>64.8</v>
      </c>
      <c r="H363" s="5">
        <v>790</v>
      </c>
      <c r="I363" s="5" t="str">
        <f>HYPERLINK("https://www.ncbi.nlm.nih.gov/protein/NWG02790.1?report=genbank&amp;log$=prottop&amp;blast_rank=73&amp;RID=7U875CNM013","NWG02790.1")</f>
        <v>NWG02790.1</v>
      </c>
      <c r="J363" s="5" t="s">
        <v>3286</v>
      </c>
    </row>
    <row r="364" spans="1:10" s="7" customFormat="1" x14ac:dyDescent="0.2">
      <c r="A364" s="5" t="s">
        <v>3843</v>
      </c>
      <c r="B364" s="5" t="s">
        <v>3536</v>
      </c>
      <c r="C364" s="5">
        <v>1055</v>
      </c>
      <c r="D364" s="5">
        <v>1055</v>
      </c>
      <c r="E364" s="6">
        <v>0.97</v>
      </c>
      <c r="F364" s="5">
        <v>0</v>
      </c>
      <c r="G364" s="5">
        <v>64.790000000000006</v>
      </c>
      <c r="H364" s="5">
        <v>802</v>
      </c>
      <c r="I364" s="5" t="str">
        <f>HYPERLINK("https://www.ncbi.nlm.nih.gov/protein/CAG0986464.1?report=genbank&amp;log$=prottop&amp;blast_rank=85&amp;RID=7U875CNM013","CAG0986464.1")</f>
        <v>CAG0986464.1</v>
      </c>
      <c r="J364" s="5" t="s">
        <v>2134</v>
      </c>
    </row>
    <row r="365" spans="1:10" s="7" customFormat="1" x14ac:dyDescent="0.2">
      <c r="A365" s="5" t="s">
        <v>3844</v>
      </c>
      <c r="B365" s="5" t="s">
        <v>3845</v>
      </c>
      <c r="C365" s="5">
        <v>1050</v>
      </c>
      <c r="D365" s="5">
        <v>1050</v>
      </c>
      <c r="E365" s="6">
        <v>1</v>
      </c>
      <c r="F365" s="5">
        <v>0</v>
      </c>
      <c r="G365" s="5">
        <v>64.790000000000006</v>
      </c>
      <c r="H365" s="5">
        <v>800</v>
      </c>
      <c r="I365" s="5" t="str">
        <f>HYPERLINK("https://www.ncbi.nlm.nih.gov/protein/WP_124874012.1?report=genbank&amp;log$=prottop&amp;blast_rank=88&amp;RID=7U875CNM013","WP_124874012.1")</f>
        <v>WP_124874012.1</v>
      </c>
      <c r="J365" s="5" t="s">
        <v>3846</v>
      </c>
    </row>
    <row r="366" spans="1:10" s="7" customFormat="1" x14ac:dyDescent="0.2">
      <c r="A366" s="5" t="s">
        <v>3847</v>
      </c>
      <c r="B366" s="5" t="s">
        <v>3848</v>
      </c>
      <c r="C366" s="5">
        <v>1092</v>
      </c>
      <c r="D366" s="5">
        <v>1092</v>
      </c>
      <c r="E366" s="6">
        <v>0.98</v>
      </c>
      <c r="F366" s="5">
        <v>0</v>
      </c>
      <c r="G366" s="5">
        <v>64.760000000000005</v>
      </c>
      <c r="H366" s="5">
        <v>788</v>
      </c>
      <c r="I366" s="5" t="str">
        <f>HYPERLINK("https://www.ncbi.nlm.nih.gov/protein/MBI3993784.1?report=genbank&amp;log$=prottop&amp;blast_rank=105&amp;RID=7U875CNM013","MBI3993784.1")</f>
        <v>MBI3993784.1</v>
      </c>
      <c r="J366" s="5" t="s">
        <v>3849</v>
      </c>
    </row>
    <row r="367" spans="1:10" s="7" customFormat="1" x14ac:dyDescent="0.2">
      <c r="A367" s="5" t="s">
        <v>3314</v>
      </c>
      <c r="B367" s="5" t="s">
        <v>3315</v>
      </c>
      <c r="C367" s="5">
        <v>1058</v>
      </c>
      <c r="D367" s="5">
        <v>1058</v>
      </c>
      <c r="E367" s="6">
        <v>0.98</v>
      </c>
      <c r="F367" s="5">
        <v>0</v>
      </c>
      <c r="G367" s="5">
        <v>64.760000000000005</v>
      </c>
      <c r="H367" s="5">
        <v>796</v>
      </c>
      <c r="I367" s="5" t="str">
        <f>HYPERLINK("https://www.ncbi.nlm.nih.gov/protein/MBK8131628.1?report=genbank&amp;log$=prottop&amp;blast_rank=113&amp;RID=7U875CNM013","MBK8131628.1")</f>
        <v>MBK8131628.1</v>
      </c>
      <c r="J367" s="5" t="s">
        <v>3632</v>
      </c>
    </row>
    <row r="368" spans="1:10" s="7" customFormat="1" x14ac:dyDescent="0.2">
      <c r="A368" s="5" t="s">
        <v>3850</v>
      </c>
      <c r="B368" s="5" t="s">
        <v>3851</v>
      </c>
      <c r="C368" s="5">
        <v>1059</v>
      </c>
      <c r="D368" s="5">
        <v>1059</v>
      </c>
      <c r="E368" s="6">
        <v>0.98</v>
      </c>
      <c r="F368" s="5">
        <v>0</v>
      </c>
      <c r="G368" s="5">
        <v>64.75</v>
      </c>
      <c r="H368" s="5">
        <v>797</v>
      </c>
      <c r="I368" s="5" t="str">
        <f>HYPERLINK("https://www.ncbi.nlm.nih.gov/protein/WP_015773549.1?report=genbank&amp;log$=prottop&amp;blast_rank=114&amp;RID=7U875CNM013","WP_015773549.1")</f>
        <v>WP_015773549.1</v>
      </c>
      <c r="J368" s="5" t="s">
        <v>3286</v>
      </c>
    </row>
    <row r="369" spans="1:10" s="7" customFormat="1" x14ac:dyDescent="0.2">
      <c r="A369" s="5" t="s">
        <v>3852</v>
      </c>
      <c r="B369" s="5" t="s">
        <v>3853</v>
      </c>
      <c r="C369" s="5">
        <v>1102</v>
      </c>
      <c r="D369" s="5">
        <v>1102</v>
      </c>
      <c r="E369" s="6">
        <v>0.99</v>
      </c>
      <c r="F369" s="5">
        <v>0</v>
      </c>
      <c r="G369" s="5">
        <v>64.75</v>
      </c>
      <c r="H369" s="5">
        <v>802</v>
      </c>
      <c r="I369" s="5" t="str">
        <f>HYPERLINK("https://www.ncbi.nlm.nih.gov/protein/WP_075195215.1?report=genbank&amp;log$=prottop&amp;blast_rank=117&amp;RID=7U875CNM013","WP_075195215.1")</f>
        <v>WP_075195215.1</v>
      </c>
      <c r="J369" s="5" t="s">
        <v>3632</v>
      </c>
    </row>
    <row r="370" spans="1:10" s="7" customFormat="1" x14ac:dyDescent="0.2">
      <c r="A370" s="5" t="s">
        <v>3854</v>
      </c>
      <c r="B370" s="5" t="s">
        <v>3798</v>
      </c>
      <c r="C370" s="5">
        <v>1100</v>
      </c>
      <c r="D370" s="5">
        <v>1100</v>
      </c>
      <c r="E370" s="6">
        <v>0.99</v>
      </c>
      <c r="F370" s="5">
        <v>0</v>
      </c>
      <c r="G370" s="5">
        <v>64.75</v>
      </c>
      <c r="H370" s="5">
        <v>802</v>
      </c>
      <c r="I370" s="5" t="str">
        <f>HYPERLINK("https://www.ncbi.nlm.nih.gov/protein/WP_150994194.1?report=genbank&amp;log$=prottop&amp;blast_rank=118&amp;RID=7U875CNM013","WP_150994194.1")</f>
        <v>WP_150994194.1</v>
      </c>
      <c r="J370" s="5" t="s">
        <v>3632</v>
      </c>
    </row>
    <row r="371" spans="1:10" s="7" customFormat="1" x14ac:dyDescent="0.2">
      <c r="A371" s="5" t="s">
        <v>3314</v>
      </c>
      <c r="B371" s="5" t="s">
        <v>3315</v>
      </c>
      <c r="C371" s="5">
        <v>1079</v>
      </c>
      <c r="D371" s="5">
        <v>1079</v>
      </c>
      <c r="E371" s="6">
        <v>0.99</v>
      </c>
      <c r="F371" s="5">
        <v>0</v>
      </c>
      <c r="G371" s="5">
        <v>64.739999999999995</v>
      </c>
      <c r="H371" s="5">
        <v>794</v>
      </c>
      <c r="I371" s="5" t="str">
        <f>HYPERLINK("https://www.ncbi.nlm.nih.gov/protein/MBK9130950.1?report=genbank&amp;log$=prottop&amp;blast_rank=122&amp;RID=7U875CNM013","MBK9130950.1")</f>
        <v>MBK9130950.1</v>
      </c>
      <c r="J371" s="5" t="s">
        <v>3632</v>
      </c>
    </row>
    <row r="372" spans="1:10" s="7" customFormat="1" x14ac:dyDescent="0.2">
      <c r="A372" s="5" t="s">
        <v>852</v>
      </c>
      <c r="B372" s="5" t="s">
        <v>853</v>
      </c>
      <c r="C372" s="5">
        <v>1094</v>
      </c>
      <c r="D372" s="5">
        <v>1094</v>
      </c>
      <c r="E372" s="6">
        <v>0.98</v>
      </c>
      <c r="F372" s="5">
        <v>0</v>
      </c>
      <c r="G372" s="5">
        <v>64.709999999999994</v>
      </c>
      <c r="H372" s="5">
        <v>800</v>
      </c>
      <c r="I372" s="5" t="str">
        <f>HYPERLINK("https://www.ncbi.nlm.nih.gov/protein/PYT94890.1?report=genbank&amp;log$=prottop&amp;blast_rank=132&amp;RID=7U875CNM013","PYT94890.1")</f>
        <v>PYT94890.1</v>
      </c>
      <c r="J372" s="5" t="s">
        <v>854</v>
      </c>
    </row>
    <row r="373" spans="1:10" s="7" customFormat="1" x14ac:dyDescent="0.2">
      <c r="A373" s="5" t="s">
        <v>3753</v>
      </c>
      <c r="B373" s="5" t="s">
        <v>3754</v>
      </c>
      <c r="C373" s="5">
        <v>1055</v>
      </c>
      <c r="D373" s="5">
        <v>1055</v>
      </c>
      <c r="E373" s="6">
        <v>0.98</v>
      </c>
      <c r="F373" s="5">
        <v>0</v>
      </c>
      <c r="G373" s="5">
        <v>64.709999999999994</v>
      </c>
      <c r="H373" s="5">
        <v>806</v>
      </c>
      <c r="I373" s="5" t="str">
        <f>HYPERLINK("https://www.ncbi.nlm.nih.gov/protein/WP_094305014.1?report=genbank&amp;log$=prottop&amp;blast_rank=141&amp;RID=7U875CNM013","WP_094305014.1")</f>
        <v>WP_094305014.1</v>
      </c>
      <c r="J373" s="5" t="s">
        <v>1720</v>
      </c>
    </row>
    <row r="374" spans="1:10" s="7" customFormat="1" x14ac:dyDescent="0.2">
      <c r="A374" s="5" t="s">
        <v>3855</v>
      </c>
      <c r="B374" s="5" t="s">
        <v>3856</v>
      </c>
      <c r="C374" s="5">
        <v>1050</v>
      </c>
      <c r="D374" s="5">
        <v>1050</v>
      </c>
      <c r="E374" s="6">
        <v>0.98</v>
      </c>
      <c r="F374" s="5">
        <v>0</v>
      </c>
      <c r="G374" s="5">
        <v>64.709999999999994</v>
      </c>
      <c r="H374" s="5">
        <v>801</v>
      </c>
      <c r="I374" s="5" t="str">
        <f>HYPERLINK("https://www.ncbi.nlm.nih.gov/protein/WP_130227881.1?report=genbank&amp;log$=prottop&amp;blast_rank=142&amp;RID=7U875CNM013","WP_130227881.1")</f>
        <v>WP_130227881.1</v>
      </c>
      <c r="J374" s="5" t="s">
        <v>1720</v>
      </c>
    </row>
    <row r="375" spans="1:10" s="7" customFormat="1" x14ac:dyDescent="0.2">
      <c r="A375" s="5" t="s">
        <v>3857</v>
      </c>
      <c r="B375" s="5" t="s">
        <v>3858</v>
      </c>
      <c r="C375" s="5">
        <v>1050</v>
      </c>
      <c r="D375" s="5">
        <v>1050</v>
      </c>
      <c r="E375" s="6">
        <v>0.98</v>
      </c>
      <c r="F375" s="5">
        <v>0</v>
      </c>
      <c r="G375" s="5">
        <v>64.709999999999994</v>
      </c>
      <c r="H375" s="5">
        <v>810</v>
      </c>
      <c r="I375" s="5" t="str">
        <f>HYPERLINK("https://www.ncbi.nlm.nih.gov/protein/WP_145704164.1?report=genbank&amp;log$=prottop&amp;blast_rank=143&amp;RID=7U875CNM013","WP_145704164.1")</f>
        <v>WP_145704164.1</v>
      </c>
      <c r="J375" s="5" t="s">
        <v>1720</v>
      </c>
    </row>
    <row r="376" spans="1:10" s="7" customFormat="1" x14ac:dyDescent="0.2">
      <c r="A376" s="5" t="s">
        <v>3859</v>
      </c>
      <c r="B376" s="5" t="s">
        <v>3858</v>
      </c>
      <c r="C376" s="5">
        <v>1049</v>
      </c>
      <c r="D376" s="5">
        <v>1049</v>
      </c>
      <c r="E376" s="6">
        <v>0.98</v>
      </c>
      <c r="F376" s="5">
        <v>0</v>
      </c>
      <c r="G376" s="5">
        <v>64.709999999999994</v>
      </c>
      <c r="H376" s="5">
        <v>811</v>
      </c>
      <c r="I376" s="5" t="str">
        <f>HYPERLINK("https://www.ncbi.nlm.nih.gov/protein/WP_174449746.1?report=genbank&amp;log$=prottop&amp;blast_rank=144&amp;RID=7U875CNM013","WP_174449746.1")</f>
        <v>WP_174449746.1</v>
      </c>
      <c r="J376" s="5" t="s">
        <v>1720</v>
      </c>
    </row>
    <row r="377" spans="1:10" s="7" customFormat="1" x14ac:dyDescent="0.2">
      <c r="A377" s="5" t="s">
        <v>3860</v>
      </c>
      <c r="B377" s="5" t="s">
        <v>3861</v>
      </c>
      <c r="C377" s="5">
        <v>1045</v>
      </c>
      <c r="D377" s="5">
        <v>1045</v>
      </c>
      <c r="E377" s="6">
        <v>0.98</v>
      </c>
      <c r="F377" s="5">
        <v>0</v>
      </c>
      <c r="G377" s="5">
        <v>64.709999999999994</v>
      </c>
      <c r="H377" s="5">
        <v>799</v>
      </c>
      <c r="I377" s="5" t="str">
        <f>HYPERLINK("https://www.ncbi.nlm.nih.gov/protein/TAJ90266.1?report=genbank&amp;log$=prottop&amp;blast_rank=145&amp;RID=7U875CNM013","TAJ90266.1")</f>
        <v>TAJ90266.1</v>
      </c>
      <c r="J377" s="5" t="s">
        <v>1720</v>
      </c>
    </row>
    <row r="378" spans="1:10" s="7" customFormat="1" x14ac:dyDescent="0.2">
      <c r="A378" s="5" t="s">
        <v>852</v>
      </c>
      <c r="B378" s="5" t="s">
        <v>853</v>
      </c>
      <c r="C378" s="5">
        <v>1080</v>
      </c>
      <c r="D378" s="5">
        <v>1080</v>
      </c>
      <c r="E378" s="6">
        <v>0.98</v>
      </c>
      <c r="F378" s="5">
        <v>0</v>
      </c>
      <c r="G378" s="5">
        <v>64.709999999999994</v>
      </c>
      <c r="H378" s="5">
        <v>786</v>
      </c>
      <c r="I378" s="5" t="str">
        <f>HYPERLINK("https://www.ncbi.nlm.nih.gov/protein/PYU92234.1?report=genbank&amp;log$=prottop&amp;blast_rank=146&amp;RID=7U875CNM013","PYU92234.1")</f>
        <v>PYU92234.1</v>
      </c>
      <c r="J378" s="5" t="s">
        <v>854</v>
      </c>
    </row>
    <row r="379" spans="1:10" s="7" customFormat="1" x14ac:dyDescent="0.2">
      <c r="A379" s="5" t="s">
        <v>852</v>
      </c>
      <c r="B379" s="5" t="s">
        <v>853</v>
      </c>
      <c r="C379" s="5">
        <v>1079</v>
      </c>
      <c r="D379" s="5">
        <v>1079</v>
      </c>
      <c r="E379" s="6">
        <v>0.98</v>
      </c>
      <c r="F379" s="5">
        <v>0</v>
      </c>
      <c r="G379" s="5">
        <v>64.709999999999994</v>
      </c>
      <c r="H379" s="5">
        <v>786</v>
      </c>
      <c r="I379" s="5" t="str">
        <f>HYPERLINK("https://www.ncbi.nlm.nih.gov/protein/PYV36141.1?report=genbank&amp;log$=prottop&amp;blast_rank=147&amp;RID=7U875CNM013","PYV36141.1")</f>
        <v>PYV36141.1</v>
      </c>
      <c r="J379" s="5" t="s">
        <v>854</v>
      </c>
    </row>
    <row r="380" spans="1:10" s="7" customFormat="1" x14ac:dyDescent="0.2">
      <c r="A380" s="5" t="s">
        <v>3862</v>
      </c>
      <c r="B380" s="5" t="s">
        <v>3863</v>
      </c>
      <c r="C380" s="5">
        <v>1090</v>
      </c>
      <c r="D380" s="5">
        <v>1090</v>
      </c>
      <c r="E380" s="6">
        <v>0.99</v>
      </c>
      <c r="F380" s="5">
        <v>0</v>
      </c>
      <c r="G380" s="5">
        <v>64.7</v>
      </c>
      <c r="H380" s="5">
        <v>802</v>
      </c>
      <c r="I380" s="5" t="str">
        <f>HYPERLINK("https://www.ncbi.nlm.nih.gov/protein/OGI51464.1?report=genbank&amp;log$=prottop&amp;blast_rank=155&amp;RID=7U875CNM013","OGI51464.1")</f>
        <v>OGI51464.1</v>
      </c>
      <c r="J380" s="5" t="s">
        <v>2769</v>
      </c>
    </row>
    <row r="381" spans="1:10" s="8" customFormat="1" x14ac:dyDescent="0.2">
      <c r="A381" s="5" t="s">
        <v>3393</v>
      </c>
      <c r="B381" s="5" t="s">
        <v>3315</v>
      </c>
      <c r="C381" s="5">
        <v>1088</v>
      </c>
      <c r="D381" s="5">
        <v>1088</v>
      </c>
      <c r="E381" s="6">
        <v>0.99</v>
      </c>
      <c r="F381" s="5">
        <v>0</v>
      </c>
      <c r="G381" s="5">
        <v>64.69</v>
      </c>
      <c r="H381" s="5">
        <v>793</v>
      </c>
      <c r="I381" s="5" t="str">
        <f>HYPERLINK("https://www.ncbi.nlm.nih.gov/protein/HFD78837.1?report=genbank&amp;log$=prottop&amp;blast_rank=2&amp;RID=7U875CNM013","HFD78837.1")</f>
        <v>HFD78837.1</v>
      </c>
      <c r="J381" s="5" t="s">
        <v>3632</v>
      </c>
    </row>
    <row r="382" spans="1:10" s="8" customFormat="1" x14ac:dyDescent="0.2">
      <c r="A382" s="5" t="s">
        <v>3864</v>
      </c>
      <c r="B382" s="5" t="s">
        <v>3865</v>
      </c>
      <c r="C382" s="5">
        <v>1075</v>
      </c>
      <c r="D382" s="5">
        <v>1075</v>
      </c>
      <c r="E382" s="6">
        <v>0.97</v>
      </c>
      <c r="F382" s="5">
        <v>0</v>
      </c>
      <c r="G382" s="5">
        <v>64.69</v>
      </c>
      <c r="H382" s="5">
        <v>792</v>
      </c>
      <c r="I382" s="5" t="str">
        <f>HYPERLINK("https://www.ncbi.nlm.nih.gov/protein/WP_129574323.1?report=genbank&amp;log$=prottop&amp;blast_rank=4&amp;RID=7U875CNM013","WP_129574323.1")</f>
        <v>WP_129574323.1</v>
      </c>
      <c r="J382" s="5" t="s">
        <v>3286</v>
      </c>
    </row>
    <row r="383" spans="1:10" s="8" customFormat="1" x14ac:dyDescent="0.2">
      <c r="A383" s="5" t="s">
        <v>3792</v>
      </c>
      <c r="B383" s="5" t="s">
        <v>3741</v>
      </c>
      <c r="C383" s="5">
        <v>1069</v>
      </c>
      <c r="D383" s="5">
        <v>1069</v>
      </c>
      <c r="E383" s="6">
        <v>0.98</v>
      </c>
      <c r="F383" s="5">
        <v>0</v>
      </c>
      <c r="G383" s="5">
        <v>64.680000000000007</v>
      </c>
      <c r="H383" s="5">
        <v>796</v>
      </c>
      <c r="I383" s="5" t="str">
        <f>HYPERLINK("https://www.ncbi.nlm.nih.gov/protein/MBC8142105.1?report=genbank&amp;log$=prottop&amp;blast_rank=9&amp;RID=7U875CNM013","MBC8142105.1")</f>
        <v>MBC8142105.1</v>
      </c>
      <c r="J383" s="5" t="s">
        <v>3742</v>
      </c>
    </row>
    <row r="384" spans="1:10" s="7" customFormat="1" x14ac:dyDescent="0.2">
      <c r="A384" s="5" t="s">
        <v>3866</v>
      </c>
      <c r="B384" s="5" t="s">
        <v>3867</v>
      </c>
      <c r="C384" s="5">
        <v>1046</v>
      </c>
      <c r="D384" s="5">
        <v>1046</v>
      </c>
      <c r="E384" s="6">
        <v>0.98</v>
      </c>
      <c r="F384" s="5">
        <v>0</v>
      </c>
      <c r="G384" s="5">
        <v>64.67</v>
      </c>
      <c r="H384" s="5">
        <v>801</v>
      </c>
      <c r="I384" s="5" t="str">
        <f>HYPERLINK("https://www.ncbi.nlm.nih.gov/protein/OLB73194.1?report=genbank&amp;log$=prottop&amp;blast_rank=22&amp;RID=7U875CNM013","OLB73194.1")</f>
        <v>OLB73194.1</v>
      </c>
      <c r="J384" s="5" t="s">
        <v>1720</v>
      </c>
    </row>
    <row r="385" spans="1:10" s="7" customFormat="1" x14ac:dyDescent="0.2">
      <c r="A385" s="5" t="s">
        <v>3669</v>
      </c>
      <c r="B385" s="5" t="s">
        <v>3670</v>
      </c>
      <c r="C385" s="5">
        <v>1045</v>
      </c>
      <c r="D385" s="5">
        <v>1045</v>
      </c>
      <c r="E385" s="6">
        <v>0.98</v>
      </c>
      <c r="F385" s="5">
        <v>0</v>
      </c>
      <c r="G385" s="5">
        <v>64.67</v>
      </c>
      <c r="H385" s="5">
        <v>800</v>
      </c>
      <c r="I385" s="5" t="str">
        <f>HYPERLINK("https://www.ncbi.nlm.nih.gov/protein/NJD68907.1?report=genbank&amp;log$=prottop&amp;blast_rank=23&amp;RID=7U875CNM013","NJD68907.1")</f>
        <v>NJD68907.1</v>
      </c>
      <c r="J385" s="5" t="s">
        <v>3868</v>
      </c>
    </row>
    <row r="386" spans="1:10" s="7" customFormat="1" x14ac:dyDescent="0.2">
      <c r="A386" s="5" t="s">
        <v>3388</v>
      </c>
      <c r="B386" s="5" t="s">
        <v>3389</v>
      </c>
      <c r="C386" s="5">
        <v>1093</v>
      </c>
      <c r="D386" s="5">
        <v>1093</v>
      </c>
      <c r="E386" s="6">
        <v>0.99</v>
      </c>
      <c r="F386" s="5">
        <v>0</v>
      </c>
      <c r="G386" s="5">
        <v>64.650000000000006</v>
      </c>
      <c r="H386" s="5">
        <v>798</v>
      </c>
      <c r="I386" s="5" t="str">
        <f>HYPERLINK("https://www.ncbi.nlm.nih.gov/protein/MBI3054930.1?report=genbank&amp;log$=prottop&amp;blast_rank=25&amp;RID=7U875CNM013","MBI3054930.1")</f>
        <v>MBI3054930.1</v>
      </c>
      <c r="J386" s="5" t="s">
        <v>2134</v>
      </c>
    </row>
    <row r="387" spans="1:10" s="7" customFormat="1" x14ac:dyDescent="0.2">
      <c r="A387" s="5" t="s">
        <v>3869</v>
      </c>
      <c r="B387" s="5" t="s">
        <v>3870</v>
      </c>
      <c r="C387" s="5">
        <v>1087</v>
      </c>
      <c r="D387" s="5">
        <v>1087</v>
      </c>
      <c r="E387" s="6">
        <v>0.98</v>
      </c>
      <c r="F387" s="5">
        <v>0</v>
      </c>
      <c r="G387" s="5">
        <v>64.63</v>
      </c>
      <c r="H387" s="5">
        <v>791</v>
      </c>
      <c r="I387" s="5" t="str">
        <f>HYPERLINK("https://www.ncbi.nlm.nih.gov/protein/SPS05644.1?report=genbank&amp;log$=prottop&amp;blast_rank=39&amp;RID=7U875CNM013","SPS05644.1")</f>
        <v>SPS05644.1</v>
      </c>
      <c r="J387" s="5" t="s">
        <v>2134</v>
      </c>
    </row>
    <row r="388" spans="1:10" s="7" customFormat="1" x14ac:dyDescent="0.2">
      <c r="A388" s="5" t="s">
        <v>852</v>
      </c>
      <c r="B388" s="5" t="s">
        <v>853</v>
      </c>
      <c r="C388" s="5">
        <v>1084</v>
      </c>
      <c r="D388" s="5">
        <v>1084</v>
      </c>
      <c r="E388" s="6">
        <v>0.98</v>
      </c>
      <c r="F388" s="5">
        <v>0</v>
      </c>
      <c r="G388" s="5">
        <v>64.63</v>
      </c>
      <c r="H388" s="5">
        <v>800</v>
      </c>
      <c r="I388" s="5" t="str">
        <f>HYPERLINK("https://www.ncbi.nlm.nih.gov/protein/PYX80651.1?report=genbank&amp;log$=prottop&amp;blast_rank=42&amp;RID=7U875CNM013","PYX80651.1")</f>
        <v>PYX80651.1</v>
      </c>
      <c r="J388" s="5" t="s">
        <v>854</v>
      </c>
    </row>
    <row r="389" spans="1:10" s="7" customFormat="1" x14ac:dyDescent="0.2">
      <c r="A389" s="5" t="s">
        <v>3847</v>
      </c>
      <c r="B389" s="5" t="s">
        <v>3848</v>
      </c>
      <c r="C389" s="5">
        <v>1075</v>
      </c>
      <c r="D389" s="5">
        <v>1075</v>
      </c>
      <c r="E389" s="6">
        <v>0.98</v>
      </c>
      <c r="F389" s="5">
        <v>0</v>
      </c>
      <c r="G389" s="5">
        <v>64.63</v>
      </c>
      <c r="H389" s="5">
        <v>788</v>
      </c>
      <c r="I389" s="5" t="str">
        <f>HYPERLINK("https://www.ncbi.nlm.nih.gov/protein/MBI4082370.1?report=genbank&amp;log$=prottop&amp;blast_rank=44&amp;RID=7U875CNM013","MBI4082370.1")</f>
        <v>MBI4082370.1</v>
      </c>
      <c r="J389" s="5" t="s">
        <v>3849</v>
      </c>
    </row>
    <row r="390" spans="1:10" s="7" customFormat="1" x14ac:dyDescent="0.2">
      <c r="A390" s="5" t="s">
        <v>3531</v>
      </c>
      <c r="B390" s="5" t="s">
        <v>3532</v>
      </c>
      <c r="C390" s="5">
        <v>1040</v>
      </c>
      <c r="D390" s="5">
        <v>1040</v>
      </c>
      <c r="E390" s="6">
        <v>0.98</v>
      </c>
      <c r="F390" s="5">
        <v>0</v>
      </c>
      <c r="G390" s="5">
        <v>64.63</v>
      </c>
      <c r="H390" s="5">
        <v>801</v>
      </c>
      <c r="I390" s="5" t="str">
        <f>HYPERLINK("https://www.ncbi.nlm.nih.gov/protein/MBN9507639.1?report=genbank&amp;log$=prottop&amp;blast_rank=47&amp;RID=7U875CNM013","MBN9507639.1")</f>
        <v>MBN9507639.1</v>
      </c>
      <c r="J390" s="5" t="s">
        <v>1720</v>
      </c>
    </row>
    <row r="391" spans="1:10" s="7" customFormat="1" x14ac:dyDescent="0.2">
      <c r="A391" s="5" t="s">
        <v>3314</v>
      </c>
      <c r="B391" s="5" t="s">
        <v>3315</v>
      </c>
      <c r="C391" s="5">
        <v>1078</v>
      </c>
      <c r="D391" s="5">
        <v>1078</v>
      </c>
      <c r="E391" s="6">
        <v>0.99</v>
      </c>
      <c r="F391" s="5">
        <v>0</v>
      </c>
      <c r="G391" s="5">
        <v>64.62</v>
      </c>
      <c r="H391" s="5">
        <v>802</v>
      </c>
      <c r="I391" s="5" t="str">
        <f>HYPERLINK("https://www.ncbi.nlm.nih.gov/protein/MBN1240411.1?report=genbank&amp;log$=prottop&amp;blast_rank=49&amp;RID=7U875CNM013","MBN1240411.1")</f>
        <v>MBN1240411.1</v>
      </c>
      <c r="J391" s="5" t="s">
        <v>3632</v>
      </c>
    </row>
    <row r="392" spans="1:10" s="7" customFormat="1" x14ac:dyDescent="0.2">
      <c r="A392" s="5" t="s">
        <v>3871</v>
      </c>
      <c r="B392" s="5" t="s">
        <v>3872</v>
      </c>
      <c r="C392" s="5">
        <v>1049</v>
      </c>
      <c r="D392" s="5">
        <v>1049</v>
      </c>
      <c r="E392" s="6">
        <v>0.97</v>
      </c>
      <c r="F392" s="5">
        <v>0</v>
      </c>
      <c r="G392" s="5">
        <v>64.61</v>
      </c>
      <c r="H392" s="5">
        <v>798</v>
      </c>
      <c r="I392" s="5" t="str">
        <f>HYPERLINK("https://www.ncbi.nlm.nih.gov/protein/WP_180677516.1?report=genbank&amp;log$=prottop&amp;blast_rank=58&amp;RID=7U875CNM013","WP_180677516.1")</f>
        <v>WP_180677516.1</v>
      </c>
      <c r="J392" s="5" t="s">
        <v>3632</v>
      </c>
    </row>
    <row r="393" spans="1:10" s="7" customFormat="1" x14ac:dyDescent="0.2">
      <c r="A393" s="5" t="s">
        <v>852</v>
      </c>
      <c r="B393" s="5" t="s">
        <v>853</v>
      </c>
      <c r="C393" s="5">
        <v>1086</v>
      </c>
      <c r="D393" s="5">
        <v>1086</v>
      </c>
      <c r="E393" s="6">
        <v>0.98</v>
      </c>
      <c r="F393" s="5">
        <v>0</v>
      </c>
      <c r="G393" s="5">
        <v>64.59</v>
      </c>
      <c r="H393" s="5">
        <v>800</v>
      </c>
      <c r="I393" s="5" t="str">
        <f>HYPERLINK("https://www.ncbi.nlm.nih.gov/protein/PYT64228.1?report=genbank&amp;log$=prottop&amp;blast_rank=70&amp;RID=7U875CNM013","PYT64228.1")</f>
        <v>PYT64228.1</v>
      </c>
      <c r="J393" s="5" t="s">
        <v>854</v>
      </c>
    </row>
    <row r="394" spans="1:10" s="7" customFormat="1" x14ac:dyDescent="0.2">
      <c r="A394" s="5" t="s">
        <v>3873</v>
      </c>
      <c r="B394" s="5" t="s">
        <v>3874</v>
      </c>
      <c r="C394" s="5">
        <v>1033</v>
      </c>
      <c r="D394" s="5">
        <v>1033</v>
      </c>
      <c r="E394" s="6">
        <v>0.98</v>
      </c>
      <c r="F394" s="5">
        <v>0</v>
      </c>
      <c r="G394" s="5">
        <v>64.56</v>
      </c>
      <c r="H394" s="5">
        <v>796</v>
      </c>
      <c r="I394" s="5" t="str">
        <f>HYPERLINK("https://www.ncbi.nlm.nih.gov/protein/MBD3893749.1?report=genbank&amp;log$=prottop&amp;blast_rank=89&amp;RID=7U875CNM013","MBD3893749.1")</f>
        <v>MBD3893749.1</v>
      </c>
      <c r="J394" s="5" t="s">
        <v>2134</v>
      </c>
    </row>
    <row r="395" spans="1:10" s="7" customFormat="1" x14ac:dyDescent="0.2">
      <c r="A395" s="5" t="s">
        <v>3875</v>
      </c>
      <c r="B395" s="5" t="s">
        <v>3876</v>
      </c>
      <c r="C395" s="5">
        <v>1090</v>
      </c>
      <c r="D395" s="5">
        <v>1090</v>
      </c>
      <c r="E395" s="6">
        <v>0.98</v>
      </c>
      <c r="F395" s="5">
        <v>0</v>
      </c>
      <c r="G395" s="5">
        <v>64.540000000000006</v>
      </c>
      <c r="H395" s="5">
        <v>790</v>
      </c>
      <c r="I395" s="5" t="str">
        <f>HYPERLINK("https://www.ncbi.nlm.nih.gov/protein/GBE05671.1?report=genbank&amp;log$=prottop&amp;blast_rank=97&amp;RID=7U875CNM013","GBE05671.1")</f>
        <v>GBE05671.1</v>
      </c>
      <c r="J395" s="5" t="s">
        <v>3868</v>
      </c>
    </row>
    <row r="396" spans="1:10" s="7" customFormat="1" x14ac:dyDescent="0.2">
      <c r="A396" s="5" t="s">
        <v>3359</v>
      </c>
      <c r="B396" s="5" t="s">
        <v>3360</v>
      </c>
      <c r="C396" s="5">
        <v>1067</v>
      </c>
      <c r="D396" s="5">
        <v>1067</v>
      </c>
      <c r="E396" s="6">
        <v>0.98</v>
      </c>
      <c r="F396" s="5">
        <v>0</v>
      </c>
      <c r="G396" s="5">
        <v>64.540000000000006</v>
      </c>
      <c r="H396" s="5">
        <v>787</v>
      </c>
      <c r="I396" s="5" t="str">
        <f>HYPERLINK("https://www.ncbi.nlm.nih.gov/protein/MBP2673735.1?report=genbank&amp;log$=prottop&amp;blast_rank=98&amp;RID=7U875CNM013","MBP2673735.1")</f>
        <v>MBP2673735.1</v>
      </c>
      <c r="J396" s="5" t="s">
        <v>3286</v>
      </c>
    </row>
    <row r="397" spans="1:10" s="7" customFormat="1" x14ac:dyDescent="0.2">
      <c r="A397" s="5" t="s">
        <v>3877</v>
      </c>
      <c r="B397" s="5" t="s">
        <v>3822</v>
      </c>
      <c r="C397" s="5">
        <v>1048</v>
      </c>
      <c r="D397" s="5">
        <v>1048</v>
      </c>
      <c r="E397" s="6">
        <v>0.98</v>
      </c>
      <c r="F397" s="5">
        <v>0</v>
      </c>
      <c r="G397" s="5">
        <v>64.540000000000006</v>
      </c>
      <c r="H397" s="5">
        <v>790</v>
      </c>
      <c r="I397" s="5" t="str">
        <f>HYPERLINK("https://www.ncbi.nlm.nih.gov/protein/SPE50329.1?report=genbank&amp;log$=prottop&amp;blast_rank=107&amp;RID=7U875CNM013","SPE50329.1")</f>
        <v>SPE50329.1</v>
      </c>
      <c r="J397" s="5" t="s">
        <v>3742</v>
      </c>
    </row>
    <row r="398" spans="1:10" s="7" customFormat="1" x14ac:dyDescent="0.2">
      <c r="A398" s="5" t="s">
        <v>3590</v>
      </c>
      <c r="B398" s="5" t="s">
        <v>3360</v>
      </c>
      <c r="C398" s="5">
        <v>1096</v>
      </c>
      <c r="D398" s="5">
        <v>1096</v>
      </c>
      <c r="E398" s="6">
        <v>0.98</v>
      </c>
      <c r="F398" s="5">
        <v>0</v>
      </c>
      <c r="G398" s="5">
        <v>64.5</v>
      </c>
      <c r="H398" s="5">
        <v>787</v>
      </c>
      <c r="I398" s="5" t="str">
        <f>HYPERLINK("https://www.ncbi.nlm.nih.gov/protein/MBI5885018.1?report=genbank&amp;log$=prottop&amp;blast_rank=119&amp;RID=7U875CNM013","MBI5885018.1")</f>
        <v>MBI5885018.1</v>
      </c>
      <c r="J398" s="5" t="s">
        <v>3286</v>
      </c>
    </row>
    <row r="399" spans="1:10" s="7" customFormat="1" x14ac:dyDescent="0.2">
      <c r="A399" s="5" t="s">
        <v>852</v>
      </c>
      <c r="B399" s="5" t="s">
        <v>853</v>
      </c>
      <c r="C399" s="5">
        <v>1093</v>
      </c>
      <c r="D399" s="5">
        <v>1093</v>
      </c>
      <c r="E399" s="6">
        <v>0.98</v>
      </c>
      <c r="F399" s="5">
        <v>0</v>
      </c>
      <c r="G399" s="5">
        <v>64.5</v>
      </c>
      <c r="H399" s="5">
        <v>800</v>
      </c>
      <c r="I399" s="5" t="str">
        <f>HYPERLINK("https://www.ncbi.nlm.nih.gov/protein/PYT97505.1?report=genbank&amp;log$=prottop&amp;blast_rank=120&amp;RID=7U875CNM013","PYT97505.1")</f>
        <v>PYT97505.1</v>
      </c>
      <c r="J399" s="5" t="s">
        <v>854</v>
      </c>
    </row>
    <row r="400" spans="1:10" s="7" customFormat="1" x14ac:dyDescent="0.2">
      <c r="A400" s="5" t="s">
        <v>3878</v>
      </c>
      <c r="B400" s="5" t="s">
        <v>3879</v>
      </c>
      <c r="C400" s="5">
        <v>1039</v>
      </c>
      <c r="D400" s="5">
        <v>1039</v>
      </c>
      <c r="E400" s="6">
        <v>0.99</v>
      </c>
      <c r="F400" s="5">
        <v>0</v>
      </c>
      <c r="G400" s="5">
        <v>64.48</v>
      </c>
      <c r="H400" s="5">
        <v>798</v>
      </c>
      <c r="I400" s="5" t="str">
        <f>HYPERLINK("https://www.ncbi.nlm.nih.gov/protein/WP_102124718.1?report=genbank&amp;log$=prottop&amp;blast_rank=141&amp;RID=7U875CNM013","WP_102124718.1")</f>
        <v>WP_102124718.1</v>
      </c>
      <c r="J400" s="5" t="s">
        <v>3880</v>
      </c>
    </row>
    <row r="401" spans="1:10" s="7" customFormat="1" x14ac:dyDescent="0.2">
      <c r="A401" s="5" t="s">
        <v>3881</v>
      </c>
      <c r="B401" s="5" t="s">
        <v>1062</v>
      </c>
      <c r="C401" s="5">
        <v>1043</v>
      </c>
      <c r="D401" s="5">
        <v>1043</v>
      </c>
      <c r="E401" s="6">
        <v>0.97</v>
      </c>
      <c r="F401" s="5">
        <v>0</v>
      </c>
      <c r="G401" s="5">
        <v>64.47</v>
      </c>
      <c r="H401" s="5">
        <v>775</v>
      </c>
      <c r="I401" s="5" t="str">
        <f>HYPERLINK("https://www.ncbi.nlm.nih.gov/protein/WP_188961661.1?report=genbank&amp;log$=prottop&amp;blast_rank=143&amp;RID=7U875CNM013","WP_188961661.1")</f>
        <v>WP_188961661.1</v>
      </c>
      <c r="J401" s="5" t="s">
        <v>3880</v>
      </c>
    </row>
    <row r="402" spans="1:10" s="7" customFormat="1" x14ac:dyDescent="0.2">
      <c r="A402" s="5" t="s">
        <v>3314</v>
      </c>
      <c r="B402" s="5" t="s">
        <v>3315</v>
      </c>
      <c r="C402" s="5">
        <v>1082</v>
      </c>
      <c r="D402" s="5">
        <v>1082</v>
      </c>
      <c r="E402" s="6">
        <v>0.98</v>
      </c>
      <c r="F402" s="5">
        <v>0</v>
      </c>
      <c r="G402" s="5">
        <v>64.459999999999994</v>
      </c>
      <c r="H402" s="5">
        <v>788</v>
      </c>
      <c r="I402" s="5" t="str">
        <f>HYPERLINK("https://www.ncbi.nlm.nih.gov/protein/MBF0220325.1?report=genbank&amp;log$=prottop&amp;blast_rank=157&amp;RID=7U875CNM013","MBF0220325.1")</f>
        <v>MBF0220325.1</v>
      </c>
      <c r="J402" s="5" t="s">
        <v>3632</v>
      </c>
    </row>
    <row r="403" spans="1:10" s="7" customFormat="1" x14ac:dyDescent="0.2">
      <c r="A403" s="5" t="s">
        <v>3314</v>
      </c>
      <c r="B403" s="5" t="s">
        <v>3315</v>
      </c>
      <c r="C403" s="5">
        <v>1070</v>
      </c>
      <c r="D403" s="5">
        <v>1070</v>
      </c>
      <c r="E403" s="6">
        <v>0.98</v>
      </c>
      <c r="F403" s="5">
        <v>0</v>
      </c>
      <c r="G403" s="5">
        <v>64.459999999999994</v>
      </c>
      <c r="H403" s="5">
        <v>790</v>
      </c>
      <c r="I403" s="5" t="str">
        <f>HYPERLINK("https://www.ncbi.nlm.nih.gov/protein/NIR30844.1?report=genbank&amp;log$=prottop&amp;blast_rank=159&amp;RID=7U875CNM013","NIR30844.1")</f>
        <v>NIR30844.1</v>
      </c>
      <c r="J403" s="5" t="s">
        <v>3632</v>
      </c>
    </row>
    <row r="404" spans="1:10" s="7" customFormat="1" x14ac:dyDescent="0.2">
      <c r="A404" s="5" t="s">
        <v>3882</v>
      </c>
      <c r="B404" s="5" t="s">
        <v>3883</v>
      </c>
      <c r="C404" s="5">
        <v>1070</v>
      </c>
      <c r="D404" s="5">
        <v>1070</v>
      </c>
      <c r="E404" s="6">
        <v>0.98</v>
      </c>
      <c r="F404" s="5">
        <v>0</v>
      </c>
      <c r="G404" s="5">
        <v>64.459999999999994</v>
      </c>
      <c r="H404" s="5">
        <v>799</v>
      </c>
      <c r="I404" s="5" t="str">
        <f>HYPERLINK("https://www.ncbi.nlm.nih.gov/protein/OOO01284.1?report=genbank&amp;log$=prottop&amp;blast_rank=160&amp;RID=7U875CNM013","OOO01284.1")</f>
        <v>OOO01284.1</v>
      </c>
      <c r="J404" s="5" t="s">
        <v>3632</v>
      </c>
    </row>
    <row r="405" spans="1:10" s="7" customFormat="1" x14ac:dyDescent="0.2">
      <c r="A405" s="5" t="s">
        <v>3884</v>
      </c>
      <c r="B405" s="5" t="s">
        <v>3885</v>
      </c>
      <c r="C405" s="5">
        <v>1061</v>
      </c>
      <c r="D405" s="5">
        <v>1061</v>
      </c>
      <c r="E405" s="6">
        <v>0.98</v>
      </c>
      <c r="F405" s="5">
        <v>0</v>
      </c>
      <c r="G405" s="5">
        <v>64.459999999999994</v>
      </c>
      <c r="H405" s="5">
        <v>801</v>
      </c>
      <c r="I405" s="5" t="str">
        <f>HYPERLINK("https://www.ncbi.nlm.nih.gov/protein/NJO35053.1?report=genbank&amp;log$=prottop&amp;blast_rank=162&amp;RID=7U875CNM013","NJO35053.1")</f>
        <v>NJO35053.1</v>
      </c>
      <c r="J405" s="5" t="s">
        <v>2769</v>
      </c>
    </row>
    <row r="406" spans="1:10" s="7" customFormat="1" x14ac:dyDescent="0.2">
      <c r="A406" s="5" t="s">
        <v>3629</v>
      </c>
      <c r="B406" s="5" t="s">
        <v>853</v>
      </c>
      <c r="C406" s="5">
        <v>1082</v>
      </c>
      <c r="D406" s="5">
        <v>1082</v>
      </c>
      <c r="E406" s="6">
        <v>1</v>
      </c>
      <c r="F406" s="5">
        <v>0</v>
      </c>
      <c r="G406" s="5">
        <v>64.45</v>
      </c>
      <c r="H406" s="5">
        <v>793</v>
      </c>
      <c r="I406" s="5" t="str">
        <f>HYPERLINK("https://www.ncbi.nlm.nih.gov/protein/MBI1895537.1?report=genbank&amp;log$=prottop&amp;blast_rank=173&amp;RID=7U875CNM013","MBI1895537.1")</f>
        <v>MBI1895537.1</v>
      </c>
      <c r="J406" s="5" t="s">
        <v>854</v>
      </c>
    </row>
    <row r="407" spans="1:10" s="4" customFormat="1" x14ac:dyDescent="0.2">
      <c r="A407" s="1" t="s">
        <v>3388</v>
      </c>
      <c r="B407" s="1" t="s">
        <v>3389</v>
      </c>
      <c r="C407" s="1">
        <v>1074</v>
      </c>
      <c r="D407" s="1">
        <v>1074</v>
      </c>
      <c r="E407" s="2">
        <v>0.98</v>
      </c>
      <c r="F407" s="1">
        <v>0</v>
      </c>
      <c r="G407" s="1">
        <v>64.430000000000007</v>
      </c>
      <c r="H407" s="1">
        <v>805</v>
      </c>
      <c r="I407" s="1" t="str">
        <f>HYPERLINK("https://www.ncbi.nlm.nih.gov/protein/TMH31966.1?report=genbank&amp;log$=prottop&amp;blast_rank=10&amp;RID=7U875CNM013","TMH31966.1")</f>
        <v>TMH31966.1</v>
      </c>
      <c r="J407" s="1" t="s">
        <v>2134</v>
      </c>
    </row>
    <row r="408" spans="1:10" s="4" customFormat="1" x14ac:dyDescent="0.2">
      <c r="A408" s="1" t="s">
        <v>3886</v>
      </c>
      <c r="B408" s="1" t="s">
        <v>3887</v>
      </c>
      <c r="C408" s="1">
        <v>1037</v>
      </c>
      <c r="D408" s="1">
        <v>1037</v>
      </c>
      <c r="E408" s="2">
        <v>0.98</v>
      </c>
      <c r="F408" s="1">
        <v>0</v>
      </c>
      <c r="G408" s="1">
        <v>64.42</v>
      </c>
      <c r="H408" s="1">
        <v>785</v>
      </c>
      <c r="I408" s="1" t="str">
        <f>HYPERLINK("https://www.ncbi.nlm.nih.gov/protein/TAN07632.1?report=genbank&amp;log$=prottop&amp;blast_rank=16&amp;RID=7U875CNM013","TAN07632.1")</f>
        <v>TAN07632.1</v>
      </c>
      <c r="J408" s="1" t="s">
        <v>3276</v>
      </c>
    </row>
    <row r="409" spans="1:10" s="4" customFormat="1" x14ac:dyDescent="0.2">
      <c r="A409" s="1" t="s">
        <v>3888</v>
      </c>
      <c r="B409" s="1" t="s">
        <v>3889</v>
      </c>
      <c r="C409" s="1">
        <v>1078</v>
      </c>
      <c r="D409" s="1">
        <v>1078</v>
      </c>
      <c r="E409" s="2">
        <v>0.98</v>
      </c>
      <c r="F409" s="1">
        <v>0</v>
      </c>
      <c r="G409" s="1">
        <v>64.41</v>
      </c>
      <c r="H409" s="1">
        <v>794</v>
      </c>
      <c r="I409" s="1" t="str">
        <f>HYPERLINK("https://www.ncbi.nlm.nih.gov/protein/PIX96225.1?report=genbank&amp;log$=prottop&amp;blast_rank=21&amp;RID=7U875CNM013","PIX96225.1")</f>
        <v>PIX96225.1</v>
      </c>
      <c r="J409" s="1" t="s">
        <v>2769</v>
      </c>
    </row>
    <row r="410" spans="1:10" s="4" customFormat="1" x14ac:dyDescent="0.2">
      <c r="A410" s="1" t="s">
        <v>3890</v>
      </c>
      <c r="B410" s="1" t="s">
        <v>3891</v>
      </c>
      <c r="C410" s="1">
        <v>1065</v>
      </c>
      <c r="D410" s="1">
        <v>1065</v>
      </c>
      <c r="E410" s="2">
        <v>0.98</v>
      </c>
      <c r="F410" s="1">
        <v>0</v>
      </c>
      <c r="G410" s="1">
        <v>64.41</v>
      </c>
      <c r="H410" s="1">
        <v>790</v>
      </c>
      <c r="I410" s="1" t="str">
        <f>HYPERLINK("https://www.ncbi.nlm.nih.gov/protein/OIO66343.1?report=genbank&amp;log$=prottop&amp;blast_rank=23&amp;RID=7U875CNM013","OIO66343.1")</f>
        <v>OIO66343.1</v>
      </c>
      <c r="J410" s="1" t="s">
        <v>3484</v>
      </c>
    </row>
    <row r="411" spans="1:10" s="4" customFormat="1" x14ac:dyDescent="0.2">
      <c r="A411" s="1" t="s">
        <v>3359</v>
      </c>
      <c r="B411" s="1" t="s">
        <v>3360</v>
      </c>
      <c r="C411" s="1">
        <v>1106</v>
      </c>
      <c r="D411" s="1">
        <v>1106</v>
      </c>
      <c r="E411" s="2">
        <v>1</v>
      </c>
      <c r="F411" s="1">
        <v>0</v>
      </c>
      <c r="G411" s="1">
        <v>64.41</v>
      </c>
      <c r="H411" s="1">
        <v>795</v>
      </c>
      <c r="I411" s="1" t="str">
        <f>HYPERLINK("https://www.ncbi.nlm.nih.gov/protein/MPZ78001.1?report=genbank&amp;log$=prottop&amp;blast_rank=41&amp;RID=7U875CNM013","MPZ78001.1")</f>
        <v>MPZ78001.1</v>
      </c>
      <c r="J411" s="1" t="s">
        <v>3286</v>
      </c>
    </row>
    <row r="412" spans="1:10" s="4" customFormat="1" x14ac:dyDescent="0.2">
      <c r="A412" s="1" t="s">
        <v>3388</v>
      </c>
      <c r="B412" s="1" t="s">
        <v>3389</v>
      </c>
      <c r="C412" s="1">
        <v>1092</v>
      </c>
      <c r="D412" s="1">
        <v>1092</v>
      </c>
      <c r="E412" s="2">
        <v>0.99</v>
      </c>
      <c r="F412" s="1">
        <v>0</v>
      </c>
      <c r="G412" s="1">
        <v>64.41</v>
      </c>
      <c r="H412" s="1">
        <v>797</v>
      </c>
      <c r="I412" s="1" t="str">
        <f>HYPERLINK("https://www.ncbi.nlm.nih.gov/protein/MBI1988662.1?report=genbank&amp;log$=prottop&amp;blast_rank=44&amp;RID=7U875CNM013","MBI1988662.1")</f>
        <v>MBI1988662.1</v>
      </c>
      <c r="J412" s="1" t="s">
        <v>2134</v>
      </c>
    </row>
    <row r="413" spans="1:10" s="4" customFormat="1" x14ac:dyDescent="0.2">
      <c r="A413" s="1" t="s">
        <v>3388</v>
      </c>
      <c r="B413" s="1" t="s">
        <v>3389</v>
      </c>
      <c r="C413" s="1">
        <v>1092</v>
      </c>
      <c r="D413" s="1">
        <v>1092</v>
      </c>
      <c r="E413" s="2">
        <v>0.99</v>
      </c>
      <c r="F413" s="1">
        <v>0</v>
      </c>
      <c r="G413" s="1">
        <v>64.41</v>
      </c>
      <c r="H413" s="1">
        <v>797</v>
      </c>
      <c r="I413" s="1" t="str">
        <f>HYPERLINK("https://www.ncbi.nlm.nih.gov/protein/MBI2289599.1?report=genbank&amp;log$=prottop&amp;blast_rank=45&amp;RID=7U875CNM013","MBI2289599.1")</f>
        <v>MBI2289599.1</v>
      </c>
      <c r="J413" s="1" t="s">
        <v>2134</v>
      </c>
    </row>
    <row r="414" spans="1:10" s="4" customFormat="1" x14ac:dyDescent="0.2">
      <c r="A414" s="1" t="s">
        <v>3388</v>
      </c>
      <c r="B414" s="1" t="s">
        <v>3389</v>
      </c>
      <c r="C414" s="1">
        <v>1091</v>
      </c>
      <c r="D414" s="1">
        <v>1091</v>
      </c>
      <c r="E414" s="2">
        <v>0.99</v>
      </c>
      <c r="F414" s="1">
        <v>0</v>
      </c>
      <c r="G414" s="1">
        <v>64.41</v>
      </c>
      <c r="H414" s="1">
        <v>797</v>
      </c>
      <c r="I414" s="1" t="str">
        <f>HYPERLINK("https://www.ncbi.nlm.nih.gov/protein/MBI2224031.1?report=genbank&amp;log$=prottop&amp;blast_rank=46&amp;RID=7U875CNM013","MBI2224031.1")</f>
        <v>MBI2224031.1</v>
      </c>
      <c r="J414" s="1" t="s">
        <v>2134</v>
      </c>
    </row>
    <row r="415" spans="1:10" s="4" customFormat="1" x14ac:dyDescent="0.2">
      <c r="A415" s="1" t="s">
        <v>852</v>
      </c>
      <c r="B415" s="1" t="s">
        <v>853</v>
      </c>
      <c r="C415" s="1">
        <v>1066</v>
      </c>
      <c r="D415" s="1">
        <v>1066</v>
      </c>
      <c r="E415" s="2">
        <v>0.97</v>
      </c>
      <c r="F415" s="1">
        <v>0</v>
      </c>
      <c r="G415" s="1">
        <v>64.400000000000006</v>
      </c>
      <c r="H415" s="1">
        <v>764</v>
      </c>
      <c r="I415" s="1" t="str">
        <f>HYPERLINK("https://www.ncbi.nlm.nih.gov/protein/PYX13011.1?report=genbank&amp;log$=prottop&amp;blast_rank=50&amp;RID=7U875CNM013","PYX13011.1")</f>
        <v>PYX13011.1</v>
      </c>
      <c r="J415" s="1" t="s">
        <v>854</v>
      </c>
    </row>
    <row r="416" spans="1:10" s="4" customFormat="1" x14ac:dyDescent="0.2">
      <c r="A416" s="1" t="s">
        <v>3892</v>
      </c>
      <c r="B416" s="1" t="s">
        <v>3893</v>
      </c>
      <c r="C416" s="1">
        <v>1080</v>
      </c>
      <c r="D416" s="1">
        <v>1080</v>
      </c>
      <c r="E416" s="2">
        <v>0.98</v>
      </c>
      <c r="F416" s="1">
        <v>0</v>
      </c>
      <c r="G416" s="1">
        <v>64.38</v>
      </c>
      <c r="H416" s="1">
        <v>788</v>
      </c>
      <c r="I416" s="1" t="str">
        <f>HYPERLINK("https://www.ncbi.nlm.nih.gov/protein/PIO89098.1?report=genbank&amp;log$=prottop&amp;blast_rank=68&amp;RID=7U875CNM013","PIO89098.1")</f>
        <v>PIO89098.1</v>
      </c>
      <c r="J416" s="1" t="s">
        <v>3484</v>
      </c>
    </row>
    <row r="417" spans="1:10" s="4" customFormat="1" x14ac:dyDescent="0.2">
      <c r="A417" s="1" t="s">
        <v>3894</v>
      </c>
      <c r="B417" s="1" t="s">
        <v>3895</v>
      </c>
      <c r="C417" s="1">
        <v>1028</v>
      </c>
      <c r="D417" s="1">
        <v>1028</v>
      </c>
      <c r="E417" s="2">
        <v>0.98</v>
      </c>
      <c r="F417" s="1">
        <v>0</v>
      </c>
      <c r="G417" s="1">
        <v>64.38</v>
      </c>
      <c r="H417" s="1">
        <v>797</v>
      </c>
      <c r="I417" s="1" t="str">
        <f>HYPERLINK("https://www.ncbi.nlm.nih.gov/protein/WP_102123911.1?report=genbank&amp;log$=prottop&amp;blast_rank=73&amp;RID=7U875CNM013","WP_102123911.1")</f>
        <v>WP_102123911.1</v>
      </c>
      <c r="J417" s="1" t="s">
        <v>2134</v>
      </c>
    </row>
    <row r="418" spans="1:10" s="4" customFormat="1" x14ac:dyDescent="0.2">
      <c r="A418" s="1" t="s">
        <v>3570</v>
      </c>
      <c r="B418" s="1" t="s">
        <v>3315</v>
      </c>
      <c r="C418" s="1">
        <v>1093</v>
      </c>
      <c r="D418" s="1">
        <v>1093</v>
      </c>
      <c r="E418" s="2">
        <v>0.99</v>
      </c>
      <c r="F418" s="1">
        <v>0</v>
      </c>
      <c r="G418" s="1">
        <v>64.37</v>
      </c>
      <c r="H418" s="1">
        <v>802</v>
      </c>
      <c r="I418" s="1" t="str">
        <f>HYPERLINK("https://www.ncbi.nlm.nih.gov/protein/MAT66736.1?report=genbank&amp;log$=prottop&amp;blast_rank=79&amp;RID=7U875CNM013","MAT66736.1")</f>
        <v>MAT66736.1</v>
      </c>
      <c r="J418" s="1" t="s">
        <v>3276</v>
      </c>
    </row>
    <row r="419" spans="1:10" s="4" customFormat="1" x14ac:dyDescent="0.2">
      <c r="A419" s="1" t="s">
        <v>3896</v>
      </c>
      <c r="B419" s="1" t="s">
        <v>3897</v>
      </c>
      <c r="C419" s="1">
        <v>1074</v>
      </c>
      <c r="D419" s="1">
        <v>1074</v>
      </c>
      <c r="E419" s="2">
        <v>0.98</v>
      </c>
      <c r="F419" s="1">
        <v>0</v>
      </c>
      <c r="G419" s="1">
        <v>64.34</v>
      </c>
      <c r="H419" s="1">
        <v>792</v>
      </c>
      <c r="I419" s="1" t="str">
        <f>HYPERLINK("https://www.ncbi.nlm.nih.gov/protein/MBN2100226.1?report=genbank&amp;log$=prottop&amp;blast_rank=86&amp;RID=7U875CNM013","MBN2100226.1")</f>
        <v>MBN2100226.1</v>
      </c>
      <c r="J419" s="5" t="s">
        <v>3898</v>
      </c>
    </row>
    <row r="420" spans="1:10" s="4" customFormat="1" x14ac:dyDescent="0.2">
      <c r="A420" s="1" t="s">
        <v>3899</v>
      </c>
      <c r="B420" s="1" t="s">
        <v>3900</v>
      </c>
      <c r="C420" s="1">
        <v>1085</v>
      </c>
      <c r="D420" s="1">
        <v>1085</v>
      </c>
      <c r="E420" s="2">
        <v>0.98</v>
      </c>
      <c r="F420" s="1">
        <v>0</v>
      </c>
      <c r="G420" s="1">
        <v>64.33</v>
      </c>
      <c r="H420" s="1">
        <v>794</v>
      </c>
      <c r="I420" s="1" t="str">
        <f>HYPERLINK("https://www.ncbi.nlm.nih.gov/protein/NLO05420.1?report=genbank&amp;log$=prottop&amp;blast_rank=96&amp;RID=7U875CNM013","NLO05420.1")</f>
        <v>NLO05420.1</v>
      </c>
      <c r="J420" s="1" t="s">
        <v>3868</v>
      </c>
    </row>
    <row r="421" spans="1:10" s="4" customFormat="1" x14ac:dyDescent="0.2">
      <c r="A421" s="1" t="s">
        <v>3314</v>
      </c>
      <c r="B421" s="1" t="s">
        <v>3315</v>
      </c>
      <c r="C421" s="1">
        <v>1085</v>
      </c>
      <c r="D421" s="1">
        <v>1085</v>
      </c>
      <c r="E421" s="2">
        <v>0.98</v>
      </c>
      <c r="F421" s="1">
        <v>0</v>
      </c>
      <c r="G421" s="1">
        <v>64.33</v>
      </c>
      <c r="H421" s="1">
        <v>796</v>
      </c>
      <c r="I421" s="1" t="str">
        <f>HYPERLINK("https://www.ncbi.nlm.nih.gov/protein/MBL1432877.1?report=genbank&amp;log$=prottop&amp;blast_rank=97&amp;RID=7U875CNM013","MBL1432877.1")</f>
        <v>MBL1432877.1</v>
      </c>
      <c r="J421" s="1" t="s">
        <v>3276</v>
      </c>
    </row>
    <row r="422" spans="1:10" s="4" customFormat="1" x14ac:dyDescent="0.2">
      <c r="A422" s="1" t="s">
        <v>3884</v>
      </c>
      <c r="B422" s="1" t="s">
        <v>3885</v>
      </c>
      <c r="C422" s="1">
        <v>1040</v>
      </c>
      <c r="D422" s="1">
        <v>1040</v>
      </c>
      <c r="E422" s="2">
        <v>0.98</v>
      </c>
      <c r="F422" s="1">
        <v>0</v>
      </c>
      <c r="G422" s="1">
        <v>64.33</v>
      </c>
      <c r="H422" s="1">
        <v>800</v>
      </c>
      <c r="I422" s="1" t="str">
        <f>HYPERLINK("https://www.ncbi.nlm.nih.gov/protein/MBI2735754.1?report=genbank&amp;log$=prottop&amp;blast_rank=103&amp;RID=7U875CNM013","MBI2735754.1")</f>
        <v>MBI2735754.1</v>
      </c>
      <c r="J422" s="1" t="s">
        <v>1720</v>
      </c>
    </row>
    <row r="423" spans="1:10" s="4" customFormat="1" x14ac:dyDescent="0.2">
      <c r="A423" s="1" t="s">
        <v>3886</v>
      </c>
      <c r="B423" s="1" t="s">
        <v>3887</v>
      </c>
      <c r="C423" s="1">
        <v>1056</v>
      </c>
      <c r="D423" s="1">
        <v>1056</v>
      </c>
      <c r="E423" s="2">
        <v>0.99</v>
      </c>
      <c r="F423" s="1">
        <v>0</v>
      </c>
      <c r="G423" s="1">
        <v>64.33</v>
      </c>
      <c r="H423" s="1">
        <v>802</v>
      </c>
      <c r="I423" s="1" t="str">
        <f>HYPERLINK("https://www.ncbi.nlm.nih.gov/protein/NCT66103.1?report=genbank&amp;log$=prottop&amp;blast_rank=104&amp;RID=7U875CNM013","NCT66103.1")</f>
        <v>NCT66103.1</v>
      </c>
      <c r="J423" s="1" t="s">
        <v>3276</v>
      </c>
    </row>
    <row r="424" spans="1:10" s="4" customFormat="1" x14ac:dyDescent="0.2">
      <c r="A424" s="1" t="s">
        <v>3792</v>
      </c>
      <c r="B424" s="1" t="s">
        <v>3741</v>
      </c>
      <c r="C424" s="1">
        <v>1091</v>
      </c>
      <c r="D424" s="1">
        <v>1091</v>
      </c>
      <c r="E424" s="2">
        <v>0.98</v>
      </c>
      <c r="F424" s="1">
        <v>0</v>
      </c>
      <c r="G424" s="1">
        <v>64.319999999999993</v>
      </c>
      <c r="H424" s="1">
        <v>788</v>
      </c>
      <c r="I424" s="1" t="str">
        <f>HYPERLINK("https://www.ncbi.nlm.nih.gov/protein/MBI3927190.1?report=genbank&amp;log$=prottop&amp;blast_rank=106&amp;RID=7U875CNM013","MBI3927190.1")</f>
        <v>MBI3927190.1</v>
      </c>
      <c r="J424" s="5" t="s">
        <v>3742</v>
      </c>
    </row>
    <row r="425" spans="1:10" s="4" customFormat="1" x14ac:dyDescent="0.2">
      <c r="A425" s="1" t="s">
        <v>3901</v>
      </c>
      <c r="B425" s="1" t="s">
        <v>3902</v>
      </c>
      <c r="C425" s="1">
        <v>1047</v>
      </c>
      <c r="D425" s="1">
        <v>1047</v>
      </c>
      <c r="E425" s="2">
        <v>0.97</v>
      </c>
      <c r="F425" s="1">
        <v>0</v>
      </c>
      <c r="G425" s="1">
        <v>64.31</v>
      </c>
      <c r="H425" s="1">
        <v>801</v>
      </c>
      <c r="I425" s="1" t="str">
        <f>HYPERLINK("https://www.ncbi.nlm.nih.gov/protein/BAR59540.1?report=genbank&amp;log$=prottop&amp;blast_rank=118&amp;RID=7U875CNM013","BAR59540.1")</f>
        <v>BAR59540.1</v>
      </c>
      <c r="J425" s="1" t="s">
        <v>1720</v>
      </c>
    </row>
    <row r="426" spans="1:10" s="4" customFormat="1" x14ac:dyDescent="0.2">
      <c r="A426" s="1" t="s">
        <v>3314</v>
      </c>
      <c r="B426" s="1" t="s">
        <v>3315</v>
      </c>
      <c r="C426" s="1">
        <v>1062</v>
      </c>
      <c r="D426" s="1">
        <v>1062</v>
      </c>
      <c r="E426" s="2">
        <v>0.99</v>
      </c>
      <c r="F426" s="1">
        <v>0</v>
      </c>
      <c r="G426" s="1">
        <v>64.31</v>
      </c>
      <c r="H426" s="1">
        <v>807</v>
      </c>
      <c r="I426" s="1" t="str">
        <f>HYPERLINK("https://www.ncbi.nlm.nih.gov/protein/MBI3775010.1?report=genbank&amp;log$=prottop&amp;blast_rank=120&amp;RID=7U875CNM013","MBI3775010.1")</f>
        <v>MBI3775010.1</v>
      </c>
      <c r="J426" s="1" t="s">
        <v>3276</v>
      </c>
    </row>
    <row r="427" spans="1:10" s="4" customFormat="1" x14ac:dyDescent="0.2">
      <c r="A427" s="1" t="s">
        <v>3590</v>
      </c>
      <c r="B427" s="1" t="s">
        <v>3360</v>
      </c>
      <c r="C427" s="1">
        <v>1067</v>
      </c>
      <c r="D427" s="1">
        <v>1067</v>
      </c>
      <c r="E427" s="2">
        <v>0.97</v>
      </c>
      <c r="F427" s="1">
        <v>0</v>
      </c>
      <c r="G427" s="1">
        <v>64.3</v>
      </c>
      <c r="H427" s="1">
        <v>787</v>
      </c>
      <c r="I427" s="1" t="str">
        <f>HYPERLINK("https://www.ncbi.nlm.nih.gov/protein/TMB68712.1?report=genbank&amp;log$=prottop&amp;blast_rank=121&amp;RID=7U875CNM013","TMB68712.1")</f>
        <v>TMB68712.1</v>
      </c>
      <c r="J427" s="1" t="s">
        <v>3286</v>
      </c>
    </row>
    <row r="428" spans="1:10" s="4" customFormat="1" x14ac:dyDescent="0.2">
      <c r="A428" s="1" t="s">
        <v>3903</v>
      </c>
      <c r="B428" s="1" t="s">
        <v>1151</v>
      </c>
      <c r="C428" s="1">
        <v>1051</v>
      </c>
      <c r="D428" s="1">
        <v>1051</v>
      </c>
      <c r="E428" s="2">
        <v>0.98</v>
      </c>
      <c r="F428" s="1">
        <v>0</v>
      </c>
      <c r="G428" s="1">
        <v>64.290000000000006</v>
      </c>
      <c r="H428" s="1">
        <v>791</v>
      </c>
      <c r="I428" s="1" t="str">
        <f>HYPERLINK("https://www.ncbi.nlm.nih.gov/protein/WP_062537567.1?report=genbank&amp;log$=prottop&amp;blast_rank=126&amp;RID=7U875CNM013","WP_062537567.1")</f>
        <v>WP_062537567.1</v>
      </c>
      <c r="J428" s="1" t="s">
        <v>3276</v>
      </c>
    </row>
    <row r="429" spans="1:10" s="4" customFormat="1" x14ac:dyDescent="0.2">
      <c r="A429" s="1" t="s">
        <v>3904</v>
      </c>
      <c r="B429" s="1" t="s">
        <v>3905</v>
      </c>
      <c r="C429" s="1">
        <v>1092</v>
      </c>
      <c r="D429" s="1">
        <v>1092</v>
      </c>
      <c r="E429" s="2">
        <v>0.98</v>
      </c>
      <c r="F429" s="1">
        <v>0</v>
      </c>
      <c r="G429" s="1">
        <v>64.290000000000006</v>
      </c>
      <c r="H429" s="1">
        <v>786</v>
      </c>
      <c r="I429" s="1" t="str">
        <f>HYPERLINK("https://www.ncbi.nlm.nih.gov/protein/OGQ57850.1?report=genbank&amp;log$=prottop&amp;blast_rank=131&amp;RID=7U875CNM013","OGQ57850.1")</f>
        <v>OGQ57850.1</v>
      </c>
      <c r="J429" s="1" t="s">
        <v>3286</v>
      </c>
    </row>
    <row r="430" spans="1:10" s="4" customFormat="1" x14ac:dyDescent="0.2">
      <c r="A430" s="1" t="s">
        <v>3283</v>
      </c>
      <c r="B430" s="1" t="s">
        <v>3282</v>
      </c>
      <c r="C430" s="1">
        <v>1092</v>
      </c>
      <c r="D430" s="1">
        <v>1092</v>
      </c>
      <c r="E430" s="2">
        <v>0.98</v>
      </c>
      <c r="F430" s="1">
        <v>0</v>
      </c>
      <c r="G430" s="1">
        <v>64.290000000000006</v>
      </c>
      <c r="H430" s="1">
        <v>802</v>
      </c>
      <c r="I430" s="1" t="str">
        <f>HYPERLINK("https://www.ncbi.nlm.nih.gov/protein/TAN62720.1?report=genbank&amp;log$=prottop&amp;blast_rank=132&amp;RID=7U875CNM013","TAN62720.1")</f>
        <v>TAN62720.1</v>
      </c>
      <c r="J430" s="1" t="s">
        <v>3868</v>
      </c>
    </row>
    <row r="431" spans="1:10" s="4" customFormat="1" x14ac:dyDescent="0.2">
      <c r="A431" s="1" t="s">
        <v>3906</v>
      </c>
      <c r="B431" s="1" t="s">
        <v>3907</v>
      </c>
      <c r="C431" s="1">
        <v>1075</v>
      </c>
      <c r="D431" s="1">
        <v>1075</v>
      </c>
      <c r="E431" s="2">
        <v>0.98</v>
      </c>
      <c r="F431" s="1">
        <v>0</v>
      </c>
      <c r="G431" s="1">
        <v>64.290000000000006</v>
      </c>
      <c r="H431" s="1">
        <v>786</v>
      </c>
      <c r="I431" s="1" t="str">
        <f>HYPERLINK("https://www.ncbi.nlm.nih.gov/protein/OGP35910.1?report=genbank&amp;log$=prottop&amp;blast_rank=137&amp;RID=7U875CNM013","OGP35910.1")</f>
        <v>OGP35910.1</v>
      </c>
      <c r="J431" s="1" t="s">
        <v>3286</v>
      </c>
    </row>
    <row r="432" spans="1:10" s="4" customFormat="1" x14ac:dyDescent="0.2">
      <c r="A432" s="1" t="s">
        <v>3840</v>
      </c>
      <c r="B432" s="1" t="s">
        <v>3822</v>
      </c>
      <c r="C432" s="1">
        <v>1071</v>
      </c>
      <c r="D432" s="1">
        <v>1071</v>
      </c>
      <c r="E432" s="2">
        <v>0.98</v>
      </c>
      <c r="F432" s="1">
        <v>0</v>
      </c>
      <c r="G432" s="1">
        <v>64.290000000000006</v>
      </c>
      <c r="H432" s="1">
        <v>829</v>
      </c>
      <c r="I432" s="1" t="str">
        <f>HYPERLINK("https://www.ncbi.nlm.nih.gov/protein/MBC7971529.1?report=genbank&amp;log$=prottop&amp;blast_rank=138&amp;RID=7U875CNM013","MBC7971529.1")</f>
        <v>MBC7971529.1</v>
      </c>
      <c r="J432" s="5" t="s">
        <v>3908</v>
      </c>
    </row>
    <row r="433" spans="1:10" s="4" customFormat="1" x14ac:dyDescent="0.2">
      <c r="A433" s="1" t="s">
        <v>2767</v>
      </c>
      <c r="B433" s="1" t="s">
        <v>2768</v>
      </c>
      <c r="C433" s="1">
        <v>1070</v>
      </c>
      <c r="D433" s="1">
        <v>1070</v>
      </c>
      <c r="E433" s="2">
        <v>0.98</v>
      </c>
      <c r="F433" s="1">
        <v>0</v>
      </c>
      <c r="G433" s="1">
        <v>64.290000000000006</v>
      </c>
      <c r="H433" s="1">
        <v>799</v>
      </c>
      <c r="I433" s="1" t="str">
        <f>HYPERLINK("https://www.ncbi.nlm.nih.gov/protein/KAA3630236.1?report=genbank&amp;log$=prottop&amp;blast_rank=139&amp;RID=7U875CNM013","KAA3630236.1")</f>
        <v>KAA3630236.1</v>
      </c>
      <c r="J433" s="1" t="s">
        <v>2769</v>
      </c>
    </row>
    <row r="434" spans="1:10" s="4" customFormat="1" x14ac:dyDescent="0.2">
      <c r="A434" s="1" t="s">
        <v>3590</v>
      </c>
      <c r="B434" s="1" t="s">
        <v>3360</v>
      </c>
      <c r="C434" s="1">
        <v>1049</v>
      </c>
      <c r="D434" s="1">
        <v>1049</v>
      </c>
      <c r="E434" s="2">
        <v>0.98</v>
      </c>
      <c r="F434" s="1">
        <v>0</v>
      </c>
      <c r="G434" s="1">
        <v>64.290000000000006</v>
      </c>
      <c r="H434" s="1">
        <v>786</v>
      </c>
      <c r="I434" s="1" t="str">
        <f>HYPERLINK("https://www.ncbi.nlm.nih.gov/protein/MBE0604431.1?report=genbank&amp;log$=prottop&amp;blast_rank=149&amp;RID=7U875CNM013","MBE0604431.1")</f>
        <v>MBE0604431.1</v>
      </c>
      <c r="J434" s="1" t="s">
        <v>3286</v>
      </c>
    </row>
    <row r="435" spans="1:10" s="4" customFormat="1" x14ac:dyDescent="0.2">
      <c r="A435" s="1" t="s">
        <v>3909</v>
      </c>
      <c r="B435" s="1" t="s">
        <v>3910</v>
      </c>
      <c r="C435" s="1">
        <v>1048</v>
      </c>
      <c r="D435" s="1">
        <v>1048</v>
      </c>
      <c r="E435" s="2">
        <v>0.98</v>
      </c>
      <c r="F435" s="1">
        <v>0</v>
      </c>
      <c r="G435" s="1">
        <v>64.290000000000006</v>
      </c>
      <c r="H435" s="1">
        <v>842</v>
      </c>
      <c r="I435" s="1" t="str">
        <f>HYPERLINK("https://www.ncbi.nlm.nih.gov/protein/OQY67284.1?report=genbank&amp;log$=prottop&amp;blast_rank=150&amp;RID=7U875CNM013","OQY67284.1")</f>
        <v>OQY67284.1</v>
      </c>
      <c r="J435" s="1" t="s">
        <v>3286</v>
      </c>
    </row>
    <row r="436" spans="1:10" s="4" customFormat="1" x14ac:dyDescent="0.2">
      <c r="A436" s="1" t="s">
        <v>3321</v>
      </c>
      <c r="B436" s="1" t="s">
        <v>3322</v>
      </c>
      <c r="C436" s="1">
        <v>1044</v>
      </c>
      <c r="D436" s="1">
        <v>1044</v>
      </c>
      <c r="E436" s="2">
        <v>0.98</v>
      </c>
      <c r="F436" s="1">
        <v>0</v>
      </c>
      <c r="G436" s="1">
        <v>64.290000000000006</v>
      </c>
      <c r="H436" s="1">
        <v>802</v>
      </c>
      <c r="I436" s="1" t="str">
        <f>HYPERLINK("https://www.ncbi.nlm.nih.gov/protein/PYO01178.1?report=genbank&amp;log$=prottop&amp;blast_rank=151&amp;RID=7U875CNM013","PYO01178.1")</f>
        <v>PYO01178.1</v>
      </c>
      <c r="J436" s="1" t="s">
        <v>3868</v>
      </c>
    </row>
    <row r="437" spans="1:10" s="4" customFormat="1" x14ac:dyDescent="0.2">
      <c r="A437" s="1" t="s">
        <v>3314</v>
      </c>
      <c r="B437" s="1" t="s">
        <v>3315</v>
      </c>
      <c r="C437" s="1">
        <v>1051</v>
      </c>
      <c r="D437" s="1">
        <v>1051</v>
      </c>
      <c r="E437" s="2">
        <v>0.97</v>
      </c>
      <c r="F437" s="1">
        <v>0</v>
      </c>
      <c r="G437" s="1">
        <v>64.28</v>
      </c>
      <c r="H437" s="1">
        <v>798</v>
      </c>
      <c r="I437" s="1" t="str">
        <f>HYPERLINK("https://www.ncbi.nlm.nih.gov/protein/MBA2593483.1?report=genbank&amp;log$=prottop&amp;blast_rank=159&amp;RID=7U875CNM013","MBA2593483.1")</f>
        <v>MBA2593483.1</v>
      </c>
      <c r="J437" s="1" t="s">
        <v>3276</v>
      </c>
    </row>
    <row r="438" spans="1:10" s="4" customFormat="1" x14ac:dyDescent="0.2">
      <c r="A438" s="1" t="s">
        <v>3911</v>
      </c>
      <c r="B438" s="1" t="s">
        <v>3912</v>
      </c>
      <c r="C438" s="1">
        <v>1076</v>
      </c>
      <c r="D438" s="1">
        <v>1076</v>
      </c>
      <c r="E438" s="2">
        <v>0.99</v>
      </c>
      <c r="F438" s="1">
        <v>0</v>
      </c>
      <c r="G438" s="1">
        <v>64.27</v>
      </c>
      <c r="H438" s="1">
        <v>792</v>
      </c>
      <c r="I438" s="1" t="str">
        <f>HYPERLINK("https://www.ncbi.nlm.nih.gov/protein/WP_159599186.1?report=genbank&amp;log$=prottop&amp;blast_rank=165&amp;RID=7U875CNM013","WP_159599186.1")</f>
        <v>WP_159599186.1</v>
      </c>
      <c r="J438" s="1" t="s">
        <v>1720</v>
      </c>
    </row>
    <row r="439" spans="1:10" s="4" customFormat="1" x14ac:dyDescent="0.2">
      <c r="A439" s="1" t="s">
        <v>3913</v>
      </c>
      <c r="B439" s="1" t="s">
        <v>3914</v>
      </c>
      <c r="C439" s="1">
        <v>1076</v>
      </c>
      <c r="D439" s="1">
        <v>1076</v>
      </c>
      <c r="E439" s="2">
        <v>0.99</v>
      </c>
      <c r="F439" s="1">
        <v>0</v>
      </c>
      <c r="G439" s="1">
        <v>64.27</v>
      </c>
      <c r="H439" s="1">
        <v>792</v>
      </c>
      <c r="I439" s="1" t="str">
        <f>HYPERLINK("https://www.ncbi.nlm.nih.gov/protein/WP_144344591.1?report=genbank&amp;log$=prottop&amp;blast_rank=166&amp;RID=7U875CNM013","WP_144344591.1")</f>
        <v>WP_144344591.1</v>
      </c>
      <c r="J439" s="1" t="s">
        <v>1720</v>
      </c>
    </row>
    <row r="440" spans="1:10" s="4" customFormat="1" x14ac:dyDescent="0.2">
      <c r="A440" s="1" t="s">
        <v>852</v>
      </c>
      <c r="B440" s="1" t="s">
        <v>853</v>
      </c>
      <c r="C440" s="1">
        <v>1059</v>
      </c>
      <c r="D440" s="1">
        <v>1059</v>
      </c>
      <c r="E440" s="2">
        <v>0.99</v>
      </c>
      <c r="F440" s="1">
        <v>0</v>
      </c>
      <c r="G440" s="1">
        <v>64.27</v>
      </c>
      <c r="H440" s="1">
        <v>793</v>
      </c>
      <c r="I440" s="1" t="str">
        <f>HYPERLINK("https://www.ncbi.nlm.nih.gov/protein/PYS94305.1?report=genbank&amp;log$=prottop&amp;blast_rank=167&amp;RID=7U875CNM013","PYS94305.1")</f>
        <v>PYS94305.1</v>
      </c>
      <c r="J440" s="1" t="s">
        <v>854</v>
      </c>
    </row>
    <row r="441" spans="1:10" s="4" customFormat="1" x14ac:dyDescent="0.2">
      <c r="A441" s="1" t="s">
        <v>3915</v>
      </c>
      <c r="B441" s="1" t="s">
        <v>3916</v>
      </c>
      <c r="C441" s="1">
        <v>1065</v>
      </c>
      <c r="D441" s="1">
        <v>1065</v>
      </c>
      <c r="E441" s="2">
        <v>0.98</v>
      </c>
      <c r="F441" s="1">
        <v>0</v>
      </c>
      <c r="G441" s="1">
        <v>64.25</v>
      </c>
      <c r="H441" s="1">
        <v>791</v>
      </c>
      <c r="I441" s="1" t="str">
        <f>HYPERLINK("https://www.ncbi.nlm.nih.gov/protein/WP_075166042.1?report=genbank&amp;log$=prottop&amp;blast_rank=202&amp;RID=7U875CNM013","WP_075166042.1")</f>
        <v>WP_075166042.1</v>
      </c>
      <c r="J441" s="5" t="s">
        <v>3917</v>
      </c>
    </row>
    <row r="442" spans="1:10" s="4" customFormat="1" x14ac:dyDescent="0.2">
      <c r="A442" s="1" t="s">
        <v>3918</v>
      </c>
      <c r="B442" s="1" t="s">
        <v>3822</v>
      </c>
      <c r="C442" s="1">
        <v>1065</v>
      </c>
      <c r="D442" s="1">
        <v>1065</v>
      </c>
      <c r="E442" s="2">
        <v>0.98</v>
      </c>
      <c r="F442" s="1">
        <v>0</v>
      </c>
      <c r="G442" s="1">
        <v>64.25</v>
      </c>
      <c r="H442" s="1">
        <v>800</v>
      </c>
      <c r="I442" s="1" t="str">
        <f>HYPERLINK("https://www.ncbi.nlm.nih.gov/protein/HHK96882.1?report=genbank&amp;log$=prottop&amp;blast_rank=203&amp;RID=7U875CNM013","HHK96882.1")</f>
        <v>HHK96882.1</v>
      </c>
      <c r="J442" s="5" t="s">
        <v>3919</v>
      </c>
    </row>
    <row r="443" spans="1:10" s="4" customFormat="1" x14ac:dyDescent="0.2">
      <c r="A443" s="1" t="s">
        <v>3915</v>
      </c>
      <c r="B443" s="1" t="s">
        <v>3916</v>
      </c>
      <c r="C443" s="1">
        <v>1065</v>
      </c>
      <c r="D443" s="1">
        <v>1065</v>
      </c>
      <c r="E443" s="2">
        <v>0.98</v>
      </c>
      <c r="F443" s="1">
        <v>0</v>
      </c>
      <c r="G443" s="1">
        <v>64.25</v>
      </c>
      <c r="H443" s="1">
        <v>791</v>
      </c>
      <c r="I443" s="1" t="str">
        <f>HYPERLINK("https://www.ncbi.nlm.nih.gov/protein/WP_075163417.1?report=genbank&amp;log$=prottop&amp;blast_rank=204&amp;RID=7U875CNM013","WP_075163417.1")</f>
        <v>WP_075163417.1</v>
      </c>
      <c r="J443" s="5" t="s">
        <v>3917</v>
      </c>
    </row>
    <row r="444" spans="1:10" s="4" customFormat="1" x14ac:dyDescent="0.2">
      <c r="A444" s="1" t="s">
        <v>3915</v>
      </c>
      <c r="B444" s="1" t="s">
        <v>3916</v>
      </c>
      <c r="C444" s="1">
        <v>1062</v>
      </c>
      <c r="D444" s="1">
        <v>1062</v>
      </c>
      <c r="E444" s="2">
        <v>0.98</v>
      </c>
      <c r="F444" s="1">
        <v>0</v>
      </c>
      <c r="G444" s="1">
        <v>64.25</v>
      </c>
      <c r="H444" s="1">
        <v>791</v>
      </c>
      <c r="I444" s="1" t="str">
        <f>HYPERLINK("https://www.ncbi.nlm.nih.gov/protein/WP_016483175.1?report=genbank&amp;log$=prottop&amp;blast_rank=205&amp;RID=7U875CNM013","WP_016483175.1")</f>
        <v>WP_016483175.1</v>
      </c>
      <c r="J444" s="5" t="s">
        <v>3917</v>
      </c>
    </row>
    <row r="445" spans="1:10" s="4" customFormat="1" x14ac:dyDescent="0.2">
      <c r="A445" s="1" t="s">
        <v>3920</v>
      </c>
      <c r="B445" s="1" t="s">
        <v>3921</v>
      </c>
      <c r="C445" s="1">
        <v>1053</v>
      </c>
      <c r="D445" s="1">
        <v>1053</v>
      </c>
      <c r="E445" s="2">
        <v>0.98</v>
      </c>
      <c r="F445" s="1">
        <v>0</v>
      </c>
      <c r="G445" s="1">
        <v>64.25</v>
      </c>
      <c r="H445" s="1">
        <v>803</v>
      </c>
      <c r="I445" s="1" t="str">
        <f>HYPERLINK("https://www.ncbi.nlm.nih.gov/protein/WP_020881267.1?report=genbank&amp;log$=prottop&amp;blast_rank=208&amp;RID=7U875CNM013","WP_020881267.1")</f>
        <v>WP_020881267.1</v>
      </c>
      <c r="J445" s="1" t="s">
        <v>3286</v>
      </c>
    </row>
    <row r="446" spans="1:10" s="7" customFormat="1" x14ac:dyDescent="0.2">
      <c r="A446" s="5" t="s">
        <v>3531</v>
      </c>
      <c r="B446" s="5" t="s">
        <v>3532</v>
      </c>
      <c r="C446" s="5">
        <v>1070</v>
      </c>
      <c r="D446" s="5">
        <v>1070</v>
      </c>
      <c r="E446" s="6">
        <v>0.98</v>
      </c>
      <c r="F446" s="5">
        <v>0</v>
      </c>
      <c r="G446" s="5">
        <v>64.2</v>
      </c>
      <c r="H446" s="5">
        <v>801</v>
      </c>
      <c r="I446" s="5" t="str">
        <f>HYPERLINK("https://www.ncbi.nlm.nih.gov/protein/MBN9560017.1?report=genbank&amp;log$=prottop&amp;blast_rank=30&amp;RID=7U875CNM013","MBN9560017.1")</f>
        <v>MBN9560017.1</v>
      </c>
      <c r="J446" s="5" t="s">
        <v>1720</v>
      </c>
    </row>
    <row r="447" spans="1:10" s="7" customFormat="1" x14ac:dyDescent="0.2">
      <c r="A447" s="5" t="s">
        <v>3388</v>
      </c>
      <c r="B447" s="5" t="s">
        <v>3389</v>
      </c>
      <c r="C447" s="5">
        <v>1048</v>
      </c>
      <c r="D447" s="5">
        <v>1048</v>
      </c>
      <c r="E447" s="6">
        <v>0.98</v>
      </c>
      <c r="F447" s="5">
        <v>0</v>
      </c>
      <c r="G447" s="5">
        <v>64.2</v>
      </c>
      <c r="H447" s="5">
        <v>796</v>
      </c>
      <c r="I447" s="5" t="str">
        <f>HYPERLINK("https://www.ncbi.nlm.nih.gov/protein/MBI4193657.1?report=genbank&amp;log$=prottop&amp;blast_rank=32&amp;RID=7U875CNM013","MBI4193657.1")</f>
        <v>MBI4193657.1</v>
      </c>
      <c r="J447" s="5" t="s">
        <v>2134</v>
      </c>
    </row>
    <row r="448" spans="1:10" s="7" customFormat="1" x14ac:dyDescent="0.2">
      <c r="A448" s="5" t="s">
        <v>3922</v>
      </c>
      <c r="B448" s="5"/>
      <c r="C448" s="5">
        <v>1041</v>
      </c>
      <c r="D448" s="5">
        <v>1041</v>
      </c>
      <c r="E448" s="6">
        <v>0.99</v>
      </c>
      <c r="F448" s="5">
        <v>0</v>
      </c>
      <c r="G448" s="5">
        <v>64.19</v>
      </c>
      <c r="H448" s="5">
        <v>793</v>
      </c>
      <c r="I448" s="5" t="str">
        <f>HYPERLINK("https://www.ncbi.nlm.nih.gov/protein/WP_204802927.1?report=genbank&amp;log$=prottop&amp;blast_rank=44&amp;RID=7U875CNM013","WP_204802927.1")</f>
        <v>WP_204802927.1</v>
      </c>
      <c r="J448" s="5" t="s">
        <v>3381</v>
      </c>
    </row>
    <row r="449" spans="1:10" s="7" customFormat="1" x14ac:dyDescent="0.2">
      <c r="A449" s="5" t="s">
        <v>2767</v>
      </c>
      <c r="B449" s="5" t="s">
        <v>2768</v>
      </c>
      <c r="C449" s="5">
        <v>1037</v>
      </c>
      <c r="D449" s="5">
        <v>1037</v>
      </c>
      <c r="E449" s="6">
        <v>0.97</v>
      </c>
      <c r="F449" s="5">
        <v>0</v>
      </c>
      <c r="G449" s="5">
        <v>64.180000000000007</v>
      </c>
      <c r="H449" s="5">
        <v>789</v>
      </c>
      <c r="I449" s="5" t="str">
        <f>HYPERLINK("https://www.ncbi.nlm.nih.gov/protein/MBK6597577.1?report=genbank&amp;log$=prottop&amp;blast_rank=54&amp;RID=7U875CNM013","MBK6597577.1")</f>
        <v>MBK6597577.1</v>
      </c>
      <c r="J449" s="5" t="s">
        <v>2769</v>
      </c>
    </row>
    <row r="450" spans="1:10" s="7" customFormat="1" x14ac:dyDescent="0.2">
      <c r="A450" s="5" t="s">
        <v>3314</v>
      </c>
      <c r="B450" s="5" t="s">
        <v>3315</v>
      </c>
      <c r="C450" s="5">
        <v>1050</v>
      </c>
      <c r="D450" s="5">
        <v>1050</v>
      </c>
      <c r="E450" s="6">
        <v>0.98</v>
      </c>
      <c r="F450" s="5">
        <v>0</v>
      </c>
      <c r="G450" s="5">
        <v>64.17</v>
      </c>
      <c r="H450" s="5">
        <v>794</v>
      </c>
      <c r="I450" s="5" t="str">
        <f>HYPERLINK("https://www.ncbi.nlm.nih.gov/protein/TLY92652.1?report=genbank&amp;log$=prottop&amp;blast_rank=58&amp;RID=7U875CNM013","TLY92652.1")</f>
        <v>TLY92652.1</v>
      </c>
      <c r="J450" s="5" t="s">
        <v>3276</v>
      </c>
    </row>
    <row r="451" spans="1:10" s="7" customFormat="1" ht="18" x14ac:dyDescent="0.2">
      <c r="A451" s="5" t="s">
        <v>3821</v>
      </c>
      <c r="B451" s="5" t="s">
        <v>3822</v>
      </c>
      <c r="C451" s="5">
        <v>1089</v>
      </c>
      <c r="D451" s="5">
        <v>1089</v>
      </c>
      <c r="E451" s="6">
        <v>0.98</v>
      </c>
      <c r="F451" s="5">
        <v>0</v>
      </c>
      <c r="G451" s="5">
        <v>64.16</v>
      </c>
      <c r="H451" s="5">
        <v>800</v>
      </c>
      <c r="I451" s="5" t="str">
        <f>HYPERLINK("https://www.ncbi.nlm.nih.gov/protein/PYJ26567.1?report=genbank&amp;log$=prottop&amp;blast_rank=65&amp;RID=7U875CNM013","PYJ26567.1")</f>
        <v>PYJ26567.1</v>
      </c>
      <c r="J451" s="15" t="s">
        <v>3742</v>
      </c>
    </row>
    <row r="452" spans="1:10" s="7" customFormat="1" ht="18" x14ac:dyDescent="0.2">
      <c r="A452" s="5" t="s">
        <v>3923</v>
      </c>
      <c r="B452" s="5" t="s">
        <v>3924</v>
      </c>
      <c r="C452" s="5">
        <v>1085</v>
      </c>
      <c r="D452" s="5">
        <v>1085</v>
      </c>
      <c r="E452" s="6">
        <v>0.98</v>
      </c>
      <c r="F452" s="5">
        <v>0</v>
      </c>
      <c r="G452" s="5">
        <v>64.16</v>
      </c>
      <c r="H452" s="5">
        <v>804</v>
      </c>
      <c r="I452" s="5" t="str">
        <f>HYPERLINK("https://www.ncbi.nlm.nih.gov/protein/WP_029133734.1?report=genbank&amp;log$=prottop&amp;blast_rank=66&amp;RID=7U875CNM013","WP_029133734.1")</f>
        <v>WP_029133734.1</v>
      </c>
      <c r="J452" s="15" t="s">
        <v>3925</v>
      </c>
    </row>
    <row r="453" spans="1:10" s="7" customFormat="1" ht="18" x14ac:dyDescent="0.2">
      <c r="A453" s="5" t="s">
        <v>3926</v>
      </c>
      <c r="B453" s="5" t="s">
        <v>3927</v>
      </c>
      <c r="C453" s="5">
        <v>1064</v>
      </c>
      <c r="D453" s="5">
        <v>1064</v>
      </c>
      <c r="E453" s="6">
        <v>0.98</v>
      </c>
      <c r="F453" s="5">
        <v>0</v>
      </c>
      <c r="G453" s="5">
        <v>64.16</v>
      </c>
      <c r="H453" s="5">
        <v>796</v>
      </c>
      <c r="I453" s="5" t="str">
        <f>HYPERLINK("https://www.ncbi.nlm.nih.gov/protein/RPI16149.1?report=genbank&amp;log$=prottop&amp;blast_rank=68&amp;RID=7U875CNM013","RPI16149.1")</f>
        <v>RPI16149.1</v>
      </c>
      <c r="J453" s="15" t="s">
        <v>3868</v>
      </c>
    </row>
    <row r="454" spans="1:10" s="7" customFormat="1" x14ac:dyDescent="0.2">
      <c r="A454" s="5" t="s">
        <v>3928</v>
      </c>
      <c r="B454" s="5"/>
      <c r="C454" s="5">
        <v>1033</v>
      </c>
      <c r="D454" s="5">
        <v>1033</v>
      </c>
      <c r="E454" s="6">
        <v>0.97</v>
      </c>
      <c r="F454" s="5">
        <v>0</v>
      </c>
      <c r="G454" s="5">
        <v>64.14</v>
      </c>
      <c r="H454" s="5">
        <v>803</v>
      </c>
      <c r="I454" s="5" t="str">
        <f>HYPERLINK("https://www.ncbi.nlm.nih.gov/protein/WP_209945295.1?report=genbank&amp;log$=prottop&amp;blast_rank=90&amp;RID=7U875CNM013","WP_209945295.1")</f>
        <v>WP_209945295.1</v>
      </c>
      <c r="J454" s="5" t="s">
        <v>1720</v>
      </c>
    </row>
    <row r="455" spans="1:10" s="7" customFormat="1" x14ac:dyDescent="0.2">
      <c r="A455" s="5" t="s">
        <v>3929</v>
      </c>
      <c r="B455" s="5" t="s">
        <v>3930</v>
      </c>
      <c r="C455" s="5">
        <v>1066</v>
      </c>
      <c r="D455" s="5">
        <v>1066</v>
      </c>
      <c r="E455" s="6">
        <v>0.98</v>
      </c>
      <c r="F455" s="5">
        <v>0</v>
      </c>
      <c r="G455" s="5">
        <v>64.12</v>
      </c>
      <c r="H455" s="5">
        <v>793</v>
      </c>
      <c r="I455" s="5" t="str">
        <f>HYPERLINK("https://www.ncbi.nlm.nih.gov/protein/NOY60523.1?report=genbank&amp;log$=prottop&amp;blast_rank=112&amp;RID=7U875CNM013","NOY60523.1")</f>
        <v>NOY60523.1</v>
      </c>
      <c r="J455" s="5" t="s">
        <v>3931</v>
      </c>
    </row>
    <row r="456" spans="1:10" s="7" customFormat="1" x14ac:dyDescent="0.2">
      <c r="A456" s="5" t="s">
        <v>3365</v>
      </c>
      <c r="B456" s="5" t="s">
        <v>3360</v>
      </c>
      <c r="C456" s="5">
        <v>1063</v>
      </c>
      <c r="D456" s="5">
        <v>1063</v>
      </c>
      <c r="E456" s="6">
        <v>0.98</v>
      </c>
      <c r="F456" s="5">
        <v>0</v>
      </c>
      <c r="G456" s="5">
        <v>64.12</v>
      </c>
      <c r="H456" s="5">
        <v>812</v>
      </c>
      <c r="I456" s="5" t="str">
        <f>HYPERLINK("https://www.ncbi.nlm.nih.gov/protein/HFL04921.1?report=genbank&amp;log$=prottop&amp;blast_rank=113&amp;RID=7U875CNM013","HFL04921.1")</f>
        <v>HFL04921.1</v>
      </c>
      <c r="J456" s="5" t="s">
        <v>3286</v>
      </c>
    </row>
    <row r="457" spans="1:10" s="7" customFormat="1" x14ac:dyDescent="0.2">
      <c r="A457" s="5" t="s">
        <v>3314</v>
      </c>
      <c r="B457" s="5" t="s">
        <v>3315</v>
      </c>
      <c r="C457" s="5">
        <v>1061</v>
      </c>
      <c r="D457" s="5">
        <v>1061</v>
      </c>
      <c r="E457" s="6">
        <v>0.98</v>
      </c>
      <c r="F457" s="5">
        <v>0</v>
      </c>
      <c r="G457" s="5">
        <v>64.12</v>
      </c>
      <c r="H457" s="5">
        <v>786</v>
      </c>
      <c r="I457" s="5" t="str">
        <f>HYPERLINK("https://www.ncbi.nlm.nih.gov/protein/TLZ29809.1?report=genbank&amp;log$=prottop&amp;blast_rank=115&amp;RID=7U875CNM013","TLZ29809.1")</f>
        <v>TLZ29809.1</v>
      </c>
      <c r="J457" s="5" t="s">
        <v>3276</v>
      </c>
    </row>
    <row r="458" spans="1:10" s="7" customFormat="1" x14ac:dyDescent="0.2">
      <c r="A458" s="5" t="s">
        <v>3336</v>
      </c>
      <c r="B458" s="5" t="s">
        <v>2768</v>
      </c>
      <c r="C458" s="5">
        <v>1057</v>
      </c>
      <c r="D458" s="5">
        <v>1057</v>
      </c>
      <c r="E458" s="6">
        <v>0.98</v>
      </c>
      <c r="F458" s="5">
        <v>0</v>
      </c>
      <c r="G458" s="5">
        <v>64.12</v>
      </c>
      <c r="H458" s="5">
        <v>808</v>
      </c>
      <c r="I458" s="5" t="str">
        <f>HYPERLINK("https://www.ncbi.nlm.nih.gov/protein/RIL10002.1?report=genbank&amp;log$=prottop&amp;blast_rank=119&amp;RID=7U875CNM013","RIL10002.1")</f>
        <v>RIL10002.1</v>
      </c>
      <c r="J458" s="5" t="s">
        <v>2769</v>
      </c>
    </row>
    <row r="459" spans="1:10" s="7" customFormat="1" x14ac:dyDescent="0.2">
      <c r="A459" s="5" t="s">
        <v>3570</v>
      </c>
      <c r="B459" s="5" t="s">
        <v>3315</v>
      </c>
      <c r="C459" s="5">
        <v>1048</v>
      </c>
      <c r="D459" s="5">
        <v>1048</v>
      </c>
      <c r="E459" s="6">
        <v>0.98</v>
      </c>
      <c r="F459" s="5">
        <v>0</v>
      </c>
      <c r="G459" s="5">
        <v>64.12</v>
      </c>
      <c r="H459" s="5">
        <v>791</v>
      </c>
      <c r="I459" s="5" t="str">
        <f>HYPERLINK("https://www.ncbi.nlm.nih.gov/protein/NIW85854.1?report=genbank&amp;log$=prottop&amp;blast_rank=124&amp;RID=7U875CNM013","NIW85854.1")</f>
        <v>NIW85854.1</v>
      </c>
      <c r="J459" s="5" t="s">
        <v>3276</v>
      </c>
    </row>
    <row r="460" spans="1:10" s="7" customFormat="1" x14ac:dyDescent="0.2">
      <c r="A460" s="5" t="s">
        <v>3932</v>
      </c>
      <c r="B460" s="5" t="s">
        <v>3933</v>
      </c>
      <c r="C460" s="5">
        <v>1029</v>
      </c>
      <c r="D460" s="5">
        <v>1029</v>
      </c>
      <c r="E460" s="6">
        <v>0.99</v>
      </c>
      <c r="F460" s="5">
        <v>0</v>
      </c>
      <c r="G460" s="5">
        <v>64.12</v>
      </c>
      <c r="H460" s="5">
        <v>798</v>
      </c>
      <c r="I460" s="5" t="str">
        <f>HYPERLINK("https://www.ncbi.nlm.nih.gov/protein/WP_142903772.1?report=genbank&amp;log$=prottop&amp;blast_rank=129&amp;RID=7U875CNM013","WP_142903772.1")</f>
        <v>WP_142903772.1</v>
      </c>
      <c r="J460" s="5" t="s">
        <v>3934</v>
      </c>
    </row>
    <row r="461" spans="1:10" s="7" customFormat="1" x14ac:dyDescent="0.2">
      <c r="A461" s="5" t="s">
        <v>3935</v>
      </c>
      <c r="B461" s="5" t="s">
        <v>3936</v>
      </c>
      <c r="C461" s="5">
        <v>1056</v>
      </c>
      <c r="D461" s="5">
        <v>1056</v>
      </c>
      <c r="E461" s="6">
        <v>0.98</v>
      </c>
      <c r="F461" s="5">
        <v>0</v>
      </c>
      <c r="G461" s="5">
        <v>64.09</v>
      </c>
      <c r="H461" s="5">
        <v>795</v>
      </c>
      <c r="I461" s="5" t="str">
        <f>HYPERLINK("https://www.ncbi.nlm.nih.gov/protein/OGA96772.1?report=genbank&amp;log$=prottop&amp;blast_rank=137&amp;RID=7U875CNM013","OGA96772.1")</f>
        <v>OGA96772.1</v>
      </c>
      <c r="J461" s="5" t="s">
        <v>2134</v>
      </c>
    </row>
    <row r="462" spans="1:10" s="7" customFormat="1" x14ac:dyDescent="0.2">
      <c r="A462" s="5" t="s">
        <v>3937</v>
      </c>
      <c r="B462" s="5" t="s">
        <v>3938</v>
      </c>
      <c r="C462" s="5">
        <v>1056</v>
      </c>
      <c r="D462" s="5">
        <v>1056</v>
      </c>
      <c r="E462" s="6">
        <v>0.98</v>
      </c>
      <c r="F462" s="5">
        <v>0</v>
      </c>
      <c r="G462" s="5">
        <v>64.09</v>
      </c>
      <c r="H462" s="5">
        <v>795</v>
      </c>
      <c r="I462" s="5" t="str">
        <f>HYPERLINK("https://www.ncbi.nlm.nih.gov/protein/OGA28238.1?report=genbank&amp;log$=prottop&amp;blast_rank=138&amp;RID=7U875CNM013","OGA28238.1")</f>
        <v>OGA28238.1</v>
      </c>
      <c r="J462" s="5" t="s">
        <v>2134</v>
      </c>
    </row>
    <row r="463" spans="1:10" s="7" customFormat="1" x14ac:dyDescent="0.2">
      <c r="A463" s="5" t="s">
        <v>852</v>
      </c>
      <c r="B463" s="5" t="s">
        <v>853</v>
      </c>
      <c r="C463" s="5">
        <v>1077</v>
      </c>
      <c r="D463" s="5">
        <v>1077</v>
      </c>
      <c r="E463" s="6">
        <v>0.98</v>
      </c>
      <c r="F463" s="5">
        <v>0</v>
      </c>
      <c r="G463" s="5">
        <v>64.08</v>
      </c>
      <c r="H463" s="5">
        <v>797</v>
      </c>
      <c r="I463" s="5" t="str">
        <f>HYPERLINK("https://www.ncbi.nlm.nih.gov/protein/PYT22239.1?report=genbank&amp;log$=prottop&amp;blast_rank=144&amp;RID=7U875CNM013","PYT22239.1")</f>
        <v>PYT22239.1</v>
      </c>
      <c r="J463" s="5" t="s">
        <v>854</v>
      </c>
    </row>
    <row r="464" spans="1:10" s="7" customFormat="1" x14ac:dyDescent="0.2">
      <c r="A464" s="5" t="s">
        <v>3939</v>
      </c>
      <c r="B464" s="5" t="s">
        <v>3940</v>
      </c>
      <c r="C464" s="5">
        <v>1083</v>
      </c>
      <c r="D464" s="5">
        <v>1083</v>
      </c>
      <c r="E464" s="6">
        <v>0.98</v>
      </c>
      <c r="F464" s="5">
        <v>0</v>
      </c>
      <c r="G464" s="5">
        <v>64.069999999999993</v>
      </c>
      <c r="H464" s="5">
        <v>800</v>
      </c>
      <c r="I464" s="5" t="str">
        <f>HYPERLINK("https://www.ncbi.nlm.nih.gov/protein/WP_004358223.1?report=genbank&amp;log$=prottop&amp;blast_rank=154&amp;RID=7U875CNM013","WP_004358223.1")</f>
        <v>WP_004358223.1</v>
      </c>
      <c r="J464" s="5" t="s">
        <v>3941</v>
      </c>
    </row>
    <row r="465" spans="1:10" s="7" customFormat="1" x14ac:dyDescent="0.2">
      <c r="A465" s="5" t="s">
        <v>3942</v>
      </c>
      <c r="B465" s="5" t="s">
        <v>3943</v>
      </c>
      <c r="C465" s="5">
        <v>1045</v>
      </c>
      <c r="D465" s="5">
        <v>1045</v>
      </c>
      <c r="E465" s="6">
        <v>0.97</v>
      </c>
      <c r="F465" s="5">
        <v>0</v>
      </c>
      <c r="G465" s="5">
        <v>64.06</v>
      </c>
      <c r="H465" s="5">
        <v>801</v>
      </c>
      <c r="I465" s="5" t="str">
        <f>HYPERLINK("https://www.ncbi.nlm.nih.gov/protein/RXH08694.1?report=genbank&amp;log$=prottop&amp;blast_rank=178&amp;RID=7U875CNM013","RXH08694.1")</f>
        <v>RXH08694.1</v>
      </c>
      <c r="J465" s="5" t="s">
        <v>1720</v>
      </c>
    </row>
    <row r="466" spans="1:10" s="7" customFormat="1" x14ac:dyDescent="0.2">
      <c r="A466" s="5" t="s">
        <v>3281</v>
      </c>
      <c r="B466" s="5" t="s">
        <v>3282</v>
      </c>
      <c r="C466" s="5">
        <v>1034</v>
      </c>
      <c r="D466" s="5">
        <v>1034</v>
      </c>
      <c r="E466" s="6">
        <v>0.97</v>
      </c>
      <c r="F466" s="5">
        <v>0</v>
      </c>
      <c r="G466" s="5">
        <v>64.05</v>
      </c>
      <c r="H466" s="5">
        <v>786</v>
      </c>
      <c r="I466" s="5" t="str">
        <f>HYPERLINK("https://www.ncbi.nlm.nih.gov/protein/HEA98065.1?report=genbank&amp;log$=prottop&amp;blast_rank=196&amp;RID=7U875CNM013","HEA98065.1")</f>
        <v>HEA98065.1</v>
      </c>
      <c r="J466" s="5" t="s">
        <v>3868</v>
      </c>
    </row>
    <row r="467" spans="1:10" s="7" customFormat="1" x14ac:dyDescent="0.2">
      <c r="A467" s="5" t="s">
        <v>3365</v>
      </c>
      <c r="B467" s="5" t="s">
        <v>3360</v>
      </c>
      <c r="C467" s="5">
        <v>1034</v>
      </c>
      <c r="D467" s="5">
        <v>1034</v>
      </c>
      <c r="E467" s="6">
        <v>0.97</v>
      </c>
      <c r="F467" s="5">
        <v>0</v>
      </c>
      <c r="G467" s="5">
        <v>64.05</v>
      </c>
      <c r="H467" s="5">
        <v>786</v>
      </c>
      <c r="I467" s="5" t="str">
        <f>HYPERLINK("https://www.ncbi.nlm.nih.gov/protein/HFI48305.1?report=genbank&amp;log$=prottop&amp;blast_rank=197&amp;RID=7U875CNM013","HFI48305.1")</f>
        <v>HFI48305.1</v>
      </c>
      <c r="J467" s="5" t="s">
        <v>3286</v>
      </c>
    </row>
    <row r="468" spans="1:10" s="7" customFormat="1" x14ac:dyDescent="0.2">
      <c r="A468" s="5" t="s">
        <v>3281</v>
      </c>
      <c r="B468" s="5" t="s">
        <v>3282</v>
      </c>
      <c r="C468" s="5">
        <v>1075</v>
      </c>
      <c r="D468" s="5">
        <v>1075</v>
      </c>
      <c r="E468" s="6">
        <v>0.98</v>
      </c>
      <c r="F468" s="5">
        <v>0</v>
      </c>
      <c r="G468" s="5">
        <v>64.040000000000006</v>
      </c>
      <c r="H468" s="5">
        <v>792</v>
      </c>
      <c r="I468" s="5" t="str">
        <f>HYPERLINK("https://www.ncbi.nlm.nih.gov/protein/HDQ45163.1?report=genbank&amp;log$=prottop&amp;blast_rank=203&amp;RID=7U875CNM013","HDQ45163.1")</f>
        <v>HDQ45163.1</v>
      </c>
      <c r="J468" s="5" t="s">
        <v>3868</v>
      </c>
    </row>
    <row r="469" spans="1:10" s="7" customFormat="1" x14ac:dyDescent="0.2">
      <c r="A469" s="5" t="s">
        <v>3944</v>
      </c>
      <c r="B469" s="5" t="s">
        <v>3945</v>
      </c>
      <c r="C469" s="5">
        <v>1068</v>
      </c>
      <c r="D469" s="5">
        <v>1068</v>
      </c>
      <c r="E469" s="6">
        <v>0.98</v>
      </c>
      <c r="F469" s="5">
        <v>0</v>
      </c>
      <c r="G469" s="5">
        <v>64.040000000000006</v>
      </c>
      <c r="H469" s="5">
        <v>802</v>
      </c>
      <c r="I469" s="5" t="str">
        <f>HYPERLINK("https://www.ncbi.nlm.nih.gov/protein/PZR87678.1?report=genbank&amp;log$=prottop&amp;blast_rank=204&amp;RID=7U875CNM013","PZR87678.1")</f>
        <v>PZR87678.1</v>
      </c>
      <c r="J469" s="5" t="s">
        <v>3946</v>
      </c>
    </row>
    <row r="470" spans="1:10" s="7" customFormat="1" x14ac:dyDescent="0.2">
      <c r="A470" s="5" t="s">
        <v>3314</v>
      </c>
      <c r="B470" s="5" t="s">
        <v>3315</v>
      </c>
      <c r="C470" s="5">
        <v>1048</v>
      </c>
      <c r="D470" s="5">
        <v>1048</v>
      </c>
      <c r="E470" s="6">
        <v>0.98</v>
      </c>
      <c r="F470" s="5">
        <v>0</v>
      </c>
      <c r="G470" s="5">
        <v>64.040000000000006</v>
      </c>
      <c r="H470" s="5">
        <v>794</v>
      </c>
      <c r="I470" s="5" t="str">
        <f>HYPERLINK("https://www.ncbi.nlm.nih.gov/protein/TLZ23299.1?report=genbank&amp;log$=prottop&amp;blast_rank=205&amp;RID=7U875CNM013","TLZ23299.1")</f>
        <v>TLZ23299.1</v>
      </c>
      <c r="J470" s="5" t="s">
        <v>3276</v>
      </c>
    </row>
    <row r="471" spans="1:10" s="7" customFormat="1" x14ac:dyDescent="0.2">
      <c r="A471" s="5" t="s">
        <v>3840</v>
      </c>
      <c r="B471" s="5" t="s">
        <v>3822</v>
      </c>
      <c r="C471" s="5">
        <v>1047</v>
      </c>
      <c r="D471" s="5">
        <v>1047</v>
      </c>
      <c r="E471" s="6">
        <v>0.98</v>
      </c>
      <c r="F471" s="5">
        <v>0</v>
      </c>
      <c r="G471" s="5">
        <v>64.03</v>
      </c>
      <c r="H471" s="5">
        <v>801</v>
      </c>
      <c r="I471" s="5" t="str">
        <f>HYPERLINK("https://www.ncbi.nlm.nih.gov/protein/MBE0543041.1?report=genbank&amp;log$=prottop&amp;blast_rank=226&amp;RID=7U875CNM013","MBE0543041.1")</f>
        <v>MBE0543041.1</v>
      </c>
      <c r="J471" s="5" t="s">
        <v>3947</v>
      </c>
    </row>
    <row r="472" spans="1:10" s="7" customFormat="1" x14ac:dyDescent="0.2">
      <c r="A472" s="5" t="s">
        <v>3948</v>
      </c>
      <c r="B472" s="5" t="s">
        <v>3949</v>
      </c>
      <c r="C472" s="5">
        <v>1077</v>
      </c>
      <c r="D472" s="5">
        <v>1077</v>
      </c>
      <c r="E472" s="6">
        <v>0.98</v>
      </c>
      <c r="F472" s="5">
        <v>0</v>
      </c>
      <c r="G472" s="5">
        <v>63.99</v>
      </c>
      <c r="H472" s="5">
        <v>800</v>
      </c>
      <c r="I472" s="5" t="str">
        <f>HYPERLINK("https://www.ncbi.nlm.nih.gov/protein/OLB30322.1?report=genbank&amp;log$=prottop&amp;blast_rank=8&amp;RID=7U875CNM013","OLB30322.1")</f>
        <v>OLB30322.1</v>
      </c>
      <c r="J472" s="5" t="s">
        <v>854</v>
      </c>
    </row>
    <row r="473" spans="1:10" s="7" customFormat="1" x14ac:dyDescent="0.2">
      <c r="A473" s="5" t="s">
        <v>2631</v>
      </c>
      <c r="B473" s="5" t="s">
        <v>2632</v>
      </c>
      <c r="C473" s="5">
        <v>1068</v>
      </c>
      <c r="D473" s="5">
        <v>1068</v>
      </c>
      <c r="E473" s="6">
        <v>0.98</v>
      </c>
      <c r="F473" s="5">
        <v>0</v>
      </c>
      <c r="G473" s="5">
        <v>63.99</v>
      </c>
      <c r="H473" s="5">
        <v>788</v>
      </c>
      <c r="I473" s="5" t="str">
        <f>HYPERLINK("https://www.ncbi.nlm.nih.gov/protein/MBL8219705.1?report=genbank&amp;log$=prottop&amp;blast_rank=15&amp;RID=7U875CNM013","MBL8219705.1")</f>
        <v>MBL8219705.1</v>
      </c>
      <c r="J473" s="5" t="s">
        <v>854</v>
      </c>
    </row>
    <row r="474" spans="1:10" s="7" customFormat="1" x14ac:dyDescent="0.2">
      <c r="A474" s="5" t="s">
        <v>3314</v>
      </c>
      <c r="B474" s="5" t="s">
        <v>3315</v>
      </c>
      <c r="C474" s="5">
        <v>1058</v>
      </c>
      <c r="D474" s="5">
        <v>1058</v>
      </c>
      <c r="E474" s="6">
        <v>0.98</v>
      </c>
      <c r="F474" s="5">
        <v>0</v>
      </c>
      <c r="G474" s="5">
        <v>63.99</v>
      </c>
      <c r="H474" s="5">
        <v>786</v>
      </c>
      <c r="I474" s="5" t="str">
        <f>HYPERLINK("https://www.ncbi.nlm.nih.gov/protein/TLY61106.1?report=genbank&amp;log$=prottop&amp;blast_rank=16&amp;RID=7U875CNM013","TLY61106.1")</f>
        <v>TLY61106.1</v>
      </c>
      <c r="J474" s="5" t="s">
        <v>3276</v>
      </c>
    </row>
    <row r="475" spans="1:10" s="7" customFormat="1" x14ac:dyDescent="0.2">
      <c r="A475" s="5" t="s">
        <v>3314</v>
      </c>
      <c r="B475" s="5" t="s">
        <v>3315</v>
      </c>
      <c r="C475" s="5">
        <v>1056</v>
      </c>
      <c r="D475" s="5">
        <v>1056</v>
      </c>
      <c r="E475" s="6">
        <v>0.98</v>
      </c>
      <c r="F475" s="5">
        <v>0</v>
      </c>
      <c r="G475" s="5">
        <v>63.99</v>
      </c>
      <c r="H475" s="5">
        <v>786</v>
      </c>
      <c r="I475" s="5" t="str">
        <f>HYPERLINK("https://www.ncbi.nlm.nih.gov/protein/TLZ27889.1?report=genbank&amp;log$=prottop&amp;blast_rank=17&amp;RID=7U875CNM013","TLZ27889.1")</f>
        <v>TLZ27889.1</v>
      </c>
      <c r="J475" s="5" t="s">
        <v>3276</v>
      </c>
    </row>
    <row r="476" spans="1:10" s="7" customFormat="1" x14ac:dyDescent="0.2">
      <c r="A476" s="5" t="s">
        <v>3314</v>
      </c>
      <c r="B476" s="5" t="s">
        <v>3315</v>
      </c>
      <c r="C476" s="5">
        <v>1055</v>
      </c>
      <c r="D476" s="5">
        <v>1055</v>
      </c>
      <c r="E476" s="6">
        <v>0.98</v>
      </c>
      <c r="F476" s="5">
        <v>0</v>
      </c>
      <c r="G476" s="5">
        <v>63.99</v>
      </c>
      <c r="H476" s="5">
        <v>786</v>
      </c>
      <c r="I476" s="5" t="str">
        <f>HYPERLINK("https://www.ncbi.nlm.nih.gov/protein/TLY73377.1?report=genbank&amp;log$=prottop&amp;blast_rank=19&amp;RID=7U875CNM013","TLY73377.1")</f>
        <v>TLY73377.1</v>
      </c>
      <c r="J476" s="5" t="s">
        <v>3276</v>
      </c>
    </row>
    <row r="477" spans="1:10" s="7" customFormat="1" x14ac:dyDescent="0.2">
      <c r="A477" s="5" t="s">
        <v>3950</v>
      </c>
      <c r="B477" s="5" t="s">
        <v>3951</v>
      </c>
      <c r="C477" s="5">
        <v>1052</v>
      </c>
      <c r="D477" s="5">
        <v>1052</v>
      </c>
      <c r="E477" s="6">
        <v>0.97</v>
      </c>
      <c r="F477" s="5">
        <v>0</v>
      </c>
      <c r="G477" s="5">
        <v>63.99</v>
      </c>
      <c r="H477" s="5">
        <v>795</v>
      </c>
      <c r="I477" s="5" t="str">
        <f>HYPERLINK("https://www.ncbi.nlm.nih.gov/protein/GGP25854.1?report=genbank&amp;log$=prottop&amp;blast_rank=20&amp;RID=7U875CNM013","GGP25854.1")</f>
        <v>GGP25854.1</v>
      </c>
      <c r="J477" s="5" t="s">
        <v>2134</v>
      </c>
    </row>
    <row r="478" spans="1:10" s="7" customFormat="1" x14ac:dyDescent="0.2">
      <c r="A478" s="5" t="s">
        <v>3952</v>
      </c>
      <c r="B478" s="5" t="s">
        <v>3951</v>
      </c>
      <c r="C478" s="5">
        <v>1051</v>
      </c>
      <c r="D478" s="5">
        <v>1051</v>
      </c>
      <c r="E478" s="6">
        <v>0.97</v>
      </c>
      <c r="F478" s="5">
        <v>0</v>
      </c>
      <c r="G478" s="5">
        <v>63.99</v>
      </c>
      <c r="H478" s="5">
        <v>782</v>
      </c>
      <c r="I478" s="5" t="str">
        <f>HYPERLINK("https://www.ncbi.nlm.nih.gov/protein/WP_188692507.1?report=genbank&amp;log$=prottop&amp;blast_rank=21&amp;RID=7U875CNM013","WP_188692507.1")</f>
        <v>WP_188692507.1</v>
      </c>
      <c r="J478" s="5" t="s">
        <v>2134</v>
      </c>
    </row>
    <row r="479" spans="1:10" s="7" customFormat="1" x14ac:dyDescent="0.2">
      <c r="A479" s="5" t="s">
        <v>3953</v>
      </c>
      <c r="B479" s="5" t="s">
        <v>3954</v>
      </c>
      <c r="C479" s="5">
        <v>1040</v>
      </c>
      <c r="D479" s="5">
        <v>1040</v>
      </c>
      <c r="E479" s="6">
        <v>0.98</v>
      </c>
      <c r="F479" s="5">
        <v>0</v>
      </c>
      <c r="G479" s="5">
        <v>63.99</v>
      </c>
      <c r="H479" s="5">
        <v>802</v>
      </c>
      <c r="I479" s="5" t="str">
        <f>HYPERLINK("https://www.ncbi.nlm.nih.gov/protein/WP_057849901.1?report=genbank&amp;log$=prottop&amp;blast_rank=22&amp;RID=7U875CNM013","WP_057849901.1")</f>
        <v>WP_057849901.1</v>
      </c>
      <c r="J479" s="5" t="s">
        <v>1720</v>
      </c>
    </row>
    <row r="480" spans="1:10" s="7" customFormat="1" x14ac:dyDescent="0.2">
      <c r="A480" s="5" t="s">
        <v>3955</v>
      </c>
      <c r="B480" s="5" t="s">
        <v>3956</v>
      </c>
      <c r="C480" s="5">
        <v>1087</v>
      </c>
      <c r="D480" s="5">
        <v>1087</v>
      </c>
      <c r="E480" s="6">
        <v>0.97</v>
      </c>
      <c r="F480" s="5">
        <v>0</v>
      </c>
      <c r="G480" s="5">
        <v>63.96</v>
      </c>
      <c r="H480" s="5">
        <v>790</v>
      </c>
      <c r="I480" s="5" t="str">
        <f>HYPERLINK("https://www.ncbi.nlm.nih.gov/protein/MAT38204.1?report=genbank&amp;log$=prottop&amp;blast_rank=43&amp;RID=7U875CNM013","MAT38204.1")</f>
        <v>MAT38204.1</v>
      </c>
      <c r="J480" s="5" t="s">
        <v>3957</v>
      </c>
    </row>
    <row r="481" spans="1:10" s="7" customFormat="1" x14ac:dyDescent="0.2">
      <c r="A481" s="5" t="s">
        <v>3958</v>
      </c>
      <c r="B481" s="5" t="s">
        <v>3959</v>
      </c>
      <c r="C481" s="5">
        <v>1067</v>
      </c>
      <c r="D481" s="5">
        <v>1067</v>
      </c>
      <c r="E481" s="6">
        <v>0.98</v>
      </c>
      <c r="F481" s="5">
        <v>0</v>
      </c>
      <c r="G481" s="5">
        <v>63.95</v>
      </c>
      <c r="H481" s="5">
        <v>792</v>
      </c>
      <c r="I481" s="5" t="str">
        <f>HYPERLINK("https://www.ncbi.nlm.nih.gov/protein/WP_156574982.1?report=genbank&amp;log$=prottop&amp;blast_rank=53&amp;RID=7U875CNM013","WP_156574982.1")</f>
        <v>WP_156574982.1</v>
      </c>
      <c r="J481" s="5" t="s">
        <v>3276</v>
      </c>
    </row>
    <row r="482" spans="1:10" s="7" customFormat="1" x14ac:dyDescent="0.2">
      <c r="A482" s="5" t="s">
        <v>3314</v>
      </c>
      <c r="B482" s="5" t="s">
        <v>3315</v>
      </c>
      <c r="C482" s="5">
        <v>1087</v>
      </c>
      <c r="D482" s="5">
        <v>1087</v>
      </c>
      <c r="E482" s="6">
        <v>0.99</v>
      </c>
      <c r="F482" s="5">
        <v>0</v>
      </c>
      <c r="G482" s="5">
        <v>63.94</v>
      </c>
      <c r="H482" s="5">
        <v>801</v>
      </c>
      <c r="I482" s="5" t="str">
        <f>HYPERLINK("https://www.ncbi.nlm.nih.gov/protein/NOX27306.1?report=genbank&amp;log$=prottop&amp;blast_rank=55&amp;RID=7U875CNM013","NOX27306.1")</f>
        <v>NOX27306.1</v>
      </c>
      <c r="J482" s="5" t="s">
        <v>3276</v>
      </c>
    </row>
    <row r="483" spans="1:10" s="7" customFormat="1" x14ac:dyDescent="0.2">
      <c r="A483" s="5" t="s">
        <v>3629</v>
      </c>
      <c r="B483" s="5" t="s">
        <v>853</v>
      </c>
      <c r="C483" s="5">
        <v>1060</v>
      </c>
      <c r="D483" s="5">
        <v>1060</v>
      </c>
      <c r="E483" s="6">
        <v>0.99</v>
      </c>
      <c r="F483" s="5">
        <v>0</v>
      </c>
      <c r="G483" s="5">
        <v>63.94</v>
      </c>
      <c r="H483" s="5">
        <v>806</v>
      </c>
      <c r="I483" s="5" t="str">
        <f>HYPERLINK("https://www.ncbi.nlm.nih.gov/protein/MBI4457252.1?report=genbank&amp;log$=prottop&amp;blast_rank=57&amp;RID=7U875CNM013","MBI4457252.1")</f>
        <v>MBI4457252.1</v>
      </c>
      <c r="J483" s="5" t="s">
        <v>854</v>
      </c>
    </row>
    <row r="484" spans="1:10" s="7" customFormat="1" x14ac:dyDescent="0.2">
      <c r="A484" s="5" t="s">
        <v>3314</v>
      </c>
      <c r="B484" s="5" t="s">
        <v>3315</v>
      </c>
      <c r="C484" s="5">
        <v>1052</v>
      </c>
      <c r="D484" s="5">
        <v>1052</v>
      </c>
      <c r="E484" s="6">
        <v>0.98</v>
      </c>
      <c r="F484" s="5">
        <v>0</v>
      </c>
      <c r="G484" s="5">
        <v>63.94</v>
      </c>
      <c r="H484" s="5">
        <v>784</v>
      </c>
      <c r="I484" s="5" t="str">
        <f>HYPERLINK("https://www.ncbi.nlm.nih.gov/protein/RMG31107.1?report=genbank&amp;log$=prottop&amp;blast_rank=59&amp;RID=7U875CNM013","RMG31107.1")</f>
        <v>RMG31107.1</v>
      </c>
      <c r="J484" s="5" t="s">
        <v>3276</v>
      </c>
    </row>
    <row r="485" spans="1:10" s="7" customFormat="1" x14ac:dyDescent="0.2">
      <c r="A485" s="5" t="s">
        <v>2767</v>
      </c>
      <c r="B485" s="5" t="s">
        <v>2768</v>
      </c>
      <c r="C485" s="5">
        <v>1043</v>
      </c>
      <c r="D485" s="5">
        <v>1043</v>
      </c>
      <c r="E485" s="6">
        <v>0.98</v>
      </c>
      <c r="F485" s="5">
        <v>0</v>
      </c>
      <c r="G485" s="5">
        <v>63.94</v>
      </c>
      <c r="H485" s="5">
        <v>799</v>
      </c>
      <c r="I485" s="5" t="str">
        <f>HYPERLINK("https://www.ncbi.nlm.nih.gov/protein/NCC04720.1?report=genbank&amp;log$=prottop&amp;blast_rank=64&amp;RID=7U875CNM013","NCC04720.1")</f>
        <v>NCC04720.1</v>
      </c>
      <c r="J485" s="5" t="s">
        <v>2769</v>
      </c>
    </row>
    <row r="486" spans="1:10" s="7" customFormat="1" x14ac:dyDescent="0.2">
      <c r="A486" s="5" t="s">
        <v>3314</v>
      </c>
      <c r="B486" s="5" t="s">
        <v>3315</v>
      </c>
      <c r="C486" s="5">
        <v>1028</v>
      </c>
      <c r="D486" s="5">
        <v>1028</v>
      </c>
      <c r="E486" s="6">
        <v>0.95</v>
      </c>
      <c r="F486" s="5">
        <v>0</v>
      </c>
      <c r="G486" s="5">
        <v>63.92</v>
      </c>
      <c r="H486" s="5">
        <v>776</v>
      </c>
      <c r="I486" s="5" t="str">
        <f>HYPERLINK("https://www.ncbi.nlm.nih.gov/protein/TLZ56561.1?report=genbank&amp;log$=prottop&amp;blast_rank=95&amp;RID=7U875CNM013","TLZ56561.1")</f>
        <v>TLZ56561.1</v>
      </c>
      <c r="J486" s="5" t="s">
        <v>3276</v>
      </c>
    </row>
    <row r="487" spans="1:10" s="7" customFormat="1" x14ac:dyDescent="0.2">
      <c r="A487" s="5" t="s">
        <v>3962</v>
      </c>
      <c r="B487" s="5" t="s">
        <v>3963</v>
      </c>
      <c r="C487" s="5">
        <v>1035</v>
      </c>
      <c r="D487" s="5">
        <v>1035</v>
      </c>
      <c r="E487" s="6">
        <v>0.97</v>
      </c>
      <c r="F487" s="5">
        <v>0</v>
      </c>
      <c r="G487" s="5">
        <v>63.92</v>
      </c>
      <c r="H487" s="5">
        <v>782</v>
      </c>
      <c r="I487" s="5" t="str">
        <f>HYPERLINK("https://www.ncbi.nlm.nih.gov/protein/MBA3712782.1?report=genbank&amp;log$=prottop&amp;blast_rank=96&amp;RID=7U875CNM013","MBA3712782.1")</f>
        <v>MBA3712782.1</v>
      </c>
      <c r="J487" s="5" t="s">
        <v>854</v>
      </c>
    </row>
    <row r="488" spans="1:10" s="7" customFormat="1" x14ac:dyDescent="0.2">
      <c r="A488" s="5" t="s">
        <v>3590</v>
      </c>
      <c r="B488" s="5" t="s">
        <v>3360</v>
      </c>
      <c r="C488" s="5">
        <v>1075</v>
      </c>
      <c r="D488" s="5">
        <v>1075</v>
      </c>
      <c r="E488" s="6">
        <v>0.98</v>
      </c>
      <c r="F488" s="5">
        <v>0</v>
      </c>
      <c r="G488" s="5">
        <v>63.9</v>
      </c>
      <c r="H488" s="5">
        <v>791</v>
      </c>
      <c r="I488" s="5" t="str">
        <f>HYPERLINK("https://www.ncbi.nlm.nih.gov/protein/MBI4526036.1?report=genbank&amp;log$=prottop&amp;blast_rank=120&amp;RID=7U875CNM013","MBI4526036.1")</f>
        <v>MBI4526036.1</v>
      </c>
      <c r="J488" s="5" t="s">
        <v>3286</v>
      </c>
    </row>
    <row r="489" spans="1:10" s="7" customFormat="1" x14ac:dyDescent="0.2">
      <c r="A489" s="5" t="s">
        <v>3314</v>
      </c>
      <c r="B489" s="5" t="s">
        <v>3315</v>
      </c>
      <c r="C489" s="5">
        <v>1061</v>
      </c>
      <c r="D489" s="5">
        <v>1061</v>
      </c>
      <c r="E489" s="6">
        <v>0.98</v>
      </c>
      <c r="F489" s="5">
        <v>0</v>
      </c>
      <c r="G489" s="5">
        <v>63.87</v>
      </c>
      <c r="H489" s="5">
        <v>786</v>
      </c>
      <c r="I489" s="5" t="str">
        <f>HYPERLINK("https://www.ncbi.nlm.nih.gov/protein/TLZ37298.1?report=genbank&amp;log$=prottop&amp;blast_rank=177&amp;RID=7U875CNM013","TLZ37298.1")</f>
        <v>TLZ37298.1</v>
      </c>
      <c r="J489" s="5" t="s">
        <v>3276</v>
      </c>
    </row>
    <row r="490" spans="1:10" s="7" customFormat="1" x14ac:dyDescent="0.2">
      <c r="A490" s="5" t="s">
        <v>3314</v>
      </c>
      <c r="B490" s="5" t="s">
        <v>3315</v>
      </c>
      <c r="C490" s="5">
        <v>1056</v>
      </c>
      <c r="D490" s="5">
        <v>1056</v>
      </c>
      <c r="E490" s="6">
        <v>0.98</v>
      </c>
      <c r="F490" s="5">
        <v>0</v>
      </c>
      <c r="G490" s="5">
        <v>63.87</v>
      </c>
      <c r="H490" s="5">
        <v>786</v>
      </c>
      <c r="I490" s="5" t="str">
        <f>HYPERLINK("https://www.ncbi.nlm.nih.gov/protein/TLY83287.1?report=genbank&amp;log$=prottop&amp;blast_rank=178&amp;RID=7U875CNM013","TLY83287.1")</f>
        <v>TLY83287.1</v>
      </c>
      <c r="J490" s="5" t="s">
        <v>3276</v>
      </c>
    </row>
    <row r="491" spans="1:10" s="7" customFormat="1" x14ac:dyDescent="0.2">
      <c r="A491" s="5" t="s">
        <v>3964</v>
      </c>
      <c r="B491" s="5" t="s">
        <v>3965</v>
      </c>
      <c r="C491" s="5">
        <v>1056</v>
      </c>
      <c r="D491" s="5">
        <v>1056</v>
      </c>
      <c r="E491" s="6">
        <v>0.98</v>
      </c>
      <c r="F491" s="5">
        <v>0</v>
      </c>
      <c r="G491" s="5">
        <v>63.87</v>
      </c>
      <c r="H491" s="5">
        <v>786</v>
      </c>
      <c r="I491" s="5" t="str">
        <f>HYPERLINK("https://www.ncbi.nlm.nih.gov/protein/OLB10725.1?report=genbank&amp;log$=prottop&amp;blast_rank=179&amp;RID=7U875CNM013","OLB10725.1")</f>
        <v>OLB10725.1</v>
      </c>
      <c r="J491" s="5" t="s">
        <v>3276</v>
      </c>
    </row>
    <row r="492" spans="1:10" s="7" customFormat="1" x14ac:dyDescent="0.2">
      <c r="A492" s="5" t="s">
        <v>3314</v>
      </c>
      <c r="B492" s="5" t="s">
        <v>3315</v>
      </c>
      <c r="C492" s="5">
        <v>1054</v>
      </c>
      <c r="D492" s="5">
        <v>1054</v>
      </c>
      <c r="E492" s="6">
        <v>0.98</v>
      </c>
      <c r="F492" s="5">
        <v>0</v>
      </c>
      <c r="G492" s="5">
        <v>63.87</v>
      </c>
      <c r="H492" s="5">
        <v>786</v>
      </c>
      <c r="I492" s="5" t="str">
        <f>HYPERLINK("https://www.ncbi.nlm.nih.gov/protein/TLZ10330.1?report=genbank&amp;log$=prottop&amp;blast_rank=180&amp;RID=7U875CNM013","TLZ10330.1")</f>
        <v>TLZ10330.1</v>
      </c>
      <c r="J492" s="5" t="s">
        <v>3276</v>
      </c>
    </row>
    <row r="493" spans="1:10" s="7" customFormat="1" x14ac:dyDescent="0.2">
      <c r="A493" s="5" t="s">
        <v>3966</v>
      </c>
      <c r="B493" s="5" t="s">
        <v>3967</v>
      </c>
      <c r="C493" s="5">
        <v>1048</v>
      </c>
      <c r="D493" s="5">
        <v>1048</v>
      </c>
      <c r="E493" s="6">
        <v>0.98</v>
      </c>
      <c r="F493" s="5">
        <v>0</v>
      </c>
      <c r="G493" s="5">
        <v>63.87</v>
      </c>
      <c r="H493" s="5">
        <v>786</v>
      </c>
      <c r="I493" s="5" t="str">
        <f>HYPERLINK("https://www.ncbi.nlm.nih.gov/protein/GBD24898.1?report=genbank&amp;log$=prottop&amp;blast_rank=182&amp;RID=7U875CNM013","GBD24898.1")</f>
        <v>GBD24898.1</v>
      </c>
      <c r="J493" s="5" t="s">
        <v>3868</v>
      </c>
    </row>
    <row r="494" spans="1:10" s="7" customFormat="1" x14ac:dyDescent="0.2">
      <c r="A494" s="5" t="s">
        <v>3570</v>
      </c>
      <c r="B494" s="5" t="s">
        <v>3315</v>
      </c>
      <c r="C494" s="5">
        <v>1046</v>
      </c>
      <c r="D494" s="5">
        <v>1046</v>
      </c>
      <c r="E494" s="6">
        <v>0.98</v>
      </c>
      <c r="F494" s="5">
        <v>0</v>
      </c>
      <c r="G494" s="5">
        <v>63.87</v>
      </c>
      <c r="H494" s="5">
        <v>797</v>
      </c>
      <c r="I494" s="5" t="str">
        <f>HYPERLINK("https://www.ncbi.nlm.nih.gov/protein/MAT82954.1?report=genbank&amp;log$=prottop&amp;blast_rank=183&amp;RID=7U875CNM013","MAT82954.1")</f>
        <v>MAT82954.1</v>
      </c>
      <c r="J494" s="5" t="s">
        <v>3276</v>
      </c>
    </row>
    <row r="495" spans="1:10" s="7" customFormat="1" x14ac:dyDescent="0.2">
      <c r="A495" s="5" t="s">
        <v>3968</v>
      </c>
      <c r="B495" s="5" t="s">
        <v>3969</v>
      </c>
      <c r="C495" s="5">
        <v>1074</v>
      </c>
      <c r="D495" s="5">
        <v>1074</v>
      </c>
      <c r="E495" s="6">
        <v>0.97</v>
      </c>
      <c r="F495" s="5">
        <v>0</v>
      </c>
      <c r="G495" s="5">
        <v>63.85</v>
      </c>
      <c r="H495" s="5">
        <v>804</v>
      </c>
      <c r="I495" s="5" t="str">
        <f>HYPERLINK("https://www.ncbi.nlm.nih.gov/protein/HAD09162.1?report=genbank&amp;log$=prottop&amp;blast_rank=198&amp;RID=7U875CNM013","HAD09162.1")</f>
        <v>HAD09162.1</v>
      </c>
      <c r="J495" s="5" t="s">
        <v>3276</v>
      </c>
    </row>
    <row r="496" spans="1:10" s="7" customFormat="1" x14ac:dyDescent="0.2">
      <c r="A496" s="5" t="s">
        <v>3970</v>
      </c>
      <c r="B496" s="5" t="s">
        <v>3971</v>
      </c>
      <c r="C496" s="5">
        <v>1088</v>
      </c>
      <c r="D496" s="5">
        <v>1088</v>
      </c>
      <c r="E496" s="6">
        <v>0.99</v>
      </c>
      <c r="F496" s="5">
        <v>0</v>
      </c>
      <c r="G496" s="5">
        <v>63.82</v>
      </c>
      <c r="H496" s="5">
        <v>801</v>
      </c>
      <c r="I496" s="5" t="str">
        <f>HYPERLINK("https://www.ncbi.nlm.nih.gov/protein/OGV63948.1?report=genbank&amp;log$=prottop&amp;blast_rank=12&amp;RID=7U875CNM013","OGV63948.1")</f>
        <v>OGV63948.1</v>
      </c>
      <c r="J496" s="5" t="s">
        <v>3972</v>
      </c>
    </row>
    <row r="497" spans="1:10" s="7" customFormat="1" x14ac:dyDescent="0.2">
      <c r="A497" s="5" t="s">
        <v>3314</v>
      </c>
      <c r="B497" s="5" t="s">
        <v>3315</v>
      </c>
      <c r="C497" s="5">
        <v>1047</v>
      </c>
      <c r="D497" s="5">
        <v>1047</v>
      </c>
      <c r="E497" s="6">
        <v>0.99</v>
      </c>
      <c r="F497" s="5">
        <v>0</v>
      </c>
      <c r="G497" s="5">
        <v>63.82</v>
      </c>
      <c r="H497" s="5">
        <v>803</v>
      </c>
      <c r="I497" s="5" t="str">
        <f>HYPERLINK("https://www.ncbi.nlm.nih.gov/protein/TLY93896.1?report=genbank&amp;log$=prottop&amp;blast_rank=14&amp;RID=7U875CNM013","TLY93896.1")</f>
        <v>TLY93896.1</v>
      </c>
      <c r="J497" s="5" t="s">
        <v>3276</v>
      </c>
    </row>
    <row r="498" spans="1:10" s="7" customFormat="1" x14ac:dyDescent="0.2">
      <c r="A498" s="5" t="s">
        <v>3590</v>
      </c>
      <c r="B498" s="5" t="s">
        <v>3360</v>
      </c>
      <c r="C498" s="5">
        <v>1061</v>
      </c>
      <c r="D498" s="5">
        <v>1061</v>
      </c>
      <c r="E498" s="6">
        <v>0.97</v>
      </c>
      <c r="F498" s="5">
        <v>0</v>
      </c>
      <c r="G498" s="5">
        <v>63.81</v>
      </c>
      <c r="H498" s="5">
        <v>797</v>
      </c>
      <c r="I498" s="5" t="str">
        <f>HYPERLINK("https://www.ncbi.nlm.nih.gov/protein/MBE0604774.1?report=genbank&amp;log$=prottop&amp;blast_rank=16&amp;RID=7U875CNM013","MBE0604774.1")</f>
        <v>MBE0604774.1</v>
      </c>
      <c r="J498" s="5" t="s">
        <v>3286</v>
      </c>
    </row>
    <row r="499" spans="1:10" s="7" customFormat="1" x14ac:dyDescent="0.2">
      <c r="A499" s="5" t="s">
        <v>3973</v>
      </c>
      <c r="B499" s="5" t="s">
        <v>3974</v>
      </c>
      <c r="C499" s="5">
        <v>1074</v>
      </c>
      <c r="D499" s="5">
        <v>1074</v>
      </c>
      <c r="E499" s="6">
        <v>0.99</v>
      </c>
      <c r="F499" s="5">
        <v>0</v>
      </c>
      <c r="G499" s="5">
        <v>63.81</v>
      </c>
      <c r="H499" s="5">
        <v>791</v>
      </c>
      <c r="I499" s="5" t="str">
        <f>HYPERLINK("https://www.ncbi.nlm.nih.gov/protein/WP_119325093.1?report=genbank&amp;log$=prottop&amp;blast_rank=45&amp;RID=7U875CNM013","WP_119325093.1")</f>
        <v>WP_119325093.1</v>
      </c>
      <c r="J499" s="5" t="s">
        <v>3975</v>
      </c>
    </row>
    <row r="500" spans="1:10" s="7" customFormat="1" x14ac:dyDescent="0.2">
      <c r="A500" s="5" t="s">
        <v>3590</v>
      </c>
      <c r="B500" s="5" t="s">
        <v>3360</v>
      </c>
      <c r="C500" s="5">
        <v>1063</v>
      </c>
      <c r="D500" s="5">
        <v>1063</v>
      </c>
      <c r="E500" s="6">
        <v>0.98</v>
      </c>
      <c r="F500" s="5">
        <v>0</v>
      </c>
      <c r="G500" s="5">
        <v>63.8</v>
      </c>
      <c r="H500" s="5">
        <v>787</v>
      </c>
      <c r="I500" s="5" t="str">
        <f>HYPERLINK("https://www.ncbi.nlm.nih.gov/protein/MBI2358745.1?report=genbank&amp;log$=prottop&amp;blast_rank=69&amp;RID=7U875CNM013","MBI2358745.1")</f>
        <v>MBI2358745.1</v>
      </c>
      <c r="J500" s="5" t="s">
        <v>3286</v>
      </c>
    </row>
    <row r="501" spans="1:10" s="7" customFormat="1" x14ac:dyDescent="0.2">
      <c r="A501" s="5" t="s">
        <v>3314</v>
      </c>
      <c r="B501" s="5" t="s">
        <v>3315</v>
      </c>
      <c r="C501" s="5">
        <v>1026</v>
      </c>
      <c r="D501" s="5">
        <v>1026</v>
      </c>
      <c r="E501" s="6">
        <v>0.98</v>
      </c>
      <c r="F501" s="5">
        <v>0</v>
      </c>
      <c r="G501" s="5">
        <v>63.79</v>
      </c>
      <c r="H501" s="5">
        <v>804</v>
      </c>
      <c r="I501" s="5" t="str">
        <f>HYPERLINK("https://www.ncbi.nlm.nih.gov/protein/TLY88351.1?report=genbank&amp;log$=prottop&amp;blast_rank=76&amp;RID=7U875CNM013","TLY88351.1")</f>
        <v>TLY88351.1</v>
      </c>
      <c r="J501" s="5" t="s">
        <v>3276</v>
      </c>
    </row>
    <row r="502" spans="1:10" s="7" customFormat="1" x14ac:dyDescent="0.2">
      <c r="A502" s="5" t="s">
        <v>3976</v>
      </c>
      <c r="B502" s="5" t="s">
        <v>3977</v>
      </c>
      <c r="C502" s="5">
        <v>1056</v>
      </c>
      <c r="D502" s="5">
        <v>1056</v>
      </c>
      <c r="E502" s="6">
        <v>0.98</v>
      </c>
      <c r="F502" s="5">
        <v>0</v>
      </c>
      <c r="G502" s="5">
        <v>63.78</v>
      </c>
      <c r="H502" s="5">
        <v>786</v>
      </c>
      <c r="I502" s="5" t="str">
        <f>HYPERLINK("https://www.ncbi.nlm.nih.gov/protein/OGQ01133.1?report=genbank&amp;log$=prottop&amp;blast_rank=94&amp;RID=7U875CNM013","OGQ01133.1")</f>
        <v>OGQ01133.1</v>
      </c>
      <c r="J502" s="5" t="s">
        <v>3286</v>
      </c>
    </row>
    <row r="503" spans="1:10" s="7" customFormat="1" x14ac:dyDescent="0.2">
      <c r="A503" s="5" t="s">
        <v>3978</v>
      </c>
      <c r="B503" s="5" t="s">
        <v>3979</v>
      </c>
      <c r="C503" s="5">
        <v>1050</v>
      </c>
      <c r="D503" s="5">
        <v>1050</v>
      </c>
      <c r="E503" s="6">
        <v>0.98</v>
      </c>
      <c r="F503" s="5">
        <v>0</v>
      </c>
      <c r="G503" s="5">
        <v>63.78</v>
      </c>
      <c r="H503" s="5">
        <v>800</v>
      </c>
      <c r="I503" s="5" t="str">
        <f>HYPERLINK("https://www.ncbi.nlm.nih.gov/protein/WP_097461419.1?report=genbank&amp;log$=prottop&amp;blast_rank=97&amp;RID=7U875CNM013","WP_097461419.1")</f>
        <v>WP_097461419.1</v>
      </c>
      <c r="J503" s="5" t="s">
        <v>3276</v>
      </c>
    </row>
    <row r="504" spans="1:10" s="7" customFormat="1" x14ac:dyDescent="0.2">
      <c r="A504" s="5" t="s">
        <v>3570</v>
      </c>
      <c r="B504" s="5" t="s">
        <v>3315</v>
      </c>
      <c r="C504" s="5">
        <v>1062</v>
      </c>
      <c r="D504" s="5">
        <v>1062</v>
      </c>
      <c r="E504" s="6">
        <v>0.98</v>
      </c>
      <c r="F504" s="5">
        <v>0</v>
      </c>
      <c r="G504" s="5">
        <v>63.75</v>
      </c>
      <c r="H504" s="5">
        <v>808</v>
      </c>
      <c r="I504" s="5" t="str">
        <f>HYPERLINK("https://www.ncbi.nlm.nih.gov/protein/MBK79980.1?report=genbank&amp;log$=prottop&amp;blast_rank=122&amp;RID=7U875CNM013","MBK79980.1")</f>
        <v>MBK79980.1</v>
      </c>
      <c r="J504" s="5" t="s">
        <v>3276</v>
      </c>
    </row>
    <row r="505" spans="1:10" s="7" customFormat="1" x14ac:dyDescent="0.2">
      <c r="A505" s="5" t="s">
        <v>3314</v>
      </c>
      <c r="B505" s="5" t="s">
        <v>3315</v>
      </c>
      <c r="C505" s="5">
        <v>1044</v>
      </c>
      <c r="D505" s="5">
        <v>1044</v>
      </c>
      <c r="E505" s="6">
        <v>0.98</v>
      </c>
      <c r="F505" s="5">
        <v>0</v>
      </c>
      <c r="G505" s="5">
        <v>63.75</v>
      </c>
      <c r="H505" s="5">
        <v>802</v>
      </c>
      <c r="I505" s="5" t="str">
        <f>HYPERLINK("https://www.ncbi.nlm.nih.gov/protein/TVQ45691.1?report=genbank&amp;log$=prottop&amp;blast_rank=123&amp;RID=7U875CNM013","TVQ45691.1")</f>
        <v>TVQ45691.1</v>
      </c>
      <c r="J505" s="5" t="s">
        <v>3276</v>
      </c>
    </row>
    <row r="506" spans="1:10" s="7" customFormat="1" x14ac:dyDescent="0.2">
      <c r="A506" s="5" t="s">
        <v>3980</v>
      </c>
      <c r="B506" s="5" t="s">
        <v>3981</v>
      </c>
      <c r="C506" s="5">
        <v>1070</v>
      </c>
      <c r="D506" s="5">
        <v>1070</v>
      </c>
      <c r="E506" s="6">
        <v>0.98</v>
      </c>
      <c r="F506" s="5">
        <v>0</v>
      </c>
      <c r="G506" s="5">
        <v>63.74</v>
      </c>
      <c r="H506" s="5">
        <v>809</v>
      </c>
      <c r="I506" s="5" t="str">
        <f>HYPERLINK("https://www.ncbi.nlm.nih.gov/protein/NCF85810.1?report=genbank&amp;log$=prottop&amp;blast_rank=130&amp;RID=7U875CNM013","NCF85810.1")</f>
        <v>NCF85810.1</v>
      </c>
      <c r="J506" s="5" t="s">
        <v>3982</v>
      </c>
    </row>
    <row r="507" spans="1:10" s="7" customFormat="1" x14ac:dyDescent="0.2">
      <c r="A507" s="5" t="s">
        <v>3314</v>
      </c>
      <c r="B507" s="5" t="s">
        <v>3315</v>
      </c>
      <c r="C507" s="5">
        <v>1058</v>
      </c>
      <c r="D507" s="5">
        <v>1058</v>
      </c>
      <c r="E507" s="6">
        <v>0.98</v>
      </c>
      <c r="F507" s="5">
        <v>0</v>
      </c>
      <c r="G507" s="5">
        <v>63.74</v>
      </c>
      <c r="H507" s="5">
        <v>786</v>
      </c>
      <c r="I507" s="5" t="str">
        <f>HYPERLINK("https://www.ncbi.nlm.nih.gov/protein/TLZ35329.1?report=genbank&amp;log$=prottop&amp;blast_rank=133&amp;RID=7U875CNM013","TLZ35329.1")</f>
        <v>TLZ35329.1</v>
      </c>
      <c r="J507" s="5" t="s">
        <v>3276</v>
      </c>
    </row>
    <row r="508" spans="1:10" s="7" customFormat="1" x14ac:dyDescent="0.2">
      <c r="A508" s="5" t="s">
        <v>3314</v>
      </c>
      <c r="B508" s="5" t="s">
        <v>3315</v>
      </c>
      <c r="C508" s="5">
        <v>1056</v>
      </c>
      <c r="D508" s="5">
        <v>1056</v>
      </c>
      <c r="E508" s="6">
        <v>0.98</v>
      </c>
      <c r="F508" s="5">
        <v>0</v>
      </c>
      <c r="G508" s="5">
        <v>63.74</v>
      </c>
      <c r="H508" s="5">
        <v>786</v>
      </c>
      <c r="I508" s="5" t="str">
        <f>HYPERLINK("https://www.ncbi.nlm.nih.gov/protein/TLZ61601.1?report=genbank&amp;log$=prottop&amp;blast_rank=135&amp;RID=7U875CNM013","TLZ61601.1")</f>
        <v>TLZ61601.1</v>
      </c>
      <c r="J508" s="5" t="s">
        <v>3276</v>
      </c>
    </row>
    <row r="509" spans="1:10" s="7" customFormat="1" x14ac:dyDescent="0.2">
      <c r="A509" s="5" t="s">
        <v>3983</v>
      </c>
      <c r="B509" s="5" t="s">
        <v>3984</v>
      </c>
      <c r="C509" s="5">
        <v>1036</v>
      </c>
      <c r="D509" s="5">
        <v>1036</v>
      </c>
      <c r="E509" s="6">
        <v>0.98</v>
      </c>
      <c r="F509" s="5">
        <v>0</v>
      </c>
      <c r="G509" s="5">
        <v>63.73</v>
      </c>
      <c r="H509" s="5">
        <v>798</v>
      </c>
      <c r="I509" s="5" t="str">
        <f>HYPERLINK("https://www.ncbi.nlm.nih.gov/protein/WP_029483820.1?report=genbank&amp;log$=prottop&amp;blast_rank=145&amp;RID=7U875CNM013","WP_029483820.1")</f>
        <v>WP_029483820.1</v>
      </c>
      <c r="J509" s="5" t="s">
        <v>3985</v>
      </c>
    </row>
    <row r="510" spans="1:10" s="7" customFormat="1" x14ac:dyDescent="0.2">
      <c r="A510" s="5" t="s">
        <v>3986</v>
      </c>
      <c r="B510" s="5" t="s">
        <v>3987</v>
      </c>
      <c r="C510" s="5">
        <v>1054</v>
      </c>
      <c r="D510" s="5">
        <v>1054</v>
      </c>
      <c r="E510" s="6">
        <v>0.99</v>
      </c>
      <c r="F510" s="5">
        <v>0</v>
      </c>
      <c r="G510" s="5">
        <v>63.72</v>
      </c>
      <c r="H510" s="5">
        <v>791</v>
      </c>
      <c r="I510" s="5" t="str">
        <f>HYPERLINK("https://www.ncbi.nlm.nih.gov/protein/WP_152303148.1?report=genbank&amp;log$=prottop&amp;blast_rank=153&amp;RID=7U875CNM013","WP_152303148.1")</f>
        <v>WP_152303148.1</v>
      </c>
      <c r="J510" s="5" t="s">
        <v>1720</v>
      </c>
    </row>
    <row r="511" spans="1:10" s="7" customFormat="1" x14ac:dyDescent="0.2">
      <c r="A511" s="5" t="s">
        <v>3988</v>
      </c>
      <c r="B511" s="5" t="s">
        <v>3989</v>
      </c>
      <c r="C511" s="5">
        <v>1032</v>
      </c>
      <c r="D511" s="5">
        <v>1032</v>
      </c>
      <c r="E511" s="6">
        <v>0.98</v>
      </c>
      <c r="F511" s="5">
        <v>0</v>
      </c>
      <c r="G511" s="5">
        <v>63.72</v>
      </c>
      <c r="H511" s="5">
        <v>794</v>
      </c>
      <c r="I511" s="5" t="str">
        <f>HYPERLINK("https://www.ncbi.nlm.nih.gov/protein/WP_189535507.1?report=genbank&amp;log$=prottop&amp;blast_rank=154&amp;RID=7U875CNM013","WP_189535507.1")</f>
        <v>WP_189535507.1</v>
      </c>
      <c r="J511" s="5" t="s">
        <v>2134</v>
      </c>
    </row>
    <row r="512" spans="1:10" s="7" customFormat="1" x14ac:dyDescent="0.2">
      <c r="A512" s="5" t="s">
        <v>3314</v>
      </c>
      <c r="B512" s="5" t="s">
        <v>3315</v>
      </c>
      <c r="C512" s="5">
        <v>1080</v>
      </c>
      <c r="D512" s="5">
        <v>1080</v>
      </c>
      <c r="E512" s="6">
        <v>0.98</v>
      </c>
      <c r="F512" s="5">
        <v>0</v>
      </c>
      <c r="G512" s="5">
        <v>63.69</v>
      </c>
      <c r="H512" s="5">
        <v>804</v>
      </c>
      <c r="I512" s="5" t="str">
        <f>HYPERLINK("https://www.ncbi.nlm.nih.gov/protein/NOZ53805.1?report=genbank&amp;log$=prottop&amp;blast_rank=162&amp;RID=7U875CNM013","NOZ53805.1")</f>
        <v>NOZ53805.1</v>
      </c>
      <c r="J512" s="5" t="s">
        <v>3276</v>
      </c>
    </row>
    <row r="513" spans="1:10" s="7" customFormat="1" x14ac:dyDescent="0.2">
      <c r="A513" s="5" t="s">
        <v>3314</v>
      </c>
      <c r="B513" s="5" t="s">
        <v>3315</v>
      </c>
      <c r="C513" s="5">
        <v>1045</v>
      </c>
      <c r="D513" s="5">
        <v>1045</v>
      </c>
      <c r="E513" s="6">
        <v>0.99</v>
      </c>
      <c r="F513" s="5">
        <v>0</v>
      </c>
      <c r="G513" s="5">
        <v>63.69</v>
      </c>
      <c r="H513" s="5">
        <v>803</v>
      </c>
      <c r="I513" s="5" t="str">
        <f>HYPERLINK("https://www.ncbi.nlm.nih.gov/protein/TLZ39213.1?report=genbank&amp;log$=prottop&amp;blast_rank=171&amp;RID=7U875CNM013","TLZ39213.1")</f>
        <v>TLZ39213.1</v>
      </c>
      <c r="J513" s="5" t="s">
        <v>3276</v>
      </c>
    </row>
    <row r="514" spans="1:10" s="7" customFormat="1" x14ac:dyDescent="0.2">
      <c r="A514" s="5" t="s">
        <v>3590</v>
      </c>
      <c r="B514" s="5" t="s">
        <v>3360</v>
      </c>
      <c r="C514" s="5">
        <v>1064</v>
      </c>
      <c r="D514" s="5">
        <v>1064</v>
      </c>
      <c r="E514" s="6">
        <v>0.98</v>
      </c>
      <c r="F514" s="5">
        <v>0</v>
      </c>
      <c r="G514" s="5">
        <v>63.67</v>
      </c>
      <c r="H514" s="5">
        <v>802</v>
      </c>
      <c r="I514" s="5" t="str">
        <f>HYPERLINK("https://www.ncbi.nlm.nih.gov/protein/TMA94177.1?report=genbank&amp;log$=prottop&amp;blast_rank=207&amp;RID=7U875CNM013","TMA94177.1")</f>
        <v>TMA94177.1</v>
      </c>
      <c r="J514" s="5" t="s">
        <v>3286</v>
      </c>
    </row>
    <row r="515" spans="1:10" s="7" customFormat="1" x14ac:dyDescent="0.2">
      <c r="A515" s="5" t="s">
        <v>3990</v>
      </c>
      <c r="B515" s="5" t="s">
        <v>3991</v>
      </c>
      <c r="C515" s="5">
        <v>1027</v>
      </c>
      <c r="D515" s="5">
        <v>1027</v>
      </c>
      <c r="E515" s="6">
        <v>0.98</v>
      </c>
      <c r="F515" s="5">
        <v>0</v>
      </c>
      <c r="G515" s="5">
        <v>63.66</v>
      </c>
      <c r="H515" s="5">
        <v>791</v>
      </c>
      <c r="I515" s="5" t="str">
        <f>HYPERLINK("https://www.ncbi.nlm.nih.gov/protein/WP_198131824.1?report=genbank&amp;log$=prottop&amp;blast_rank=214&amp;RID=7U875CNM013","WP_198131824.1")</f>
        <v>WP_198131824.1</v>
      </c>
      <c r="J515" s="5" t="s">
        <v>3276</v>
      </c>
    </row>
    <row r="516" spans="1:10" s="7" customFormat="1" x14ac:dyDescent="0.2">
      <c r="A516" s="5" t="s">
        <v>3314</v>
      </c>
      <c r="B516" s="5" t="s">
        <v>3315</v>
      </c>
      <c r="C516" s="5">
        <v>1025</v>
      </c>
      <c r="D516" s="5">
        <v>1025</v>
      </c>
      <c r="E516" s="6">
        <v>0.98</v>
      </c>
      <c r="F516" s="5">
        <v>0</v>
      </c>
      <c r="G516" s="5">
        <v>63.66</v>
      </c>
      <c r="H516" s="5">
        <v>804</v>
      </c>
      <c r="I516" s="5" t="str">
        <f>HYPERLINK("https://www.ncbi.nlm.nih.gov/protein/TLY53939.1?report=genbank&amp;log$=prottop&amp;blast_rank=216&amp;RID=7U875CNM013","TLY53939.1")</f>
        <v>TLY53939.1</v>
      </c>
      <c r="J516" s="5" t="s">
        <v>3276</v>
      </c>
    </row>
    <row r="517" spans="1:10" s="7" customFormat="1" x14ac:dyDescent="0.2">
      <c r="A517" s="5" t="s">
        <v>3314</v>
      </c>
      <c r="B517" s="5" t="s">
        <v>3315</v>
      </c>
      <c r="C517" s="5">
        <v>1025</v>
      </c>
      <c r="D517" s="5">
        <v>1025</v>
      </c>
      <c r="E517" s="6">
        <v>0.98</v>
      </c>
      <c r="F517" s="5">
        <v>0</v>
      </c>
      <c r="G517" s="5">
        <v>63.66</v>
      </c>
      <c r="H517" s="5">
        <v>804</v>
      </c>
      <c r="I517" s="5" t="str">
        <f>HYPERLINK("https://www.ncbi.nlm.nih.gov/protein/TLY69337.1?report=genbank&amp;log$=prottop&amp;blast_rank=217&amp;RID=7U875CNM013","TLY69337.1")</f>
        <v>TLY69337.1</v>
      </c>
      <c r="J517" s="5" t="s">
        <v>3276</v>
      </c>
    </row>
    <row r="518" spans="1:10" s="7" customFormat="1" x14ac:dyDescent="0.2">
      <c r="A518" s="5" t="s">
        <v>3319</v>
      </c>
      <c r="B518" s="5" t="s">
        <v>3320</v>
      </c>
      <c r="C518" s="5">
        <v>1082</v>
      </c>
      <c r="D518" s="5">
        <v>1082</v>
      </c>
      <c r="E518" s="6">
        <v>0.98</v>
      </c>
      <c r="F518" s="5">
        <v>0</v>
      </c>
      <c r="G518" s="5">
        <v>63.65</v>
      </c>
      <c r="H518" s="5">
        <v>786</v>
      </c>
      <c r="I518" s="5" t="str">
        <f>HYPERLINK("https://www.ncbi.nlm.nih.gov/protein/OZA29227.1?report=genbank&amp;log$=prottop&amp;blast_rank=1&amp;RID=7U875CNM013","OZA29227.1")</f>
        <v>OZA29227.1</v>
      </c>
      <c r="J518" s="5" t="s">
        <v>2769</v>
      </c>
    </row>
    <row r="519" spans="1:10" s="7" customFormat="1" x14ac:dyDescent="0.2">
      <c r="A519" s="5" t="s">
        <v>3992</v>
      </c>
      <c r="B519" s="5" t="s">
        <v>3993</v>
      </c>
      <c r="C519" s="5">
        <v>1062</v>
      </c>
      <c r="D519" s="5">
        <v>1062</v>
      </c>
      <c r="E519" s="6">
        <v>0.98</v>
      </c>
      <c r="F519" s="5">
        <v>0</v>
      </c>
      <c r="G519" s="5">
        <v>63.65</v>
      </c>
      <c r="H519" s="5">
        <v>803</v>
      </c>
      <c r="I519" s="5" t="str">
        <f>HYPERLINK("https://www.ncbi.nlm.nih.gov/protein/RJP50769.1?report=genbank&amp;log$=prottop&amp;blast_rank=2&amp;RID=7U875CNM013","RJP50769.1")</f>
        <v>RJP50769.1</v>
      </c>
      <c r="J519" s="5" t="s">
        <v>3994</v>
      </c>
    </row>
    <row r="520" spans="1:10" s="7" customFormat="1" x14ac:dyDescent="0.2">
      <c r="A520" s="5" t="s">
        <v>3590</v>
      </c>
      <c r="B520" s="5" t="s">
        <v>3360</v>
      </c>
      <c r="C520" s="5">
        <v>1061</v>
      </c>
      <c r="D520" s="5">
        <v>1061</v>
      </c>
      <c r="E520" s="6">
        <v>0.98</v>
      </c>
      <c r="F520" s="5">
        <v>0</v>
      </c>
      <c r="G520" s="5">
        <v>63.65</v>
      </c>
      <c r="H520" s="5">
        <v>786</v>
      </c>
      <c r="I520" s="5" t="str">
        <f>HYPERLINK("https://www.ncbi.nlm.nih.gov/protein/MBI5467832.1?report=genbank&amp;log$=prottop&amp;blast_rank=3&amp;RID=7U875CNM013","MBI5467832.1")</f>
        <v>MBI5467832.1</v>
      </c>
      <c r="J520" s="5" t="s">
        <v>3995</v>
      </c>
    </row>
    <row r="521" spans="1:10" s="7" customFormat="1" x14ac:dyDescent="0.2">
      <c r="A521" s="5" t="s">
        <v>3996</v>
      </c>
      <c r="B521" s="5" t="s">
        <v>3997</v>
      </c>
      <c r="C521" s="5">
        <v>1058</v>
      </c>
      <c r="D521" s="5">
        <v>1058</v>
      </c>
      <c r="E521" s="6">
        <v>0.98</v>
      </c>
      <c r="F521" s="5">
        <v>0</v>
      </c>
      <c r="G521" s="5">
        <v>63.65</v>
      </c>
      <c r="H521" s="5">
        <v>801</v>
      </c>
      <c r="I521" s="5" t="str">
        <f>HYPERLINK("https://www.ncbi.nlm.nih.gov/protein/WP_008938004.1?report=genbank&amp;log$=prottop&amp;blast_rank=4&amp;RID=7U875CNM013","WP_008938004.1")</f>
        <v>WP_008938004.1</v>
      </c>
      <c r="J521" s="5" t="s">
        <v>3998</v>
      </c>
    </row>
    <row r="522" spans="1:10" s="7" customFormat="1" x14ac:dyDescent="0.2">
      <c r="A522" s="5" t="s">
        <v>3999</v>
      </c>
      <c r="B522" s="5" t="s">
        <v>4000</v>
      </c>
      <c r="C522" s="5">
        <v>1058</v>
      </c>
      <c r="D522" s="5">
        <v>1058</v>
      </c>
      <c r="E522" s="6">
        <v>0.99</v>
      </c>
      <c r="F522" s="5">
        <v>0</v>
      </c>
      <c r="G522" s="5">
        <v>63.64</v>
      </c>
      <c r="H522" s="5">
        <v>792</v>
      </c>
      <c r="I522" s="5" t="str">
        <f>HYPERLINK("https://www.ncbi.nlm.nih.gov/protein/WP_183191514.1?report=genbank&amp;log$=prottop&amp;blast_rank=14&amp;RID=7U875CNM013","WP_183191514.1")</f>
        <v>WP_183191514.1</v>
      </c>
      <c r="J522" s="5" t="s">
        <v>1720</v>
      </c>
    </row>
    <row r="523" spans="1:10" s="7" customFormat="1" x14ac:dyDescent="0.2">
      <c r="A523" s="5" t="s">
        <v>852</v>
      </c>
      <c r="B523" s="5" t="s">
        <v>853</v>
      </c>
      <c r="C523" s="5">
        <v>1077</v>
      </c>
      <c r="D523" s="5">
        <v>1077</v>
      </c>
      <c r="E523" s="6">
        <v>0.98</v>
      </c>
      <c r="F523" s="5">
        <v>0</v>
      </c>
      <c r="G523" s="5">
        <v>63.61</v>
      </c>
      <c r="H523" s="5">
        <v>800</v>
      </c>
      <c r="I523" s="5" t="str">
        <f>HYPERLINK("https://www.ncbi.nlm.nih.gov/protein/PYS55236.1?report=genbank&amp;log$=prottop&amp;blast_rank=32&amp;RID=7U875CNM013","PYS55236.1")</f>
        <v>PYS55236.1</v>
      </c>
      <c r="J523" s="5" t="s">
        <v>854</v>
      </c>
    </row>
    <row r="524" spans="1:10" s="7" customFormat="1" x14ac:dyDescent="0.2">
      <c r="A524" s="5" t="s">
        <v>3314</v>
      </c>
      <c r="B524" s="5" t="s">
        <v>3315</v>
      </c>
      <c r="C524" s="5">
        <v>1055</v>
      </c>
      <c r="D524" s="5">
        <v>1055</v>
      </c>
      <c r="E524" s="6">
        <v>0.98</v>
      </c>
      <c r="F524" s="5">
        <v>0</v>
      </c>
      <c r="G524" s="5">
        <v>63.61</v>
      </c>
      <c r="H524" s="5">
        <v>786</v>
      </c>
      <c r="I524" s="5" t="str">
        <f>HYPERLINK("https://www.ncbi.nlm.nih.gov/protein/TLY98957.1?report=genbank&amp;log$=prottop&amp;blast_rank=38&amp;RID=7U875CNM013","TLY98957.1")</f>
        <v>TLY98957.1</v>
      </c>
      <c r="J524" s="5" t="s">
        <v>3276</v>
      </c>
    </row>
    <row r="525" spans="1:10" s="7" customFormat="1" x14ac:dyDescent="0.2">
      <c r="A525" s="5" t="s">
        <v>3799</v>
      </c>
      <c r="B525" s="5" t="s">
        <v>3800</v>
      </c>
      <c r="C525" s="5">
        <v>1047</v>
      </c>
      <c r="D525" s="5">
        <v>1047</v>
      </c>
      <c r="E525" s="6">
        <v>0.98</v>
      </c>
      <c r="F525" s="5">
        <v>0</v>
      </c>
      <c r="G525" s="5">
        <v>63.61</v>
      </c>
      <c r="H525" s="5">
        <v>799</v>
      </c>
      <c r="I525" s="5" t="str">
        <f>HYPERLINK("https://www.ncbi.nlm.nih.gov/protein/MBL0163049.1?report=genbank&amp;log$=prottop&amp;blast_rank=41&amp;RID=7U875CNM013","MBL0163049.1")</f>
        <v>MBL0163049.1</v>
      </c>
      <c r="J525" s="5" t="s">
        <v>3276</v>
      </c>
    </row>
    <row r="526" spans="1:10" s="7" customFormat="1" x14ac:dyDescent="0.2">
      <c r="A526" s="5" t="s">
        <v>4001</v>
      </c>
      <c r="B526" s="5" t="s">
        <v>4002</v>
      </c>
      <c r="C526" s="5">
        <v>1041</v>
      </c>
      <c r="D526" s="5">
        <v>1041</v>
      </c>
      <c r="E526" s="6">
        <v>0.99</v>
      </c>
      <c r="F526" s="5">
        <v>0</v>
      </c>
      <c r="G526" s="5">
        <v>63.59</v>
      </c>
      <c r="H526" s="5">
        <v>791</v>
      </c>
      <c r="I526" s="5" t="str">
        <f>HYPERLINK("https://www.ncbi.nlm.nih.gov/protein/MBN2780937.1?report=genbank&amp;log$=prottop&amp;blast_rank=52&amp;RID=7U875CNM013","MBN2780937.1")</f>
        <v>MBN2780937.1</v>
      </c>
      <c r="J526" s="5" t="s">
        <v>3868</v>
      </c>
    </row>
    <row r="527" spans="1:10" s="7" customFormat="1" x14ac:dyDescent="0.2">
      <c r="A527" s="5" t="s">
        <v>4003</v>
      </c>
      <c r="B527" s="5" t="s">
        <v>4004</v>
      </c>
      <c r="C527" s="5">
        <v>1048</v>
      </c>
      <c r="D527" s="5">
        <v>1048</v>
      </c>
      <c r="E527" s="6">
        <v>0.97</v>
      </c>
      <c r="F527" s="5">
        <v>0</v>
      </c>
      <c r="G527" s="5">
        <v>63.59</v>
      </c>
      <c r="H527" s="5">
        <v>790</v>
      </c>
      <c r="I527" s="5" t="str">
        <f>HYPERLINK("https://www.ncbi.nlm.nih.gov/protein/PZU53112.1?report=genbank&amp;log$=prottop&amp;blast_rank=57&amp;RID=7U875CNM013","PZU53112.1")</f>
        <v>PZU53112.1</v>
      </c>
      <c r="J527" s="5" t="s">
        <v>2134</v>
      </c>
    </row>
    <row r="528" spans="1:10" s="7" customFormat="1" x14ac:dyDescent="0.2">
      <c r="A528" s="5" t="s">
        <v>4005</v>
      </c>
      <c r="B528" s="5" t="s">
        <v>4006</v>
      </c>
      <c r="C528" s="5">
        <v>1047</v>
      </c>
      <c r="D528" s="5">
        <v>1047</v>
      </c>
      <c r="E528" s="6">
        <v>0.98</v>
      </c>
      <c r="F528" s="5">
        <v>0</v>
      </c>
      <c r="G528" s="5">
        <v>63.58</v>
      </c>
      <c r="H528" s="5">
        <v>821</v>
      </c>
      <c r="I528" s="5" t="str">
        <f>HYPERLINK("https://www.ncbi.nlm.nih.gov/protein/WP_188253175.1?report=genbank&amp;log$=prottop&amp;blast_rank=61&amp;RID=7U875CNM013","WP_188253175.1")</f>
        <v>WP_188253175.1</v>
      </c>
      <c r="J528" s="5" t="s">
        <v>1720</v>
      </c>
    </row>
    <row r="529" spans="1:10" s="7" customFormat="1" x14ac:dyDescent="0.2">
      <c r="A529" s="5" t="s">
        <v>4007</v>
      </c>
      <c r="B529" s="5" t="s">
        <v>4008</v>
      </c>
      <c r="C529" s="5">
        <v>1039</v>
      </c>
      <c r="D529" s="5">
        <v>1039</v>
      </c>
      <c r="E529" s="6">
        <v>0.98</v>
      </c>
      <c r="F529" s="5">
        <v>0</v>
      </c>
      <c r="G529" s="5">
        <v>63.58</v>
      </c>
      <c r="H529" s="5">
        <v>797</v>
      </c>
      <c r="I529" s="5" t="str">
        <f>HYPERLINK("https://www.ncbi.nlm.nih.gov/protein/MBN9135993.1?report=genbank&amp;log$=prottop&amp;blast_rank=63&amp;RID=7U875CNM013","MBN9135993.1")</f>
        <v>MBN9135993.1</v>
      </c>
      <c r="J529" s="5" t="s">
        <v>1720</v>
      </c>
    </row>
    <row r="530" spans="1:10" s="7" customFormat="1" x14ac:dyDescent="0.2">
      <c r="A530" s="5" t="s">
        <v>4009</v>
      </c>
      <c r="B530" s="5" t="s">
        <v>3769</v>
      </c>
      <c r="C530" s="5">
        <v>1084</v>
      </c>
      <c r="D530" s="5">
        <v>1084</v>
      </c>
      <c r="E530" s="6">
        <v>0.99</v>
      </c>
      <c r="F530" s="5">
        <v>0</v>
      </c>
      <c r="G530" s="5">
        <v>63.57</v>
      </c>
      <c r="H530" s="5">
        <v>801</v>
      </c>
      <c r="I530" s="5" t="str">
        <f>HYPERLINK("https://www.ncbi.nlm.nih.gov/protein/MBL1292255.1?report=genbank&amp;log$=prottop&amp;blast_rank=70&amp;RID=7U875CNM013","MBL1292255.1")</f>
        <v>MBL1292255.1</v>
      </c>
      <c r="J530" s="5" t="s">
        <v>3276</v>
      </c>
    </row>
    <row r="531" spans="1:10" s="7" customFormat="1" x14ac:dyDescent="0.2">
      <c r="A531" s="5" t="s">
        <v>4010</v>
      </c>
      <c r="B531" s="5" t="s">
        <v>4011</v>
      </c>
      <c r="C531" s="5">
        <v>1070</v>
      </c>
      <c r="D531" s="5">
        <v>1070</v>
      </c>
      <c r="E531" s="6">
        <v>0.98</v>
      </c>
      <c r="F531" s="5">
        <v>0</v>
      </c>
      <c r="G531" s="5">
        <v>63.57</v>
      </c>
      <c r="H531" s="5">
        <v>797</v>
      </c>
      <c r="I531" s="5" t="str">
        <f>HYPERLINK("https://www.ncbi.nlm.nih.gov/protein/OFX97519.1?report=genbank&amp;log$=prottop&amp;blast_rank=72&amp;RID=7U875CNM013","OFX97519.1")</f>
        <v>OFX97519.1</v>
      </c>
      <c r="J531" s="5" t="s">
        <v>3868</v>
      </c>
    </row>
    <row r="532" spans="1:10" s="7" customFormat="1" x14ac:dyDescent="0.2">
      <c r="A532" s="5" t="s">
        <v>3283</v>
      </c>
      <c r="B532" s="5" t="s">
        <v>3282</v>
      </c>
      <c r="C532" s="5">
        <v>1065</v>
      </c>
      <c r="D532" s="5">
        <v>1065</v>
      </c>
      <c r="E532" s="6">
        <v>0.98</v>
      </c>
      <c r="F532" s="5">
        <v>0</v>
      </c>
      <c r="G532" s="5">
        <v>63.57</v>
      </c>
      <c r="H532" s="5">
        <v>786</v>
      </c>
      <c r="I532" s="5" t="str">
        <f>HYPERLINK("https://www.ncbi.nlm.nih.gov/protein/TAL18584.1?report=genbank&amp;log$=prottop&amp;blast_rank=73&amp;RID=7U875CNM013","TAL18584.1")</f>
        <v>TAL18584.1</v>
      </c>
      <c r="J532" s="5" t="s">
        <v>3868</v>
      </c>
    </row>
    <row r="533" spans="1:10" s="7" customFormat="1" x14ac:dyDescent="0.2">
      <c r="A533" s="5" t="s">
        <v>4012</v>
      </c>
      <c r="B533" s="5" t="s">
        <v>4013</v>
      </c>
      <c r="C533" s="5">
        <v>1056</v>
      </c>
      <c r="D533" s="5">
        <v>1056</v>
      </c>
      <c r="E533" s="6">
        <v>0.98</v>
      </c>
      <c r="F533" s="5">
        <v>0</v>
      </c>
      <c r="G533" s="5">
        <v>63.57</v>
      </c>
      <c r="H533" s="5">
        <v>787</v>
      </c>
      <c r="I533" s="5" t="str">
        <f>HYPERLINK("https://www.ncbi.nlm.nih.gov/protein/WP_052880857.1?report=genbank&amp;log$=prottop&amp;blast_rank=74&amp;RID=7U875CNM013","WP_052880857.1")</f>
        <v>WP_052880857.1</v>
      </c>
      <c r="J533" s="5" t="s">
        <v>4014</v>
      </c>
    </row>
    <row r="534" spans="1:10" s="7" customFormat="1" x14ac:dyDescent="0.2">
      <c r="A534" s="5" t="s">
        <v>4015</v>
      </c>
      <c r="B534" s="5" t="s">
        <v>4016</v>
      </c>
      <c r="C534" s="5">
        <v>1026</v>
      </c>
      <c r="D534" s="5">
        <v>1026</v>
      </c>
      <c r="E534" s="6">
        <v>0.98</v>
      </c>
      <c r="F534" s="5">
        <v>0</v>
      </c>
      <c r="G534" s="5">
        <v>63.54</v>
      </c>
      <c r="H534" s="5">
        <v>806</v>
      </c>
      <c r="I534" s="5" t="str">
        <f>HYPERLINK("https://www.ncbi.nlm.nih.gov/protein/AKH18872.1?report=genbank&amp;log$=prottop&amp;blast_rank=109&amp;RID=7U875CNM013","AKH18872.1")</f>
        <v>AKH18872.1</v>
      </c>
      <c r="J534" s="5" t="s">
        <v>1720</v>
      </c>
    </row>
    <row r="535" spans="1:10" s="7" customFormat="1" x14ac:dyDescent="0.2">
      <c r="A535" s="5" t="s">
        <v>4017</v>
      </c>
      <c r="B535" s="5" t="s">
        <v>4018</v>
      </c>
      <c r="C535" s="5">
        <v>1052</v>
      </c>
      <c r="D535" s="5">
        <v>1052</v>
      </c>
      <c r="E535" s="6">
        <v>0.97</v>
      </c>
      <c r="F535" s="5">
        <v>0</v>
      </c>
      <c r="G535" s="5">
        <v>63.54</v>
      </c>
      <c r="H535" s="5">
        <v>789</v>
      </c>
      <c r="I535" s="5" t="str">
        <f>HYPERLINK("https://www.ncbi.nlm.nih.gov/protein/RIX46045.1?report=genbank&amp;log$=prottop&amp;blast_rank=110&amp;RID=7U875CNM013","RIX46045.1")</f>
        <v>RIX46045.1</v>
      </c>
      <c r="J535" s="5" t="s">
        <v>2134</v>
      </c>
    </row>
    <row r="536" spans="1:10" s="7" customFormat="1" x14ac:dyDescent="0.2">
      <c r="A536" s="5" t="s">
        <v>1409</v>
      </c>
      <c r="B536" s="5" t="s">
        <v>1410</v>
      </c>
      <c r="C536" s="5">
        <v>1026</v>
      </c>
      <c r="D536" s="5">
        <v>1026</v>
      </c>
      <c r="E536" s="6">
        <v>0.98</v>
      </c>
      <c r="F536" s="5">
        <v>0</v>
      </c>
      <c r="G536" s="5">
        <v>63.53</v>
      </c>
      <c r="H536" s="5">
        <v>783</v>
      </c>
      <c r="I536" s="5" t="str">
        <f>HYPERLINK("https://www.ncbi.nlm.nih.gov/protein/WP_011157232.1?report=genbank&amp;log$=prottop&amp;blast_rank=136&amp;RID=7U875CNM013","WP_011157232.1")</f>
        <v>WP_011157232.1</v>
      </c>
      <c r="J536" s="5" t="s">
        <v>1720</v>
      </c>
    </row>
    <row r="537" spans="1:10" s="7" customFormat="1" x14ac:dyDescent="0.2">
      <c r="A537" s="5" t="s">
        <v>1409</v>
      </c>
      <c r="B537" s="5" t="s">
        <v>1410</v>
      </c>
      <c r="C537" s="5">
        <v>1026</v>
      </c>
      <c r="D537" s="5">
        <v>1026</v>
      </c>
      <c r="E537" s="6">
        <v>0.98</v>
      </c>
      <c r="F537" s="5">
        <v>0</v>
      </c>
      <c r="G537" s="5">
        <v>63.53</v>
      </c>
      <c r="H537" s="5">
        <v>783</v>
      </c>
      <c r="I537" s="5" t="str">
        <f>HYPERLINK("https://www.ncbi.nlm.nih.gov/protein/WP_012495246.1?report=genbank&amp;log$=prottop&amp;blast_rank=137&amp;RID=7U875CNM013","WP_012495246.1")</f>
        <v>WP_012495246.1</v>
      </c>
      <c r="J537" s="5" t="s">
        <v>1720</v>
      </c>
    </row>
    <row r="538" spans="1:10" s="7" customFormat="1" x14ac:dyDescent="0.2">
      <c r="A538" s="5" t="s">
        <v>4019</v>
      </c>
      <c r="B538" s="5" t="s">
        <v>4020</v>
      </c>
      <c r="C538" s="5">
        <v>1069</v>
      </c>
      <c r="D538" s="5">
        <v>1069</v>
      </c>
      <c r="E538" s="6">
        <v>0.99</v>
      </c>
      <c r="F538" s="5">
        <v>0</v>
      </c>
      <c r="G538" s="5">
        <v>63.52</v>
      </c>
      <c r="H538" s="5">
        <v>797</v>
      </c>
      <c r="I538" s="5" t="str">
        <f>HYPERLINK("https://www.ncbi.nlm.nih.gov/protein/PIW50276.1?report=genbank&amp;log$=prottop&amp;blast_rank=150&amp;RID=7U875CNM013","PIW50276.1")</f>
        <v>PIW50276.1</v>
      </c>
      <c r="J538" s="5" t="s">
        <v>3484</v>
      </c>
    </row>
    <row r="539" spans="1:10" s="7" customFormat="1" x14ac:dyDescent="0.2">
      <c r="A539" s="5" t="s">
        <v>4021</v>
      </c>
      <c r="B539" s="5" t="s">
        <v>4022</v>
      </c>
      <c r="C539" s="5">
        <v>1063</v>
      </c>
      <c r="D539" s="5">
        <v>1063</v>
      </c>
      <c r="E539" s="6">
        <v>0.98</v>
      </c>
      <c r="F539" s="5">
        <v>0</v>
      </c>
      <c r="G539" s="5">
        <v>63.52</v>
      </c>
      <c r="H539" s="5">
        <v>792</v>
      </c>
      <c r="I539" s="5" t="str">
        <f>HYPERLINK("https://www.ncbi.nlm.nih.gov/protein/GBE41894.1?report=genbank&amp;log$=prottop&amp;blast_rank=153&amp;RID=7U875CNM013","GBE41894.1")</f>
        <v>GBE41894.1</v>
      </c>
      <c r="J539" s="5" t="s">
        <v>3868</v>
      </c>
    </row>
    <row r="540" spans="1:10" s="7" customFormat="1" x14ac:dyDescent="0.2">
      <c r="A540" s="5" t="s">
        <v>4023</v>
      </c>
      <c r="B540" s="5" t="s">
        <v>4024</v>
      </c>
      <c r="C540" s="5">
        <v>1049</v>
      </c>
      <c r="D540" s="5">
        <v>1049</v>
      </c>
      <c r="E540" s="6">
        <v>0.98</v>
      </c>
      <c r="F540" s="5">
        <v>0</v>
      </c>
      <c r="G540" s="5">
        <v>63.52</v>
      </c>
      <c r="H540" s="5">
        <v>820</v>
      </c>
      <c r="I540" s="5" t="str">
        <f>HYPERLINK("https://www.ncbi.nlm.nih.gov/protein/WP_106666240.1?report=genbank&amp;log$=prottop&amp;blast_rank=164&amp;RID=7U875CNM013","WP_106666240.1")</f>
        <v>WP_106666240.1</v>
      </c>
      <c r="J540" s="5" t="s">
        <v>4025</v>
      </c>
    </row>
    <row r="541" spans="1:10" s="7" customFormat="1" x14ac:dyDescent="0.2">
      <c r="A541" s="5" t="s">
        <v>4026</v>
      </c>
      <c r="B541" s="5" t="s">
        <v>4027</v>
      </c>
      <c r="C541" s="5">
        <v>1043</v>
      </c>
      <c r="D541" s="5">
        <v>1043</v>
      </c>
      <c r="E541" s="6">
        <v>0.98</v>
      </c>
      <c r="F541" s="5">
        <v>0</v>
      </c>
      <c r="G541" s="5">
        <v>63.52</v>
      </c>
      <c r="H541" s="5">
        <v>817</v>
      </c>
      <c r="I541" s="5" t="str">
        <f>HYPERLINK("https://www.ncbi.nlm.nih.gov/protein/NGX17178.1?report=genbank&amp;log$=prottop&amp;blast_rank=168&amp;RID=7U875CNM013","NGX17178.1")</f>
        <v>NGX17178.1</v>
      </c>
      <c r="J541" s="5" t="s">
        <v>3276</v>
      </c>
    </row>
    <row r="542" spans="1:10" s="7" customFormat="1" x14ac:dyDescent="0.2">
      <c r="A542" s="5" t="s">
        <v>4028</v>
      </c>
      <c r="B542" s="5" t="s">
        <v>4027</v>
      </c>
      <c r="C542" s="5">
        <v>1042</v>
      </c>
      <c r="D542" s="5">
        <v>1042</v>
      </c>
      <c r="E542" s="6">
        <v>0.98</v>
      </c>
      <c r="F542" s="5">
        <v>0</v>
      </c>
      <c r="G542" s="5">
        <v>63.52</v>
      </c>
      <c r="H542" s="5">
        <v>807</v>
      </c>
      <c r="I542" s="5" t="str">
        <f>HYPERLINK("https://www.ncbi.nlm.nih.gov/protein/WP_206211974.1?report=genbank&amp;log$=prottop&amp;blast_rank=169&amp;RID=7U875CNM013","WP_206211974.1")</f>
        <v>WP_206211974.1</v>
      </c>
      <c r="J542" s="5" t="s">
        <v>3276</v>
      </c>
    </row>
    <row r="543" spans="1:10" s="7" customFormat="1" x14ac:dyDescent="0.2">
      <c r="A543" s="5" t="s">
        <v>4029</v>
      </c>
      <c r="B543" s="5" t="s">
        <v>4030</v>
      </c>
      <c r="C543" s="5">
        <v>1050</v>
      </c>
      <c r="D543" s="5">
        <v>1050</v>
      </c>
      <c r="E543" s="6">
        <v>0.99</v>
      </c>
      <c r="F543" s="5">
        <v>0</v>
      </c>
      <c r="G543" s="5">
        <v>63.51</v>
      </c>
      <c r="H543" s="5">
        <v>807</v>
      </c>
      <c r="I543" s="5" t="str">
        <f>HYPERLINK("https://www.ncbi.nlm.nih.gov/protein/HGZ03180.1?report=genbank&amp;log$=prottop&amp;blast_rank=178&amp;RID=7U875CNM013","HGZ03180.1")</f>
        <v>HGZ03180.1</v>
      </c>
      <c r="J543" s="5" t="s">
        <v>3982</v>
      </c>
    </row>
    <row r="544" spans="1:10" s="7" customFormat="1" x14ac:dyDescent="0.2">
      <c r="A544" s="5" t="s">
        <v>3629</v>
      </c>
      <c r="B544" s="5" t="s">
        <v>853</v>
      </c>
      <c r="C544" s="5">
        <v>1055</v>
      </c>
      <c r="D544" s="5">
        <v>1055</v>
      </c>
      <c r="E544" s="6">
        <v>0.98</v>
      </c>
      <c r="F544" s="5">
        <v>0</v>
      </c>
      <c r="G544" s="5">
        <v>63.49</v>
      </c>
      <c r="H544" s="5">
        <v>787</v>
      </c>
      <c r="I544" s="5" t="str">
        <f>HYPERLINK("https://www.ncbi.nlm.nih.gov/protein/NLT68312.1?report=genbank&amp;log$=prottop&amp;blast_rank=204&amp;RID=7U875CNM013","NLT68312.1")</f>
        <v>NLT68312.1</v>
      </c>
      <c r="J544" s="5" t="s">
        <v>854</v>
      </c>
    </row>
    <row r="545" spans="1:10" s="7" customFormat="1" x14ac:dyDescent="0.2">
      <c r="A545" s="5" t="s">
        <v>3614</v>
      </c>
      <c r="B545" s="5" t="s">
        <v>3615</v>
      </c>
      <c r="C545" s="5">
        <v>1050</v>
      </c>
      <c r="D545" s="5">
        <v>1050</v>
      </c>
      <c r="E545" s="6">
        <v>0.98</v>
      </c>
      <c r="F545" s="5">
        <v>0</v>
      </c>
      <c r="G545" s="5">
        <v>63.49</v>
      </c>
      <c r="H545" s="5">
        <v>789</v>
      </c>
      <c r="I545" s="5" t="str">
        <f>HYPERLINK("https://www.ncbi.nlm.nih.gov/protein/MBC7927757.1?report=genbank&amp;log$=prottop&amp;blast_rank=206&amp;RID=7U875CNM013","MBC7927757.1")</f>
        <v>MBC7927757.1</v>
      </c>
      <c r="J545" s="5" t="s">
        <v>854</v>
      </c>
    </row>
    <row r="546" spans="1:10" s="7" customFormat="1" x14ac:dyDescent="0.2">
      <c r="A546" s="5" t="s">
        <v>4031</v>
      </c>
      <c r="B546" s="5" t="s">
        <v>4032</v>
      </c>
      <c r="C546" s="5">
        <v>1039</v>
      </c>
      <c r="D546" s="5">
        <v>1039</v>
      </c>
      <c r="E546" s="6">
        <v>0.97</v>
      </c>
      <c r="F546" s="5">
        <v>0</v>
      </c>
      <c r="G546" s="5">
        <v>63.47</v>
      </c>
      <c r="H546" s="5">
        <v>804</v>
      </c>
      <c r="I546" s="5" t="str">
        <f>HYPERLINK("https://www.ncbi.nlm.nih.gov/protein/WP_036037264.1?report=genbank&amp;log$=prottop&amp;blast_rank=221&amp;RID=7U875CNM013","WP_036037264.1")</f>
        <v>WP_036037264.1</v>
      </c>
      <c r="J546" s="5" t="s">
        <v>1720</v>
      </c>
    </row>
    <row r="547" spans="1:10" s="7" customFormat="1" x14ac:dyDescent="0.2">
      <c r="A547" s="5" t="s">
        <v>4033</v>
      </c>
      <c r="B547" s="5" t="s">
        <v>4034</v>
      </c>
      <c r="C547" s="5">
        <v>1067</v>
      </c>
      <c r="D547" s="5">
        <v>1067</v>
      </c>
      <c r="E547" s="6">
        <v>0.98</v>
      </c>
      <c r="F547" s="5">
        <v>0</v>
      </c>
      <c r="G547" s="5">
        <v>63.45</v>
      </c>
      <c r="H547" s="5">
        <v>797</v>
      </c>
      <c r="I547" s="5" t="str">
        <f>HYPERLINK("https://www.ncbi.nlm.nih.gov/protein/OIP35429.1?report=genbank&amp;log$=prottop&amp;blast_rank=10&amp;RID=7U875CNM013","OIP35429.1")</f>
        <v>OIP35429.1</v>
      </c>
      <c r="J547" s="5" t="s">
        <v>3286</v>
      </c>
    </row>
    <row r="548" spans="1:10" s="7" customFormat="1" x14ac:dyDescent="0.2">
      <c r="A548" s="5" t="s">
        <v>852</v>
      </c>
      <c r="B548" s="5" t="s">
        <v>853</v>
      </c>
      <c r="C548" s="5">
        <v>1070</v>
      </c>
      <c r="D548" s="5">
        <v>1070</v>
      </c>
      <c r="E548" s="6">
        <v>0.99</v>
      </c>
      <c r="F548" s="5">
        <v>0</v>
      </c>
      <c r="G548" s="5">
        <v>63.44</v>
      </c>
      <c r="H548" s="5">
        <v>799</v>
      </c>
      <c r="I548" s="5" t="str">
        <f>HYPERLINK("https://www.ncbi.nlm.nih.gov/protein/PYT55672.1?report=genbank&amp;log$=prottop&amp;blast_rank=13&amp;RID=7U875CNM013","PYT55672.1")</f>
        <v>PYT55672.1</v>
      </c>
      <c r="J548" s="5" t="s">
        <v>854</v>
      </c>
    </row>
    <row r="549" spans="1:10" s="7" customFormat="1" x14ac:dyDescent="0.2">
      <c r="A549" s="5" t="s">
        <v>1309</v>
      </c>
      <c r="B549" s="5" t="s">
        <v>1310</v>
      </c>
      <c r="C549" s="5">
        <v>1054</v>
      </c>
      <c r="D549" s="5">
        <v>1054</v>
      </c>
      <c r="E549" s="6">
        <v>1</v>
      </c>
      <c r="F549" s="5">
        <v>0</v>
      </c>
      <c r="G549" s="5">
        <v>63.44</v>
      </c>
      <c r="H549" s="5">
        <v>796</v>
      </c>
      <c r="I549" s="5" t="str">
        <f>HYPERLINK("https://www.ncbi.nlm.nih.gov/protein/MBJ7601562.1?report=genbank&amp;log$=prottop&amp;blast_rank=14&amp;RID=7U875CNM013","MBJ7601562.1")</f>
        <v>MBJ7601562.1</v>
      </c>
      <c r="J549" s="5" t="s">
        <v>4035</v>
      </c>
    </row>
    <row r="550" spans="1:10" s="7" customFormat="1" x14ac:dyDescent="0.2">
      <c r="A550" s="5" t="s">
        <v>4036</v>
      </c>
      <c r="B550" s="5" t="s">
        <v>4037</v>
      </c>
      <c r="C550" s="5">
        <v>1033</v>
      </c>
      <c r="D550" s="5">
        <v>1033</v>
      </c>
      <c r="E550" s="6">
        <v>0.98</v>
      </c>
      <c r="F550" s="5">
        <v>0</v>
      </c>
      <c r="G550" s="5">
        <v>63.44</v>
      </c>
      <c r="H550" s="5">
        <v>791</v>
      </c>
      <c r="I550" s="5" t="str">
        <f>HYPERLINK("https://www.ncbi.nlm.nih.gov/protein/HAM35156.1?report=genbank&amp;log$=prottop&amp;blast_rank=18&amp;RID=7U875CNM013","HAM35156.1")</f>
        <v>HAM35156.1</v>
      </c>
      <c r="J550" s="5" t="s">
        <v>4038</v>
      </c>
    </row>
    <row r="551" spans="1:10" s="7" customFormat="1" x14ac:dyDescent="0.2">
      <c r="A551" s="5" t="s">
        <v>4039</v>
      </c>
      <c r="B551" s="5" t="s">
        <v>4040</v>
      </c>
      <c r="C551" s="5">
        <v>1029</v>
      </c>
      <c r="D551" s="5">
        <v>1029</v>
      </c>
      <c r="E551" s="6">
        <v>0.97</v>
      </c>
      <c r="F551" s="5">
        <v>0</v>
      </c>
      <c r="G551" s="5">
        <v>63.44</v>
      </c>
      <c r="H551" s="5">
        <v>796</v>
      </c>
      <c r="I551" s="5" t="str">
        <f>HYPERLINK("https://www.ncbi.nlm.nih.gov/protein/PHR22904.1?report=genbank&amp;log$=prottop&amp;blast_rank=19&amp;RID=7U875CNM013","PHR22904.1")</f>
        <v>PHR22904.1</v>
      </c>
      <c r="J551" s="5" t="s">
        <v>1720</v>
      </c>
    </row>
    <row r="552" spans="1:10" s="7" customFormat="1" x14ac:dyDescent="0.2">
      <c r="A552" s="5" t="s">
        <v>1827</v>
      </c>
      <c r="B552" s="5" t="s">
        <v>1828</v>
      </c>
      <c r="C552" s="5">
        <v>1078</v>
      </c>
      <c r="D552" s="5">
        <v>1078</v>
      </c>
      <c r="E552" s="6">
        <v>0.99</v>
      </c>
      <c r="F552" s="5">
        <v>0</v>
      </c>
      <c r="G552" s="5">
        <v>63.43</v>
      </c>
      <c r="H552" s="5">
        <v>807</v>
      </c>
      <c r="I552" s="5" t="str">
        <f>HYPERLINK("https://www.ncbi.nlm.nih.gov/protein/ODT73101.1?report=genbank&amp;log$=prottop&amp;blast_rank=20&amp;RID=7U875CNM013","ODT73101.1")</f>
        <v>ODT73101.1</v>
      </c>
      <c r="J552" s="5" t="s">
        <v>2134</v>
      </c>
    </row>
    <row r="553" spans="1:10" s="7" customFormat="1" x14ac:dyDescent="0.2">
      <c r="A553" s="5" t="s">
        <v>4041</v>
      </c>
      <c r="B553" s="5" t="s">
        <v>4042</v>
      </c>
      <c r="C553" s="5">
        <v>1054</v>
      </c>
      <c r="D553" s="5">
        <v>1054</v>
      </c>
      <c r="E553" s="6">
        <v>0.98</v>
      </c>
      <c r="F553" s="5">
        <v>0</v>
      </c>
      <c r="G553" s="5">
        <v>63.42</v>
      </c>
      <c r="H553" s="5">
        <v>821</v>
      </c>
      <c r="I553" s="5" t="str">
        <f>HYPERLINK("https://www.ncbi.nlm.nih.gov/protein/WP_069458062.1?report=genbank&amp;log$=prottop&amp;blast_rank=40&amp;RID=7U875CNM013","WP_069458062.1")</f>
        <v>WP_069458062.1</v>
      </c>
      <c r="J553" s="5" t="s">
        <v>1720</v>
      </c>
    </row>
    <row r="554" spans="1:10" s="7" customFormat="1" x14ac:dyDescent="0.2">
      <c r="A554" s="5" t="s">
        <v>4041</v>
      </c>
      <c r="B554" s="5" t="s">
        <v>4042</v>
      </c>
      <c r="C554" s="5">
        <v>1053</v>
      </c>
      <c r="D554" s="5">
        <v>1053</v>
      </c>
      <c r="E554" s="6">
        <v>0.98</v>
      </c>
      <c r="F554" s="5">
        <v>0</v>
      </c>
      <c r="G554" s="5">
        <v>63.42</v>
      </c>
      <c r="H554" s="5">
        <v>821</v>
      </c>
      <c r="I554" s="5" t="str">
        <f>HYPERLINK("https://www.ncbi.nlm.nih.gov/protein/WP_151611548.1?report=genbank&amp;log$=prottop&amp;blast_rank=41&amp;RID=7U875CNM013","WP_151611548.1")</f>
        <v>WP_151611548.1</v>
      </c>
      <c r="J554" s="5" t="s">
        <v>1720</v>
      </c>
    </row>
    <row r="555" spans="1:10" s="7" customFormat="1" x14ac:dyDescent="0.2">
      <c r="A555" s="5" t="s">
        <v>4043</v>
      </c>
      <c r="B555" s="5" t="s">
        <v>4044</v>
      </c>
      <c r="C555" s="5">
        <v>1077</v>
      </c>
      <c r="D555" s="5">
        <v>1077</v>
      </c>
      <c r="E555" s="6">
        <v>0.99</v>
      </c>
      <c r="F555" s="5">
        <v>0</v>
      </c>
      <c r="G555" s="5">
        <v>63.4</v>
      </c>
      <c r="H555" s="5">
        <v>796</v>
      </c>
      <c r="I555" s="5" t="str">
        <f>HYPERLINK("https://www.ncbi.nlm.nih.gov/protein/OLE13182.1?report=genbank&amp;log$=prottop&amp;blast_rank=65&amp;RID=7U875CNM013","OLE13182.1")</f>
        <v>OLE13182.1</v>
      </c>
      <c r="J555" s="5" t="s">
        <v>854</v>
      </c>
    </row>
    <row r="556" spans="1:10" s="7" customFormat="1" x14ac:dyDescent="0.2">
      <c r="A556" s="5" t="s">
        <v>2631</v>
      </c>
      <c r="B556" s="5" t="s">
        <v>2632</v>
      </c>
      <c r="C556" s="5">
        <v>1053</v>
      </c>
      <c r="D556" s="5">
        <v>1053</v>
      </c>
      <c r="E556" s="6">
        <v>0.98</v>
      </c>
      <c r="F556" s="5">
        <v>0</v>
      </c>
      <c r="G556" s="5">
        <v>63.39</v>
      </c>
      <c r="H556" s="5">
        <v>788</v>
      </c>
      <c r="I556" s="5" t="str">
        <f>HYPERLINK("https://www.ncbi.nlm.nih.gov/protein/MBL8173906.1?report=genbank&amp;log$=prottop&amp;blast_rank=77&amp;RID=7U875CNM013","MBL8173906.1")</f>
        <v>MBL8173906.1</v>
      </c>
      <c r="J556" s="5" t="s">
        <v>1720</v>
      </c>
    </row>
    <row r="557" spans="1:10" s="7" customFormat="1" x14ac:dyDescent="0.2">
      <c r="A557" s="5" t="s">
        <v>2843</v>
      </c>
      <c r="B557" s="5" t="s">
        <v>1262</v>
      </c>
      <c r="C557" s="5">
        <v>1042</v>
      </c>
      <c r="D557" s="5">
        <v>1042</v>
      </c>
      <c r="E557" s="6">
        <v>0.98</v>
      </c>
      <c r="F557" s="5">
        <v>0</v>
      </c>
      <c r="G557" s="5">
        <v>63.39</v>
      </c>
      <c r="H557" s="5">
        <v>821</v>
      </c>
      <c r="I557" s="5" t="str">
        <f>HYPERLINK("https://www.ncbi.nlm.nih.gov/protein/WP_136508304.1?report=genbank&amp;log$=prottop&amp;blast_rank=80&amp;RID=7U875CNM013","WP_136508304.1")</f>
        <v>WP_136508304.1</v>
      </c>
      <c r="J557" s="5" t="s">
        <v>1720</v>
      </c>
    </row>
    <row r="558" spans="1:10" s="7" customFormat="1" x14ac:dyDescent="0.2">
      <c r="A558" s="5" t="s">
        <v>4045</v>
      </c>
      <c r="B558" s="5" t="s">
        <v>4046</v>
      </c>
      <c r="C558" s="5">
        <v>1063</v>
      </c>
      <c r="D558" s="5">
        <v>1063</v>
      </c>
      <c r="E558" s="6">
        <v>0.99</v>
      </c>
      <c r="F558" s="5">
        <v>0</v>
      </c>
      <c r="G558" s="5">
        <v>63.36</v>
      </c>
      <c r="H558" s="5">
        <v>799</v>
      </c>
      <c r="I558" s="5" t="str">
        <f>HYPERLINK("https://www.ncbi.nlm.nih.gov/protein/OGS96592.1?report=genbank&amp;log$=prottop&amp;blast_rank=104&amp;RID=7U875CNM013","OGS96592.1")</f>
        <v>OGS96592.1</v>
      </c>
      <c r="J558" s="5" t="s">
        <v>2134</v>
      </c>
    </row>
    <row r="559" spans="1:10" s="7" customFormat="1" x14ac:dyDescent="0.2">
      <c r="A559" s="5" t="s">
        <v>3821</v>
      </c>
      <c r="B559" s="5" t="s">
        <v>3822</v>
      </c>
      <c r="C559" s="5">
        <v>1070</v>
      </c>
      <c r="D559" s="5">
        <v>1070</v>
      </c>
      <c r="E559" s="6">
        <v>0.98</v>
      </c>
      <c r="F559" s="5">
        <v>0</v>
      </c>
      <c r="G559" s="5">
        <v>63.36</v>
      </c>
      <c r="H559" s="5">
        <v>800</v>
      </c>
      <c r="I559" s="5" t="str">
        <f>HYPERLINK("https://www.ncbi.nlm.nih.gov/protein/PYL78299.1?report=genbank&amp;log$=prottop&amp;blast_rank=106&amp;RID=7U875CNM013","PYL78299.1")</f>
        <v>PYL78299.1</v>
      </c>
      <c r="J559" s="5" t="s">
        <v>3982</v>
      </c>
    </row>
    <row r="560" spans="1:10" s="7" customFormat="1" x14ac:dyDescent="0.2">
      <c r="A560" s="5" t="s">
        <v>4047</v>
      </c>
      <c r="B560" s="5" t="s">
        <v>4048</v>
      </c>
      <c r="C560" s="5">
        <v>1048</v>
      </c>
      <c r="D560" s="5">
        <v>1048</v>
      </c>
      <c r="E560" s="6">
        <v>0.97</v>
      </c>
      <c r="F560" s="5">
        <v>0</v>
      </c>
      <c r="G560" s="5">
        <v>63.36</v>
      </c>
      <c r="H560" s="5">
        <v>795</v>
      </c>
      <c r="I560" s="5" t="str">
        <f>HYPERLINK("https://www.ncbi.nlm.nih.gov/protein/KPC52017.1?report=genbank&amp;log$=prottop&amp;blast_rank=110&amp;RID=7U875CNM013","KPC52017.1")</f>
        <v>KPC52017.1</v>
      </c>
      <c r="J560" s="5" t="s">
        <v>4049</v>
      </c>
    </row>
    <row r="561" spans="1:10" s="7" customFormat="1" x14ac:dyDescent="0.2">
      <c r="A561" s="5" t="s">
        <v>4050</v>
      </c>
      <c r="B561" s="5" t="s">
        <v>4048</v>
      </c>
      <c r="C561" s="5">
        <v>1046</v>
      </c>
      <c r="D561" s="5">
        <v>1046</v>
      </c>
      <c r="E561" s="6">
        <v>0.97</v>
      </c>
      <c r="F561" s="5">
        <v>0</v>
      </c>
      <c r="G561" s="5">
        <v>63.36</v>
      </c>
      <c r="H561" s="5">
        <v>782</v>
      </c>
      <c r="I561" s="5" t="str">
        <f>HYPERLINK("https://www.ncbi.nlm.nih.gov/protein/WP_053938292.1?report=genbank&amp;log$=prottop&amp;blast_rank=111&amp;RID=7U875CNM013","WP_053938292.1")</f>
        <v>WP_053938292.1</v>
      </c>
      <c r="J561" s="5" t="s">
        <v>4049</v>
      </c>
    </row>
    <row r="562" spans="1:10" s="7" customFormat="1" x14ac:dyDescent="0.2">
      <c r="A562" s="5" t="s">
        <v>3821</v>
      </c>
      <c r="B562" s="5" t="s">
        <v>3822</v>
      </c>
      <c r="C562" s="5">
        <v>1040</v>
      </c>
      <c r="D562" s="5">
        <v>1040</v>
      </c>
      <c r="E562" s="6">
        <v>0.98</v>
      </c>
      <c r="F562" s="5">
        <v>0</v>
      </c>
      <c r="G562" s="5">
        <v>63.36</v>
      </c>
      <c r="H562" s="5">
        <v>856</v>
      </c>
      <c r="I562" s="5" t="str">
        <f>HYPERLINK("https://www.ncbi.nlm.nih.gov/protein/PYI81062.1?report=genbank&amp;log$=prottop&amp;blast_rank=112&amp;RID=7U875CNM013","PYI81062.1")</f>
        <v>PYI81062.1</v>
      </c>
      <c r="J562" s="5" t="s">
        <v>3982</v>
      </c>
    </row>
    <row r="563" spans="1:10" s="7" customFormat="1" x14ac:dyDescent="0.2">
      <c r="A563" s="5" t="s">
        <v>1997</v>
      </c>
      <c r="B563" s="5" t="s">
        <v>1998</v>
      </c>
      <c r="C563" s="5">
        <v>1046</v>
      </c>
      <c r="D563" s="5">
        <v>1046</v>
      </c>
      <c r="E563" s="6">
        <v>0.98</v>
      </c>
      <c r="F563" s="5">
        <v>0</v>
      </c>
      <c r="G563" s="5">
        <v>63.35</v>
      </c>
      <c r="H563" s="5">
        <v>800</v>
      </c>
      <c r="I563" s="5" t="str">
        <f>HYPERLINK("https://www.ncbi.nlm.nih.gov/protein/OGV44812.1?report=genbank&amp;log$=prottop&amp;blast_rank=119&amp;RID=7U875CNM013","OGV44812.1")</f>
        <v>OGV44812.1</v>
      </c>
      <c r="J563" s="5" t="s">
        <v>1999</v>
      </c>
    </row>
    <row r="564" spans="1:10" s="7" customFormat="1" x14ac:dyDescent="0.2">
      <c r="A564" s="5" t="s">
        <v>4051</v>
      </c>
      <c r="B564" s="5" t="s">
        <v>4030</v>
      </c>
      <c r="C564" s="5">
        <v>1056</v>
      </c>
      <c r="D564" s="5">
        <v>1056</v>
      </c>
      <c r="E564" s="6">
        <v>0.98</v>
      </c>
      <c r="F564" s="5">
        <v>0</v>
      </c>
      <c r="G564" s="5">
        <v>63.32</v>
      </c>
      <c r="H564" s="5">
        <v>789</v>
      </c>
      <c r="I564" s="5" t="str">
        <f>HYPERLINK("https://www.ncbi.nlm.nih.gov/protein/HAO77791.1?report=genbank&amp;log$=prottop&amp;blast_rank=125&amp;RID=7U875CNM013","HAO77791.1")</f>
        <v>HAO77791.1</v>
      </c>
      <c r="J564" s="5" t="s">
        <v>3982</v>
      </c>
    </row>
    <row r="565" spans="1:10" s="7" customFormat="1" x14ac:dyDescent="0.2">
      <c r="A565" s="5" t="s">
        <v>4052</v>
      </c>
      <c r="B565" s="5" t="s">
        <v>4053</v>
      </c>
      <c r="C565" s="5">
        <v>1071</v>
      </c>
      <c r="D565" s="5">
        <v>1071</v>
      </c>
      <c r="E565" s="6">
        <v>0.99</v>
      </c>
      <c r="F565" s="5">
        <v>0</v>
      </c>
      <c r="G565" s="5">
        <v>63.32</v>
      </c>
      <c r="H565" s="5">
        <v>793</v>
      </c>
      <c r="I565" s="5" t="str">
        <f>HYPERLINK("https://www.ncbi.nlm.nih.gov/protein/MBI2504584.1?report=genbank&amp;log$=prottop&amp;blast_rank=133&amp;RID=7U875CNM013","MBI2504584.1")</f>
        <v>MBI2504584.1</v>
      </c>
      <c r="J565" s="5" t="s">
        <v>3277</v>
      </c>
    </row>
    <row r="566" spans="1:10" s="7" customFormat="1" x14ac:dyDescent="0.2">
      <c r="A566" s="5" t="s">
        <v>4054</v>
      </c>
      <c r="B566" s="5" t="s">
        <v>4055</v>
      </c>
      <c r="C566" s="5">
        <v>1051</v>
      </c>
      <c r="D566" s="5">
        <v>1051</v>
      </c>
      <c r="E566" s="6">
        <v>0.98</v>
      </c>
      <c r="F566" s="5">
        <v>0</v>
      </c>
      <c r="G566" s="5">
        <v>63.31</v>
      </c>
      <c r="H566" s="5">
        <v>793</v>
      </c>
      <c r="I566" s="5" t="str">
        <f>HYPERLINK("https://www.ncbi.nlm.nih.gov/protein/OGQ97790.1?report=genbank&amp;log$=prottop&amp;blast_rank=142&amp;RID=7U875CNM013","OGQ97790.1")</f>
        <v>OGQ97790.1</v>
      </c>
      <c r="J566" s="5" t="s">
        <v>3286</v>
      </c>
    </row>
    <row r="567" spans="1:10" s="7" customFormat="1" x14ac:dyDescent="0.2">
      <c r="A567" s="5" t="s">
        <v>3590</v>
      </c>
      <c r="B567" s="5" t="s">
        <v>3360</v>
      </c>
      <c r="C567" s="5">
        <v>1033</v>
      </c>
      <c r="D567" s="5">
        <v>1033</v>
      </c>
      <c r="E567" s="6">
        <v>0.98</v>
      </c>
      <c r="F567" s="5">
        <v>0</v>
      </c>
      <c r="G567" s="5">
        <v>63.31</v>
      </c>
      <c r="H567" s="5">
        <v>800</v>
      </c>
      <c r="I567" s="5" t="str">
        <f>HYPERLINK("https://www.ncbi.nlm.nih.gov/protein/MBC8072865.1?report=genbank&amp;log$=prottop&amp;blast_rank=143&amp;RID=7U875CNM013","MBC8072865.1")</f>
        <v>MBC8072865.1</v>
      </c>
      <c r="J567" s="5" t="s">
        <v>3286</v>
      </c>
    </row>
    <row r="568" spans="1:10" s="7" customFormat="1" x14ac:dyDescent="0.2">
      <c r="A568" s="5" t="s">
        <v>4056</v>
      </c>
      <c r="B568" s="5" t="s">
        <v>4057</v>
      </c>
      <c r="C568" s="5">
        <v>1072</v>
      </c>
      <c r="D568" s="5">
        <v>1072</v>
      </c>
      <c r="E568" s="6">
        <v>0.98</v>
      </c>
      <c r="F568" s="5">
        <v>0</v>
      </c>
      <c r="G568" s="5">
        <v>63.3</v>
      </c>
      <c r="H568" s="5">
        <v>812</v>
      </c>
      <c r="I568" s="5" t="str">
        <f>HYPERLINK("https://www.ncbi.nlm.nih.gov/protein/WP_090881341.1?report=genbank&amp;log$=prottop&amp;blast_rank=147&amp;RID=7U875CNM013","WP_090881341.1")</f>
        <v>WP_090881341.1</v>
      </c>
      <c r="J568" s="5" t="s">
        <v>2134</v>
      </c>
    </row>
    <row r="569" spans="1:10" s="7" customFormat="1" x14ac:dyDescent="0.2">
      <c r="A569" s="5" t="s">
        <v>4058</v>
      </c>
      <c r="B569" s="5" t="s">
        <v>4059</v>
      </c>
      <c r="C569" s="5">
        <v>1040</v>
      </c>
      <c r="D569" s="5">
        <v>1040</v>
      </c>
      <c r="E569" s="6">
        <v>0.98</v>
      </c>
      <c r="F569" s="5">
        <v>0</v>
      </c>
      <c r="G569" s="5">
        <v>63.29</v>
      </c>
      <c r="H569" s="5">
        <v>821</v>
      </c>
      <c r="I569" s="5" t="str">
        <f>HYPERLINK("https://www.ncbi.nlm.nih.gov/protein/OHV81240.1?report=genbank&amp;log$=prottop&amp;blast_rank=170&amp;RID=7U875CNM013","OHV81240.1")</f>
        <v>OHV81240.1</v>
      </c>
      <c r="J569" s="5" t="s">
        <v>1720</v>
      </c>
    </row>
    <row r="570" spans="1:10" s="7" customFormat="1" x14ac:dyDescent="0.2">
      <c r="A570" s="5" t="s">
        <v>4060</v>
      </c>
      <c r="B570" s="5" t="s">
        <v>4059</v>
      </c>
      <c r="C570" s="5">
        <v>1040</v>
      </c>
      <c r="D570" s="5">
        <v>1040</v>
      </c>
      <c r="E570" s="6">
        <v>0.98</v>
      </c>
      <c r="F570" s="5">
        <v>0</v>
      </c>
      <c r="G570" s="5">
        <v>63.29</v>
      </c>
      <c r="H570" s="5">
        <v>820</v>
      </c>
      <c r="I570" s="5" t="str">
        <f>HYPERLINK("https://www.ncbi.nlm.nih.gov/protein/WP_116288777.1?report=genbank&amp;log$=prottop&amp;blast_rank=171&amp;RID=7U875CNM013","WP_116288777.1")</f>
        <v>WP_116288777.1</v>
      </c>
      <c r="J570" s="5" t="s">
        <v>1720</v>
      </c>
    </row>
    <row r="571" spans="1:10" s="7" customFormat="1" x14ac:dyDescent="0.2">
      <c r="A571" s="5" t="s">
        <v>4061</v>
      </c>
      <c r="B571" s="5" t="s">
        <v>4062</v>
      </c>
      <c r="C571" s="5">
        <v>1023</v>
      </c>
      <c r="D571" s="5">
        <v>1023</v>
      </c>
      <c r="E571" s="6">
        <v>0.95</v>
      </c>
      <c r="F571" s="5">
        <v>0</v>
      </c>
      <c r="G571" s="5">
        <v>63.28</v>
      </c>
      <c r="H571" s="5">
        <v>776</v>
      </c>
      <c r="I571" s="5" t="str">
        <f>HYPERLINK("https://www.ncbi.nlm.nih.gov/protein/PTT98332.1?report=genbank&amp;log$=prottop&amp;blast_rank=185&amp;RID=7U875CNM013","PTT98332.1")</f>
        <v>PTT98332.1</v>
      </c>
      <c r="J571" s="5" t="s">
        <v>3276</v>
      </c>
    </row>
    <row r="572" spans="1:10" s="7" customFormat="1" x14ac:dyDescent="0.2">
      <c r="A572" s="5" t="s">
        <v>3665</v>
      </c>
      <c r="B572" s="5" t="s">
        <v>3322</v>
      </c>
      <c r="C572" s="5">
        <v>1034</v>
      </c>
      <c r="D572" s="5">
        <v>1034</v>
      </c>
      <c r="E572" s="6">
        <v>0.97</v>
      </c>
      <c r="F572" s="5">
        <v>0</v>
      </c>
      <c r="G572" s="5">
        <v>63.27</v>
      </c>
      <c r="H572" s="5">
        <v>789</v>
      </c>
      <c r="I572" s="5" t="str">
        <f>HYPERLINK("https://www.ncbi.nlm.nih.gov/protein/MBI2207208.1?report=genbank&amp;log$=prottop&amp;blast_rank=194&amp;RID=7U875CNM013","MBI2207208.1")</f>
        <v>MBI2207208.1</v>
      </c>
      <c r="J572" s="5" t="s">
        <v>3277</v>
      </c>
    </row>
    <row r="573" spans="1:10" s="7" customFormat="1" x14ac:dyDescent="0.2">
      <c r="A573" s="5" t="s">
        <v>4063</v>
      </c>
      <c r="B573" s="5" t="s">
        <v>4064</v>
      </c>
      <c r="C573" s="5">
        <v>1034</v>
      </c>
      <c r="D573" s="5">
        <v>1034</v>
      </c>
      <c r="E573" s="6">
        <v>0.99</v>
      </c>
      <c r="F573" s="5">
        <v>0</v>
      </c>
      <c r="G573" s="5">
        <v>63.27</v>
      </c>
      <c r="H573" s="5">
        <v>820</v>
      </c>
      <c r="I573" s="5" t="str">
        <f>HYPERLINK("https://www.ncbi.nlm.nih.gov/protein/WP_082366903.1?report=genbank&amp;log$=prottop&amp;blast_rank=198&amp;RID=7U875CNM013","WP_082366903.1")</f>
        <v>WP_082366903.1</v>
      </c>
      <c r="J573" s="5" t="s">
        <v>1720</v>
      </c>
    </row>
    <row r="574" spans="1:10" s="7" customFormat="1" ht="13" customHeight="1" x14ac:dyDescent="0.2">
      <c r="A574" s="5" t="s">
        <v>4065</v>
      </c>
      <c r="B574" s="5" t="s">
        <v>4064</v>
      </c>
      <c r="C574" s="5">
        <v>1033</v>
      </c>
      <c r="D574" s="5">
        <v>1033</v>
      </c>
      <c r="E574" s="6">
        <v>0.99</v>
      </c>
      <c r="F574" s="5">
        <v>0</v>
      </c>
      <c r="G574" s="5">
        <v>63.27</v>
      </c>
      <c r="H574" s="5">
        <v>812</v>
      </c>
      <c r="I574" s="5" t="str">
        <f>HYPERLINK("https://www.ncbi.nlm.nih.gov/protein/KOF17272.1?report=genbank&amp;log$=prottop&amp;blast_rank=199&amp;RID=7U875CNM013","KOF17272.1")</f>
        <v>KOF17272.1</v>
      </c>
      <c r="J574" s="5" t="s">
        <v>1720</v>
      </c>
    </row>
    <row r="575" spans="1:10" s="7" customFormat="1" x14ac:dyDescent="0.2">
      <c r="A575" s="5" t="s">
        <v>4066</v>
      </c>
      <c r="B575" s="5" t="s">
        <v>4067</v>
      </c>
      <c r="C575" s="5">
        <v>1050</v>
      </c>
      <c r="D575" s="5">
        <v>1050</v>
      </c>
      <c r="E575" s="6">
        <v>0.98</v>
      </c>
      <c r="F575" s="5">
        <v>0</v>
      </c>
      <c r="G575" s="5">
        <v>63.27</v>
      </c>
      <c r="H575" s="5">
        <v>795</v>
      </c>
      <c r="I575" s="5" t="str">
        <f>HYPERLINK("https://www.ncbi.nlm.nih.gov/protein/MBN9453352.1?report=genbank&amp;log$=prottop&amp;blast_rank=210&amp;RID=7U875CNM013","MBN9453352.1")</f>
        <v>MBN9453352.1</v>
      </c>
      <c r="J575" s="5" t="s">
        <v>1720</v>
      </c>
    </row>
    <row r="576" spans="1:10" s="7" customFormat="1" x14ac:dyDescent="0.2">
      <c r="A576" s="5" t="s">
        <v>4068</v>
      </c>
      <c r="B576" s="5" t="s">
        <v>4069</v>
      </c>
      <c r="C576" s="5">
        <v>1045</v>
      </c>
      <c r="D576" s="5">
        <v>1045</v>
      </c>
      <c r="E576" s="6">
        <v>0.98</v>
      </c>
      <c r="F576" s="5">
        <v>0</v>
      </c>
      <c r="G576" s="5">
        <v>63.27</v>
      </c>
      <c r="H576" s="5">
        <v>821</v>
      </c>
      <c r="I576" s="5" t="str">
        <f>HYPERLINK("https://www.ncbi.nlm.nih.gov/protein/WP_082909720.1?report=genbank&amp;log$=prottop&amp;blast_rank=212&amp;RID=7U875CNM013","WP_082909720.1")</f>
        <v>WP_082909720.1</v>
      </c>
      <c r="J576" s="5" t="s">
        <v>1720</v>
      </c>
    </row>
    <row r="577" spans="1:10" s="7" customFormat="1" x14ac:dyDescent="0.2">
      <c r="A577" s="5" t="s">
        <v>4070</v>
      </c>
      <c r="B577" s="5" t="s">
        <v>4069</v>
      </c>
      <c r="C577" s="5">
        <v>1044</v>
      </c>
      <c r="D577" s="5">
        <v>1044</v>
      </c>
      <c r="E577" s="6">
        <v>0.98</v>
      </c>
      <c r="F577" s="5">
        <v>0</v>
      </c>
      <c r="G577" s="5">
        <v>63.27</v>
      </c>
      <c r="H577" s="5">
        <v>812</v>
      </c>
      <c r="I577" s="5" t="str">
        <f>HYPERLINK("https://www.ncbi.nlm.nih.gov/protein/OAP41584.1?report=genbank&amp;log$=prottop&amp;blast_rank=213&amp;RID=7U875CNM013","OAP41584.1")</f>
        <v>OAP41584.1</v>
      </c>
      <c r="J577" s="5" t="s">
        <v>1720</v>
      </c>
    </row>
    <row r="578" spans="1:10" s="7" customFormat="1" x14ac:dyDescent="0.2">
      <c r="A578" s="5" t="s">
        <v>4071</v>
      </c>
      <c r="B578" s="5" t="s">
        <v>4072</v>
      </c>
      <c r="C578" s="5">
        <v>1066</v>
      </c>
      <c r="D578" s="5">
        <v>1066</v>
      </c>
      <c r="E578" s="6">
        <v>0.98</v>
      </c>
      <c r="F578" s="5">
        <v>0</v>
      </c>
      <c r="G578" s="5">
        <v>63.22</v>
      </c>
      <c r="H578" s="5">
        <v>788</v>
      </c>
      <c r="I578" s="5" t="str">
        <f>HYPERLINK("https://www.ncbi.nlm.nih.gov/protein/MBK8891559.1?report=genbank&amp;log$=prottop&amp;blast_rank=27&amp;RID=7U875CNM013","MBK8891559.1")</f>
        <v>MBK8891559.1</v>
      </c>
      <c r="J578" s="5" t="s">
        <v>2134</v>
      </c>
    </row>
    <row r="579" spans="1:10" s="7" customFormat="1" x14ac:dyDescent="0.2">
      <c r="A579" s="5" t="s">
        <v>2012</v>
      </c>
      <c r="B579" s="5" t="s">
        <v>2013</v>
      </c>
      <c r="C579" s="5">
        <v>1061</v>
      </c>
      <c r="D579" s="5">
        <v>1061</v>
      </c>
      <c r="E579" s="6">
        <v>0.98</v>
      </c>
      <c r="F579" s="5">
        <v>0</v>
      </c>
      <c r="G579" s="5">
        <v>63.22</v>
      </c>
      <c r="H579" s="5">
        <v>788</v>
      </c>
      <c r="I579" s="5" t="str">
        <f>HYPERLINK("https://www.ncbi.nlm.nih.gov/protein/MBO0720095.1?report=genbank&amp;log$=prottop&amp;blast_rank=28&amp;RID=7U875CNM013","MBO0720095.1")</f>
        <v>MBO0720095.1</v>
      </c>
      <c r="J579" s="5" t="s">
        <v>2014</v>
      </c>
    </row>
    <row r="580" spans="1:10" s="7" customFormat="1" x14ac:dyDescent="0.2">
      <c r="A580" s="5" t="s">
        <v>3590</v>
      </c>
      <c r="B580" s="5" t="s">
        <v>3360</v>
      </c>
      <c r="C580" s="5">
        <v>1038</v>
      </c>
      <c r="D580" s="5">
        <v>1038</v>
      </c>
      <c r="E580" s="6">
        <v>0.98</v>
      </c>
      <c r="F580" s="5">
        <v>0</v>
      </c>
      <c r="G580" s="5">
        <v>63.2</v>
      </c>
      <c r="H580" s="5">
        <v>796</v>
      </c>
      <c r="I580" s="5" t="str">
        <f>HYPERLINK("https://www.ncbi.nlm.nih.gov/protein/TMA79110.1?report=genbank&amp;log$=prottop&amp;blast_rank=48&amp;RID=7U875CNM013","TMA79110.1")</f>
        <v>TMA79110.1</v>
      </c>
      <c r="J580" s="5" t="s">
        <v>3286</v>
      </c>
    </row>
    <row r="581" spans="1:10" s="7" customFormat="1" x14ac:dyDescent="0.2">
      <c r="A581" s="5" t="s">
        <v>4073</v>
      </c>
      <c r="B581" s="5" t="s">
        <v>4074</v>
      </c>
      <c r="C581" s="5">
        <v>1048</v>
      </c>
      <c r="D581" s="5">
        <v>1048</v>
      </c>
      <c r="E581" s="6">
        <v>0.98</v>
      </c>
      <c r="F581" s="5">
        <v>0</v>
      </c>
      <c r="G581" s="5">
        <v>63.18</v>
      </c>
      <c r="H581" s="5">
        <v>791</v>
      </c>
      <c r="I581" s="5" t="str">
        <f>HYPERLINK("https://www.ncbi.nlm.nih.gov/protein/WP_126279660.1?report=genbank&amp;log$=prottop&amp;blast_rank=59&amp;RID=7U875CNM013","WP_126279660.1")</f>
        <v>WP_126279660.1</v>
      </c>
      <c r="J581" s="5" t="s">
        <v>1720</v>
      </c>
    </row>
    <row r="582" spans="1:10" s="7" customFormat="1" x14ac:dyDescent="0.2">
      <c r="A582" s="5" t="s">
        <v>4075</v>
      </c>
      <c r="B582" s="5" t="s">
        <v>3969</v>
      </c>
      <c r="C582" s="5">
        <v>1043</v>
      </c>
      <c r="D582" s="5">
        <v>1043</v>
      </c>
      <c r="E582" s="6">
        <v>0.98</v>
      </c>
      <c r="F582" s="5">
        <v>0</v>
      </c>
      <c r="G582" s="5">
        <v>63.18</v>
      </c>
      <c r="H582" s="5">
        <v>795</v>
      </c>
      <c r="I582" s="5" t="str">
        <f>HYPERLINK("https://www.ncbi.nlm.nih.gov/protein/MAS40389.1?report=genbank&amp;log$=prottop&amp;blast_rank=60&amp;RID=7U875CNM013","MAS40389.1")</f>
        <v>MAS40389.1</v>
      </c>
      <c r="J582" s="5" t="s">
        <v>3276</v>
      </c>
    </row>
    <row r="583" spans="1:10" s="7" customFormat="1" x14ac:dyDescent="0.2">
      <c r="A583" s="5" t="s">
        <v>3590</v>
      </c>
      <c r="B583" s="5" t="s">
        <v>3360</v>
      </c>
      <c r="C583" s="5">
        <v>1038</v>
      </c>
      <c r="D583" s="5">
        <v>1038</v>
      </c>
      <c r="E583" s="6">
        <v>0.98</v>
      </c>
      <c r="F583" s="5">
        <v>0</v>
      </c>
      <c r="G583" s="5">
        <v>63.18</v>
      </c>
      <c r="H583" s="5">
        <v>786</v>
      </c>
      <c r="I583" s="5" t="str">
        <f>HYPERLINK("https://www.ncbi.nlm.nih.gov/protein/MBI3782692.1?report=genbank&amp;log$=prottop&amp;blast_rank=62&amp;RID=7U875CNM013","MBI3782692.1")</f>
        <v>MBI3782692.1</v>
      </c>
      <c r="J583" s="5" t="s">
        <v>3286</v>
      </c>
    </row>
    <row r="584" spans="1:10" s="7" customFormat="1" x14ac:dyDescent="0.2">
      <c r="A584" s="5" t="s">
        <v>4076</v>
      </c>
      <c r="B584" s="5" t="s">
        <v>4077</v>
      </c>
      <c r="C584" s="5">
        <v>1048</v>
      </c>
      <c r="D584" s="5">
        <v>1048</v>
      </c>
      <c r="E584" s="6">
        <v>0.99</v>
      </c>
      <c r="F584" s="5">
        <v>0</v>
      </c>
      <c r="G584" s="5">
        <v>63.18</v>
      </c>
      <c r="H584" s="5">
        <v>793</v>
      </c>
      <c r="I584" s="5" t="str">
        <f>HYPERLINK("https://www.ncbi.nlm.nih.gov/protein/WP_163952475.1?report=genbank&amp;log$=prottop&amp;blast_rank=68&amp;RID=7U875CNM013","WP_163952475.1")</f>
        <v>WP_163952475.1</v>
      </c>
      <c r="J584" s="5" t="s">
        <v>3280</v>
      </c>
    </row>
    <row r="585" spans="1:10" s="7" customFormat="1" x14ac:dyDescent="0.2">
      <c r="A585" s="5" t="s">
        <v>4078</v>
      </c>
      <c r="B585" s="5" t="s">
        <v>3989</v>
      </c>
      <c r="C585" s="5">
        <v>1033</v>
      </c>
      <c r="D585" s="5">
        <v>1033</v>
      </c>
      <c r="E585" s="6">
        <v>0.99</v>
      </c>
      <c r="F585" s="5">
        <v>0</v>
      </c>
      <c r="G585" s="5">
        <v>63.17</v>
      </c>
      <c r="H585" s="5">
        <v>818</v>
      </c>
      <c r="I585" s="5" t="str">
        <f>HYPERLINK("https://www.ncbi.nlm.nih.gov/protein/GGY23131.1?report=genbank&amp;log$=prottop&amp;blast_rank=79&amp;RID=7U875CNM013","GGY23131.1")</f>
        <v>GGY23131.1</v>
      </c>
      <c r="J585" s="5" t="s">
        <v>2134</v>
      </c>
    </row>
    <row r="586" spans="1:10" s="7" customFormat="1" x14ac:dyDescent="0.2">
      <c r="A586" s="5" t="s">
        <v>4079</v>
      </c>
      <c r="B586" s="5" t="s">
        <v>4080</v>
      </c>
      <c r="C586" s="5">
        <v>1057</v>
      </c>
      <c r="D586" s="5">
        <v>1057</v>
      </c>
      <c r="E586" s="6">
        <v>0.99</v>
      </c>
      <c r="F586" s="5">
        <v>0</v>
      </c>
      <c r="G586" s="5">
        <v>63.14</v>
      </c>
      <c r="H586" s="5">
        <v>794</v>
      </c>
      <c r="I586" s="5" t="str">
        <f>HYPERLINK("https://www.ncbi.nlm.nih.gov/protein/MBN8852707.1?report=genbank&amp;log$=prottop&amp;blast_rank=96&amp;RID=7U875CNM013","MBN8852707.1")</f>
        <v>MBN8852707.1</v>
      </c>
      <c r="J586" s="5" t="s">
        <v>3280</v>
      </c>
    </row>
    <row r="587" spans="1:10" s="7" customFormat="1" x14ac:dyDescent="0.2">
      <c r="A587" s="5" t="s">
        <v>4081</v>
      </c>
      <c r="B587" s="5" t="s">
        <v>2013</v>
      </c>
      <c r="C587" s="5">
        <v>1057</v>
      </c>
      <c r="D587" s="5">
        <v>1057</v>
      </c>
      <c r="E587" s="6">
        <v>0.99</v>
      </c>
      <c r="F587" s="5">
        <v>0</v>
      </c>
      <c r="G587" s="5">
        <v>63.14</v>
      </c>
      <c r="H587" s="5">
        <v>793</v>
      </c>
      <c r="I587" s="5" t="str">
        <f>HYPERLINK("https://www.ncbi.nlm.nih.gov/protein/PWT83483.1?report=genbank&amp;log$=prottop&amp;blast_rank=97&amp;RID=7U875CNM013","PWT83483.1")</f>
        <v>PWT83483.1</v>
      </c>
      <c r="J587" s="5" t="s">
        <v>854</v>
      </c>
    </row>
    <row r="588" spans="1:10" s="7" customFormat="1" x14ac:dyDescent="0.2">
      <c r="A588" s="5" t="s">
        <v>3811</v>
      </c>
      <c r="B588" s="5" t="s">
        <v>3360</v>
      </c>
      <c r="C588" s="5">
        <v>1071</v>
      </c>
      <c r="D588" s="5">
        <v>1071</v>
      </c>
      <c r="E588" s="6">
        <v>0.98</v>
      </c>
      <c r="F588" s="5">
        <v>0</v>
      </c>
      <c r="G588" s="5">
        <v>63.14</v>
      </c>
      <c r="H588" s="5">
        <v>798</v>
      </c>
      <c r="I588" s="5" t="str">
        <f>HYPERLINK("https://www.ncbi.nlm.nih.gov/protein/HBX43460.1?report=genbank&amp;log$=prottop&amp;blast_rank=105&amp;RID=7U875CNM013","HBX43460.1")</f>
        <v>HBX43460.1</v>
      </c>
      <c r="J588" s="5" t="s">
        <v>3286</v>
      </c>
    </row>
    <row r="589" spans="1:10" s="7" customFormat="1" x14ac:dyDescent="0.2">
      <c r="A589" s="5" t="s">
        <v>4082</v>
      </c>
      <c r="B589" s="5" t="s">
        <v>4083</v>
      </c>
      <c r="C589" s="5">
        <v>1040</v>
      </c>
      <c r="D589" s="5">
        <v>1040</v>
      </c>
      <c r="E589" s="6">
        <v>0.97</v>
      </c>
      <c r="F589" s="5">
        <v>0</v>
      </c>
      <c r="G589" s="5">
        <v>63.14</v>
      </c>
      <c r="H589" s="5">
        <v>795</v>
      </c>
      <c r="I589" s="5" t="str">
        <f>HYPERLINK("https://www.ncbi.nlm.nih.gov/protein/WP_208073556.1?report=genbank&amp;log$=prottop&amp;blast_rank=114&amp;RID=7U875CNM013","WP_208073556.1")</f>
        <v>WP_208073556.1</v>
      </c>
      <c r="J589" s="5" t="s">
        <v>1720</v>
      </c>
    </row>
    <row r="590" spans="1:10" s="7" customFormat="1" x14ac:dyDescent="0.2">
      <c r="A590" s="5" t="s">
        <v>4084</v>
      </c>
      <c r="B590" s="5" t="s">
        <v>4085</v>
      </c>
      <c r="C590" s="5">
        <v>1052</v>
      </c>
      <c r="D590" s="5">
        <v>1052</v>
      </c>
      <c r="E590" s="6">
        <v>0.99</v>
      </c>
      <c r="F590" s="5">
        <v>0</v>
      </c>
      <c r="G590" s="5">
        <v>63.12</v>
      </c>
      <c r="H590" s="5">
        <v>807</v>
      </c>
      <c r="I590" s="5" t="str">
        <f>HYPERLINK("https://www.ncbi.nlm.nih.gov/protein/WP_184137904.1?report=genbank&amp;log$=prottop&amp;blast_rank=130&amp;RID=7U875CNM013","WP_184137904.1")</f>
        <v>WP_184137904.1</v>
      </c>
      <c r="J590" s="5" t="s">
        <v>4086</v>
      </c>
    </row>
    <row r="591" spans="1:10" s="7" customFormat="1" x14ac:dyDescent="0.2">
      <c r="A591" s="5" t="s">
        <v>4087</v>
      </c>
      <c r="B591" s="5" t="s">
        <v>4088</v>
      </c>
      <c r="C591" s="5">
        <v>1037</v>
      </c>
      <c r="D591" s="5">
        <v>1037</v>
      </c>
      <c r="E591" s="6">
        <v>0.98</v>
      </c>
      <c r="F591" s="5">
        <v>0</v>
      </c>
      <c r="G591" s="5">
        <v>63.12</v>
      </c>
      <c r="H591" s="5">
        <v>800</v>
      </c>
      <c r="I591" s="5" t="str">
        <f>HYPERLINK("https://www.ncbi.nlm.nih.gov/protein/WP_199711960.1?report=genbank&amp;log$=prottop&amp;blast_rank=136&amp;RID=7U875CNM013","WP_199711960.1")</f>
        <v>WP_199711960.1</v>
      </c>
      <c r="J591" s="5" t="s">
        <v>1720</v>
      </c>
    </row>
    <row r="592" spans="1:10" s="7" customFormat="1" x14ac:dyDescent="0.2">
      <c r="A592" s="5" t="s">
        <v>852</v>
      </c>
      <c r="B592" s="5" t="s">
        <v>853</v>
      </c>
      <c r="C592" s="5">
        <v>1061</v>
      </c>
      <c r="D592" s="5">
        <v>1061</v>
      </c>
      <c r="E592" s="6">
        <v>0.98</v>
      </c>
      <c r="F592" s="5">
        <v>0</v>
      </c>
      <c r="G592" s="5">
        <v>63.1</v>
      </c>
      <c r="H592" s="5">
        <v>791</v>
      </c>
      <c r="I592" s="5" t="str">
        <f>HYPERLINK("https://www.ncbi.nlm.nih.gov/protein/PYS04183.1?report=genbank&amp;log$=prottop&amp;blast_rank=150&amp;RID=7U875CNM013","PYS04183.1")</f>
        <v>PYS04183.1</v>
      </c>
      <c r="J592" s="5" t="s">
        <v>854</v>
      </c>
    </row>
    <row r="593" spans="1:10" s="7" customFormat="1" x14ac:dyDescent="0.2">
      <c r="A593" s="5" t="s">
        <v>3570</v>
      </c>
      <c r="B593" s="5" t="s">
        <v>3315</v>
      </c>
      <c r="C593" s="5">
        <v>1051</v>
      </c>
      <c r="D593" s="5">
        <v>1051</v>
      </c>
      <c r="E593" s="6">
        <v>0.98</v>
      </c>
      <c r="F593" s="5">
        <v>0</v>
      </c>
      <c r="G593" s="5">
        <v>63.1</v>
      </c>
      <c r="H593" s="5">
        <v>796</v>
      </c>
      <c r="I593" s="5" t="str">
        <f>HYPERLINK("https://www.ncbi.nlm.nih.gov/protein/MAT66427.1?report=genbank&amp;log$=prottop&amp;blast_rank=152&amp;RID=7U875CNM013","MAT66427.1")</f>
        <v>MAT66427.1</v>
      </c>
      <c r="J593" s="5" t="s">
        <v>3276</v>
      </c>
    </row>
    <row r="594" spans="1:10" s="7" customFormat="1" x14ac:dyDescent="0.2">
      <c r="A594" s="5" t="s">
        <v>4089</v>
      </c>
      <c r="B594" s="5" t="s">
        <v>4090</v>
      </c>
      <c r="C594" s="5">
        <v>1053</v>
      </c>
      <c r="D594" s="5">
        <v>1053</v>
      </c>
      <c r="E594" s="6">
        <v>0.99</v>
      </c>
      <c r="F594" s="5">
        <v>0</v>
      </c>
      <c r="G594" s="5">
        <v>63.1</v>
      </c>
      <c r="H594" s="5">
        <v>818</v>
      </c>
      <c r="I594" s="5" t="str">
        <f>HYPERLINK("https://www.ncbi.nlm.nih.gov/protein/WP_084044644.1?report=genbank&amp;log$=prottop&amp;blast_rank=161&amp;RID=7U875CNM013","WP_084044644.1")</f>
        <v>WP_084044644.1</v>
      </c>
      <c r="J594" s="5" t="s">
        <v>1720</v>
      </c>
    </row>
    <row r="595" spans="1:10" s="7" customFormat="1" x14ac:dyDescent="0.2">
      <c r="A595" s="5" t="s">
        <v>3336</v>
      </c>
      <c r="B595" s="5" t="s">
        <v>2768</v>
      </c>
      <c r="C595" s="5">
        <v>1034</v>
      </c>
      <c r="D595" s="5">
        <v>1034</v>
      </c>
      <c r="E595" s="6">
        <v>0.99</v>
      </c>
      <c r="F595" s="5">
        <v>0</v>
      </c>
      <c r="G595" s="5">
        <v>63.08</v>
      </c>
      <c r="H595" s="5">
        <v>809</v>
      </c>
      <c r="I595" s="5" t="str">
        <f>HYPERLINK("https://www.ncbi.nlm.nih.gov/protein/PZN75686.1?report=genbank&amp;log$=prottop&amp;blast_rank=8&amp;RID=7U875CNM013","PZN75686.1")</f>
        <v>PZN75686.1</v>
      </c>
      <c r="J595" s="5" t="s">
        <v>2769</v>
      </c>
    </row>
    <row r="596" spans="1:10" s="7" customFormat="1" x14ac:dyDescent="0.2">
      <c r="A596" s="5" t="s">
        <v>4091</v>
      </c>
      <c r="B596" s="5" t="s">
        <v>4092</v>
      </c>
      <c r="C596" s="5">
        <v>1056</v>
      </c>
      <c r="D596" s="5">
        <v>1056</v>
      </c>
      <c r="E596" s="6">
        <v>0.99</v>
      </c>
      <c r="F596" s="5">
        <v>0</v>
      </c>
      <c r="G596" s="5">
        <v>63.07</v>
      </c>
      <c r="H596" s="5">
        <v>809</v>
      </c>
      <c r="I596" s="5" t="str">
        <f>HYPERLINK("https://www.ncbi.nlm.nih.gov/protein/WP_130578816.1?report=genbank&amp;log$=prottop&amp;blast_rank=23&amp;RID=7U875CNM013","WP_130578816.1")</f>
        <v>WP_130578816.1</v>
      </c>
      <c r="J596" s="5" t="s">
        <v>1720</v>
      </c>
    </row>
    <row r="597" spans="1:10" s="7" customFormat="1" x14ac:dyDescent="0.2">
      <c r="A597" s="5" t="s">
        <v>4093</v>
      </c>
      <c r="B597" s="5" t="s">
        <v>4094</v>
      </c>
      <c r="C597" s="5">
        <v>1046</v>
      </c>
      <c r="D597" s="5">
        <v>1046</v>
      </c>
      <c r="E597" s="6">
        <v>0.99</v>
      </c>
      <c r="F597" s="5">
        <v>0</v>
      </c>
      <c r="G597" s="5">
        <v>63.07</v>
      </c>
      <c r="H597" s="5">
        <v>796</v>
      </c>
      <c r="I597" s="5" t="str">
        <f>HYPERLINK("https://www.ncbi.nlm.nih.gov/protein/NNF08369.1?report=genbank&amp;log$=prottop&amp;blast_rank=26&amp;RID=7U875CNM013","NNF08369.1")</f>
        <v>NNF08369.1</v>
      </c>
      <c r="J597" s="5" t="s">
        <v>3277</v>
      </c>
    </row>
    <row r="598" spans="1:10" s="7" customFormat="1" x14ac:dyDescent="0.2">
      <c r="A598" s="5" t="s">
        <v>1975</v>
      </c>
      <c r="B598" s="5" t="s">
        <v>1976</v>
      </c>
      <c r="C598" s="5">
        <v>1055</v>
      </c>
      <c r="D598" s="5">
        <v>1055</v>
      </c>
      <c r="E598" s="6">
        <v>0.98</v>
      </c>
      <c r="F598" s="5">
        <v>0</v>
      </c>
      <c r="G598" s="5">
        <v>63.06</v>
      </c>
      <c r="H598" s="5">
        <v>786</v>
      </c>
      <c r="I598" s="35" t="str">
        <f>HYPERLINK("https://www.ncbi.nlm.nih.gov/protein/NDP48791.1?report=genbank&amp;log$=prottop&amp;blast_rank=32&amp;RID=7U875CNM013","NDP48791.1")</f>
        <v>NDP48791.1</v>
      </c>
      <c r="J598" s="5" t="s">
        <v>2134</v>
      </c>
    </row>
    <row r="599" spans="1:10" s="7" customFormat="1" x14ac:dyDescent="0.2">
      <c r="A599" s="5" t="s">
        <v>4095</v>
      </c>
      <c r="B599" s="5" t="s">
        <v>4096</v>
      </c>
      <c r="C599" s="5">
        <v>1054</v>
      </c>
      <c r="D599" s="5">
        <v>1054</v>
      </c>
      <c r="E599" s="6">
        <v>0.98</v>
      </c>
      <c r="F599" s="5">
        <v>0</v>
      </c>
      <c r="G599" s="5">
        <v>63.06</v>
      </c>
      <c r="H599" s="5">
        <v>786</v>
      </c>
      <c r="I599" s="5" t="str">
        <f>HYPERLINK("https://www.ncbi.nlm.nih.gov/protein/RFC39441.1?report=genbank&amp;log$=prottop&amp;blast_rank=33&amp;RID=7U875CNM013","RFC39441.1")</f>
        <v>RFC39441.1</v>
      </c>
      <c r="J599" s="5" t="s">
        <v>3277</v>
      </c>
    </row>
    <row r="600" spans="1:10" s="7" customFormat="1" x14ac:dyDescent="0.2">
      <c r="A600" s="5" t="s">
        <v>3629</v>
      </c>
      <c r="B600" s="5" t="s">
        <v>853</v>
      </c>
      <c r="C600" s="5">
        <v>1041</v>
      </c>
      <c r="D600" s="5">
        <v>1041</v>
      </c>
      <c r="E600" s="6">
        <v>0.98</v>
      </c>
      <c r="F600" s="5">
        <v>0</v>
      </c>
      <c r="G600" s="5">
        <v>63.06</v>
      </c>
      <c r="H600" s="5">
        <v>803</v>
      </c>
      <c r="I600" s="5" t="str">
        <f>HYPERLINK("https://www.ncbi.nlm.nih.gov/protein/MBI2817670.1?report=genbank&amp;log$=prottop&amp;blast_rank=34&amp;RID=7U875CNM013","MBI2817670.1")</f>
        <v>MBI2817670.1</v>
      </c>
      <c r="J600" s="5" t="s">
        <v>854</v>
      </c>
    </row>
    <row r="601" spans="1:10" s="7" customFormat="1" x14ac:dyDescent="0.2">
      <c r="A601" s="5" t="s">
        <v>2295</v>
      </c>
      <c r="B601" s="5" t="s">
        <v>2296</v>
      </c>
      <c r="C601" s="5">
        <v>1040</v>
      </c>
      <c r="D601" s="5">
        <v>1040</v>
      </c>
      <c r="E601" s="6">
        <v>0.98</v>
      </c>
      <c r="F601" s="5">
        <v>0</v>
      </c>
      <c r="G601" s="5">
        <v>63.06</v>
      </c>
      <c r="H601" s="5">
        <v>789</v>
      </c>
      <c r="I601" s="5" t="str">
        <f>HYPERLINK("https://www.ncbi.nlm.nih.gov/protein/MBL8876580.1?report=genbank&amp;log$=prottop&amp;blast_rank=35&amp;RID=7U875CNM013","MBL8876580.1")</f>
        <v>MBL8876580.1</v>
      </c>
      <c r="J601" s="5" t="s">
        <v>4097</v>
      </c>
    </row>
    <row r="602" spans="1:10" s="7" customFormat="1" x14ac:dyDescent="0.2">
      <c r="A602" s="5" t="s">
        <v>3629</v>
      </c>
      <c r="B602" s="5" t="s">
        <v>853</v>
      </c>
      <c r="C602" s="5">
        <v>1035</v>
      </c>
      <c r="D602" s="5">
        <v>1035</v>
      </c>
      <c r="E602" s="6">
        <v>0.98</v>
      </c>
      <c r="F602" s="5">
        <v>0</v>
      </c>
      <c r="G602" s="5">
        <v>63.06</v>
      </c>
      <c r="H602" s="5">
        <v>794</v>
      </c>
      <c r="I602" s="5" t="str">
        <f>HYPERLINK("https://www.ncbi.nlm.nih.gov/protein/TAM47854.1?report=genbank&amp;log$=prottop&amp;blast_rank=37&amp;RID=7U875CNM013","TAM47854.1")</f>
        <v>TAM47854.1</v>
      </c>
      <c r="J602" s="5" t="s">
        <v>4098</v>
      </c>
    </row>
    <row r="603" spans="1:10" s="7" customFormat="1" x14ac:dyDescent="0.2">
      <c r="A603" s="5" t="s">
        <v>3983</v>
      </c>
      <c r="B603" s="5" t="s">
        <v>3984</v>
      </c>
      <c r="C603" s="5">
        <v>1026</v>
      </c>
      <c r="D603" s="5">
        <v>1026</v>
      </c>
      <c r="E603" s="6">
        <v>0.99</v>
      </c>
      <c r="F603" s="5">
        <v>0</v>
      </c>
      <c r="G603" s="5">
        <v>63.04</v>
      </c>
      <c r="H603" s="5">
        <v>789</v>
      </c>
      <c r="I603" s="5" t="str">
        <f>HYPERLINK("https://www.ncbi.nlm.nih.gov/protein/WP_075831069.1?report=genbank&amp;log$=prottop&amp;blast_rank=55&amp;RID=7U875CNM013","WP_075831069.1")</f>
        <v>WP_075831069.1</v>
      </c>
      <c r="J603" s="5" t="s">
        <v>4099</v>
      </c>
    </row>
    <row r="604" spans="1:10" s="7" customFormat="1" x14ac:dyDescent="0.2">
      <c r="A604" s="5" t="s">
        <v>3665</v>
      </c>
      <c r="B604" s="5" t="s">
        <v>3322</v>
      </c>
      <c r="C604" s="5">
        <v>1061</v>
      </c>
      <c r="D604" s="5">
        <v>1061</v>
      </c>
      <c r="E604" s="6">
        <v>0.98</v>
      </c>
      <c r="F604" s="5">
        <v>0</v>
      </c>
      <c r="G604" s="5">
        <v>63.02</v>
      </c>
      <c r="H604" s="5">
        <v>793</v>
      </c>
      <c r="I604" s="5" t="str">
        <f>HYPERLINK("https://www.ncbi.nlm.nih.gov/protein/MBI4610834.1?report=genbank&amp;log$=prottop&amp;blast_rank=75&amp;RID=7U875CNM013","MBI4610834.1")</f>
        <v>MBI4610834.1</v>
      </c>
      <c r="J604" s="5" t="s">
        <v>3277</v>
      </c>
    </row>
    <row r="605" spans="1:10" s="7" customFormat="1" x14ac:dyDescent="0.2">
      <c r="A605" s="5" t="s">
        <v>1409</v>
      </c>
      <c r="B605" s="5" t="s">
        <v>1410</v>
      </c>
      <c r="C605" s="5">
        <v>1023</v>
      </c>
      <c r="D605" s="5">
        <v>1023</v>
      </c>
      <c r="E605" s="6">
        <v>0.98</v>
      </c>
      <c r="F605" s="5">
        <v>0</v>
      </c>
      <c r="G605" s="5">
        <v>63.02</v>
      </c>
      <c r="H605" s="5">
        <v>783</v>
      </c>
      <c r="I605" s="5" t="str">
        <f>HYPERLINK("https://www.ncbi.nlm.nih.gov/protein/WP_119019539.1?report=genbank&amp;log$=prottop&amp;blast_rank=81&amp;RID=7U875CNM013","WP_119019539.1")</f>
        <v>WP_119019539.1</v>
      </c>
      <c r="J605" s="5" t="s">
        <v>1411</v>
      </c>
    </row>
    <row r="606" spans="1:10" s="7" customFormat="1" x14ac:dyDescent="0.2">
      <c r="A606" s="5" t="s">
        <v>2806</v>
      </c>
      <c r="B606" s="5" t="s">
        <v>2807</v>
      </c>
      <c r="C606" s="5">
        <v>1046</v>
      </c>
      <c r="D606" s="5">
        <v>1046</v>
      </c>
      <c r="E606" s="6">
        <v>0.99</v>
      </c>
      <c r="F606" s="5">
        <v>0</v>
      </c>
      <c r="G606" s="5">
        <v>63.02</v>
      </c>
      <c r="H606" s="5">
        <v>820</v>
      </c>
      <c r="I606" s="5" t="str">
        <f>HYPERLINK("https://www.ncbi.nlm.nih.gov/protein/WP_173513620.1?report=genbank&amp;log$=prottop&amp;blast_rank=84&amp;RID=7U875CNM013","WP_173513620.1")</f>
        <v>WP_173513620.1</v>
      </c>
      <c r="J606" s="5" t="s">
        <v>2769</v>
      </c>
    </row>
    <row r="607" spans="1:10" s="7" customFormat="1" x14ac:dyDescent="0.2">
      <c r="A607" s="5" t="s">
        <v>4100</v>
      </c>
      <c r="B607" s="5" t="s">
        <v>4101</v>
      </c>
      <c r="C607" s="5">
        <v>1086</v>
      </c>
      <c r="D607" s="5">
        <v>1086</v>
      </c>
      <c r="E607" s="6">
        <v>0.98</v>
      </c>
      <c r="F607" s="5">
        <v>0</v>
      </c>
      <c r="G607" s="5">
        <v>63.01</v>
      </c>
      <c r="H607" s="5">
        <v>785</v>
      </c>
      <c r="I607" s="5" t="str">
        <f>HYPERLINK("https://www.ncbi.nlm.nih.gov/protein/MBN2513036.1?report=genbank&amp;log$=prottop&amp;blast_rank=94&amp;RID=7U875CNM013","MBN2513036.1")</f>
        <v>MBN2513036.1</v>
      </c>
      <c r="J607" s="5" t="s">
        <v>4102</v>
      </c>
    </row>
    <row r="608" spans="1:10" s="7" customFormat="1" x14ac:dyDescent="0.2">
      <c r="A608" s="5" t="s">
        <v>4103</v>
      </c>
      <c r="B608" s="5" t="s">
        <v>4104</v>
      </c>
      <c r="C608" s="5">
        <v>1058</v>
      </c>
      <c r="D608" s="5">
        <v>1058</v>
      </c>
      <c r="E608" s="6">
        <v>0.98</v>
      </c>
      <c r="F608" s="5">
        <v>0</v>
      </c>
      <c r="G608" s="5">
        <v>63.01</v>
      </c>
      <c r="H608" s="5">
        <v>796</v>
      </c>
      <c r="I608" s="5" t="str">
        <f>HYPERLINK("https://www.ncbi.nlm.nih.gov/protein/WP_041858182.1?report=genbank&amp;log$=prottop&amp;blast_rank=99&amp;RID=7U875CNM013","WP_041858182.1")</f>
        <v>WP_041858182.1</v>
      </c>
      <c r="J608" s="5" t="s">
        <v>854</v>
      </c>
    </row>
    <row r="609" spans="1:10" s="7" customFormat="1" x14ac:dyDescent="0.2">
      <c r="A609" s="5" t="s">
        <v>4105</v>
      </c>
      <c r="B609" s="5" t="s">
        <v>4106</v>
      </c>
      <c r="C609" s="5">
        <v>1057</v>
      </c>
      <c r="D609" s="5">
        <v>1057</v>
      </c>
      <c r="E609" s="6">
        <v>0.98</v>
      </c>
      <c r="F609" s="5">
        <v>0</v>
      </c>
      <c r="G609" s="5">
        <v>63.01</v>
      </c>
      <c r="H609" s="5">
        <v>789</v>
      </c>
      <c r="I609" s="5" t="str">
        <f>HYPERLINK("https://www.ncbi.nlm.nih.gov/protein/ABJ85884.1?report=genbank&amp;log$=prottop&amp;blast_rank=100&amp;RID=7U875CNM013","ABJ85884.1")</f>
        <v>ABJ85884.1</v>
      </c>
      <c r="J609" s="5" t="s">
        <v>854</v>
      </c>
    </row>
    <row r="610" spans="1:10" s="7" customFormat="1" x14ac:dyDescent="0.2">
      <c r="A610" s="5" t="s">
        <v>4107</v>
      </c>
      <c r="B610" s="5" t="s">
        <v>4108</v>
      </c>
      <c r="C610" s="5">
        <v>1042</v>
      </c>
      <c r="D610" s="5">
        <v>1042</v>
      </c>
      <c r="E610" s="6">
        <v>0.98</v>
      </c>
      <c r="F610" s="5">
        <v>0</v>
      </c>
      <c r="G610" s="5">
        <v>63.01</v>
      </c>
      <c r="H610" s="5">
        <v>814</v>
      </c>
      <c r="I610" s="5" t="str">
        <f>HYPERLINK("https://www.ncbi.nlm.nih.gov/protein/WP_018238750.1?report=genbank&amp;log$=prottop&amp;blast_rank=109&amp;RID=7U875CNM013","WP_018238750.1")</f>
        <v>WP_018238750.1</v>
      </c>
      <c r="J610" s="5" t="s">
        <v>1720</v>
      </c>
    </row>
    <row r="611" spans="1:10" s="7" customFormat="1" x14ac:dyDescent="0.2">
      <c r="A611" s="5" t="s">
        <v>1975</v>
      </c>
      <c r="B611" s="5" t="s">
        <v>1976</v>
      </c>
      <c r="C611" s="5">
        <v>1026</v>
      </c>
      <c r="D611" s="5">
        <v>1026</v>
      </c>
      <c r="E611" s="6">
        <v>0.98</v>
      </c>
      <c r="F611" s="5">
        <v>0</v>
      </c>
      <c r="G611" s="5">
        <v>63.01</v>
      </c>
      <c r="H611" s="5">
        <v>795</v>
      </c>
      <c r="I611" s="5" t="str">
        <f>HYPERLINK("https://www.ncbi.nlm.nih.gov/protein/WP_124704413.1?report=genbank&amp;log$=prottop&amp;blast_rank=120&amp;RID=7U875CNM013","WP_124704413.1")</f>
        <v>WP_124704413.1</v>
      </c>
      <c r="J611" s="5" t="s">
        <v>2134</v>
      </c>
    </row>
    <row r="612" spans="1:10" s="7" customFormat="1" x14ac:dyDescent="0.2">
      <c r="A612" s="5" t="s">
        <v>4109</v>
      </c>
      <c r="B612" s="5" t="s">
        <v>4110</v>
      </c>
      <c r="C612" s="5">
        <v>1046</v>
      </c>
      <c r="D612" s="5">
        <v>1046</v>
      </c>
      <c r="E612" s="6">
        <v>0.99</v>
      </c>
      <c r="F612" s="5">
        <v>0</v>
      </c>
      <c r="G612" s="5">
        <v>63.01</v>
      </c>
      <c r="H612" s="5">
        <v>805</v>
      </c>
      <c r="I612" s="5" t="str">
        <f>HYPERLINK("https://www.ncbi.nlm.nih.gov/protein/WP_203328904.1?report=genbank&amp;log$=prottop&amp;blast_rank=122&amp;RID=7U875CNM013","WP_203328904.1")</f>
        <v>WP_203328904.1</v>
      </c>
      <c r="J612" s="5" t="s">
        <v>854</v>
      </c>
    </row>
    <row r="613" spans="1:10" s="7" customFormat="1" x14ac:dyDescent="0.2">
      <c r="A613" s="5" t="s">
        <v>4111</v>
      </c>
      <c r="B613" s="5" t="s">
        <v>3822</v>
      </c>
      <c r="C613" s="5">
        <v>1048</v>
      </c>
      <c r="D613" s="5">
        <v>1048</v>
      </c>
      <c r="E613" s="6">
        <v>0.98</v>
      </c>
      <c r="F613" s="5">
        <v>0</v>
      </c>
      <c r="G613" s="5">
        <v>62.99</v>
      </c>
      <c r="H613" s="5">
        <v>789</v>
      </c>
      <c r="I613" s="5" t="str">
        <f>HYPERLINK("https://www.ncbi.nlm.nih.gov/protein/SPE61556.1?report=genbank&amp;log$=prottop&amp;blast_rank=128&amp;RID=7U875CNM013","SPE61556.1")</f>
        <v>SPE61556.1</v>
      </c>
      <c r="J613" s="5" t="s">
        <v>4112</v>
      </c>
    </row>
    <row r="614" spans="1:10" s="7" customFormat="1" x14ac:dyDescent="0.2">
      <c r="A614" s="5" t="s">
        <v>4113</v>
      </c>
      <c r="B614" s="5" t="s">
        <v>4114</v>
      </c>
      <c r="C614" s="5">
        <v>1040</v>
      </c>
      <c r="D614" s="5">
        <v>1040</v>
      </c>
      <c r="E614" s="6">
        <v>0.98</v>
      </c>
      <c r="F614" s="5">
        <v>0</v>
      </c>
      <c r="G614" s="5">
        <v>62.99</v>
      </c>
      <c r="H614" s="5">
        <v>797</v>
      </c>
      <c r="I614" s="5" t="str">
        <f>HYPERLINK("https://www.ncbi.nlm.nih.gov/protein/WP_176093140.1?report=genbank&amp;log$=prottop&amp;blast_rank=130&amp;RID=7U875CNM013","WP_176093140.1")</f>
        <v>WP_176093140.1</v>
      </c>
      <c r="J614" s="5" t="s">
        <v>4112</v>
      </c>
    </row>
    <row r="615" spans="1:10" s="7" customFormat="1" x14ac:dyDescent="0.2">
      <c r="A615" s="5" t="s">
        <v>4115</v>
      </c>
      <c r="B615" s="5" t="s">
        <v>4116</v>
      </c>
      <c r="C615" s="5">
        <v>1053</v>
      </c>
      <c r="D615" s="5">
        <v>1053</v>
      </c>
      <c r="E615" s="6">
        <v>0.99</v>
      </c>
      <c r="F615" s="5">
        <v>0</v>
      </c>
      <c r="G615" s="5">
        <v>62.97</v>
      </c>
      <c r="H615" s="5">
        <v>818</v>
      </c>
      <c r="I615" s="5" t="str">
        <f>HYPERLINK("https://www.ncbi.nlm.nih.gov/protein/WP_085031341.1?report=genbank&amp;log$=prottop&amp;blast_rank=149&amp;RID=7U875CNM013","WP_085031341.1")</f>
        <v>WP_085031341.1</v>
      </c>
      <c r="J615" s="5" t="s">
        <v>1720</v>
      </c>
    </row>
    <row r="616" spans="1:10" s="7" customFormat="1" x14ac:dyDescent="0.2">
      <c r="A616" s="5" t="s">
        <v>3570</v>
      </c>
      <c r="B616" s="5" t="s">
        <v>3315</v>
      </c>
      <c r="C616" s="5">
        <v>1052</v>
      </c>
      <c r="D616" s="5">
        <v>1052</v>
      </c>
      <c r="E616" s="6">
        <v>0.99</v>
      </c>
      <c r="F616" s="5">
        <v>0</v>
      </c>
      <c r="G616" s="5">
        <v>62.97</v>
      </c>
      <c r="H616" s="5">
        <v>793</v>
      </c>
      <c r="I616" s="5" t="str">
        <f>HYPERLINK("https://www.ncbi.nlm.nih.gov/protein/MBI1424218.1?report=genbank&amp;log$=prottop&amp;blast_rank=151&amp;RID=7U875CNM013","MBI1424218.1")</f>
        <v>MBI1424218.1</v>
      </c>
      <c r="J616" s="5" t="s">
        <v>3276</v>
      </c>
    </row>
    <row r="617" spans="1:10" s="7" customFormat="1" x14ac:dyDescent="0.2">
      <c r="A617" s="5" t="s">
        <v>4117</v>
      </c>
      <c r="B617" s="5" t="s">
        <v>4118</v>
      </c>
      <c r="C617" s="5">
        <v>1045</v>
      </c>
      <c r="D617" s="5">
        <v>1045</v>
      </c>
      <c r="E617" s="6">
        <v>0.99</v>
      </c>
      <c r="F617" s="5">
        <v>0</v>
      </c>
      <c r="G617" s="5">
        <v>62.97</v>
      </c>
      <c r="H617" s="5">
        <v>791</v>
      </c>
      <c r="I617" s="5" t="str">
        <f>HYPERLINK("https://www.ncbi.nlm.nih.gov/protein/WP_018387821.1?report=genbank&amp;log$=prottop&amp;blast_rank=152&amp;RID=7U875CNM013","WP_018387821.1")</f>
        <v>WP_018387821.1</v>
      </c>
      <c r="J617" s="5" t="s">
        <v>1720</v>
      </c>
    </row>
    <row r="618" spans="1:10" s="7" customFormat="1" x14ac:dyDescent="0.2">
      <c r="A618" s="5" t="s">
        <v>4119</v>
      </c>
      <c r="B618" s="5" t="s">
        <v>4120</v>
      </c>
      <c r="C618" s="5">
        <v>1032</v>
      </c>
      <c r="D618" s="5">
        <v>1032</v>
      </c>
      <c r="E618" s="6">
        <v>0.98</v>
      </c>
      <c r="F618" s="5">
        <v>0</v>
      </c>
      <c r="G618" s="5">
        <v>62.94</v>
      </c>
      <c r="H618" s="5">
        <v>787</v>
      </c>
      <c r="I618" s="5" t="str">
        <f>HYPERLINK("https://www.ncbi.nlm.nih.gov/protein/WP_137240276.1?report=genbank&amp;log$=prottop&amp;blast_rank=177&amp;RID=7U875CNM013","WP_137240276.1")</f>
        <v>WP_137240276.1</v>
      </c>
      <c r="J618" s="5" t="s">
        <v>4121</v>
      </c>
    </row>
    <row r="619" spans="1:10" s="7" customFormat="1" x14ac:dyDescent="0.2">
      <c r="A619" s="5" t="s">
        <v>4122</v>
      </c>
      <c r="B619" s="5" t="s">
        <v>4123</v>
      </c>
      <c r="C619" s="5">
        <v>1043</v>
      </c>
      <c r="D619" s="5">
        <v>1043</v>
      </c>
      <c r="E619" s="6">
        <v>0.98</v>
      </c>
      <c r="F619" s="5">
        <v>0</v>
      </c>
      <c r="G619" s="5">
        <v>62.93</v>
      </c>
      <c r="H619" s="5">
        <v>801</v>
      </c>
      <c r="I619" s="5" t="str">
        <f>HYPERLINK("https://www.ncbi.nlm.nih.gov/protein/MBC7920920.1?report=genbank&amp;log$=prottop&amp;blast_rank=192&amp;RID=7U875CNM013","MBC7920920.1")</f>
        <v>MBC7920920.1</v>
      </c>
      <c r="J619" s="5" t="s">
        <v>4124</v>
      </c>
    </row>
    <row r="620" spans="1:10" s="7" customFormat="1" x14ac:dyDescent="0.2">
      <c r="A620" s="5" t="s">
        <v>3699</v>
      </c>
      <c r="B620" s="5" t="s">
        <v>3700</v>
      </c>
      <c r="C620" s="5">
        <v>1043</v>
      </c>
      <c r="D620" s="5">
        <v>1043</v>
      </c>
      <c r="E620" s="6">
        <v>0.98</v>
      </c>
      <c r="F620" s="5">
        <v>0</v>
      </c>
      <c r="G620" s="5">
        <v>62.93</v>
      </c>
      <c r="H620" s="5">
        <v>802</v>
      </c>
      <c r="I620" s="5" t="str">
        <f>HYPERLINK("https://www.ncbi.nlm.nih.gov/protein/PWU05488.1?report=genbank&amp;log$=prottop&amp;blast_rank=193&amp;RID=7U875CNM013","PWU05488.1")</f>
        <v>PWU05488.1</v>
      </c>
      <c r="J620" s="5" t="s">
        <v>854</v>
      </c>
    </row>
    <row r="621" spans="1:10" s="7" customFormat="1" x14ac:dyDescent="0.2">
      <c r="A621" s="5" t="s">
        <v>4125</v>
      </c>
      <c r="B621" s="5" t="s">
        <v>4126</v>
      </c>
      <c r="C621" s="5">
        <v>1040</v>
      </c>
      <c r="D621" s="5">
        <v>1040</v>
      </c>
      <c r="E621" s="6">
        <v>0.98</v>
      </c>
      <c r="F621" s="5">
        <v>0</v>
      </c>
      <c r="G621" s="5">
        <v>62.93</v>
      </c>
      <c r="H621" s="5">
        <v>791</v>
      </c>
      <c r="I621" s="5" t="str">
        <f>HYPERLINK("https://www.ncbi.nlm.nih.gov/protein/WP_091444671.1?report=genbank&amp;log$=prottop&amp;blast_rank=196&amp;RID=7U875CNM013","WP_091444671.1")</f>
        <v>WP_091444671.1</v>
      </c>
      <c r="J621" s="5" t="s">
        <v>4127</v>
      </c>
    </row>
    <row r="622" spans="1:10" s="7" customFormat="1" x14ac:dyDescent="0.2">
      <c r="A622" s="5" t="s">
        <v>4128</v>
      </c>
      <c r="B622" s="5" t="s">
        <v>4129</v>
      </c>
      <c r="C622" s="5">
        <v>1029</v>
      </c>
      <c r="D622" s="5">
        <v>1029</v>
      </c>
      <c r="E622" s="6">
        <v>0.98</v>
      </c>
      <c r="F622" s="5">
        <v>0</v>
      </c>
      <c r="G622" s="5">
        <v>62.93</v>
      </c>
      <c r="H622" s="5">
        <v>791</v>
      </c>
      <c r="I622" s="5" t="str">
        <f>HYPERLINK("https://www.ncbi.nlm.nih.gov/protein/WP_029084225.1?report=genbank&amp;log$=prottop&amp;blast_rank=197&amp;RID=7U875CNM013","WP_029084225.1")</f>
        <v>WP_029084225.1</v>
      </c>
      <c r="J622" s="5" t="s">
        <v>1720</v>
      </c>
    </row>
    <row r="623" spans="1:10" s="7" customFormat="1" x14ac:dyDescent="0.2">
      <c r="A623" s="5" t="s">
        <v>4130</v>
      </c>
      <c r="B623" s="5" t="s">
        <v>4131</v>
      </c>
      <c r="C623" s="5">
        <v>1049</v>
      </c>
      <c r="D623" s="5">
        <v>1049</v>
      </c>
      <c r="E623" s="6">
        <v>0.99</v>
      </c>
      <c r="F623" s="5">
        <v>0</v>
      </c>
      <c r="G623" s="5">
        <v>62.93</v>
      </c>
      <c r="H623" s="5">
        <v>790</v>
      </c>
      <c r="I623" s="5" t="str">
        <f>HYPERLINK("https://www.ncbi.nlm.nih.gov/protein/WP_013167963.1?report=genbank&amp;log$=prottop&amp;blast_rank=200&amp;RID=7U875CNM013","WP_013167963.1")</f>
        <v>WP_013167963.1</v>
      </c>
      <c r="J623" s="5" t="s">
        <v>1720</v>
      </c>
    </row>
    <row r="624" spans="1:10" s="7" customFormat="1" x14ac:dyDescent="0.2">
      <c r="A624" s="5" t="s">
        <v>4132</v>
      </c>
      <c r="B624" s="5" t="s">
        <v>4133</v>
      </c>
      <c r="C624" s="5">
        <v>1029</v>
      </c>
      <c r="D624" s="5">
        <v>1029</v>
      </c>
      <c r="E624" s="6">
        <v>0.98</v>
      </c>
      <c r="F624" s="5">
        <v>0</v>
      </c>
      <c r="G624" s="5">
        <v>62.92</v>
      </c>
      <c r="H624" s="5">
        <v>786</v>
      </c>
      <c r="I624" s="5" t="str">
        <f>HYPERLINK("https://www.ncbi.nlm.nih.gov/protein/OGH56321.1?report=genbank&amp;log$=prottop&amp;blast_rank=205&amp;RID=7U875CNM013","OGH56321.1")</f>
        <v>OGH56321.1</v>
      </c>
      <c r="J624" s="5" t="s">
        <v>3277</v>
      </c>
    </row>
    <row r="625" spans="1:10" s="7" customFormat="1" x14ac:dyDescent="0.2">
      <c r="A625" s="5" t="s">
        <v>4134</v>
      </c>
      <c r="B625" s="5" t="s">
        <v>4135</v>
      </c>
      <c r="C625" s="5">
        <v>1056</v>
      </c>
      <c r="D625" s="5">
        <v>1056</v>
      </c>
      <c r="E625" s="6">
        <v>0.98</v>
      </c>
      <c r="F625" s="5">
        <v>0</v>
      </c>
      <c r="G625" s="5">
        <v>62.91</v>
      </c>
      <c r="H625" s="5">
        <v>791</v>
      </c>
      <c r="I625" s="5" t="str">
        <f>HYPERLINK("https://www.ncbi.nlm.nih.gov/protein/WP_027189845.1?report=genbank&amp;log$=prottop&amp;blast_rank=210&amp;RID=7U875CNM013","WP_027189845.1")</f>
        <v>WP_027189845.1</v>
      </c>
      <c r="J625" s="5" t="s">
        <v>4136</v>
      </c>
    </row>
    <row r="626" spans="1:10" s="7" customFormat="1" x14ac:dyDescent="0.2">
      <c r="A626" s="5" t="s">
        <v>4137</v>
      </c>
      <c r="B626" s="5" t="s">
        <v>1393</v>
      </c>
      <c r="C626" s="5">
        <v>1076</v>
      </c>
      <c r="D626" s="5">
        <v>1076</v>
      </c>
      <c r="E626" s="6">
        <v>0.99</v>
      </c>
      <c r="F626" s="5">
        <v>0</v>
      </c>
      <c r="G626" s="5">
        <v>62.91</v>
      </c>
      <c r="H626" s="5">
        <v>837</v>
      </c>
      <c r="I626" s="5" t="str">
        <f>HYPERLINK("https://www.ncbi.nlm.nih.gov/protein/HBU22586.1?report=genbank&amp;log$=prottop&amp;blast_rank=215&amp;RID=7U875CNM013","HBU22586.1")</f>
        <v>HBU22586.1</v>
      </c>
      <c r="J626" s="5" t="s">
        <v>3277</v>
      </c>
    </row>
    <row r="627" spans="1:10" s="7" customFormat="1" x14ac:dyDescent="0.2">
      <c r="A627" s="5" t="s">
        <v>4138</v>
      </c>
      <c r="B627" s="5" t="s">
        <v>4139</v>
      </c>
      <c r="C627" s="5">
        <v>1055</v>
      </c>
      <c r="D627" s="5">
        <v>1055</v>
      </c>
      <c r="E627" s="6">
        <v>0.98</v>
      </c>
      <c r="F627" s="5">
        <v>0</v>
      </c>
      <c r="G627" s="5">
        <v>62.9</v>
      </c>
      <c r="H627" s="5">
        <v>802</v>
      </c>
      <c r="I627" s="5" t="str">
        <f>HYPERLINK("https://www.ncbi.nlm.nih.gov/protein/GGH20558.1?report=genbank&amp;log$=prottop&amp;blast_rank=219&amp;RID=7U875CNM013","GGH20558.1")</f>
        <v>GGH20558.1</v>
      </c>
      <c r="J627" s="5" t="s">
        <v>4140</v>
      </c>
    </row>
    <row r="628" spans="1:10" s="7" customFormat="1" x14ac:dyDescent="0.2">
      <c r="A628" s="5" t="s">
        <v>3314</v>
      </c>
      <c r="B628" s="5" t="s">
        <v>3315</v>
      </c>
      <c r="C628" s="5">
        <v>1024</v>
      </c>
      <c r="D628" s="5">
        <v>1024</v>
      </c>
      <c r="E628" s="6">
        <v>0.97</v>
      </c>
      <c r="F628" s="5">
        <v>0</v>
      </c>
      <c r="G628" s="5">
        <v>62.89</v>
      </c>
      <c r="H628" s="5">
        <v>801</v>
      </c>
      <c r="I628" s="5" t="str">
        <f>HYPERLINK("https://www.ncbi.nlm.nih.gov/protein/TAK53384.1?report=genbank&amp;log$=prottop&amp;blast_rank=11&amp;RID=7U875CNM013","TAK53384.1")</f>
        <v>TAK53384.1</v>
      </c>
      <c r="J628" s="5" t="s">
        <v>3276</v>
      </c>
    </row>
    <row r="629" spans="1:10" s="7" customFormat="1" x14ac:dyDescent="0.2">
      <c r="A629" s="5" t="s">
        <v>4141</v>
      </c>
      <c r="B629" s="5" t="s">
        <v>4142</v>
      </c>
      <c r="C629" s="5">
        <v>1049</v>
      </c>
      <c r="D629" s="5">
        <v>1049</v>
      </c>
      <c r="E629" s="6">
        <v>0.98</v>
      </c>
      <c r="F629" s="5">
        <v>0</v>
      </c>
      <c r="G629" s="5">
        <v>62.88</v>
      </c>
      <c r="H629" s="5">
        <v>820</v>
      </c>
      <c r="I629" s="5" t="str">
        <f>HYPERLINK("https://www.ncbi.nlm.nih.gov/protein/WP_132523165.1?report=genbank&amp;log$=prottop&amp;blast_rank=15&amp;RID=7U875CNM013","WP_132523165.1")</f>
        <v>WP_132523165.1</v>
      </c>
      <c r="J629" s="5" t="s">
        <v>4143</v>
      </c>
    </row>
    <row r="630" spans="1:10" s="7" customFormat="1" x14ac:dyDescent="0.2">
      <c r="A630" s="5" t="s">
        <v>4144</v>
      </c>
      <c r="B630" s="5" t="s">
        <v>4145</v>
      </c>
      <c r="C630" s="5">
        <v>1048</v>
      </c>
      <c r="D630" s="5">
        <v>1048</v>
      </c>
      <c r="E630" s="6">
        <v>0.98</v>
      </c>
      <c r="F630" s="5">
        <v>0</v>
      </c>
      <c r="G630" s="5">
        <v>62.86</v>
      </c>
      <c r="H630" s="5">
        <v>815</v>
      </c>
      <c r="I630" s="5" t="str">
        <f>HYPERLINK("https://www.ncbi.nlm.nih.gov/protein/WP_081934785.1?report=genbank&amp;log$=prottop&amp;blast_rank=36&amp;RID=7U875CNM013","WP_081934785.1")</f>
        <v>WP_081934785.1</v>
      </c>
      <c r="J630" s="5" t="s">
        <v>4143</v>
      </c>
    </row>
    <row r="631" spans="1:10" s="7" customFormat="1" x14ac:dyDescent="0.2">
      <c r="A631" s="5" t="s">
        <v>4146</v>
      </c>
      <c r="B631" s="5" t="s">
        <v>4147</v>
      </c>
      <c r="C631" s="5">
        <v>1052</v>
      </c>
      <c r="D631" s="5">
        <v>1052</v>
      </c>
      <c r="E631" s="6">
        <v>0.98</v>
      </c>
      <c r="F631" s="5">
        <v>0</v>
      </c>
      <c r="G631" s="5">
        <v>62.85</v>
      </c>
      <c r="H631" s="5">
        <v>796</v>
      </c>
      <c r="I631" s="5" t="str">
        <f>HYPERLINK("https://www.ncbi.nlm.nih.gov/protein/WP_201345585.1?report=genbank&amp;log$=prottop&amp;blast_rank=45&amp;RID=7U875CNM013","WP_201345585.1")</f>
        <v>WP_201345585.1</v>
      </c>
      <c r="J631" s="5" t="s">
        <v>4148</v>
      </c>
    </row>
    <row r="632" spans="1:10" s="7" customFormat="1" x14ac:dyDescent="0.2">
      <c r="A632" s="5" t="s">
        <v>2063</v>
      </c>
      <c r="B632" s="5" t="s">
        <v>2064</v>
      </c>
      <c r="C632" s="5">
        <v>1037</v>
      </c>
      <c r="D632" s="5">
        <v>1037</v>
      </c>
      <c r="E632" s="6">
        <v>0.98</v>
      </c>
      <c r="F632" s="5">
        <v>0</v>
      </c>
      <c r="G632" s="5">
        <v>62.85</v>
      </c>
      <c r="H632" s="5">
        <v>820</v>
      </c>
      <c r="I632" s="5" t="str">
        <f>HYPERLINK("https://www.ncbi.nlm.nih.gov/protein/WP_097610360.1?report=genbank&amp;log$=prottop&amp;blast_rank=49&amp;RID=7U875CNM013","WP_097610360.1")</f>
        <v>WP_097610360.1</v>
      </c>
      <c r="J632" s="5" t="s">
        <v>4149</v>
      </c>
    </row>
    <row r="633" spans="1:10" s="7" customFormat="1" x14ac:dyDescent="0.2">
      <c r="A633" s="5" t="s">
        <v>4150</v>
      </c>
      <c r="B633" s="5" t="s">
        <v>4151</v>
      </c>
      <c r="C633" s="5">
        <v>1036</v>
      </c>
      <c r="D633" s="5">
        <v>1036</v>
      </c>
      <c r="E633" s="6">
        <v>0.98</v>
      </c>
      <c r="F633" s="5">
        <v>0</v>
      </c>
      <c r="G633" s="5">
        <v>62.85</v>
      </c>
      <c r="H633" s="5">
        <v>820</v>
      </c>
      <c r="I633" s="5" t="str">
        <f>HYPERLINK("https://www.ncbi.nlm.nih.gov/protein/WP_085738684.1?report=genbank&amp;log$=prottop&amp;blast_rank=50&amp;RID=7U875CNM013","WP_085738684.1")</f>
        <v>WP_085738684.1</v>
      </c>
      <c r="J633" s="5" t="s">
        <v>4149</v>
      </c>
    </row>
    <row r="634" spans="1:10" s="7" customFormat="1" x14ac:dyDescent="0.2">
      <c r="A634" s="5" t="s">
        <v>3718</v>
      </c>
      <c r="B634" s="5" t="s">
        <v>3719</v>
      </c>
      <c r="C634" s="5">
        <v>1046</v>
      </c>
      <c r="D634" s="5">
        <v>1046</v>
      </c>
      <c r="E634" s="6">
        <v>0.99</v>
      </c>
      <c r="F634" s="5">
        <v>0</v>
      </c>
      <c r="G634" s="5">
        <v>62.85</v>
      </c>
      <c r="H634" s="5">
        <v>791</v>
      </c>
      <c r="I634" s="5" t="str">
        <f>HYPERLINK("https://www.ncbi.nlm.nih.gov/protein/MBI3433035.1?report=genbank&amp;log$=prottop&amp;blast_rank=55&amp;RID=7U875CNM013","MBI3433035.1")</f>
        <v>MBI3433035.1</v>
      </c>
      <c r="J634" s="5" t="s">
        <v>4152</v>
      </c>
    </row>
    <row r="635" spans="1:10" s="7" customFormat="1" x14ac:dyDescent="0.2">
      <c r="A635" s="5" t="s">
        <v>4153</v>
      </c>
      <c r="B635" s="5" t="s">
        <v>4154</v>
      </c>
      <c r="C635" s="5">
        <v>1046</v>
      </c>
      <c r="D635" s="5">
        <v>1046</v>
      </c>
      <c r="E635" s="6">
        <v>0.99</v>
      </c>
      <c r="F635" s="5">
        <v>0</v>
      </c>
      <c r="G635" s="5">
        <v>62.85</v>
      </c>
      <c r="H635" s="5">
        <v>801</v>
      </c>
      <c r="I635" s="5" t="str">
        <f>HYPERLINK("https://www.ncbi.nlm.nih.gov/protein/WP_128778485.1?report=genbank&amp;log$=prottop&amp;blast_rank=56&amp;RID=7U875CNM013","WP_128778485.1")</f>
        <v>WP_128778485.1</v>
      </c>
      <c r="J635" s="5" t="s">
        <v>4152</v>
      </c>
    </row>
    <row r="636" spans="1:10" s="7" customFormat="1" x14ac:dyDescent="0.2">
      <c r="A636" s="5" t="s">
        <v>4115</v>
      </c>
      <c r="B636" s="5" t="s">
        <v>4116</v>
      </c>
      <c r="C636" s="5">
        <v>1043</v>
      </c>
      <c r="D636" s="5">
        <v>1043</v>
      </c>
      <c r="E636" s="6">
        <v>0.99</v>
      </c>
      <c r="F636" s="5">
        <v>0</v>
      </c>
      <c r="G636" s="5">
        <v>62.85</v>
      </c>
      <c r="H636" s="5">
        <v>817</v>
      </c>
      <c r="I636" s="5" t="str">
        <f>HYPERLINK("https://www.ncbi.nlm.nih.gov/protein/WP_085033761.1?report=genbank&amp;log$=prottop&amp;blast_rank=57&amp;RID=7U875CNM013","WP_085033761.1")</f>
        <v>WP_085033761.1</v>
      </c>
      <c r="J636" s="5" t="s">
        <v>4152</v>
      </c>
    </row>
    <row r="637" spans="1:10" s="7" customFormat="1" x14ac:dyDescent="0.2">
      <c r="A637" s="5" t="s">
        <v>4155</v>
      </c>
      <c r="B637" s="5" t="s">
        <v>4156</v>
      </c>
      <c r="C637" s="5">
        <v>1034</v>
      </c>
      <c r="D637" s="5">
        <v>1034</v>
      </c>
      <c r="E637" s="6">
        <v>0.99</v>
      </c>
      <c r="F637" s="5">
        <v>0</v>
      </c>
      <c r="G637" s="5">
        <v>62.83</v>
      </c>
      <c r="H637" s="5">
        <v>798</v>
      </c>
      <c r="I637" s="5" t="str">
        <f>HYPERLINK("https://www.ncbi.nlm.nih.gov/protein/WP_099749229.1?report=genbank&amp;log$=prottop&amp;blast_rank=71&amp;RID=7U875CNM013","WP_099749229.1")</f>
        <v>WP_099749229.1</v>
      </c>
      <c r="J637" s="5" t="s">
        <v>4157</v>
      </c>
    </row>
    <row r="638" spans="1:10" s="7" customFormat="1" ht="11" customHeight="1" x14ac:dyDescent="0.2">
      <c r="A638" s="5" t="s">
        <v>1930</v>
      </c>
      <c r="B638" s="5" t="s">
        <v>1931</v>
      </c>
      <c r="C638" s="5">
        <v>1040</v>
      </c>
      <c r="D638" s="5">
        <v>1040</v>
      </c>
      <c r="E638" s="6">
        <v>0.99</v>
      </c>
      <c r="F638" s="5">
        <v>0</v>
      </c>
      <c r="G638" s="5">
        <v>62.81</v>
      </c>
      <c r="H638" s="5">
        <v>817</v>
      </c>
      <c r="I638" s="5" t="str">
        <f>HYPERLINK("https://www.ncbi.nlm.nih.gov/protein/WP_027990579.1?report=genbank&amp;log$=prottop&amp;blast_rank=82&amp;RID=7U875CNM013","WP_027990579.1")</f>
        <v>WP_027990579.1</v>
      </c>
      <c r="J638" s="5" t="s">
        <v>1720</v>
      </c>
    </row>
    <row r="639" spans="1:10" s="7" customFormat="1" x14ac:dyDescent="0.2">
      <c r="A639" s="5" t="s">
        <v>1930</v>
      </c>
      <c r="B639" s="5" t="s">
        <v>1931</v>
      </c>
      <c r="C639" s="5">
        <v>1039</v>
      </c>
      <c r="D639" s="5">
        <v>1039</v>
      </c>
      <c r="E639" s="6">
        <v>0.99</v>
      </c>
      <c r="F639" s="5">
        <v>0</v>
      </c>
      <c r="G639" s="5">
        <v>62.81</v>
      </c>
      <c r="H639" s="5">
        <v>817</v>
      </c>
      <c r="I639" s="5" t="str">
        <f>HYPERLINK("https://www.ncbi.nlm.nih.gov/protein/WP_127597163.1?report=genbank&amp;log$=prottop&amp;blast_rank=83&amp;RID=7U875CNM013","WP_127597163.1")</f>
        <v>WP_127597163.1</v>
      </c>
      <c r="J639" s="5" t="s">
        <v>1720</v>
      </c>
    </row>
    <row r="640" spans="1:10" s="7" customFormat="1" x14ac:dyDescent="0.2">
      <c r="A640" s="5" t="s">
        <v>1930</v>
      </c>
      <c r="B640" s="5" t="s">
        <v>1931</v>
      </c>
      <c r="C640" s="5">
        <v>1037</v>
      </c>
      <c r="D640" s="5">
        <v>1037</v>
      </c>
      <c r="E640" s="6">
        <v>0.99</v>
      </c>
      <c r="F640" s="5">
        <v>0</v>
      </c>
      <c r="G640" s="5">
        <v>62.81</v>
      </c>
      <c r="H640" s="5">
        <v>817</v>
      </c>
      <c r="I640" s="5" t="str">
        <f>HYPERLINK("https://www.ncbi.nlm.nih.gov/protein/WP_127528789.1?report=genbank&amp;log$=prottop&amp;blast_rank=84&amp;RID=7U875CNM013","WP_127528789.1")</f>
        <v>WP_127528789.1</v>
      </c>
      <c r="J640" s="5" t="s">
        <v>1720</v>
      </c>
    </row>
    <row r="641" spans="1:10" s="7" customFormat="1" x14ac:dyDescent="0.2">
      <c r="A641" s="5" t="s">
        <v>4158</v>
      </c>
      <c r="B641" s="5" t="s">
        <v>4159</v>
      </c>
      <c r="C641" s="5">
        <v>1053</v>
      </c>
      <c r="D641" s="5">
        <v>1053</v>
      </c>
      <c r="E641" s="6">
        <v>0.98</v>
      </c>
      <c r="F641" s="5">
        <v>0</v>
      </c>
      <c r="G641" s="5">
        <v>62.8</v>
      </c>
      <c r="H641" s="5">
        <v>789</v>
      </c>
      <c r="I641" s="5" t="str">
        <f>HYPERLINK("https://www.ncbi.nlm.nih.gov/protein/PKO32200.1?report=genbank&amp;log$=prottop&amp;blast_rank=86&amp;RID=7U875CNM013","PKO32200.1")</f>
        <v>PKO32200.1</v>
      </c>
      <c r="J641" s="5" t="s">
        <v>2134</v>
      </c>
    </row>
    <row r="642" spans="1:10" s="7" customFormat="1" x14ac:dyDescent="0.2">
      <c r="A642" s="5" t="s">
        <v>4160</v>
      </c>
      <c r="B642" s="5" t="s">
        <v>4161</v>
      </c>
      <c r="C642" s="5">
        <v>1046</v>
      </c>
      <c r="D642" s="5">
        <v>1046</v>
      </c>
      <c r="E642" s="6">
        <v>0.98</v>
      </c>
      <c r="F642" s="5">
        <v>0</v>
      </c>
      <c r="G642" s="5">
        <v>62.8</v>
      </c>
      <c r="H642" s="5">
        <v>786</v>
      </c>
      <c r="I642" s="5" t="str">
        <f>HYPERLINK("https://www.ncbi.nlm.nih.gov/protein/RFC36461.1?report=genbank&amp;log$=prottop&amp;blast_rank=87&amp;RID=7U875CNM013","RFC36461.1")</f>
        <v>RFC36461.1</v>
      </c>
      <c r="J642" s="5" t="s">
        <v>2134</v>
      </c>
    </row>
    <row r="643" spans="1:10" s="7" customFormat="1" x14ac:dyDescent="0.2">
      <c r="A643" s="5" t="s">
        <v>3314</v>
      </c>
      <c r="B643" s="5" t="s">
        <v>3315</v>
      </c>
      <c r="C643" s="5">
        <v>1043</v>
      </c>
      <c r="D643" s="5">
        <v>1043</v>
      </c>
      <c r="E643" s="6">
        <v>0.98</v>
      </c>
      <c r="F643" s="5">
        <v>0</v>
      </c>
      <c r="G643" s="5">
        <v>62.8</v>
      </c>
      <c r="H643" s="5">
        <v>789</v>
      </c>
      <c r="I643" s="5" t="str">
        <f>HYPERLINK("https://www.ncbi.nlm.nih.gov/protein/MBA2591935.1?report=genbank&amp;log$=prottop&amp;blast_rank=88&amp;RID=7U875CNM013","MBA2591935.1")</f>
        <v>MBA2591935.1</v>
      </c>
      <c r="J643" s="5" t="s">
        <v>3276</v>
      </c>
    </row>
    <row r="644" spans="1:10" s="7" customFormat="1" x14ac:dyDescent="0.2">
      <c r="A644" s="5" t="s">
        <v>4162</v>
      </c>
      <c r="B644" s="5" t="s">
        <v>4163</v>
      </c>
      <c r="C644" s="5">
        <v>1037</v>
      </c>
      <c r="D644" s="5">
        <v>1037</v>
      </c>
      <c r="E644" s="6">
        <v>0.98</v>
      </c>
      <c r="F644" s="5">
        <v>0</v>
      </c>
      <c r="G644" s="5">
        <v>62.8</v>
      </c>
      <c r="H644" s="5">
        <v>790</v>
      </c>
      <c r="I644" s="5" t="str">
        <f>HYPERLINK("https://www.ncbi.nlm.nih.gov/protein/WP_093286537.1?report=genbank&amp;log$=prottop&amp;blast_rank=92&amp;RID=7U875CNM013","WP_093286537.1")</f>
        <v>WP_093286537.1</v>
      </c>
      <c r="J644" s="5" t="s">
        <v>4164</v>
      </c>
    </row>
    <row r="645" spans="1:10" s="7" customFormat="1" x14ac:dyDescent="0.2">
      <c r="A645" s="5" t="s">
        <v>4165</v>
      </c>
      <c r="B645" s="5" t="s">
        <v>3315</v>
      </c>
      <c r="C645" s="5">
        <v>1035</v>
      </c>
      <c r="D645" s="5">
        <v>1035</v>
      </c>
      <c r="E645" s="6">
        <v>0.98</v>
      </c>
      <c r="F645" s="5">
        <v>0</v>
      </c>
      <c r="G645" s="5">
        <v>62.8</v>
      </c>
      <c r="H645" s="5">
        <v>788</v>
      </c>
      <c r="I645" s="5" t="str">
        <f>HYPERLINK("https://www.ncbi.nlm.nih.gov/protein/KAF0190799.1?report=genbank&amp;log$=prottop&amp;blast_rank=93&amp;RID=7U875CNM013","KAF0190799.1")</f>
        <v>KAF0190799.1</v>
      </c>
      <c r="J645" s="5" t="s">
        <v>3276</v>
      </c>
    </row>
    <row r="646" spans="1:10" s="7" customFormat="1" x14ac:dyDescent="0.2">
      <c r="A646" s="5" t="s">
        <v>4166</v>
      </c>
      <c r="B646" s="5" t="s">
        <v>4167</v>
      </c>
      <c r="C646" s="5">
        <v>1034</v>
      </c>
      <c r="D646" s="5">
        <v>1034</v>
      </c>
      <c r="E646" s="6">
        <v>0.98</v>
      </c>
      <c r="F646" s="5">
        <v>0</v>
      </c>
      <c r="G646" s="5">
        <v>62.8</v>
      </c>
      <c r="H646" s="5">
        <v>786</v>
      </c>
      <c r="I646" s="5" t="str">
        <f>HYPERLINK("https://www.ncbi.nlm.nih.gov/protein/WP_194450648.1?report=genbank&amp;log$=prottop&amp;blast_rank=94&amp;RID=7U875CNM013","WP_194450648.1")</f>
        <v>WP_194450648.1</v>
      </c>
      <c r="J646" s="5" t="s">
        <v>854</v>
      </c>
    </row>
    <row r="647" spans="1:10" s="7" customFormat="1" x14ac:dyDescent="0.2">
      <c r="A647" s="5" t="s">
        <v>852</v>
      </c>
      <c r="B647" s="5" t="s">
        <v>853</v>
      </c>
      <c r="C647" s="5">
        <v>1025</v>
      </c>
      <c r="D647" s="5">
        <v>1025</v>
      </c>
      <c r="E647" s="6">
        <v>0.98</v>
      </c>
      <c r="F647" s="5">
        <v>0</v>
      </c>
      <c r="G647" s="5">
        <v>62.8</v>
      </c>
      <c r="H647" s="5">
        <v>786</v>
      </c>
      <c r="I647" s="5" t="str">
        <f>HYPERLINK("https://www.ncbi.nlm.nih.gov/protein/MBI1352918.1?report=genbank&amp;log$=prottop&amp;blast_rank=96&amp;RID=7U875CNM013","MBI1352918.1")</f>
        <v>MBI1352918.1</v>
      </c>
      <c r="J647" s="5" t="s">
        <v>854</v>
      </c>
    </row>
    <row r="648" spans="1:10" s="7" customFormat="1" x14ac:dyDescent="0.2">
      <c r="A648" s="5" t="s">
        <v>2146</v>
      </c>
      <c r="B648" s="5" t="s">
        <v>2147</v>
      </c>
      <c r="C648" s="5">
        <v>1048</v>
      </c>
      <c r="D648" s="5">
        <v>1048</v>
      </c>
      <c r="E648" s="6">
        <v>0.97</v>
      </c>
      <c r="F648" s="5">
        <v>0</v>
      </c>
      <c r="G648" s="5">
        <v>62.79</v>
      </c>
      <c r="H648" s="5">
        <v>796</v>
      </c>
      <c r="I648" s="5" t="str">
        <f>HYPERLINK("https://www.ncbi.nlm.nih.gov/protein/WP_096366236.1?report=genbank&amp;log$=prottop&amp;blast_rank=99&amp;RID=7U875CNM013","WP_096366236.1")</f>
        <v>WP_096366236.1</v>
      </c>
      <c r="J648" s="5" t="s">
        <v>4149</v>
      </c>
    </row>
    <row r="649" spans="1:10" s="7" customFormat="1" x14ac:dyDescent="0.2">
      <c r="A649" s="5" t="s">
        <v>4168</v>
      </c>
      <c r="B649" s="5" t="s">
        <v>4169</v>
      </c>
      <c r="C649" s="5">
        <v>1032</v>
      </c>
      <c r="D649" s="5">
        <v>1032</v>
      </c>
      <c r="E649" s="6">
        <v>0.98</v>
      </c>
      <c r="F649" s="5">
        <v>0</v>
      </c>
      <c r="G649" s="5">
        <v>62.77</v>
      </c>
      <c r="H649" s="5">
        <v>790</v>
      </c>
      <c r="I649" s="5" t="str">
        <f>HYPERLINK("https://www.ncbi.nlm.nih.gov/protein/WP_025915459.1?report=genbank&amp;log$=prottop&amp;blast_rank=114&amp;RID=7U875CNM013","WP_025915459.1")</f>
        <v>WP_025915459.1</v>
      </c>
      <c r="J649" s="5" t="s">
        <v>2134</v>
      </c>
    </row>
    <row r="650" spans="1:10" s="7" customFormat="1" x14ac:dyDescent="0.2">
      <c r="A650" s="5" t="s">
        <v>4170</v>
      </c>
      <c r="B650" s="5" t="s">
        <v>4171</v>
      </c>
      <c r="C650" s="5">
        <v>1047</v>
      </c>
      <c r="D650" s="5">
        <v>1047</v>
      </c>
      <c r="E650" s="6">
        <v>0.99</v>
      </c>
      <c r="F650" s="5">
        <v>0</v>
      </c>
      <c r="G650" s="5">
        <v>62.77</v>
      </c>
      <c r="H650" s="5">
        <v>820</v>
      </c>
      <c r="I650" s="5" t="str">
        <f>HYPERLINK("https://www.ncbi.nlm.nih.gov/protein/WP_081664825.1?report=genbank&amp;log$=prottop&amp;blast_rank=118&amp;RID=7U875CNM013","WP_081664825.1")</f>
        <v>WP_081664825.1</v>
      </c>
      <c r="J650" s="5" t="s">
        <v>4172</v>
      </c>
    </row>
    <row r="651" spans="1:10" s="7" customFormat="1" x14ac:dyDescent="0.2">
      <c r="A651" s="5" t="s">
        <v>2089</v>
      </c>
      <c r="B651" s="5" t="s">
        <v>2090</v>
      </c>
      <c r="C651" s="5">
        <v>1046</v>
      </c>
      <c r="D651" s="5">
        <v>1046</v>
      </c>
      <c r="E651" s="6">
        <v>0.99</v>
      </c>
      <c r="F651" s="5">
        <v>0</v>
      </c>
      <c r="G651" s="5">
        <v>62.77</v>
      </c>
      <c r="H651" s="5">
        <v>820</v>
      </c>
      <c r="I651" s="5" t="str">
        <f>HYPERLINK("https://www.ncbi.nlm.nih.gov/protein/WP_018209289.1?report=genbank&amp;log$=prottop&amp;blast_rank=119&amp;RID=7U875CNM013","WP_018209289.1")</f>
        <v>WP_018209289.1</v>
      </c>
      <c r="J651" s="5" t="s">
        <v>4172</v>
      </c>
    </row>
    <row r="652" spans="1:10" s="7" customFormat="1" x14ac:dyDescent="0.2">
      <c r="A652" s="5" t="s">
        <v>1909</v>
      </c>
      <c r="B652" s="5" t="s">
        <v>1910</v>
      </c>
      <c r="C652" s="5">
        <v>1044</v>
      </c>
      <c r="D652" s="5">
        <v>1044</v>
      </c>
      <c r="E652" s="6">
        <v>0.99</v>
      </c>
      <c r="F652" s="5">
        <v>0</v>
      </c>
      <c r="G652" s="5">
        <v>62.77</v>
      </c>
      <c r="H652" s="5">
        <v>818</v>
      </c>
      <c r="I652" s="5" t="str">
        <f>HYPERLINK("https://www.ncbi.nlm.nih.gov/protein/WP_104839357.1?report=genbank&amp;log$=prottop&amp;blast_rank=121&amp;RID=7U875CNM013","WP_104839357.1")</f>
        <v>WP_104839357.1</v>
      </c>
      <c r="J652" s="5" t="s">
        <v>4172</v>
      </c>
    </row>
    <row r="653" spans="1:10" s="7" customFormat="1" x14ac:dyDescent="0.2">
      <c r="A653" s="5" t="s">
        <v>4173</v>
      </c>
      <c r="B653" s="5" t="s">
        <v>4174</v>
      </c>
      <c r="C653" s="5">
        <v>1044</v>
      </c>
      <c r="D653" s="5">
        <v>1044</v>
      </c>
      <c r="E653" s="6">
        <v>0.99</v>
      </c>
      <c r="F653" s="5">
        <v>0</v>
      </c>
      <c r="G653" s="5">
        <v>62.77</v>
      </c>
      <c r="H653" s="5">
        <v>818</v>
      </c>
      <c r="I653" s="5" t="str">
        <f>HYPERLINK("https://www.ncbi.nlm.nih.gov/protein/WP_086022788.1?report=genbank&amp;log$=prottop&amp;blast_rank=122&amp;RID=7U875CNM013","WP_086022788.1")</f>
        <v>WP_086022788.1</v>
      </c>
      <c r="J653" s="5" t="s">
        <v>4172</v>
      </c>
    </row>
    <row r="654" spans="1:10" s="7" customFormat="1" x14ac:dyDescent="0.2">
      <c r="A654" s="5" t="s">
        <v>3629</v>
      </c>
      <c r="B654" s="5" t="s">
        <v>853</v>
      </c>
      <c r="C654" s="5">
        <v>1033</v>
      </c>
      <c r="D654" s="5">
        <v>1033</v>
      </c>
      <c r="E654" s="6">
        <v>0.97</v>
      </c>
      <c r="F654" s="5">
        <v>0</v>
      </c>
      <c r="G654" s="5">
        <v>62.76</v>
      </c>
      <c r="H654" s="5">
        <v>782</v>
      </c>
      <c r="I654" s="5" t="str">
        <f>HYPERLINK("https://www.ncbi.nlm.nih.gov/protein/MBI3680937.1?report=genbank&amp;log$=prottop&amp;blast_rank=129&amp;RID=7U875CNM013","MBI3680937.1")</f>
        <v>MBI3680937.1</v>
      </c>
      <c r="J654" s="5" t="s">
        <v>854</v>
      </c>
    </row>
    <row r="655" spans="1:10" s="7" customFormat="1" x14ac:dyDescent="0.2">
      <c r="A655" s="5" t="s">
        <v>1975</v>
      </c>
      <c r="B655" s="5" t="s">
        <v>1976</v>
      </c>
      <c r="C655" s="5">
        <v>1026</v>
      </c>
      <c r="D655" s="5">
        <v>1026</v>
      </c>
      <c r="E655" s="6">
        <v>0.97</v>
      </c>
      <c r="F655" s="5">
        <v>0</v>
      </c>
      <c r="G655" s="5">
        <v>62.76</v>
      </c>
      <c r="H655" s="5">
        <v>793</v>
      </c>
      <c r="I655" s="5" t="str">
        <f>HYPERLINK("https://www.ncbi.nlm.nih.gov/protein/NDP48849.1?report=genbank&amp;log$=prottop&amp;blast_rank=130&amp;RID=7U875CNM013","NDP48849.1")</f>
        <v>NDP48849.1</v>
      </c>
      <c r="J655" s="5" t="s">
        <v>2134</v>
      </c>
    </row>
    <row r="656" spans="1:10" s="7" customFormat="1" x14ac:dyDescent="0.2">
      <c r="A656" s="5" t="s">
        <v>4175</v>
      </c>
      <c r="B656" s="5" t="s">
        <v>4176</v>
      </c>
      <c r="C656" s="5">
        <v>1026</v>
      </c>
      <c r="D656" s="5">
        <v>1026</v>
      </c>
      <c r="E656" s="6">
        <v>0.97</v>
      </c>
      <c r="F656" s="5">
        <v>0</v>
      </c>
      <c r="G656" s="5">
        <v>62.76</v>
      </c>
      <c r="H656" s="5">
        <v>790</v>
      </c>
      <c r="I656" s="5" t="str">
        <f>HYPERLINK("https://www.ncbi.nlm.nih.gov/protein/MBB3148687.1?report=genbank&amp;log$=prottop&amp;blast_rank=131&amp;RID=7U875CNM013","MBB3148687.1")</f>
        <v>MBB3148687.1</v>
      </c>
      <c r="J656" s="5" t="s">
        <v>4177</v>
      </c>
    </row>
    <row r="657" spans="1:10" s="7" customFormat="1" x14ac:dyDescent="0.2">
      <c r="A657" s="5" t="s">
        <v>3314</v>
      </c>
      <c r="B657" s="5" t="s">
        <v>3315</v>
      </c>
      <c r="C657" s="5">
        <v>1058</v>
      </c>
      <c r="D657" s="5">
        <v>1058</v>
      </c>
      <c r="E657" s="6">
        <v>0.98</v>
      </c>
      <c r="F657" s="5">
        <v>0</v>
      </c>
      <c r="G657" s="5">
        <v>62.76</v>
      </c>
      <c r="H657" s="5">
        <v>796</v>
      </c>
      <c r="I657" s="5" t="str">
        <f>HYPERLINK("https://www.ncbi.nlm.nih.gov/protein/NOY63276.1?report=genbank&amp;log$=prottop&amp;blast_rank=134&amp;RID=7U875CNM013","NOY63276.1")</f>
        <v>NOY63276.1</v>
      </c>
      <c r="J657" s="5" t="s">
        <v>3276</v>
      </c>
    </row>
    <row r="658" spans="1:10" s="7" customFormat="1" x14ac:dyDescent="0.2">
      <c r="A658" s="5" t="s">
        <v>852</v>
      </c>
      <c r="B658" s="5" t="s">
        <v>853</v>
      </c>
      <c r="C658" s="5">
        <v>1078</v>
      </c>
      <c r="D658" s="5">
        <v>1078</v>
      </c>
      <c r="E658" s="6">
        <v>0.99</v>
      </c>
      <c r="F658" s="5">
        <v>0</v>
      </c>
      <c r="G658" s="5">
        <v>62.74</v>
      </c>
      <c r="H658" s="5">
        <v>796</v>
      </c>
      <c r="I658" s="5" t="str">
        <f>HYPERLINK("https://www.ncbi.nlm.nih.gov/protein/PYR86686.1?report=genbank&amp;log$=prottop&amp;blast_rank=149&amp;RID=7U875CNM013","PYR86686.1")</f>
        <v>PYR86686.1</v>
      </c>
      <c r="J658" s="5" t="s">
        <v>854</v>
      </c>
    </row>
    <row r="659" spans="1:10" s="7" customFormat="1" x14ac:dyDescent="0.2">
      <c r="A659" s="5" t="s">
        <v>3314</v>
      </c>
      <c r="B659" s="5" t="s">
        <v>3315</v>
      </c>
      <c r="C659" s="5">
        <v>1069</v>
      </c>
      <c r="D659" s="5">
        <v>1069</v>
      </c>
      <c r="E659" s="6">
        <v>0.99</v>
      </c>
      <c r="F659" s="5">
        <v>0</v>
      </c>
      <c r="G659" s="5">
        <v>62.72</v>
      </c>
      <c r="H659" s="5">
        <v>813</v>
      </c>
      <c r="I659" s="5" t="str">
        <f>HYPERLINK("https://www.ncbi.nlm.nih.gov/protein/MBI3898364.1?report=genbank&amp;log$=prottop&amp;blast_rank=156&amp;RID=7U875CNM013","MBI3898364.1")</f>
        <v>MBI3898364.1</v>
      </c>
      <c r="J659" s="5" t="s">
        <v>3276</v>
      </c>
    </row>
    <row r="660" spans="1:10" s="7" customFormat="1" x14ac:dyDescent="0.2">
      <c r="A660" s="5" t="s">
        <v>4115</v>
      </c>
      <c r="B660" s="5" t="s">
        <v>4116</v>
      </c>
      <c r="C660" s="5">
        <v>1051</v>
      </c>
      <c r="D660" s="5">
        <v>1051</v>
      </c>
      <c r="E660" s="6">
        <v>0.99</v>
      </c>
      <c r="F660" s="5">
        <v>0</v>
      </c>
      <c r="G660" s="5">
        <v>62.72</v>
      </c>
      <c r="H660" s="5">
        <v>818</v>
      </c>
      <c r="I660" s="5" t="str">
        <f>HYPERLINK("https://www.ncbi.nlm.nih.gov/protein/WP_081157739.1?report=genbank&amp;log$=prottop&amp;blast_rank=157&amp;RID=7U875CNM013","WP_081157739.1")</f>
        <v>WP_081157739.1</v>
      </c>
      <c r="J660" s="5" t="s">
        <v>1720</v>
      </c>
    </row>
    <row r="661" spans="1:10" s="7" customFormat="1" x14ac:dyDescent="0.2">
      <c r="A661" s="5" t="s">
        <v>4180</v>
      </c>
      <c r="B661" s="5" t="s">
        <v>4181</v>
      </c>
      <c r="C661" s="5">
        <v>1031</v>
      </c>
      <c r="D661" s="5">
        <v>1031</v>
      </c>
      <c r="E661" s="6">
        <v>0.99</v>
      </c>
      <c r="F661" s="5">
        <v>0</v>
      </c>
      <c r="G661" s="5">
        <v>62.71</v>
      </c>
      <c r="H661" s="5">
        <v>798</v>
      </c>
      <c r="I661" s="5" t="str">
        <f>HYPERLINK("https://www.ncbi.nlm.nih.gov/protein/WP_078305436.1?report=genbank&amp;log$=prottop&amp;blast_rank=183&amp;RID=7U875CNM013","WP_078305436.1")</f>
        <v>WP_078305436.1</v>
      </c>
      <c r="J661" s="5" t="s">
        <v>3277</v>
      </c>
    </row>
    <row r="662" spans="1:10" s="4" customFormat="1" x14ac:dyDescent="0.2">
      <c r="A662" s="1" t="s">
        <v>3374</v>
      </c>
      <c r="B662" s="1" t="s">
        <v>3375</v>
      </c>
      <c r="C662" s="1">
        <v>1187</v>
      </c>
      <c r="D662" s="1">
        <v>1187</v>
      </c>
      <c r="E662" s="2">
        <v>0.98</v>
      </c>
      <c r="F662" s="1">
        <v>0</v>
      </c>
      <c r="G662" s="1">
        <v>70.52</v>
      </c>
      <c r="H662" s="1">
        <v>790</v>
      </c>
      <c r="I662" s="1" t="str">
        <f>HYPERLINK("https://www.ncbi.nlm.nih.gov/protein/WP_035383740.1?report=genbank&amp;log$=prottop&amp;blast_rank=74&amp;RID=7U875CNM013","WP_035383740.1")</f>
        <v>WP_035383740.1</v>
      </c>
      <c r="J662" s="1" t="s">
        <v>2134</v>
      </c>
    </row>
    <row r="663" spans="1:10" s="4" customFormat="1" x14ac:dyDescent="0.2">
      <c r="A663" s="1" t="s">
        <v>3376</v>
      </c>
      <c r="B663" s="1" t="s">
        <v>3377</v>
      </c>
      <c r="C663" s="1">
        <v>1164</v>
      </c>
      <c r="D663" s="1">
        <v>1164</v>
      </c>
      <c r="E663" s="2">
        <v>0.97</v>
      </c>
      <c r="F663" s="1">
        <v>0</v>
      </c>
      <c r="G663" s="1">
        <v>70.510000000000005</v>
      </c>
      <c r="H663" s="1">
        <v>798</v>
      </c>
      <c r="I663" s="1" t="str">
        <f>HYPERLINK("https://www.ncbi.nlm.nih.gov/protein/WP_133663236.1?report=genbank&amp;log$=prottop&amp;blast_rank=75&amp;RID=7U875CNM013","WP_133663236.1")</f>
        <v>WP_133663236.1</v>
      </c>
      <c r="J663" s="1" t="s">
        <v>2134</v>
      </c>
    </row>
    <row r="664" spans="1:10" s="4" customFormat="1" x14ac:dyDescent="0.2">
      <c r="A664" s="1" t="s">
        <v>3378</v>
      </c>
      <c r="B664" s="1" t="s">
        <v>3379</v>
      </c>
      <c r="C664" s="1">
        <v>1174</v>
      </c>
      <c r="D664" s="1">
        <v>1174</v>
      </c>
      <c r="E664" s="2">
        <v>0.99</v>
      </c>
      <c r="F664" s="1">
        <v>0</v>
      </c>
      <c r="G664" s="1">
        <v>70.510000000000005</v>
      </c>
      <c r="H664" s="1">
        <v>798</v>
      </c>
      <c r="I664" s="1" t="str">
        <f>HYPERLINK("https://www.ncbi.nlm.nih.gov/protein/WP_077158268.1?report=genbank&amp;log$=prottop&amp;blast_rank=76&amp;RID=7U875CNM013","WP_077158268.1")</f>
        <v>WP_077158268.1</v>
      </c>
      <c r="J664" s="1" t="s">
        <v>2134</v>
      </c>
    </row>
    <row r="665" spans="1:10" s="4" customFormat="1" ht="14" customHeight="1" x14ac:dyDescent="0.2">
      <c r="A665" s="1" t="s">
        <v>3382</v>
      </c>
      <c r="B665" s="1" t="s">
        <v>3383</v>
      </c>
      <c r="C665" s="1">
        <v>1140</v>
      </c>
      <c r="D665" s="1">
        <v>1140</v>
      </c>
      <c r="E665" s="2">
        <v>0.98</v>
      </c>
      <c r="F665" s="1">
        <v>0</v>
      </c>
      <c r="G665" s="1">
        <v>70.5</v>
      </c>
      <c r="H665" s="1">
        <v>1223</v>
      </c>
      <c r="I665" s="1" t="str">
        <f>HYPERLINK("https://www.ncbi.nlm.nih.gov/protein/WP_082100137.1?report=genbank&amp;log$=prottop&amp;blast_rank=81&amp;RID=7U875CNM013","WP_082100137.1")</f>
        <v>WP_082100137.1</v>
      </c>
      <c r="J665" s="1" t="s">
        <v>3286</v>
      </c>
    </row>
    <row r="666" spans="1:10" s="4" customFormat="1" x14ac:dyDescent="0.2">
      <c r="A666" s="1" t="s">
        <v>3384</v>
      </c>
      <c r="B666" s="1" t="s">
        <v>3385</v>
      </c>
      <c r="C666" s="1">
        <v>1182</v>
      </c>
      <c r="D666" s="1">
        <v>1182</v>
      </c>
      <c r="E666" s="2">
        <v>0.99</v>
      </c>
      <c r="F666" s="1">
        <v>0</v>
      </c>
      <c r="G666" s="1">
        <v>70.489999999999995</v>
      </c>
      <c r="H666" s="1">
        <v>793</v>
      </c>
      <c r="I666" s="1" t="str">
        <f>HYPERLINK("https://www.ncbi.nlm.nih.gov/protein/WP_153974520.1?report=genbank&amp;log$=prottop&amp;blast_rank=82&amp;RID=7U875CNM013","WP_153974520.1")</f>
        <v>WP_153974520.1</v>
      </c>
      <c r="J666" s="1" t="s">
        <v>3276</v>
      </c>
    </row>
    <row r="667" spans="1:10" s="4" customFormat="1" x14ac:dyDescent="0.2">
      <c r="A667" s="1" t="s">
        <v>3388</v>
      </c>
      <c r="B667" s="1" t="s">
        <v>3389</v>
      </c>
      <c r="C667" s="1">
        <v>1163</v>
      </c>
      <c r="D667" s="1">
        <v>1163</v>
      </c>
      <c r="E667" s="2">
        <v>1</v>
      </c>
      <c r="F667" s="1">
        <v>0</v>
      </c>
      <c r="G667" s="1">
        <v>70.48</v>
      </c>
      <c r="H667" s="1">
        <v>803</v>
      </c>
      <c r="I667" s="1" t="str">
        <f>HYPERLINK("https://www.ncbi.nlm.nih.gov/protein/RPI47386.1?report=genbank&amp;log$=prottop&amp;blast_rank=85&amp;RID=7U875CNM013","RPI47386.1")</f>
        <v>RPI47386.1</v>
      </c>
      <c r="J667" s="1" t="s">
        <v>2134</v>
      </c>
    </row>
    <row r="668" spans="1:10" s="7" customFormat="1" x14ac:dyDescent="0.2">
      <c r="A668" s="5" t="s">
        <v>3492</v>
      </c>
      <c r="B668" s="5" t="s">
        <v>3493</v>
      </c>
      <c r="C668" s="5">
        <v>1171</v>
      </c>
      <c r="D668" s="5">
        <v>1171</v>
      </c>
      <c r="E668" s="6">
        <v>0.99</v>
      </c>
      <c r="F668" s="5">
        <v>0</v>
      </c>
      <c r="G668" s="5">
        <v>69.53</v>
      </c>
      <c r="H668" s="5">
        <v>789</v>
      </c>
      <c r="I668" s="5" t="str">
        <f>HYPERLINK("https://www.ncbi.nlm.nih.gov/protein/NOT68482.1?report=genbank&amp;log$=prottop&amp;blast_rank=125&amp;RID=7U875CNM013","NOT68482.1")</f>
        <v>NOT68482.1</v>
      </c>
      <c r="J668" s="5" t="s">
        <v>2134</v>
      </c>
    </row>
    <row r="669" spans="1:10" s="7" customFormat="1" x14ac:dyDescent="0.2">
      <c r="A669" s="5" t="s">
        <v>3494</v>
      </c>
      <c r="B669" s="5" t="s">
        <v>3495</v>
      </c>
      <c r="C669" s="5">
        <v>1192</v>
      </c>
      <c r="D669" s="5">
        <v>1192</v>
      </c>
      <c r="E669" s="6">
        <v>0.99</v>
      </c>
      <c r="F669" s="5">
        <v>0</v>
      </c>
      <c r="G669" s="5">
        <v>69.52</v>
      </c>
      <c r="H669" s="5">
        <v>794</v>
      </c>
      <c r="I669" s="5" t="str">
        <f>HYPERLINK("https://www.ncbi.nlm.nih.gov/protein/WP_029646365.1?report=genbank&amp;log$=prottop&amp;blast_rank=126&amp;RID=7U875CNM013","WP_029646365.1")</f>
        <v>WP_029646365.1</v>
      </c>
      <c r="J669" s="5" t="s">
        <v>3276</v>
      </c>
    </row>
    <row r="670" spans="1:10" s="7" customFormat="1" x14ac:dyDescent="0.2">
      <c r="A670" s="5" t="s">
        <v>3388</v>
      </c>
      <c r="B670" s="5" t="s">
        <v>3389</v>
      </c>
      <c r="C670" s="5">
        <v>1165</v>
      </c>
      <c r="D670" s="5">
        <v>1165</v>
      </c>
      <c r="E670" s="6">
        <v>0.98</v>
      </c>
      <c r="F670" s="5">
        <v>0</v>
      </c>
      <c r="G670" s="5">
        <v>69.52</v>
      </c>
      <c r="H670" s="5">
        <v>788</v>
      </c>
      <c r="I670" s="5" t="str">
        <f>HYPERLINK("https://www.ncbi.nlm.nih.gov/protein/TSA21901.1?report=genbank&amp;log$=prottop&amp;blast_rank=127&amp;RID=7U875CNM013","TSA21901.1")</f>
        <v>TSA21901.1</v>
      </c>
      <c r="J670" s="5" t="s">
        <v>2134</v>
      </c>
    </row>
    <row r="671" spans="1:10" s="7" customFormat="1" x14ac:dyDescent="0.2">
      <c r="A671" s="5" t="s">
        <v>3496</v>
      </c>
      <c r="B671" s="5" t="s">
        <v>3497</v>
      </c>
      <c r="C671" s="5">
        <v>1161</v>
      </c>
      <c r="D671" s="5">
        <v>1161</v>
      </c>
      <c r="E671" s="6">
        <v>0.98</v>
      </c>
      <c r="F671" s="5">
        <v>0</v>
      </c>
      <c r="G671" s="5">
        <v>69.52</v>
      </c>
      <c r="H671" s="5">
        <v>801</v>
      </c>
      <c r="I671" s="5" t="str">
        <f>HYPERLINK("https://www.ncbi.nlm.nih.gov/protein/WP_135446410.1?report=genbank&amp;log$=prottop&amp;blast_rank=132&amp;RID=7U875CNM013","WP_135446410.1")</f>
        <v>WP_135446410.1</v>
      </c>
      <c r="J671" s="5" t="s">
        <v>3276</v>
      </c>
    </row>
    <row r="672" spans="1:10" s="7" customFormat="1" x14ac:dyDescent="0.2">
      <c r="A672" s="5" t="s">
        <v>3498</v>
      </c>
      <c r="B672" s="5" t="s">
        <v>3499</v>
      </c>
      <c r="C672" s="5">
        <v>1147</v>
      </c>
      <c r="D672" s="5">
        <v>1147</v>
      </c>
      <c r="E672" s="6">
        <v>0.98</v>
      </c>
      <c r="F672" s="5">
        <v>0</v>
      </c>
      <c r="G672" s="5">
        <v>69.52</v>
      </c>
      <c r="H672" s="5">
        <v>793</v>
      </c>
      <c r="I672" s="5" t="str">
        <f>HYPERLINK("https://www.ncbi.nlm.nih.gov/protein/MBK7663573.1?report=genbank&amp;log$=prottop&amp;blast_rank=133&amp;RID=7U875CNM013","MBK7663573.1")</f>
        <v>MBK7663573.1</v>
      </c>
      <c r="J672" s="5" t="s">
        <v>2134</v>
      </c>
    </row>
    <row r="673" spans="1:10" s="7" customFormat="1" x14ac:dyDescent="0.2">
      <c r="A673" s="5" t="s">
        <v>3500</v>
      </c>
      <c r="B673" s="5" t="s">
        <v>3489</v>
      </c>
      <c r="C673" s="5">
        <v>1181</v>
      </c>
      <c r="D673" s="5">
        <v>1181</v>
      </c>
      <c r="E673" s="6">
        <v>0.99</v>
      </c>
      <c r="F673" s="5">
        <v>0</v>
      </c>
      <c r="G673" s="5">
        <v>69.489999999999995</v>
      </c>
      <c r="H673" s="5">
        <v>789</v>
      </c>
      <c r="I673" s="26" t="str">
        <f>HYPERLINK("https://www.ncbi.nlm.nih.gov/protein/KAF0206044.1?report=genbank&amp;log$=prottop&amp;blast_rank=136&amp;RID=7U875CNM013","KAF0206044.1")</f>
        <v>KAF0206044.1</v>
      </c>
      <c r="J673" s="5" t="s">
        <v>2134</v>
      </c>
    </row>
    <row r="674" spans="1:10" s="7" customFormat="1" x14ac:dyDescent="0.2">
      <c r="A674" s="5" t="s">
        <v>3501</v>
      </c>
      <c r="B674" s="5" t="s">
        <v>3502</v>
      </c>
      <c r="C674" s="5">
        <v>1161</v>
      </c>
      <c r="D674" s="5">
        <v>1161</v>
      </c>
      <c r="E674" s="6">
        <v>0.99</v>
      </c>
      <c r="F674" s="5">
        <v>0</v>
      </c>
      <c r="G674" s="5">
        <v>69.489999999999995</v>
      </c>
      <c r="H674" s="5">
        <v>798</v>
      </c>
      <c r="I674" s="5" t="str">
        <f>HYPERLINK("https://www.ncbi.nlm.nih.gov/protein/WP_184071315.1?report=genbank&amp;log$=prottop&amp;blast_rank=138&amp;RID=7U875CNM013","WP_184071315.1")</f>
        <v>WP_184071315.1</v>
      </c>
      <c r="J674" s="5" t="s">
        <v>2134</v>
      </c>
    </row>
    <row r="675" spans="1:10" s="7" customFormat="1" x14ac:dyDescent="0.2">
      <c r="A675" s="5" t="s">
        <v>3334</v>
      </c>
      <c r="B675" s="5" t="s">
        <v>3335</v>
      </c>
      <c r="C675" s="5">
        <v>1130</v>
      </c>
      <c r="D675" s="5">
        <v>1130</v>
      </c>
      <c r="E675" s="6">
        <v>0.98</v>
      </c>
      <c r="F675" s="5">
        <v>0</v>
      </c>
      <c r="G675" s="5">
        <v>69.48</v>
      </c>
      <c r="H675" s="5">
        <v>787</v>
      </c>
      <c r="I675" s="5" t="str">
        <f>HYPERLINK("https://www.ncbi.nlm.nih.gov/protein/WP_162068224.1?report=genbank&amp;log$=prottop&amp;blast_rank=144&amp;RID=7U875CNM013","WP_162068224.1")</f>
        <v>WP_162068224.1</v>
      </c>
      <c r="J675" s="5" t="s">
        <v>2134</v>
      </c>
    </row>
    <row r="676" spans="1:10" s="7" customFormat="1" x14ac:dyDescent="0.2">
      <c r="A676" s="5" t="s">
        <v>3498</v>
      </c>
      <c r="B676" s="5" t="s">
        <v>3499</v>
      </c>
      <c r="C676" s="5">
        <v>1154</v>
      </c>
      <c r="D676" s="5">
        <v>1154</v>
      </c>
      <c r="E676" s="6">
        <v>0.99</v>
      </c>
      <c r="F676" s="5">
        <v>0</v>
      </c>
      <c r="G676" s="5">
        <v>69.459999999999994</v>
      </c>
      <c r="H676" s="5">
        <v>793</v>
      </c>
      <c r="I676" s="5" t="str">
        <f>HYPERLINK("https://www.ncbi.nlm.nih.gov/protein/MBK6975243.1?report=genbank&amp;log$=prottop&amp;blast_rank=146&amp;RID=7U875CNM013","MBK6975243.1")</f>
        <v>MBK6975243.1</v>
      </c>
      <c r="J676" s="5" t="s">
        <v>2134</v>
      </c>
    </row>
    <row r="677" spans="1:10" s="7" customFormat="1" x14ac:dyDescent="0.2">
      <c r="A677" s="5" t="s">
        <v>3503</v>
      </c>
      <c r="B677" s="5" t="s">
        <v>3504</v>
      </c>
      <c r="C677" s="5">
        <v>1166</v>
      </c>
      <c r="D677" s="5">
        <v>1166</v>
      </c>
      <c r="E677" s="6">
        <v>0.99</v>
      </c>
      <c r="F677" s="5">
        <v>0</v>
      </c>
      <c r="G677" s="5">
        <v>69.400000000000006</v>
      </c>
      <c r="H677" s="5">
        <v>798</v>
      </c>
      <c r="I677" s="5" t="str">
        <f>HYPERLINK("https://www.ncbi.nlm.nih.gov/protein/WP_062123375.1?report=genbank&amp;log$=prottop&amp;blast_rank=151&amp;RID=7U875CNM013","WP_062123375.1")</f>
        <v>WP_062123375.1</v>
      </c>
      <c r="J677" s="5" t="s">
        <v>2134</v>
      </c>
    </row>
    <row r="678" spans="1:10" s="7" customFormat="1" x14ac:dyDescent="0.2">
      <c r="A678" s="5" t="s">
        <v>3505</v>
      </c>
      <c r="B678" s="5" t="s">
        <v>3506</v>
      </c>
      <c r="C678" s="5">
        <v>1162</v>
      </c>
      <c r="D678" s="5">
        <v>1162</v>
      </c>
      <c r="E678" s="6">
        <v>0.98</v>
      </c>
      <c r="F678" s="5">
        <v>0</v>
      </c>
      <c r="G678" s="5">
        <v>69.38</v>
      </c>
      <c r="H678" s="5">
        <v>789</v>
      </c>
      <c r="I678" s="5" t="str">
        <f>HYPERLINK("https://www.ncbi.nlm.nih.gov/protein/WP_013293706.1?report=genbank&amp;log$=prottop&amp;blast_rank=159&amp;RID=7U875CNM013","WP_013293706.1")</f>
        <v>WP_013293706.1</v>
      </c>
      <c r="J678" s="5" t="s">
        <v>2134</v>
      </c>
    </row>
    <row r="679" spans="1:10" s="7" customFormat="1" x14ac:dyDescent="0.2">
      <c r="A679" s="5" t="s">
        <v>3507</v>
      </c>
      <c r="B679" s="5" t="s">
        <v>3447</v>
      </c>
      <c r="C679" s="5">
        <v>1160</v>
      </c>
      <c r="D679" s="5">
        <v>1160</v>
      </c>
      <c r="E679" s="6">
        <v>0.99</v>
      </c>
      <c r="F679" s="5">
        <v>0</v>
      </c>
      <c r="G679" s="5">
        <v>69.37</v>
      </c>
      <c r="H679" s="5">
        <v>798</v>
      </c>
      <c r="I679" s="5" t="str">
        <f>HYPERLINK("https://www.ncbi.nlm.nih.gov/protein/WP_184008810.1?report=genbank&amp;log$=prottop&amp;blast_rank=164&amp;RID=7U875CNM013","WP_184008810.1")</f>
        <v>WP_184008810.1</v>
      </c>
      <c r="J679" s="5" t="s">
        <v>2134</v>
      </c>
    </row>
    <row r="680" spans="1:10" s="7" customFormat="1" x14ac:dyDescent="0.2">
      <c r="A680" s="5" t="s">
        <v>3508</v>
      </c>
      <c r="B680" s="5" t="s">
        <v>3509</v>
      </c>
      <c r="C680" s="5">
        <v>1160</v>
      </c>
      <c r="D680" s="5">
        <v>1160</v>
      </c>
      <c r="E680" s="6">
        <v>0.99</v>
      </c>
      <c r="F680" s="5">
        <v>0</v>
      </c>
      <c r="G680" s="5">
        <v>69.37</v>
      </c>
      <c r="H680" s="5">
        <v>798</v>
      </c>
      <c r="I680" s="5" t="str">
        <f>HYPERLINK("https://www.ncbi.nlm.nih.gov/protein/WP_187626792.1?report=genbank&amp;log$=prottop&amp;blast_rank=165&amp;RID=7U875CNM013","WP_187626792.1")</f>
        <v>WP_187626792.1</v>
      </c>
      <c r="J680" s="5" t="s">
        <v>2134</v>
      </c>
    </row>
    <row r="681" spans="1:10" s="7" customFormat="1" x14ac:dyDescent="0.2">
      <c r="A681" s="5" t="s">
        <v>3507</v>
      </c>
      <c r="B681" s="5" t="s">
        <v>3447</v>
      </c>
      <c r="C681" s="5">
        <v>1159</v>
      </c>
      <c r="D681" s="5">
        <v>1159</v>
      </c>
      <c r="E681" s="6">
        <v>0.99</v>
      </c>
      <c r="F681" s="5">
        <v>0</v>
      </c>
      <c r="G681" s="5">
        <v>69.37</v>
      </c>
      <c r="H681" s="5">
        <v>798</v>
      </c>
      <c r="I681" s="5" t="str">
        <f>HYPERLINK("https://www.ncbi.nlm.nih.gov/protein/WP_184066887.1?report=genbank&amp;log$=prottop&amp;blast_rank=166&amp;RID=7U875CNM013","WP_184066887.1")</f>
        <v>WP_184066887.1</v>
      </c>
      <c r="J681" s="5" t="s">
        <v>2134</v>
      </c>
    </row>
    <row r="682" spans="1:10" s="7" customFormat="1" x14ac:dyDescent="0.2">
      <c r="A682" s="5" t="s">
        <v>3510</v>
      </c>
      <c r="B682" s="5" t="s">
        <v>3511</v>
      </c>
      <c r="C682" s="5">
        <v>1159</v>
      </c>
      <c r="D682" s="5">
        <v>1159</v>
      </c>
      <c r="E682" s="6">
        <v>0.99</v>
      </c>
      <c r="F682" s="5">
        <v>0</v>
      </c>
      <c r="G682" s="5">
        <v>69.37</v>
      </c>
      <c r="H682" s="5">
        <v>798</v>
      </c>
      <c r="I682" s="5" t="str">
        <f>HYPERLINK("https://www.ncbi.nlm.nih.gov/protein/WP_090804194.1?report=genbank&amp;log$=prottop&amp;blast_rank=167&amp;RID=7U875CNM013","WP_090804194.1")</f>
        <v>WP_090804194.1</v>
      </c>
      <c r="J682" s="5" t="s">
        <v>2134</v>
      </c>
    </row>
    <row r="683" spans="1:10" s="7" customFormat="1" x14ac:dyDescent="0.2">
      <c r="A683" s="5" t="s">
        <v>2767</v>
      </c>
      <c r="B683" s="5" t="s">
        <v>2768</v>
      </c>
      <c r="C683" s="5">
        <v>1161</v>
      </c>
      <c r="D683" s="5">
        <v>1161</v>
      </c>
      <c r="E683" s="6">
        <v>1</v>
      </c>
      <c r="F683" s="5">
        <v>0</v>
      </c>
      <c r="G683" s="5">
        <v>69.349999999999994</v>
      </c>
      <c r="H683" s="5">
        <v>795</v>
      </c>
      <c r="I683" s="5" t="str">
        <f>HYPERLINK("https://www.ncbi.nlm.nih.gov/protein/KAA3627460.1?report=genbank&amp;log$=prottop&amp;blast_rank=174&amp;RID=7U875CNM013","KAA3627460.1")</f>
        <v>KAA3627460.1</v>
      </c>
      <c r="J683" s="5" t="s">
        <v>2769</v>
      </c>
    </row>
    <row r="684" spans="1:10" s="7" customFormat="1" x14ac:dyDescent="0.2">
      <c r="A684" s="5" t="s">
        <v>3512</v>
      </c>
      <c r="B684" s="5" t="s">
        <v>3513</v>
      </c>
      <c r="C684" s="5">
        <v>1181</v>
      </c>
      <c r="D684" s="5">
        <v>1181</v>
      </c>
      <c r="E684" s="6">
        <v>0.99</v>
      </c>
      <c r="F684" s="5">
        <v>0</v>
      </c>
      <c r="G684" s="5">
        <v>69.33</v>
      </c>
      <c r="H684" s="5">
        <v>804</v>
      </c>
      <c r="I684" s="5" t="str">
        <f>HYPERLINK("https://www.ncbi.nlm.nih.gov/protein/WP_180539181.1?report=genbank&amp;log$=prottop&amp;blast_rank=177&amp;RID=7U875CNM013","WP_180539181.1")</f>
        <v>WP_180539181.1</v>
      </c>
      <c r="J684" s="5" t="s">
        <v>3276</v>
      </c>
    </row>
    <row r="685" spans="1:10" s="7" customFormat="1" x14ac:dyDescent="0.2">
      <c r="A685" s="5" t="s">
        <v>3514</v>
      </c>
      <c r="B685" s="5" t="s">
        <v>3515</v>
      </c>
      <c r="C685" s="5">
        <v>1170</v>
      </c>
      <c r="D685" s="5">
        <v>1170</v>
      </c>
      <c r="E685" s="6">
        <v>0.98</v>
      </c>
      <c r="F685" s="5">
        <v>0</v>
      </c>
      <c r="G685" s="5">
        <v>69.3</v>
      </c>
      <c r="H685" s="5">
        <v>790</v>
      </c>
      <c r="I685" s="5" t="str">
        <f>HYPERLINK("https://www.ncbi.nlm.nih.gov/protein/OGS91149.1?report=genbank&amp;log$=prottop&amp;blast_rank=189&amp;RID=7U875CNM013","OGS91149.1")</f>
        <v>OGS91149.1</v>
      </c>
      <c r="J685" s="5" t="s">
        <v>2134</v>
      </c>
    </row>
    <row r="686" spans="1:10" s="7" customFormat="1" x14ac:dyDescent="0.2">
      <c r="A686" s="5" t="s">
        <v>3516</v>
      </c>
      <c r="B686" s="5" t="s">
        <v>3331</v>
      </c>
      <c r="C686" s="5">
        <v>1162</v>
      </c>
      <c r="D686" s="5">
        <v>1162</v>
      </c>
      <c r="E686" s="6">
        <v>0.98</v>
      </c>
      <c r="F686" s="5">
        <v>0</v>
      </c>
      <c r="G686" s="5">
        <v>69.3</v>
      </c>
      <c r="H686" s="5">
        <v>790</v>
      </c>
      <c r="I686" s="5" t="str">
        <f>HYPERLINK("https://www.ncbi.nlm.nih.gov/protein/CAG0124276.1?report=genbank&amp;log$=prottop&amp;blast_rank=190&amp;RID=7U875CNM013","CAG0124276.1")</f>
        <v>CAG0124276.1</v>
      </c>
      <c r="J686" s="5" t="s">
        <v>2134</v>
      </c>
    </row>
    <row r="687" spans="1:10" s="7" customFormat="1" x14ac:dyDescent="0.2">
      <c r="A687" s="5" t="s">
        <v>3517</v>
      </c>
      <c r="B687" s="5" t="s">
        <v>3518</v>
      </c>
      <c r="C687" s="5">
        <v>1156</v>
      </c>
      <c r="D687" s="5">
        <v>1156</v>
      </c>
      <c r="E687" s="6">
        <v>0.98</v>
      </c>
      <c r="F687" s="5">
        <v>0</v>
      </c>
      <c r="G687" s="5">
        <v>69.25</v>
      </c>
      <c r="H687" s="5">
        <v>789</v>
      </c>
      <c r="I687" s="5" t="str">
        <f>HYPERLINK("https://www.ncbi.nlm.nih.gov/protein/OGS67443.1?report=genbank&amp;log$=prottop&amp;blast_rank=199&amp;RID=7U875CNM013","OGS67443.1")</f>
        <v>OGS67443.1</v>
      </c>
      <c r="J687" s="5" t="s">
        <v>2134</v>
      </c>
    </row>
    <row r="688" spans="1:10" s="7" customFormat="1" x14ac:dyDescent="0.2">
      <c r="A688" s="5" t="s">
        <v>3519</v>
      </c>
      <c r="B688" s="5" t="s">
        <v>3520</v>
      </c>
      <c r="C688" s="5">
        <v>1159</v>
      </c>
      <c r="D688" s="5">
        <v>1159</v>
      </c>
      <c r="E688" s="6">
        <v>0.99</v>
      </c>
      <c r="F688" s="5">
        <v>0</v>
      </c>
      <c r="G688" s="5">
        <v>69.239999999999995</v>
      </c>
      <c r="H688" s="5">
        <v>798</v>
      </c>
      <c r="I688" s="5" t="str">
        <f>HYPERLINK("https://www.ncbi.nlm.nih.gov/protein/WP_187618845.1?report=genbank&amp;log$=prottop&amp;blast_rank=201&amp;RID=7U875CNM013","WP_187618845.1")</f>
        <v>WP_187618845.1</v>
      </c>
      <c r="J688" s="5" t="s">
        <v>2134</v>
      </c>
    </row>
    <row r="689" spans="1:10" s="7" customFormat="1" x14ac:dyDescent="0.2">
      <c r="A689" s="5" t="s">
        <v>3521</v>
      </c>
      <c r="B689" s="5" t="s">
        <v>3522</v>
      </c>
      <c r="C689" s="5">
        <v>1159</v>
      </c>
      <c r="D689" s="5">
        <v>1159</v>
      </c>
      <c r="E689" s="6">
        <v>0.99</v>
      </c>
      <c r="F689" s="5">
        <v>0</v>
      </c>
      <c r="G689" s="5">
        <v>69.239999999999995</v>
      </c>
      <c r="H689" s="5">
        <v>798</v>
      </c>
      <c r="I689" s="26" t="str">
        <f>HYPERLINK("https://www.ncbi.nlm.nih.gov/protein/WP_184029689.1?report=genbank&amp;log$=prottop&amp;blast_rank=202&amp;RID=7U875CNM013","WP_184029689.1")</f>
        <v>WP_184029689.1</v>
      </c>
      <c r="J689" s="5" t="s">
        <v>2134</v>
      </c>
    </row>
    <row r="690" spans="1:10" s="7" customFormat="1" x14ac:dyDescent="0.2">
      <c r="A690" s="5" t="s">
        <v>3510</v>
      </c>
      <c r="B690" s="5" t="s">
        <v>3511</v>
      </c>
      <c r="C690" s="5">
        <v>1159</v>
      </c>
      <c r="D690" s="5">
        <v>1159</v>
      </c>
      <c r="E690" s="6">
        <v>0.99</v>
      </c>
      <c r="F690" s="5">
        <v>0</v>
      </c>
      <c r="G690" s="5">
        <v>69.239999999999995</v>
      </c>
      <c r="H690" s="5">
        <v>798</v>
      </c>
      <c r="I690" s="5" t="str">
        <f>HYPERLINK("https://www.ncbi.nlm.nih.gov/protein/WP_018418304.1?report=genbank&amp;log$=prottop&amp;blast_rank=203&amp;RID=7U875CNM013","WP_018418304.1")</f>
        <v>WP_018418304.1</v>
      </c>
      <c r="J690" s="5" t="s">
        <v>2134</v>
      </c>
    </row>
    <row r="691" spans="1:10" s="7" customFormat="1" x14ac:dyDescent="0.2">
      <c r="A691" s="5" t="s">
        <v>3523</v>
      </c>
      <c r="B691" s="5" t="s">
        <v>3524</v>
      </c>
      <c r="C691" s="5">
        <v>1159</v>
      </c>
      <c r="D691" s="5">
        <v>1159</v>
      </c>
      <c r="E691" s="6">
        <v>0.99</v>
      </c>
      <c r="F691" s="5">
        <v>0</v>
      </c>
      <c r="G691" s="5">
        <v>69.239999999999995</v>
      </c>
      <c r="H691" s="5">
        <v>798</v>
      </c>
      <c r="I691" s="5" t="str">
        <f>HYPERLINK("https://www.ncbi.nlm.nih.gov/protein/WP_129956394.1?report=genbank&amp;log$=prottop&amp;blast_rank=204&amp;RID=7U875CNM013","WP_129956394.1")</f>
        <v>WP_129956394.1</v>
      </c>
      <c r="J691" s="5" t="s">
        <v>2134</v>
      </c>
    </row>
    <row r="692" spans="1:10" s="7" customFormat="1" x14ac:dyDescent="0.2">
      <c r="A692" s="5" t="s">
        <v>3321</v>
      </c>
      <c r="B692" s="5" t="s">
        <v>3322</v>
      </c>
      <c r="C692" s="5">
        <v>1144</v>
      </c>
      <c r="D692" s="5">
        <v>1144</v>
      </c>
      <c r="E692" s="6">
        <v>0.99</v>
      </c>
      <c r="F692" s="5">
        <v>0</v>
      </c>
      <c r="G692" s="5">
        <v>69.23</v>
      </c>
      <c r="H692" s="5">
        <v>799</v>
      </c>
      <c r="I692" s="5" t="str">
        <f>HYPERLINK("https://www.ncbi.nlm.nih.gov/protein/PYM66300.1?report=genbank&amp;log$=prottop&amp;blast_rank=206&amp;RID=7U875CNM013","PYM66300.1")</f>
        <v>PYM66300.1</v>
      </c>
      <c r="J692" s="5" t="s">
        <v>3323</v>
      </c>
    </row>
    <row r="693" spans="1:10" s="7" customFormat="1" x14ac:dyDescent="0.2">
      <c r="A693" s="5" t="s">
        <v>3525</v>
      </c>
      <c r="B693" s="5" t="s">
        <v>3526</v>
      </c>
      <c r="C693" s="5">
        <v>1176</v>
      </c>
      <c r="D693" s="5">
        <v>1176</v>
      </c>
      <c r="E693" s="6">
        <v>0.98</v>
      </c>
      <c r="F693" s="5">
        <v>0</v>
      </c>
      <c r="G693" s="5">
        <v>69.209999999999994</v>
      </c>
      <c r="H693" s="5">
        <v>795</v>
      </c>
      <c r="I693" s="5" t="str">
        <f>HYPERLINK("https://www.ncbi.nlm.nih.gov/protein/OGQ89849.1?report=genbank&amp;log$=prottop&amp;blast_rank=210&amp;RID=7U875CNM013","OGQ89849.1")</f>
        <v>OGQ89849.1</v>
      </c>
      <c r="J693" s="5" t="s">
        <v>3286</v>
      </c>
    </row>
    <row r="694" spans="1:10" s="7" customFormat="1" x14ac:dyDescent="0.2">
      <c r="A694" s="5" t="s">
        <v>3527</v>
      </c>
      <c r="B694" s="5" t="s">
        <v>3528</v>
      </c>
      <c r="C694" s="5">
        <v>1149</v>
      </c>
      <c r="D694" s="5">
        <v>1149</v>
      </c>
      <c r="E694" s="6">
        <v>0.98</v>
      </c>
      <c r="F694" s="5">
        <v>0</v>
      </c>
      <c r="G694" s="5">
        <v>69.209999999999994</v>
      </c>
      <c r="H694" s="5">
        <v>794</v>
      </c>
      <c r="I694" s="5" t="str">
        <f>HYPERLINK("https://www.ncbi.nlm.nih.gov/protein/WP_005220299.1?report=genbank&amp;log$=prottop&amp;blast_rank=211&amp;RID=7U875CNM013","WP_005220299.1")</f>
        <v>WP_005220299.1</v>
      </c>
      <c r="J694" s="5" t="s">
        <v>3276</v>
      </c>
    </row>
    <row r="695" spans="1:10" s="7" customFormat="1" x14ac:dyDescent="0.2">
      <c r="A695" s="5" t="s">
        <v>3529</v>
      </c>
      <c r="B695" s="5" t="s">
        <v>3530</v>
      </c>
      <c r="C695" s="5">
        <v>1145</v>
      </c>
      <c r="D695" s="5">
        <v>1145</v>
      </c>
      <c r="E695" s="6">
        <v>0.99</v>
      </c>
      <c r="F695" s="5">
        <v>0</v>
      </c>
      <c r="G695" s="5">
        <v>69.2</v>
      </c>
      <c r="H695" s="5">
        <v>792</v>
      </c>
      <c r="I695" s="5" t="str">
        <f>HYPERLINK("https://www.ncbi.nlm.nih.gov/protein/MBO0756656.1?report=genbank&amp;log$=prottop&amp;blast_rank=2&amp;RID=7U875CNM013","MBO0756656.1")</f>
        <v>MBO0756656.1</v>
      </c>
      <c r="J695" s="5" t="s">
        <v>1720</v>
      </c>
    </row>
    <row r="696" spans="1:10" s="7" customFormat="1" x14ac:dyDescent="0.2">
      <c r="A696" s="5" t="s">
        <v>3531</v>
      </c>
      <c r="B696" s="5" t="s">
        <v>3532</v>
      </c>
      <c r="C696" s="5">
        <v>1184</v>
      </c>
      <c r="D696" s="5">
        <v>1184</v>
      </c>
      <c r="E696" s="6">
        <v>0.99</v>
      </c>
      <c r="F696" s="5">
        <v>0</v>
      </c>
      <c r="G696" s="5">
        <v>69.180000000000007</v>
      </c>
      <c r="H696" s="5">
        <v>809</v>
      </c>
      <c r="I696" s="5" t="str">
        <f>HYPERLINK("https://www.ncbi.nlm.nih.gov/protein/TMJ57553.1?report=genbank&amp;log$=prottop&amp;blast_rank=4&amp;RID=7U875CNM013","TMJ57553.1")</f>
        <v>TMJ57553.1</v>
      </c>
      <c r="J696" s="5" t="s">
        <v>1720</v>
      </c>
    </row>
    <row r="697" spans="1:10" s="4" customFormat="1" x14ac:dyDescent="0.2">
      <c r="A697" s="1" t="s">
        <v>1816</v>
      </c>
      <c r="B697" s="1" t="s">
        <v>1817</v>
      </c>
      <c r="C697" s="1">
        <v>1058</v>
      </c>
      <c r="D697" s="1">
        <v>1058</v>
      </c>
      <c r="E697" s="2">
        <v>0.98</v>
      </c>
      <c r="F697" s="1">
        <v>0</v>
      </c>
      <c r="G697" s="1">
        <v>64.290000000000006</v>
      </c>
      <c r="H697" s="1">
        <v>819</v>
      </c>
      <c r="I697" s="1" t="str">
        <f>HYPERLINK("https://www.ncbi.nlm.nih.gov/protein/WP_202329257.1?report=genbank&amp;log$=prottop&amp;blast_rank=143&amp;RID=7U875CNM013","WP_202329257.1")</f>
        <v>WP_202329257.1</v>
      </c>
      <c r="J697" s="5" t="s">
        <v>1818</v>
      </c>
    </row>
    <row r="698" spans="1:10" s="4" customFormat="1" x14ac:dyDescent="0.2">
      <c r="A698" s="1" t="s">
        <v>1819</v>
      </c>
      <c r="B698" s="1" t="s">
        <v>1820</v>
      </c>
      <c r="C698" s="1">
        <v>1058</v>
      </c>
      <c r="D698" s="1">
        <v>1058</v>
      </c>
      <c r="E698" s="2">
        <v>0.98</v>
      </c>
      <c r="F698" s="1">
        <v>0</v>
      </c>
      <c r="G698" s="1">
        <v>64.290000000000006</v>
      </c>
      <c r="H698" s="1">
        <v>819</v>
      </c>
      <c r="I698" s="1" t="str">
        <f>HYPERLINK("https://www.ncbi.nlm.nih.gov/protein/WP_202305286.1?report=genbank&amp;log$=prottop&amp;blast_rank=144&amp;RID=7U875CNM013","WP_202305286.1")</f>
        <v>WP_202305286.1</v>
      </c>
      <c r="J698" s="5" t="s">
        <v>1818</v>
      </c>
    </row>
    <row r="699" spans="1:10" s="7" customFormat="1" x14ac:dyDescent="0.2">
      <c r="A699" s="5" t="s">
        <v>2045</v>
      </c>
      <c r="B699" s="5" t="s">
        <v>2046</v>
      </c>
      <c r="C699" s="5">
        <v>1040</v>
      </c>
      <c r="D699" s="5">
        <v>1040</v>
      </c>
      <c r="E699" s="6">
        <v>0.98</v>
      </c>
      <c r="F699" s="5">
        <v>0</v>
      </c>
      <c r="G699" s="5">
        <v>63.07</v>
      </c>
      <c r="H699" s="5">
        <v>793</v>
      </c>
      <c r="I699" s="5" t="str">
        <f>HYPERLINK("https://www.ncbi.nlm.nih.gov/protein/WP_127877531.1?report=genbank&amp;log$=prottop&amp;blast_rank=16&amp;RID=7U875CNM013","WP_127877531.1")</f>
        <v>WP_127877531.1</v>
      </c>
      <c r="J699" s="5" t="s">
        <v>1818</v>
      </c>
    </row>
    <row r="700" spans="1:10" s="7" customFormat="1" x14ac:dyDescent="0.2">
      <c r="A700" s="5" t="s">
        <v>2047</v>
      </c>
      <c r="B700" s="5" t="s">
        <v>2048</v>
      </c>
      <c r="C700" s="5">
        <v>1039</v>
      </c>
      <c r="D700" s="5">
        <v>1039</v>
      </c>
      <c r="E700" s="6">
        <v>0.98</v>
      </c>
      <c r="F700" s="5">
        <v>0</v>
      </c>
      <c r="G700" s="5">
        <v>63.07</v>
      </c>
      <c r="H700" s="5">
        <v>793</v>
      </c>
      <c r="I700" s="5" t="str">
        <f>HYPERLINK("https://www.ncbi.nlm.nih.gov/protein/WP_192249462.1?report=genbank&amp;log$=prottop&amp;blast_rank=17&amp;RID=7U875CNM013","WP_192249462.1")</f>
        <v>WP_192249462.1</v>
      </c>
      <c r="J700" s="5" t="s">
        <v>1818</v>
      </c>
    </row>
    <row r="701" spans="1:10" s="7" customFormat="1" x14ac:dyDescent="0.2">
      <c r="A701" s="5" t="s">
        <v>2051</v>
      </c>
      <c r="B701" s="5" t="s">
        <v>2052</v>
      </c>
      <c r="C701" s="5">
        <v>1056</v>
      </c>
      <c r="D701" s="5">
        <v>1056</v>
      </c>
      <c r="E701" s="6">
        <v>0.98</v>
      </c>
      <c r="F701" s="5">
        <v>0</v>
      </c>
      <c r="G701" s="5">
        <v>63.04</v>
      </c>
      <c r="H701" s="5">
        <v>798</v>
      </c>
      <c r="I701" s="5" t="str">
        <f>HYPERLINK("https://www.ncbi.nlm.nih.gov/protein/WP_051429804.1?report=genbank&amp;log$=prottop&amp;blast_rank=53&amp;RID=7U875CNM013","WP_051429804.1")</f>
        <v>WP_051429804.1</v>
      </c>
      <c r="J701" s="5" t="s">
        <v>1818</v>
      </c>
    </row>
    <row r="702" spans="1:10" s="7" customFormat="1" x14ac:dyDescent="0.2">
      <c r="A702" s="5" t="s">
        <v>2065</v>
      </c>
      <c r="B702" s="5" t="s">
        <v>2066</v>
      </c>
      <c r="C702" s="5">
        <v>1027</v>
      </c>
      <c r="D702" s="5">
        <v>1027</v>
      </c>
      <c r="E702" s="6">
        <v>0.98</v>
      </c>
      <c r="F702" s="5">
        <v>0</v>
      </c>
      <c r="G702" s="5">
        <v>62.98</v>
      </c>
      <c r="H702" s="5">
        <v>807</v>
      </c>
      <c r="I702" s="5" t="str">
        <f>HYPERLINK("https://www.ncbi.nlm.nih.gov/protein/WP_199641447.1?report=genbank&amp;log$=prottop&amp;blast_rank=144&amp;RID=7U875CNM013","WP_199641447.1")</f>
        <v>WP_199641447.1</v>
      </c>
      <c r="J702" s="5" t="s">
        <v>1818</v>
      </c>
    </row>
    <row r="703" spans="1:10" s="7" customFormat="1" x14ac:dyDescent="0.2">
      <c r="A703" s="5" t="s">
        <v>4182</v>
      </c>
      <c r="B703" s="5" t="s">
        <v>4183</v>
      </c>
      <c r="C703" s="5">
        <v>1035</v>
      </c>
      <c r="D703" s="5">
        <v>1035</v>
      </c>
      <c r="E703" s="6">
        <v>0.98</v>
      </c>
      <c r="F703" s="5">
        <v>0</v>
      </c>
      <c r="G703" s="5">
        <v>62.82</v>
      </c>
      <c r="H703" s="5">
        <v>795</v>
      </c>
      <c r="I703" s="5" t="str">
        <f>HYPERLINK("https://www.ncbi.nlm.nih.gov/protein/TIR27731.1?report=genbank&amp;log$=prottop&amp;blast_rank=74&amp;RID=7U875CNM013","TIR27731.1")</f>
        <v>TIR27731.1</v>
      </c>
      <c r="J703" s="5" t="s">
        <v>1818</v>
      </c>
    </row>
    <row r="704" spans="1:10" s="7" customFormat="1" x14ac:dyDescent="0.2">
      <c r="A704" s="5" t="s">
        <v>4158</v>
      </c>
      <c r="B704" s="5" t="s">
        <v>4159</v>
      </c>
      <c r="C704" s="5">
        <v>1053</v>
      </c>
      <c r="D704" s="5">
        <v>1053</v>
      </c>
      <c r="E704" s="6">
        <v>0.98</v>
      </c>
      <c r="F704" s="5">
        <v>0</v>
      </c>
      <c r="G704" s="5">
        <v>62.8</v>
      </c>
      <c r="H704" s="5">
        <v>789</v>
      </c>
      <c r="I704" s="5" t="str">
        <f>HYPERLINK("https://www.ncbi.nlm.nih.gov/protein/PKO32200.1?report=genbank&amp;log$=prottop&amp;blast_rank=86&amp;RID=7U875CNM013","PKO32200.1")</f>
        <v>PKO32200.1</v>
      </c>
      <c r="J704" s="5" t="s">
        <v>2134</v>
      </c>
    </row>
    <row r="705" spans="1:10" s="7" customFormat="1" x14ac:dyDescent="0.2">
      <c r="A705" s="5" t="s">
        <v>4160</v>
      </c>
      <c r="B705" s="5" t="s">
        <v>4161</v>
      </c>
      <c r="C705" s="5">
        <v>1046</v>
      </c>
      <c r="D705" s="5">
        <v>1046</v>
      </c>
      <c r="E705" s="6">
        <v>0.98</v>
      </c>
      <c r="F705" s="5">
        <v>0</v>
      </c>
      <c r="G705" s="5">
        <v>62.8</v>
      </c>
      <c r="H705" s="5">
        <v>786</v>
      </c>
      <c r="I705" s="5" t="str">
        <f>HYPERLINK("https://www.ncbi.nlm.nih.gov/protein/RFC36461.1?report=genbank&amp;log$=prottop&amp;blast_rank=87&amp;RID=7U875CNM013","RFC36461.1")</f>
        <v>RFC36461.1</v>
      </c>
      <c r="J705" s="5" t="s">
        <v>2134</v>
      </c>
    </row>
    <row r="706" spans="1:10" s="7" customFormat="1" x14ac:dyDescent="0.2">
      <c r="A706" s="5" t="s">
        <v>3314</v>
      </c>
      <c r="B706" s="5" t="s">
        <v>3315</v>
      </c>
      <c r="C706" s="5">
        <v>1043</v>
      </c>
      <c r="D706" s="5">
        <v>1043</v>
      </c>
      <c r="E706" s="6">
        <v>0.98</v>
      </c>
      <c r="F706" s="5">
        <v>0</v>
      </c>
      <c r="G706" s="5">
        <v>62.8</v>
      </c>
      <c r="H706" s="5">
        <v>789</v>
      </c>
      <c r="I706" s="5" t="str">
        <f>HYPERLINK("https://www.ncbi.nlm.nih.gov/protein/MBA2591935.1?report=genbank&amp;log$=prottop&amp;blast_rank=88&amp;RID=7U875CNM013","MBA2591935.1")</f>
        <v>MBA2591935.1</v>
      </c>
      <c r="J706" s="5" t="s">
        <v>3276</v>
      </c>
    </row>
    <row r="707" spans="1:10" s="7" customFormat="1" x14ac:dyDescent="0.2">
      <c r="A707" s="5" t="s">
        <v>4162</v>
      </c>
      <c r="B707" s="5" t="s">
        <v>4163</v>
      </c>
      <c r="C707" s="5">
        <v>1037</v>
      </c>
      <c r="D707" s="5">
        <v>1037</v>
      </c>
      <c r="E707" s="6">
        <v>0.98</v>
      </c>
      <c r="F707" s="5">
        <v>0</v>
      </c>
      <c r="G707" s="5">
        <v>62.8</v>
      </c>
      <c r="H707" s="5">
        <v>790</v>
      </c>
      <c r="I707" s="5" t="str">
        <f>HYPERLINK("https://www.ncbi.nlm.nih.gov/protein/WP_093286537.1?report=genbank&amp;log$=prottop&amp;blast_rank=92&amp;RID=7U875CNM013","WP_093286537.1")</f>
        <v>WP_093286537.1</v>
      </c>
      <c r="J707" s="5" t="s">
        <v>4164</v>
      </c>
    </row>
    <row r="708" spans="1:10" s="7" customFormat="1" x14ac:dyDescent="0.2">
      <c r="A708" s="5" t="s">
        <v>4165</v>
      </c>
      <c r="B708" s="5" t="s">
        <v>3315</v>
      </c>
      <c r="C708" s="5">
        <v>1035</v>
      </c>
      <c r="D708" s="5">
        <v>1035</v>
      </c>
      <c r="E708" s="6">
        <v>0.98</v>
      </c>
      <c r="F708" s="5">
        <v>0</v>
      </c>
      <c r="G708" s="5">
        <v>62.8</v>
      </c>
      <c r="H708" s="5">
        <v>788</v>
      </c>
      <c r="I708" s="5" t="str">
        <f>HYPERLINK("https://www.ncbi.nlm.nih.gov/protein/KAF0190799.1?report=genbank&amp;log$=prottop&amp;blast_rank=93&amp;RID=7U875CNM013","KAF0190799.1")</f>
        <v>KAF0190799.1</v>
      </c>
      <c r="J708" s="5" t="s">
        <v>3276</v>
      </c>
    </row>
    <row r="709" spans="1:10" s="7" customFormat="1" x14ac:dyDescent="0.2">
      <c r="A709" s="5" t="s">
        <v>4166</v>
      </c>
      <c r="B709" s="5" t="s">
        <v>4167</v>
      </c>
      <c r="C709" s="5">
        <v>1034</v>
      </c>
      <c r="D709" s="5">
        <v>1034</v>
      </c>
      <c r="E709" s="6">
        <v>0.98</v>
      </c>
      <c r="F709" s="5">
        <v>0</v>
      </c>
      <c r="G709" s="5">
        <v>62.8</v>
      </c>
      <c r="H709" s="5">
        <v>786</v>
      </c>
      <c r="I709" s="5" t="str">
        <f>HYPERLINK("https://www.ncbi.nlm.nih.gov/protein/WP_194450648.1?report=genbank&amp;log$=prottop&amp;blast_rank=94&amp;RID=7U875CNM013","WP_194450648.1")</f>
        <v>WP_194450648.1</v>
      </c>
      <c r="J709" s="5" t="s">
        <v>854</v>
      </c>
    </row>
    <row r="710" spans="1:10" s="7" customFormat="1" x14ac:dyDescent="0.2">
      <c r="A710" s="5" t="s">
        <v>852</v>
      </c>
      <c r="B710" s="5" t="s">
        <v>853</v>
      </c>
      <c r="C710" s="5">
        <v>1025</v>
      </c>
      <c r="D710" s="5">
        <v>1025</v>
      </c>
      <c r="E710" s="6">
        <v>0.98</v>
      </c>
      <c r="F710" s="5">
        <v>0</v>
      </c>
      <c r="G710" s="5">
        <v>62.8</v>
      </c>
      <c r="H710" s="5">
        <v>786</v>
      </c>
      <c r="I710" s="5" t="str">
        <f>HYPERLINK("https://www.ncbi.nlm.nih.gov/protein/MBI1352918.1?report=genbank&amp;log$=prottop&amp;blast_rank=96&amp;RID=7U875CNM013","MBI1352918.1")</f>
        <v>MBI1352918.1</v>
      </c>
      <c r="J710" s="5" t="s">
        <v>854</v>
      </c>
    </row>
    <row r="711" spans="1:10" s="7" customFormat="1" x14ac:dyDescent="0.2">
      <c r="A711" s="5" t="s">
        <v>2146</v>
      </c>
      <c r="B711" s="5" t="s">
        <v>2147</v>
      </c>
      <c r="C711" s="5">
        <v>1048</v>
      </c>
      <c r="D711" s="5">
        <v>1048</v>
      </c>
      <c r="E711" s="6">
        <v>0.97</v>
      </c>
      <c r="F711" s="5">
        <v>0</v>
      </c>
      <c r="G711" s="5">
        <v>62.79</v>
      </c>
      <c r="H711" s="5">
        <v>796</v>
      </c>
      <c r="I711" s="5" t="str">
        <f>HYPERLINK("https://www.ncbi.nlm.nih.gov/protein/WP_096366236.1?report=genbank&amp;log$=prottop&amp;blast_rank=99&amp;RID=7U875CNM013","WP_096366236.1")</f>
        <v>WP_096366236.1</v>
      </c>
      <c r="J711" s="5" t="s">
        <v>4149</v>
      </c>
    </row>
    <row r="712" spans="1:10" s="7" customFormat="1" x14ac:dyDescent="0.2">
      <c r="A712" s="5" t="s">
        <v>4184</v>
      </c>
      <c r="B712" s="5" t="s">
        <v>4185</v>
      </c>
      <c r="C712" s="5">
        <v>1037</v>
      </c>
      <c r="D712" s="5">
        <v>1037</v>
      </c>
      <c r="E712" s="6">
        <v>0.98</v>
      </c>
      <c r="F712" s="5">
        <v>0</v>
      </c>
      <c r="G712" s="5">
        <v>62.78</v>
      </c>
      <c r="H712" s="5">
        <v>793</v>
      </c>
      <c r="I712" s="5" t="str">
        <f>HYPERLINK("https://www.ncbi.nlm.nih.gov/protein/WP_064990830.1?report=genbank&amp;log$=prottop&amp;blast_rank=106&amp;RID=7U875CNM013","WP_064990830.1")</f>
        <v>WP_064990830.1</v>
      </c>
      <c r="J712" s="5" t="s">
        <v>1818</v>
      </c>
    </row>
    <row r="713" spans="1:10" s="7" customFormat="1" x14ac:dyDescent="0.2">
      <c r="A713" s="5" t="s">
        <v>4168</v>
      </c>
      <c r="B713" s="5" t="s">
        <v>4169</v>
      </c>
      <c r="C713" s="5">
        <v>1032</v>
      </c>
      <c r="D713" s="5">
        <v>1032</v>
      </c>
      <c r="E713" s="6">
        <v>0.98</v>
      </c>
      <c r="F713" s="5">
        <v>0</v>
      </c>
      <c r="G713" s="5">
        <v>62.77</v>
      </c>
      <c r="H713" s="5">
        <v>790</v>
      </c>
      <c r="I713" s="5" t="str">
        <f>HYPERLINK("https://www.ncbi.nlm.nih.gov/protein/WP_025915459.1?report=genbank&amp;log$=prottop&amp;blast_rank=114&amp;RID=7U875CNM013","WP_025915459.1")</f>
        <v>WP_025915459.1</v>
      </c>
      <c r="J713" s="5" t="s">
        <v>2134</v>
      </c>
    </row>
    <row r="714" spans="1:10" s="7" customFormat="1" x14ac:dyDescent="0.2">
      <c r="A714" s="5" t="s">
        <v>3629</v>
      </c>
      <c r="B714" s="5" t="s">
        <v>853</v>
      </c>
      <c r="C714" s="5">
        <v>1033</v>
      </c>
      <c r="D714" s="5">
        <v>1033</v>
      </c>
      <c r="E714" s="6">
        <v>0.97</v>
      </c>
      <c r="F714" s="5">
        <v>0</v>
      </c>
      <c r="G714" s="5">
        <v>62.76</v>
      </c>
      <c r="H714" s="5">
        <v>782</v>
      </c>
      <c r="I714" s="5" t="str">
        <f>HYPERLINK("https://www.ncbi.nlm.nih.gov/protein/MBI3680937.1?report=genbank&amp;log$=prottop&amp;blast_rank=129&amp;RID=7U875CNM013","MBI3680937.1")</f>
        <v>MBI3680937.1</v>
      </c>
      <c r="J714" s="5" t="s">
        <v>854</v>
      </c>
    </row>
    <row r="715" spans="1:10" s="7" customFormat="1" x14ac:dyDescent="0.2">
      <c r="A715" s="5" t="s">
        <v>1975</v>
      </c>
      <c r="B715" s="5" t="s">
        <v>1976</v>
      </c>
      <c r="C715" s="5">
        <v>1026</v>
      </c>
      <c r="D715" s="5">
        <v>1026</v>
      </c>
      <c r="E715" s="6">
        <v>0.97</v>
      </c>
      <c r="F715" s="5">
        <v>0</v>
      </c>
      <c r="G715" s="5">
        <v>62.76</v>
      </c>
      <c r="H715" s="5">
        <v>793</v>
      </c>
      <c r="I715" s="5" t="str">
        <f>HYPERLINK("https://www.ncbi.nlm.nih.gov/protein/NDP48849.1?report=genbank&amp;log$=prottop&amp;blast_rank=130&amp;RID=7U875CNM013","NDP48849.1")</f>
        <v>NDP48849.1</v>
      </c>
      <c r="J715" s="5" t="s">
        <v>2134</v>
      </c>
    </row>
    <row r="716" spans="1:10" s="7" customFormat="1" x14ac:dyDescent="0.2">
      <c r="A716" s="5" t="s">
        <v>4175</v>
      </c>
      <c r="B716" s="5" t="s">
        <v>4176</v>
      </c>
      <c r="C716" s="5">
        <v>1026</v>
      </c>
      <c r="D716" s="5">
        <v>1026</v>
      </c>
      <c r="E716" s="6">
        <v>0.97</v>
      </c>
      <c r="F716" s="5">
        <v>0</v>
      </c>
      <c r="G716" s="5">
        <v>62.76</v>
      </c>
      <c r="H716" s="5">
        <v>790</v>
      </c>
      <c r="I716" s="5" t="str">
        <f>HYPERLINK("https://www.ncbi.nlm.nih.gov/protein/MBB3148687.1?report=genbank&amp;log$=prottop&amp;blast_rank=131&amp;RID=7U875CNM013","MBB3148687.1")</f>
        <v>MBB3148687.1</v>
      </c>
      <c r="J716" s="5" t="s">
        <v>4177</v>
      </c>
    </row>
    <row r="717" spans="1:10" s="7" customFormat="1" x14ac:dyDescent="0.2">
      <c r="A717" s="5" t="s">
        <v>3314</v>
      </c>
      <c r="B717" s="5" t="s">
        <v>3315</v>
      </c>
      <c r="C717" s="5">
        <v>1058</v>
      </c>
      <c r="D717" s="5">
        <v>1058</v>
      </c>
      <c r="E717" s="6">
        <v>0.98</v>
      </c>
      <c r="F717" s="5">
        <v>0</v>
      </c>
      <c r="G717" s="5">
        <v>62.76</v>
      </c>
      <c r="H717" s="5">
        <v>796</v>
      </c>
      <c r="I717" s="35" t="str">
        <f>HYPERLINK("https://www.ncbi.nlm.nih.gov/protein/NOY63276.1?report=genbank&amp;log$=prottop&amp;blast_rank=134&amp;RID=7U875CNM013","NOY63276.1")</f>
        <v>NOY63276.1</v>
      </c>
      <c r="J717" s="5" t="s">
        <v>3276</v>
      </c>
    </row>
    <row r="718" spans="1:10" s="7" customFormat="1" x14ac:dyDescent="0.2">
      <c r="A718" s="5" t="s">
        <v>852</v>
      </c>
      <c r="B718" s="5" t="s">
        <v>853</v>
      </c>
      <c r="C718" s="5">
        <v>1078</v>
      </c>
      <c r="D718" s="5">
        <v>1078</v>
      </c>
      <c r="E718" s="6">
        <v>0.99</v>
      </c>
      <c r="F718" s="5">
        <v>0</v>
      </c>
      <c r="G718" s="5">
        <v>62.74</v>
      </c>
      <c r="H718" s="5">
        <v>796</v>
      </c>
      <c r="I718" s="5" t="str">
        <f>HYPERLINK("https://www.ncbi.nlm.nih.gov/protein/PYR86686.1?report=genbank&amp;log$=prottop&amp;blast_rank=149&amp;RID=7U875CNM013","PYR86686.1")</f>
        <v>PYR86686.1</v>
      </c>
      <c r="J718" s="5" t="s">
        <v>854</v>
      </c>
    </row>
    <row r="719" spans="1:10" s="7" customFormat="1" x14ac:dyDescent="0.2">
      <c r="A719" s="5" t="s">
        <v>4186</v>
      </c>
      <c r="B719" s="5" t="s">
        <v>4187</v>
      </c>
      <c r="C719" s="5">
        <v>1030</v>
      </c>
      <c r="D719" s="5">
        <v>1030</v>
      </c>
      <c r="E719" s="6">
        <v>0.98</v>
      </c>
      <c r="F719" s="5">
        <v>0</v>
      </c>
      <c r="G719" s="5">
        <v>62.72</v>
      </c>
      <c r="H719" s="5">
        <v>807</v>
      </c>
      <c r="I719" s="5" t="str">
        <f>HYPERLINK("https://www.ncbi.nlm.nih.gov/protein/WP_107652451.1?report=genbank&amp;log$=prottop&amp;blast_rank=155&amp;RID=7U875CNM013","WP_107652451.1")</f>
        <v>WP_107652451.1</v>
      </c>
      <c r="J719" s="5" t="s">
        <v>1818</v>
      </c>
    </row>
    <row r="720" spans="1:10" s="7" customFormat="1" x14ac:dyDescent="0.2">
      <c r="A720" s="5" t="s">
        <v>3314</v>
      </c>
      <c r="B720" s="5" t="s">
        <v>3315</v>
      </c>
      <c r="C720" s="5">
        <v>1069</v>
      </c>
      <c r="D720" s="5">
        <v>1069</v>
      </c>
      <c r="E720" s="6">
        <v>0.99</v>
      </c>
      <c r="F720" s="5">
        <v>0</v>
      </c>
      <c r="G720" s="5">
        <v>62.72</v>
      </c>
      <c r="H720" s="5">
        <v>813</v>
      </c>
      <c r="I720" s="35" t="str">
        <f>HYPERLINK("https://www.ncbi.nlm.nih.gov/protein/MBI3898364.1?report=genbank&amp;log$=prottop&amp;blast_rank=156&amp;RID=7U875CNM013","MBI3898364.1")</f>
        <v>MBI3898364.1</v>
      </c>
      <c r="J720" s="5" t="s">
        <v>3276</v>
      </c>
    </row>
    <row r="721" spans="1:10" s="7" customFormat="1" x14ac:dyDescent="0.2">
      <c r="A721" s="5" t="s">
        <v>4115</v>
      </c>
      <c r="B721" s="5" t="s">
        <v>4116</v>
      </c>
      <c r="C721" s="5">
        <v>1051</v>
      </c>
      <c r="D721" s="5">
        <v>1051</v>
      </c>
      <c r="E721" s="6">
        <v>0.99</v>
      </c>
      <c r="F721" s="5">
        <v>0</v>
      </c>
      <c r="G721" s="5">
        <v>62.72</v>
      </c>
      <c r="H721" s="5">
        <v>818</v>
      </c>
      <c r="I721" s="5" t="str">
        <f>HYPERLINK("https://www.ncbi.nlm.nih.gov/protein/WP_081157739.1?report=genbank&amp;log$=prottop&amp;blast_rank=157&amp;RID=7U875CNM013","WP_081157739.1")</f>
        <v>WP_081157739.1</v>
      </c>
      <c r="J721" s="5" t="s">
        <v>1720</v>
      </c>
    </row>
    <row r="722" spans="1:10" s="7" customFormat="1" x14ac:dyDescent="0.2">
      <c r="A722" s="5" t="s">
        <v>4180</v>
      </c>
      <c r="B722" s="5" t="s">
        <v>4181</v>
      </c>
      <c r="C722" s="5">
        <v>1031</v>
      </c>
      <c r="D722" s="5">
        <v>1031</v>
      </c>
      <c r="E722" s="6">
        <v>0.99</v>
      </c>
      <c r="F722" s="5">
        <v>0</v>
      </c>
      <c r="G722" s="5">
        <v>62.71</v>
      </c>
      <c r="H722" s="5">
        <v>798</v>
      </c>
      <c r="I722" s="5" t="str">
        <f>HYPERLINK("https://www.ncbi.nlm.nih.gov/protein/WP_078305436.1?report=genbank&amp;log$=prottop&amp;blast_rank=183&amp;RID=7U875CNM013","WP_078305436.1")</f>
        <v>WP_078305436.1</v>
      </c>
      <c r="J722" s="5" t="s">
        <v>3277</v>
      </c>
    </row>
    <row r="723" spans="1:10" s="7" customFormat="1" x14ac:dyDescent="0.2">
      <c r="A723" s="5" t="s">
        <v>4188</v>
      </c>
      <c r="B723" s="5" t="s">
        <v>4189</v>
      </c>
      <c r="C723" s="5">
        <v>1037</v>
      </c>
      <c r="D723" s="5">
        <v>1037</v>
      </c>
      <c r="E723" s="6">
        <v>0.98</v>
      </c>
      <c r="F723" s="5">
        <v>0</v>
      </c>
      <c r="G723" s="5">
        <v>62.69</v>
      </c>
      <c r="H723" s="5">
        <v>793</v>
      </c>
      <c r="I723" s="5" t="str">
        <f>HYPERLINK("https://www.ncbi.nlm.nih.gov/protein/WP_127306734.1?report=genbank&amp;log$=prottop&amp;blast_rank=189&amp;RID=7U875CNM013","WP_127306734.1")</f>
        <v>WP_127306734.1</v>
      </c>
      <c r="J723" s="5" t="s">
        <v>1818</v>
      </c>
    </row>
    <row r="724" spans="1:10" s="7" customFormat="1" x14ac:dyDescent="0.2">
      <c r="A724" s="5" t="s">
        <v>4182</v>
      </c>
      <c r="B724" s="5" t="s">
        <v>4183</v>
      </c>
      <c r="C724" s="5">
        <v>1036</v>
      </c>
      <c r="D724" s="5">
        <v>1036</v>
      </c>
      <c r="E724" s="6">
        <v>0.98</v>
      </c>
      <c r="F724" s="5">
        <v>0</v>
      </c>
      <c r="G724" s="5">
        <v>62.69</v>
      </c>
      <c r="H724" s="5">
        <v>793</v>
      </c>
      <c r="I724" s="5" t="str">
        <f>HYPERLINK("https://www.ncbi.nlm.nih.gov/protein/TIV58924.1?report=genbank&amp;log$=prottop&amp;blast_rank=190&amp;RID=7U875CNM013","TIV58924.1")</f>
        <v>TIV58924.1</v>
      </c>
      <c r="J724" s="5" t="s">
        <v>1818</v>
      </c>
    </row>
    <row r="725" spans="1:10" s="7" customFormat="1" x14ac:dyDescent="0.2">
      <c r="A725" s="5" t="s">
        <v>4182</v>
      </c>
      <c r="B725" s="5" t="s">
        <v>4183</v>
      </c>
      <c r="C725" s="5">
        <v>1036</v>
      </c>
      <c r="D725" s="5">
        <v>1036</v>
      </c>
      <c r="E725" s="6">
        <v>0.98</v>
      </c>
      <c r="F725" s="5">
        <v>0</v>
      </c>
      <c r="G725" s="5">
        <v>62.69</v>
      </c>
      <c r="H725" s="5">
        <v>793</v>
      </c>
      <c r="I725" s="5" t="str">
        <f>HYPERLINK("https://www.ncbi.nlm.nih.gov/protein/RWD73786.1?report=genbank&amp;log$=prottop&amp;blast_rank=191&amp;RID=7U875CNM013","RWD73786.1")</f>
        <v>RWD73786.1</v>
      </c>
      <c r="J725" s="5" t="s">
        <v>1818</v>
      </c>
    </row>
    <row r="726" spans="1:10" s="7" customFormat="1" x14ac:dyDescent="0.2">
      <c r="A726" s="5" t="s">
        <v>4182</v>
      </c>
      <c r="B726" s="5" t="s">
        <v>4183</v>
      </c>
      <c r="C726" s="5">
        <v>1036</v>
      </c>
      <c r="D726" s="5">
        <v>1036</v>
      </c>
      <c r="E726" s="6">
        <v>0.98</v>
      </c>
      <c r="F726" s="5">
        <v>0</v>
      </c>
      <c r="G726" s="5">
        <v>62.69</v>
      </c>
      <c r="H726" s="5">
        <v>793</v>
      </c>
      <c r="I726" s="5" t="str">
        <f>HYPERLINK("https://www.ncbi.nlm.nih.gov/protein/RWL47178.1?report=genbank&amp;log$=prottop&amp;blast_rank=192&amp;RID=7U875CNM013","RWL47178.1")</f>
        <v>RWL47178.1</v>
      </c>
      <c r="J726" s="5" t="s">
        <v>1818</v>
      </c>
    </row>
    <row r="727" spans="1:10" s="7" customFormat="1" x14ac:dyDescent="0.2">
      <c r="A727" s="5" t="s">
        <v>4182</v>
      </c>
      <c r="B727" s="5" t="s">
        <v>4183</v>
      </c>
      <c r="C727" s="5">
        <v>1035</v>
      </c>
      <c r="D727" s="5">
        <v>1035</v>
      </c>
      <c r="E727" s="6">
        <v>0.98</v>
      </c>
      <c r="F727" s="5">
        <v>0</v>
      </c>
      <c r="G727" s="5">
        <v>62.69</v>
      </c>
      <c r="H727" s="5">
        <v>793</v>
      </c>
      <c r="I727" s="5" t="str">
        <f>HYPERLINK("https://www.ncbi.nlm.nih.gov/protein/RWM15468.1?report=genbank&amp;log$=prottop&amp;blast_rank=193&amp;RID=7U875CNM013","RWM15468.1")</f>
        <v>RWM15468.1</v>
      </c>
      <c r="J727" s="5" t="s">
        <v>1818</v>
      </c>
    </row>
    <row r="728" spans="1:10" s="7" customFormat="1" x14ac:dyDescent="0.2">
      <c r="A728" s="5" t="s">
        <v>4182</v>
      </c>
      <c r="B728" s="5" t="s">
        <v>4183</v>
      </c>
      <c r="C728" s="5">
        <v>1035</v>
      </c>
      <c r="D728" s="5">
        <v>1035</v>
      </c>
      <c r="E728" s="6">
        <v>0.98</v>
      </c>
      <c r="F728" s="5">
        <v>0</v>
      </c>
      <c r="G728" s="5">
        <v>62.69</v>
      </c>
      <c r="H728" s="5">
        <v>793</v>
      </c>
      <c r="I728" s="5" t="str">
        <f>HYPERLINK("https://www.ncbi.nlm.nih.gov/protein/RWH69433.1?report=genbank&amp;log$=prottop&amp;blast_rank=194&amp;RID=7U875CNM013","RWH69433.1")</f>
        <v>RWH69433.1</v>
      </c>
      <c r="J728" s="5" t="s">
        <v>1818</v>
      </c>
    </row>
    <row r="729" spans="1:10" s="7" customFormat="1" x14ac:dyDescent="0.2">
      <c r="A729" s="5" t="s">
        <v>4190</v>
      </c>
      <c r="B729" s="5" t="s">
        <v>4191</v>
      </c>
      <c r="C729" s="5">
        <v>1033</v>
      </c>
      <c r="D729" s="5">
        <v>1033</v>
      </c>
      <c r="E729" s="6">
        <v>0.98</v>
      </c>
      <c r="F729" s="5">
        <v>0</v>
      </c>
      <c r="G729" s="5">
        <v>62.69</v>
      </c>
      <c r="H729" s="5">
        <v>793</v>
      </c>
      <c r="I729" s="5" t="str">
        <f>HYPERLINK("https://www.ncbi.nlm.nih.gov/protein/WP_095826839.1?report=genbank&amp;log$=prottop&amp;blast_rank=195&amp;RID=7U875CNM013","WP_095826839.1")</f>
        <v>WP_095826839.1</v>
      </c>
      <c r="J729" s="5" t="s">
        <v>1818</v>
      </c>
    </row>
    <row r="730" spans="1:10" s="7" customFormat="1" x14ac:dyDescent="0.2">
      <c r="A730" s="5" t="s">
        <v>4182</v>
      </c>
      <c r="B730" s="5" t="s">
        <v>4183</v>
      </c>
      <c r="C730" s="5">
        <v>1032</v>
      </c>
      <c r="D730" s="5">
        <v>1032</v>
      </c>
      <c r="E730" s="6">
        <v>0.98</v>
      </c>
      <c r="F730" s="5">
        <v>0</v>
      </c>
      <c r="G730" s="5">
        <v>62.69</v>
      </c>
      <c r="H730" s="5">
        <v>793</v>
      </c>
      <c r="I730" s="5" t="str">
        <f>HYPERLINK("https://www.ncbi.nlm.nih.gov/protein/RWM89102.1?report=genbank&amp;log$=prottop&amp;blast_rank=196&amp;RID=7U875CNM013","RWM89102.1")</f>
        <v>RWM89102.1</v>
      </c>
      <c r="J730" s="5" t="s">
        <v>1818</v>
      </c>
    </row>
    <row r="731" spans="1:10" s="7" customFormat="1" x14ac:dyDescent="0.2">
      <c r="A731" s="5" t="s">
        <v>4182</v>
      </c>
      <c r="B731" s="5" t="s">
        <v>4183</v>
      </c>
      <c r="C731" s="5">
        <v>1032</v>
      </c>
      <c r="D731" s="5">
        <v>1032</v>
      </c>
      <c r="E731" s="6">
        <v>0.98</v>
      </c>
      <c r="F731" s="5">
        <v>0</v>
      </c>
      <c r="G731" s="5">
        <v>62.69</v>
      </c>
      <c r="H731" s="5">
        <v>793</v>
      </c>
      <c r="I731" s="5" t="str">
        <f>HYPERLINK("https://www.ncbi.nlm.nih.gov/protein/RWG54628.1?report=genbank&amp;log$=prottop&amp;blast_rank=197&amp;RID=7U875CNM013","RWG54628.1")</f>
        <v>RWG54628.1</v>
      </c>
      <c r="J731" s="5" t="s">
        <v>1818</v>
      </c>
    </row>
    <row r="732" spans="1:10" s="7" customFormat="1" x14ac:dyDescent="0.2">
      <c r="A732" s="5" t="s">
        <v>2045</v>
      </c>
      <c r="B732" s="5" t="s">
        <v>2046</v>
      </c>
      <c r="C732" s="5">
        <v>1032</v>
      </c>
      <c r="D732" s="5">
        <v>1032</v>
      </c>
      <c r="E732" s="6">
        <v>0.98</v>
      </c>
      <c r="F732" s="5">
        <v>0</v>
      </c>
      <c r="G732" s="5">
        <v>62.69</v>
      </c>
      <c r="H732" s="5">
        <v>793</v>
      </c>
      <c r="I732" s="5" t="str">
        <f>HYPERLINK("https://www.ncbi.nlm.nih.gov/protein/WP_127240024.1?report=genbank&amp;log$=prottop&amp;blast_rank=198&amp;RID=7U875CNM013","WP_127240024.1")</f>
        <v>WP_127240024.1</v>
      </c>
      <c r="J732" s="5" t="s">
        <v>1818</v>
      </c>
    </row>
    <row r="733" spans="1:10" s="7" customFormat="1" x14ac:dyDescent="0.2">
      <c r="A733" s="5" t="s">
        <v>4182</v>
      </c>
      <c r="B733" s="5" t="s">
        <v>4183</v>
      </c>
      <c r="C733" s="5">
        <v>1032</v>
      </c>
      <c r="D733" s="5">
        <v>1032</v>
      </c>
      <c r="E733" s="6">
        <v>0.98</v>
      </c>
      <c r="F733" s="5">
        <v>0</v>
      </c>
      <c r="G733" s="5">
        <v>62.69</v>
      </c>
      <c r="H733" s="5">
        <v>793</v>
      </c>
      <c r="I733" s="5" t="str">
        <f>HYPERLINK("https://www.ncbi.nlm.nih.gov/protein/RWG05195.1?report=genbank&amp;log$=prottop&amp;blast_rank=199&amp;RID=7U875CNM013","RWG05195.1")</f>
        <v>RWG05195.1</v>
      </c>
      <c r="J733" s="5" t="s">
        <v>1818</v>
      </c>
    </row>
    <row r="734" spans="1:10" s="7" customFormat="1" x14ac:dyDescent="0.2">
      <c r="A734" s="5" t="s">
        <v>4192</v>
      </c>
      <c r="B734" s="5" t="s">
        <v>4193</v>
      </c>
      <c r="C734" s="5">
        <v>1031</v>
      </c>
      <c r="D734" s="5">
        <v>1031</v>
      </c>
      <c r="E734" s="6">
        <v>0.98</v>
      </c>
      <c r="F734" s="5">
        <v>0</v>
      </c>
      <c r="G734" s="5">
        <v>62.69</v>
      </c>
      <c r="H734" s="5">
        <v>793</v>
      </c>
      <c r="I734" s="5" t="str">
        <f>HYPERLINK("https://www.ncbi.nlm.nih.gov/protein/WP_127324515.1?report=genbank&amp;log$=prottop&amp;blast_rank=200&amp;RID=7U875CNM013","WP_127324515.1")</f>
        <v>WP_127324515.1</v>
      </c>
      <c r="J734" s="5" t="s">
        <v>1818</v>
      </c>
    </row>
    <row r="735" spans="1:10" s="7" customFormat="1" x14ac:dyDescent="0.2">
      <c r="A735" s="5" t="s">
        <v>4194</v>
      </c>
      <c r="B735" s="5" t="s">
        <v>4195</v>
      </c>
      <c r="C735" s="5">
        <v>1030</v>
      </c>
      <c r="D735" s="5">
        <v>1030</v>
      </c>
      <c r="E735" s="6">
        <v>0.98</v>
      </c>
      <c r="F735" s="5">
        <v>0</v>
      </c>
      <c r="G735" s="5">
        <v>62.69</v>
      </c>
      <c r="H735" s="5">
        <v>793</v>
      </c>
      <c r="I735" s="5" t="str">
        <f>HYPERLINK("https://www.ncbi.nlm.nih.gov/protein/WP_067319039.1?report=genbank&amp;log$=prottop&amp;blast_rank=201&amp;RID=7U875CNM013","WP_067319039.1")</f>
        <v>WP_067319039.1</v>
      </c>
      <c r="J735" s="5" t="s">
        <v>1818</v>
      </c>
    </row>
    <row r="736" spans="1:10" s="7" customFormat="1" x14ac:dyDescent="0.2">
      <c r="A736" s="5" t="s">
        <v>4196</v>
      </c>
      <c r="B736" s="5" t="s">
        <v>4197</v>
      </c>
      <c r="C736" s="5">
        <v>1029</v>
      </c>
      <c r="D736" s="5">
        <v>1029</v>
      </c>
      <c r="E736" s="6">
        <v>0.98</v>
      </c>
      <c r="F736" s="5">
        <v>0</v>
      </c>
      <c r="G736" s="5">
        <v>62.69</v>
      </c>
      <c r="H736" s="5">
        <v>793</v>
      </c>
      <c r="I736" s="5" t="str">
        <f>HYPERLINK("https://www.ncbi.nlm.nih.gov/protein/RUU13065.1?report=genbank&amp;log$=prottop&amp;blast_rank=202&amp;RID=7U875CNM013","RUU13065.1")</f>
        <v>RUU13065.1</v>
      </c>
      <c r="J736" s="5" t="s">
        <v>1818</v>
      </c>
    </row>
    <row r="737" spans="1:10" s="7" customFormat="1" x14ac:dyDescent="0.2">
      <c r="A737" s="5" t="s">
        <v>2045</v>
      </c>
      <c r="B737" s="5" t="s">
        <v>2046</v>
      </c>
      <c r="C737" s="5">
        <v>1029</v>
      </c>
      <c r="D737" s="5">
        <v>1029</v>
      </c>
      <c r="E737" s="6">
        <v>0.98</v>
      </c>
      <c r="F737" s="5">
        <v>0</v>
      </c>
      <c r="G737" s="5">
        <v>62.69</v>
      </c>
      <c r="H737" s="5">
        <v>793</v>
      </c>
      <c r="I737" s="5" t="str">
        <f>HYPERLINK("https://www.ncbi.nlm.nih.gov/protein/WP_127404039.1?report=genbank&amp;log$=prottop&amp;blast_rank=203&amp;RID=7U875CNM013","WP_127404039.1")</f>
        <v>WP_127404039.1</v>
      </c>
      <c r="J737" s="5" t="s">
        <v>1818</v>
      </c>
    </row>
    <row r="738" spans="1:10" s="7" customFormat="1" x14ac:dyDescent="0.2">
      <c r="A738" s="5" t="s">
        <v>4198</v>
      </c>
      <c r="B738" s="5" t="s">
        <v>4199</v>
      </c>
      <c r="C738" s="5">
        <v>1028</v>
      </c>
      <c r="D738" s="5">
        <v>1028</v>
      </c>
      <c r="E738" s="6">
        <v>0.98</v>
      </c>
      <c r="F738" s="5">
        <v>0</v>
      </c>
      <c r="G738" s="5">
        <v>62.69</v>
      </c>
      <c r="H738" s="5">
        <v>793</v>
      </c>
      <c r="I738" s="5" t="str">
        <f>HYPERLINK("https://www.ncbi.nlm.nih.gov/protein/WP_095813512.1?report=genbank&amp;log$=prottop&amp;blast_rank=204&amp;RID=7U875CNM013","WP_095813512.1")</f>
        <v>WP_095813512.1</v>
      </c>
      <c r="J738" s="5" t="s">
        <v>1818</v>
      </c>
    </row>
    <row r="739" spans="1:10" s="7" customFormat="1" x14ac:dyDescent="0.2">
      <c r="A739" s="5" t="s">
        <v>4200</v>
      </c>
      <c r="B739" s="5" t="s">
        <v>4201</v>
      </c>
      <c r="C739" s="5">
        <v>1036</v>
      </c>
      <c r="D739" s="5">
        <v>1036</v>
      </c>
      <c r="E739" s="6">
        <v>0.98</v>
      </c>
      <c r="F739" s="5">
        <v>0</v>
      </c>
      <c r="G739" s="5">
        <v>62.91</v>
      </c>
      <c r="H739" s="5">
        <v>793</v>
      </c>
      <c r="I739" s="5" t="str">
        <f>HYPERLINK("https://www.ncbi.nlm.nih.gov/protein/WP_027054322.1?report=genbank&amp;log$=prottop&amp;blast_rank=211&amp;RID=7U875CNM013","WP_027054322.1")</f>
        <v>WP_027054322.1</v>
      </c>
      <c r="J739" s="5" t="s">
        <v>1818</v>
      </c>
    </row>
    <row r="740" spans="1:10" s="7" customFormat="1" x14ac:dyDescent="0.2">
      <c r="A740" s="5" t="s">
        <v>4182</v>
      </c>
      <c r="B740" s="5" t="s">
        <v>4183</v>
      </c>
      <c r="C740" s="5">
        <v>1043</v>
      </c>
      <c r="D740" s="5">
        <v>1043</v>
      </c>
      <c r="E740" s="6">
        <v>0.98</v>
      </c>
      <c r="F740" s="5">
        <v>0</v>
      </c>
      <c r="G740" s="5">
        <v>62.94</v>
      </c>
      <c r="H740" s="5">
        <v>793</v>
      </c>
      <c r="I740" s="5" t="str">
        <f>HYPERLINK("https://www.ncbi.nlm.nih.gov/protein/TIQ38526.1?report=genbank&amp;log$=prottop&amp;blast_rank=174&amp;RID=7U875CNM013","TIQ38526.1")</f>
        <v>TIQ38526.1</v>
      </c>
      <c r="J740" s="5" t="s">
        <v>4202</v>
      </c>
    </row>
    <row r="741" spans="1:10" s="7" customFormat="1" x14ac:dyDescent="0.2">
      <c r="A741" s="5" t="s">
        <v>4203</v>
      </c>
      <c r="B741" s="5" t="s">
        <v>4204</v>
      </c>
      <c r="C741" s="5">
        <v>1037</v>
      </c>
      <c r="D741" s="5">
        <v>1037</v>
      </c>
      <c r="E741" s="6">
        <v>0.98</v>
      </c>
      <c r="F741" s="5">
        <v>0</v>
      </c>
      <c r="G741" s="5">
        <v>62.94</v>
      </c>
      <c r="H741" s="5">
        <v>793</v>
      </c>
      <c r="I741" s="5" t="str">
        <f>HYPERLINK("https://www.ncbi.nlm.nih.gov/protein/WP_127867448.1?report=genbank&amp;log$=prottop&amp;blast_rank=175&amp;RID=7U875CNM013","WP_127867448.1")</f>
        <v>WP_127867448.1</v>
      </c>
      <c r="J741" s="5" t="s">
        <v>4202</v>
      </c>
    </row>
    <row r="742" spans="1:10" s="7" customFormat="1" x14ac:dyDescent="0.2">
      <c r="A742" s="5" t="s">
        <v>4205</v>
      </c>
      <c r="B742" s="5" t="s">
        <v>4206</v>
      </c>
      <c r="C742" s="5">
        <v>1036</v>
      </c>
      <c r="D742" s="5">
        <v>1036</v>
      </c>
      <c r="E742" s="6">
        <v>0.98</v>
      </c>
      <c r="F742" s="5">
        <v>0</v>
      </c>
      <c r="G742" s="5">
        <v>62.94</v>
      </c>
      <c r="H742" s="5">
        <v>793</v>
      </c>
      <c r="I742" s="5" t="str">
        <f>HYPERLINK("https://www.ncbi.nlm.nih.gov/protein/WP_112131343.1?report=genbank&amp;log$=prottop&amp;blast_rank=176&amp;RID=7U875CNM013","WP_112131343.1")</f>
        <v>WP_112131343.1</v>
      </c>
      <c r="J742" s="5" t="s">
        <v>4202</v>
      </c>
    </row>
    <row r="743" spans="1:10" s="7" customFormat="1" x14ac:dyDescent="0.2">
      <c r="A743" s="5" t="s">
        <v>4207</v>
      </c>
      <c r="B743" s="5" t="s">
        <v>4208</v>
      </c>
      <c r="C743" s="5">
        <v>1036</v>
      </c>
      <c r="D743" s="5">
        <v>1036</v>
      </c>
      <c r="E743" s="6">
        <v>0.98</v>
      </c>
      <c r="F743" s="5">
        <v>0</v>
      </c>
      <c r="G743" s="5">
        <v>62.96</v>
      </c>
      <c r="H743" s="5">
        <v>793</v>
      </c>
      <c r="I743" s="5" t="str">
        <f>HYPERLINK("https://www.ncbi.nlm.nih.gov/protein/WP_201411039.1?report=genbank&amp;log$=prottop&amp;blast_rank=169&amp;RID=7U875CNM013","WP_201411039.1")</f>
        <v>WP_201411039.1</v>
      </c>
      <c r="J743" s="5" t="s">
        <v>4202</v>
      </c>
    </row>
    <row r="744" spans="1:10" s="7" customFormat="1" x14ac:dyDescent="0.2">
      <c r="A744" s="5" t="s">
        <v>2065</v>
      </c>
      <c r="B744" s="5" t="s">
        <v>2066</v>
      </c>
      <c r="C744" s="5">
        <v>1027</v>
      </c>
      <c r="D744" s="5">
        <v>1027</v>
      </c>
      <c r="E744" s="6">
        <v>0.98</v>
      </c>
      <c r="F744" s="5">
        <v>0</v>
      </c>
      <c r="G744" s="5">
        <v>62.98</v>
      </c>
      <c r="H744" s="5">
        <v>807</v>
      </c>
      <c r="I744" s="5" t="str">
        <f>HYPERLINK("https://www.ncbi.nlm.nih.gov/protein/WP_199641447.1?report=genbank&amp;log$=prottop&amp;blast_rank=144&amp;RID=7U875CNM013","WP_199641447.1")</f>
        <v>WP_199641447.1</v>
      </c>
      <c r="J744" s="5" t="s">
        <v>1818</v>
      </c>
    </row>
    <row r="745" spans="1:10" s="7" customFormat="1" x14ac:dyDescent="0.2">
      <c r="A745" s="5" t="s">
        <v>2045</v>
      </c>
      <c r="B745" s="5" t="s">
        <v>2046</v>
      </c>
      <c r="C745" s="5">
        <v>1040</v>
      </c>
      <c r="D745" s="5">
        <v>1040</v>
      </c>
      <c r="E745" s="6">
        <v>0.98</v>
      </c>
      <c r="F745" s="5">
        <v>0</v>
      </c>
      <c r="G745" s="5">
        <v>63.07</v>
      </c>
      <c r="H745" s="5">
        <v>793</v>
      </c>
      <c r="I745" s="5" t="str">
        <f>HYPERLINK("https://www.ncbi.nlm.nih.gov/protein/WP_127877531.1?report=genbank&amp;log$=prottop&amp;blast_rank=16&amp;RID=7U875CNM013","WP_127877531.1")</f>
        <v>WP_127877531.1</v>
      </c>
      <c r="J745" s="5" t="s">
        <v>1818</v>
      </c>
    </row>
    <row r="746" spans="1:10" s="7" customFormat="1" x14ac:dyDescent="0.2">
      <c r="A746" s="5" t="s">
        <v>2047</v>
      </c>
      <c r="B746" s="5" t="s">
        <v>2048</v>
      </c>
      <c r="C746" s="5">
        <v>1039</v>
      </c>
      <c r="D746" s="5">
        <v>1039</v>
      </c>
      <c r="E746" s="6">
        <v>0.98</v>
      </c>
      <c r="F746" s="5">
        <v>0</v>
      </c>
      <c r="G746" s="5">
        <v>63.07</v>
      </c>
      <c r="H746" s="5">
        <v>793</v>
      </c>
      <c r="I746" s="5" t="str">
        <f>HYPERLINK("https://www.ncbi.nlm.nih.gov/protein/WP_192249462.1?report=genbank&amp;log$=prottop&amp;blast_rank=17&amp;RID=7U875CNM013","WP_192249462.1")</f>
        <v>WP_192249462.1</v>
      </c>
      <c r="J746" s="5" t="s">
        <v>1818</v>
      </c>
    </row>
    <row r="747" spans="1:10" s="7" customFormat="1" x14ac:dyDescent="0.2">
      <c r="A747" s="5" t="s">
        <v>4209</v>
      </c>
      <c r="B747" s="5" t="s">
        <v>4210</v>
      </c>
      <c r="C747" s="5">
        <v>1029</v>
      </c>
      <c r="D747" s="5">
        <v>1029</v>
      </c>
      <c r="E747" s="6">
        <v>0.98</v>
      </c>
      <c r="F747" s="5">
        <v>0</v>
      </c>
      <c r="G747" s="5">
        <v>63.2</v>
      </c>
      <c r="H747" s="5">
        <v>793</v>
      </c>
      <c r="I747" s="5" t="str">
        <f>HYPERLINK("https://www.ncbi.nlm.nih.gov/protein/WP_202324477.1?report=genbank&amp;log$=prottop&amp;blast_rank=49&amp;RID=7U875CNM013","WP_202324477.1")</f>
        <v>WP_202324477.1</v>
      </c>
      <c r="J747" s="5" t="s">
        <v>4202</v>
      </c>
    </row>
    <row r="748" spans="1:10" s="7" customFormat="1" x14ac:dyDescent="0.2">
      <c r="A748" s="5" t="s">
        <v>4211</v>
      </c>
      <c r="B748" s="5" t="s">
        <v>4212</v>
      </c>
      <c r="C748" s="5">
        <v>1042</v>
      </c>
      <c r="D748" s="5">
        <v>1042</v>
      </c>
      <c r="E748" s="6">
        <v>0.98</v>
      </c>
      <c r="F748" s="5">
        <v>0</v>
      </c>
      <c r="G748" s="5">
        <v>63.2</v>
      </c>
      <c r="H748" s="5">
        <v>793</v>
      </c>
      <c r="I748" s="5" t="str">
        <f>HYPERLINK("https://www.ncbi.nlm.nih.gov/protein/WP_140775291.1?report=genbank&amp;log$=prottop&amp;blast_rank=46&amp;RID=7U875CNM013","WP_140775291.1")</f>
        <v>WP_140775291.1</v>
      </c>
      <c r="J748" s="5" t="s">
        <v>4202</v>
      </c>
    </row>
    <row r="749" spans="1:10" s="7" customFormat="1" x14ac:dyDescent="0.2">
      <c r="A749" s="5" t="s">
        <v>4213</v>
      </c>
      <c r="B749" s="5" t="s">
        <v>4214</v>
      </c>
      <c r="C749" s="5">
        <v>1041</v>
      </c>
      <c r="D749" s="5">
        <v>1041</v>
      </c>
      <c r="E749" s="6">
        <v>0.98</v>
      </c>
      <c r="F749" s="5">
        <v>0</v>
      </c>
      <c r="G749" s="5">
        <v>63.32</v>
      </c>
      <c r="H749" s="5">
        <v>793</v>
      </c>
      <c r="I749" s="5" t="str">
        <f>HYPERLINK("https://www.ncbi.nlm.nih.gov/protein/WP_127875955.1?report=genbank&amp;log$=prottop&amp;blast_rank=126&amp;RID=7U875CNM013","WP_127875955.1")</f>
        <v>WP_127875955.1</v>
      </c>
      <c r="J749" s="5" t="s">
        <v>4202</v>
      </c>
    </row>
    <row r="750" spans="1:10" x14ac:dyDescent="0.2">
      <c r="A750" s="5" t="s">
        <v>4215</v>
      </c>
      <c r="B750" s="5" t="s">
        <v>4216</v>
      </c>
      <c r="C750" s="5">
        <v>1048</v>
      </c>
      <c r="D750" s="5">
        <v>1048</v>
      </c>
      <c r="E750" s="6">
        <v>0.98</v>
      </c>
      <c r="F750" s="5">
        <v>0</v>
      </c>
      <c r="G750" s="5">
        <v>62.68</v>
      </c>
      <c r="H750" s="5">
        <v>797</v>
      </c>
      <c r="I750" s="5" t="str">
        <f>HYPERLINK("https://www.ncbi.nlm.nih.gov/protein/WP_170017640.1?report=genbank&amp;log$=prottop&amp;blast_rank=2&amp;RID=7U875CNM013","WP_170017640.1")</f>
        <v>WP_170017640.1</v>
      </c>
      <c r="J750" s="5" t="s">
        <v>1720</v>
      </c>
    </row>
    <row r="751" spans="1:10" x14ac:dyDescent="0.2">
      <c r="A751" s="5" t="s">
        <v>4217</v>
      </c>
      <c r="B751" s="5" t="s">
        <v>4218</v>
      </c>
      <c r="C751" s="5">
        <v>1036</v>
      </c>
      <c r="D751" s="5">
        <v>1036</v>
      </c>
      <c r="E751" s="6">
        <v>0.98</v>
      </c>
      <c r="F751" s="5">
        <v>0</v>
      </c>
      <c r="G751" s="5">
        <v>62.68</v>
      </c>
      <c r="H751" s="5">
        <v>789</v>
      </c>
      <c r="I751" s="5" t="str">
        <f>HYPERLINK("https://www.ncbi.nlm.nih.gov/protein/MBM4163105.1?report=genbank&amp;log$=prottop&amp;blast_rank=5&amp;RID=7U875CNM013","MBM4163105.1")</f>
        <v>MBM4163105.1</v>
      </c>
      <c r="J751" s="5" t="s">
        <v>4219</v>
      </c>
    </row>
    <row r="752" spans="1:10" s="7" customFormat="1" x14ac:dyDescent="0.2">
      <c r="A752" s="5" t="s">
        <v>1930</v>
      </c>
      <c r="B752" s="5" t="s">
        <v>1931</v>
      </c>
      <c r="C752" s="5">
        <v>1042</v>
      </c>
      <c r="D752" s="5">
        <v>1042</v>
      </c>
      <c r="E752" s="6">
        <v>0.99</v>
      </c>
      <c r="F752" s="5">
        <v>0</v>
      </c>
      <c r="G752" s="5">
        <v>62.67</v>
      </c>
      <c r="H752" s="5">
        <v>820</v>
      </c>
      <c r="I752" s="35" t="str">
        <f>HYPERLINK("https://www.ncbi.nlm.nih.gov/protein/WP_153476168.1?report=genbank&amp;log$=prottop&amp;blast_rank=8&amp;RID=7U875CNM013","WP_153476168.1")</f>
        <v>WP_153476168.1</v>
      </c>
      <c r="J752" s="5" t="s">
        <v>1720</v>
      </c>
    </row>
    <row r="753" spans="1:10" s="7" customFormat="1" x14ac:dyDescent="0.2">
      <c r="A753" s="5" t="s">
        <v>4220</v>
      </c>
      <c r="B753" s="5" t="s">
        <v>4221</v>
      </c>
      <c r="C753" s="5">
        <v>1029</v>
      </c>
      <c r="D753" s="5">
        <v>1029</v>
      </c>
      <c r="E753" s="6">
        <v>0.98</v>
      </c>
      <c r="F753" s="5">
        <v>0</v>
      </c>
      <c r="G753" s="5">
        <v>62.64</v>
      </c>
      <c r="H753" s="5">
        <v>797</v>
      </c>
      <c r="I753" s="5" t="str">
        <f>HYPERLINK("https://www.ncbi.nlm.nih.gov/protein/WP_143154274.1?report=genbank&amp;log$=prottop&amp;blast_rank=21&amp;RID=7U875CNM013","WP_143154274.1")</f>
        <v>WP_143154274.1</v>
      </c>
      <c r="J753" s="5" t="s">
        <v>3276</v>
      </c>
    </row>
    <row r="754" spans="1:10" x14ac:dyDescent="0.2">
      <c r="A754" s="5" t="s">
        <v>4224</v>
      </c>
      <c r="B754" s="5" t="s">
        <v>4225</v>
      </c>
      <c r="C754" s="5">
        <v>1051</v>
      </c>
      <c r="D754" s="5">
        <v>1051</v>
      </c>
      <c r="E754" s="6">
        <v>0.99</v>
      </c>
      <c r="F754" s="5">
        <v>0</v>
      </c>
      <c r="G754" s="5">
        <v>62.64</v>
      </c>
      <c r="H754" s="5">
        <v>794</v>
      </c>
      <c r="I754" s="5" t="str">
        <f>HYPERLINK("https://www.ncbi.nlm.nih.gov/protein/WP_168655470.1?report=genbank&amp;log$=prottop&amp;blast_rank=25&amp;RID=7U875CNM013","WP_168655470.1")</f>
        <v>WP_168655470.1</v>
      </c>
      <c r="J754" s="5" t="s">
        <v>2134</v>
      </c>
    </row>
    <row r="755" spans="1:10" s="7" customFormat="1" x14ac:dyDescent="0.2">
      <c r="A755" s="5" t="s">
        <v>3393</v>
      </c>
      <c r="B755" s="5" t="s">
        <v>3315</v>
      </c>
      <c r="C755" s="5">
        <v>1048</v>
      </c>
      <c r="D755" s="5">
        <v>1048</v>
      </c>
      <c r="E755" s="6">
        <v>0.98</v>
      </c>
      <c r="F755" s="5">
        <v>0</v>
      </c>
      <c r="G755" s="5">
        <v>62.63</v>
      </c>
      <c r="H755" s="5">
        <v>788</v>
      </c>
      <c r="I755" s="35" t="str">
        <f>HYPERLINK("https://www.ncbi.nlm.nih.gov/protein/HDZ77868.1?report=genbank&amp;log$=prottop&amp;blast_rank=47&amp;RID=7U875CNM013","HDZ77868.1")</f>
        <v>HDZ77868.1</v>
      </c>
      <c r="J755" s="5" t="s">
        <v>3276</v>
      </c>
    </row>
    <row r="756" spans="1:10" x14ac:dyDescent="0.2">
      <c r="A756" s="5" t="s">
        <v>3821</v>
      </c>
      <c r="B756" s="5" t="s">
        <v>3822</v>
      </c>
      <c r="C756" s="5">
        <v>1033</v>
      </c>
      <c r="D756" s="5">
        <v>1033</v>
      </c>
      <c r="E756" s="6">
        <v>0.98</v>
      </c>
      <c r="F756" s="5">
        <v>0</v>
      </c>
      <c r="G756" s="5">
        <v>62.63</v>
      </c>
      <c r="H756" s="5">
        <v>794</v>
      </c>
      <c r="I756" s="5" t="str">
        <f>HYPERLINK("https://www.ncbi.nlm.nih.gov/protein/PWU09659.1?report=genbank&amp;log$=prottop&amp;blast_rank=49&amp;RID=7U875CNM013","PWU09659.1")</f>
        <v>PWU09659.1</v>
      </c>
      <c r="J756" s="5" t="s">
        <v>4231</v>
      </c>
    </row>
    <row r="757" spans="1:10" x14ac:dyDescent="0.2">
      <c r="A757" s="5" t="s">
        <v>4232</v>
      </c>
      <c r="B757" s="5" t="s">
        <v>4233</v>
      </c>
      <c r="C757" s="5">
        <v>1031</v>
      </c>
      <c r="D757" s="5">
        <v>1031</v>
      </c>
      <c r="E757" s="6">
        <v>0.98</v>
      </c>
      <c r="F757" s="5">
        <v>0</v>
      </c>
      <c r="G757" s="5">
        <v>62.63</v>
      </c>
      <c r="H757" s="5">
        <v>818</v>
      </c>
      <c r="I757" s="5" t="str">
        <f>HYPERLINK("https://www.ncbi.nlm.nih.gov/protein/ODT07448.1?report=genbank&amp;log$=prottop&amp;blast_rank=50&amp;RID=7U875CNM013","ODT07448.1")</f>
        <v>ODT07448.1</v>
      </c>
      <c r="J757" s="5" t="s">
        <v>1818</v>
      </c>
    </row>
    <row r="758" spans="1:10" x14ac:dyDescent="0.2">
      <c r="A758" s="5" t="s">
        <v>4234</v>
      </c>
      <c r="B758" s="5" t="s">
        <v>4131</v>
      </c>
      <c r="C758" s="5">
        <v>1040</v>
      </c>
      <c r="D758" s="5">
        <v>1040</v>
      </c>
      <c r="E758" s="6">
        <v>0.98</v>
      </c>
      <c r="F758" s="5">
        <v>0</v>
      </c>
      <c r="G758" s="5">
        <v>62.61</v>
      </c>
      <c r="H758" s="5">
        <v>794</v>
      </c>
      <c r="I758" s="5" t="str">
        <f>HYPERLINK("https://www.ncbi.nlm.nih.gov/protein/PZQ83492.1?report=genbank&amp;log$=prottop&amp;blast_rank=56&amp;RID=7U875CNM013","PZQ83492.1")</f>
        <v>PZQ83492.1</v>
      </c>
      <c r="J758" s="5" t="s">
        <v>1720</v>
      </c>
    </row>
    <row r="759" spans="1:10" x14ac:dyDescent="0.2">
      <c r="A759" s="5" t="s">
        <v>4235</v>
      </c>
      <c r="B759" s="5" t="s">
        <v>4236</v>
      </c>
      <c r="C759" s="5">
        <v>1036</v>
      </c>
      <c r="D759" s="5">
        <v>1036</v>
      </c>
      <c r="E759" s="6">
        <v>0.98</v>
      </c>
      <c r="F759" s="5">
        <v>0</v>
      </c>
      <c r="G759" s="5">
        <v>62.61</v>
      </c>
      <c r="H759" s="5">
        <v>804</v>
      </c>
      <c r="I759" s="5" t="str">
        <f>HYPERLINK("https://www.ncbi.nlm.nih.gov/protein/MBC8043336.1?report=genbank&amp;log$=prottop&amp;blast_rank=57&amp;RID=7U875CNM013","MBC8043336.1")</f>
        <v>MBC8043336.1</v>
      </c>
      <c r="J759" s="5" t="s">
        <v>3632</v>
      </c>
    </row>
    <row r="760" spans="1:10" s="7" customFormat="1" x14ac:dyDescent="0.2">
      <c r="A760" s="5" t="s">
        <v>4237</v>
      </c>
      <c r="B760" s="5" t="s">
        <v>4238</v>
      </c>
      <c r="C760" s="5">
        <v>1030</v>
      </c>
      <c r="D760" s="5">
        <v>1030</v>
      </c>
      <c r="E760" s="6">
        <v>0.98</v>
      </c>
      <c r="F760" s="5">
        <v>0</v>
      </c>
      <c r="G760" s="5">
        <v>62.6</v>
      </c>
      <c r="H760" s="5">
        <v>807</v>
      </c>
      <c r="I760" s="5" t="str">
        <f>HYPERLINK("https://www.ncbi.nlm.nih.gov/protein/WP_097571408.1?report=genbank&amp;log$=prottop&amp;blast_rank=69&amp;RID=7U875CNM013","WP_097571408.1")</f>
        <v>WP_097571408.1</v>
      </c>
      <c r="J760" s="5" t="s">
        <v>1818</v>
      </c>
    </row>
    <row r="761" spans="1:10" s="7" customFormat="1" x14ac:dyDescent="0.2">
      <c r="A761" s="5" t="s">
        <v>2045</v>
      </c>
      <c r="B761" s="5" t="s">
        <v>2046</v>
      </c>
      <c r="C761" s="5">
        <v>1030</v>
      </c>
      <c r="D761" s="5">
        <v>1030</v>
      </c>
      <c r="E761" s="6">
        <v>0.98</v>
      </c>
      <c r="F761" s="5">
        <v>0</v>
      </c>
      <c r="G761" s="5">
        <v>62.6</v>
      </c>
      <c r="H761" s="5">
        <v>791</v>
      </c>
      <c r="I761" s="5" t="str">
        <f>HYPERLINK("https://www.ncbi.nlm.nih.gov/protein/WP_127860818.1?report=genbank&amp;log$=prottop&amp;blast_rank=70&amp;RID=7U875CNM013","WP_127860818.1")</f>
        <v>WP_127860818.1</v>
      </c>
      <c r="J761" s="5" t="s">
        <v>1818</v>
      </c>
    </row>
    <row r="762" spans="1:10" x14ac:dyDescent="0.2">
      <c r="A762" s="5" t="s">
        <v>4239</v>
      </c>
      <c r="B762" s="5" t="s">
        <v>4240</v>
      </c>
      <c r="C762" s="5">
        <v>1037</v>
      </c>
      <c r="D762" s="5">
        <v>1037</v>
      </c>
      <c r="E762" s="6">
        <v>0.98</v>
      </c>
      <c r="F762" s="5">
        <v>0</v>
      </c>
      <c r="G762" s="5">
        <v>62.59</v>
      </c>
      <c r="H762" s="5">
        <v>797</v>
      </c>
      <c r="I762" s="5" t="str">
        <f>HYPERLINK("https://www.ncbi.nlm.nih.gov/protein/WP_202356062.1?report=genbank&amp;log$=prottop&amp;blast_rank=73&amp;RID=7U875CNM013","WP_202356062.1")</f>
        <v>WP_202356062.1</v>
      </c>
      <c r="J762" s="5" t="s">
        <v>1818</v>
      </c>
    </row>
    <row r="763" spans="1:10" x14ac:dyDescent="0.2">
      <c r="A763" s="5" t="s">
        <v>3388</v>
      </c>
      <c r="B763" s="5" t="s">
        <v>3389</v>
      </c>
      <c r="C763" s="5">
        <v>1048</v>
      </c>
      <c r="D763" s="5">
        <v>1048</v>
      </c>
      <c r="E763" s="6">
        <v>0.98</v>
      </c>
      <c r="F763" s="5">
        <v>0</v>
      </c>
      <c r="G763" s="5">
        <v>62.58</v>
      </c>
      <c r="H763" s="5">
        <v>788</v>
      </c>
      <c r="I763" s="5" t="str">
        <f>HYPERLINK("https://www.ncbi.nlm.nih.gov/protein/MBK7648277.1?report=genbank&amp;log$=prottop&amp;blast_rank=81&amp;RID=7U875CNM013","MBK7648277.1")</f>
        <v>MBK7648277.1</v>
      </c>
      <c r="J763" s="5" t="s">
        <v>2134</v>
      </c>
    </row>
    <row r="764" spans="1:10" x14ac:dyDescent="0.2">
      <c r="A764" s="5" t="s">
        <v>4241</v>
      </c>
      <c r="B764" s="5" t="s">
        <v>4242</v>
      </c>
      <c r="C764" s="5">
        <v>1036</v>
      </c>
      <c r="D764" s="5">
        <v>1036</v>
      </c>
      <c r="E764" s="6">
        <v>0.98</v>
      </c>
      <c r="F764" s="5">
        <v>0</v>
      </c>
      <c r="G764" s="5">
        <v>62.58</v>
      </c>
      <c r="H764" s="5">
        <v>793</v>
      </c>
      <c r="I764" s="5" t="str">
        <f>HYPERLINK("https://www.ncbi.nlm.nih.gov/protein/WP_140724719.1?report=genbank&amp;log$=prottop&amp;blast_rank=87&amp;RID=7U875CNM013","WP_140724719.1")</f>
        <v>WP_140724719.1</v>
      </c>
      <c r="J764" s="5" t="s">
        <v>1818</v>
      </c>
    </row>
    <row r="765" spans="1:10" x14ac:dyDescent="0.2">
      <c r="A765" s="5" t="s">
        <v>4243</v>
      </c>
      <c r="B765" s="5" t="s">
        <v>4244</v>
      </c>
      <c r="C765" s="5">
        <v>1033</v>
      </c>
      <c r="D765" s="5">
        <v>1033</v>
      </c>
      <c r="E765" s="6">
        <v>0.99</v>
      </c>
      <c r="F765" s="5">
        <v>0</v>
      </c>
      <c r="G765" s="5">
        <v>62.58</v>
      </c>
      <c r="H765" s="5">
        <v>791</v>
      </c>
      <c r="I765" s="5" t="str">
        <f>HYPERLINK("https://www.ncbi.nlm.nih.gov/protein/WP_143721516.1?report=genbank&amp;log$=prottop&amp;blast_rank=88&amp;RID=7U875CNM013","WP_143721516.1")</f>
        <v>WP_143721516.1</v>
      </c>
      <c r="J765" s="5" t="s">
        <v>4245</v>
      </c>
    </row>
    <row r="766" spans="1:10" x14ac:dyDescent="0.2">
      <c r="A766" s="5" t="s">
        <v>4246</v>
      </c>
      <c r="B766" s="5" t="s">
        <v>4247</v>
      </c>
      <c r="C766" s="5">
        <v>1035</v>
      </c>
      <c r="D766" s="5">
        <v>1035</v>
      </c>
      <c r="E766" s="6">
        <v>0.99</v>
      </c>
      <c r="F766" s="5">
        <v>0</v>
      </c>
      <c r="G766" s="5">
        <v>62.58</v>
      </c>
      <c r="H766" s="5">
        <v>795</v>
      </c>
      <c r="I766" s="5" t="str">
        <f>HYPERLINK("https://www.ncbi.nlm.nih.gov/protein/BAP88033.1?report=genbank&amp;log$=prottop&amp;blast_rank=93&amp;RID=7U875CNM013","BAP88033.1")</f>
        <v>BAP88033.1</v>
      </c>
      <c r="J766" s="5" t="s">
        <v>2134</v>
      </c>
    </row>
    <row r="767" spans="1:10" x14ac:dyDescent="0.2">
      <c r="A767" s="5" t="s">
        <v>4248</v>
      </c>
      <c r="B767" s="5" t="s">
        <v>4249</v>
      </c>
      <c r="C767" s="5">
        <v>1038</v>
      </c>
      <c r="D767" s="5">
        <v>1038</v>
      </c>
      <c r="E767" s="6">
        <v>0.98</v>
      </c>
      <c r="F767" s="5">
        <v>0</v>
      </c>
      <c r="G767" s="5">
        <v>62.56</v>
      </c>
      <c r="H767" s="5">
        <v>793</v>
      </c>
      <c r="I767" s="5" t="str">
        <f>HYPERLINK("https://www.ncbi.nlm.nih.gov/protein/WP_127234264.1?report=genbank&amp;log$=prottop&amp;blast_rank=96&amp;RID=7U875CNM013","WP_127234264.1")</f>
        <v>WP_127234264.1</v>
      </c>
      <c r="J767" s="5" t="s">
        <v>1818</v>
      </c>
    </row>
    <row r="768" spans="1:10" x14ac:dyDescent="0.2">
      <c r="A768" s="5" t="s">
        <v>4250</v>
      </c>
      <c r="B768" s="5" t="s">
        <v>4251</v>
      </c>
      <c r="C768" s="5">
        <v>1037</v>
      </c>
      <c r="D768" s="5">
        <v>1037</v>
      </c>
      <c r="E768" s="6">
        <v>0.98</v>
      </c>
      <c r="F768" s="5">
        <v>0</v>
      </c>
      <c r="G768" s="5">
        <v>62.56</v>
      </c>
      <c r="H768" s="5">
        <v>793</v>
      </c>
      <c r="I768" s="5" t="str">
        <f>HYPERLINK("https://www.ncbi.nlm.nih.gov/protein/WP_126062651.1?report=genbank&amp;log$=prottop&amp;blast_rank=97&amp;RID=7U875CNM013","WP_126062651.1")</f>
        <v>WP_126062651.1</v>
      </c>
      <c r="J768" s="5" t="s">
        <v>1818</v>
      </c>
    </row>
    <row r="769" spans="1:10" x14ac:dyDescent="0.2">
      <c r="A769" s="5" t="s">
        <v>4252</v>
      </c>
      <c r="B769" s="5" t="s">
        <v>4253</v>
      </c>
      <c r="C769" s="5">
        <v>1036</v>
      </c>
      <c r="D769" s="5">
        <v>1036</v>
      </c>
      <c r="E769" s="6">
        <v>0.97</v>
      </c>
      <c r="F769" s="5">
        <v>0</v>
      </c>
      <c r="G769" s="5">
        <v>62.56</v>
      </c>
      <c r="H769" s="5">
        <v>800</v>
      </c>
      <c r="I769" s="5" t="str">
        <f>HYPERLINK("https://www.ncbi.nlm.nih.gov/protein/WP_148714005.1?report=genbank&amp;log$=prottop&amp;blast_rank=98&amp;RID=7U875CNM013","WP_148714005.1")</f>
        <v>WP_148714005.1</v>
      </c>
      <c r="J769" s="5" t="s">
        <v>2134</v>
      </c>
    </row>
    <row r="770" spans="1:10" x14ac:dyDescent="0.2">
      <c r="A770" s="5" t="s">
        <v>4254</v>
      </c>
      <c r="B770" s="5" t="s">
        <v>4255</v>
      </c>
      <c r="C770" s="5">
        <v>1036</v>
      </c>
      <c r="D770" s="5">
        <v>1036</v>
      </c>
      <c r="E770" s="6">
        <v>0.98</v>
      </c>
      <c r="F770" s="5">
        <v>0</v>
      </c>
      <c r="G770" s="5">
        <v>62.56</v>
      </c>
      <c r="H770" s="5">
        <v>793</v>
      </c>
      <c r="I770" s="5" t="str">
        <f>HYPERLINK("https://www.ncbi.nlm.nih.gov/protein/WP_140541808.1?report=genbank&amp;log$=prottop&amp;blast_rank=99&amp;RID=7U875CNM013","WP_140541808.1")</f>
        <v>WP_140541808.1</v>
      </c>
      <c r="J770" s="5" t="s">
        <v>1818</v>
      </c>
    </row>
    <row r="771" spans="1:10" x14ac:dyDescent="0.2">
      <c r="A771" s="5" t="s">
        <v>4256</v>
      </c>
      <c r="B771" s="5" t="s">
        <v>4257</v>
      </c>
      <c r="C771" s="5">
        <v>1034</v>
      </c>
      <c r="D771" s="5">
        <v>1034</v>
      </c>
      <c r="E771" s="6">
        <v>0.98</v>
      </c>
      <c r="F771" s="5">
        <v>0</v>
      </c>
      <c r="G771" s="5">
        <v>62.56</v>
      </c>
      <c r="H771" s="5">
        <v>793</v>
      </c>
      <c r="I771" s="5" t="str">
        <f>HYPERLINK("https://www.ncbi.nlm.nih.gov/protein/WP_140632148.1?report=genbank&amp;log$=prottop&amp;blast_rank=101&amp;RID=7U875CNM013","WP_140632148.1")</f>
        <v>WP_140632148.1</v>
      </c>
      <c r="J771" s="5" t="s">
        <v>1818</v>
      </c>
    </row>
    <row r="772" spans="1:10" x14ac:dyDescent="0.2">
      <c r="A772" s="5" t="s">
        <v>2045</v>
      </c>
      <c r="B772" s="5" t="s">
        <v>2046</v>
      </c>
      <c r="C772" s="5">
        <v>1032</v>
      </c>
      <c r="D772" s="5">
        <v>1032</v>
      </c>
      <c r="E772" s="6">
        <v>0.98</v>
      </c>
      <c r="F772" s="5">
        <v>0</v>
      </c>
      <c r="G772" s="5">
        <v>62.56</v>
      </c>
      <c r="H772" s="5">
        <v>793</v>
      </c>
      <c r="I772" s="5" t="str">
        <f>HYPERLINK("https://www.ncbi.nlm.nih.gov/protein/WP_127250436.1?report=genbank&amp;log$=prottop&amp;blast_rank=102&amp;RID=7U875CNM013","WP_127250436.1")</f>
        <v>WP_127250436.1</v>
      </c>
      <c r="J772" s="5" t="s">
        <v>1818</v>
      </c>
    </row>
    <row r="773" spans="1:10" x14ac:dyDescent="0.2">
      <c r="A773" s="5" t="s">
        <v>4258</v>
      </c>
      <c r="B773" s="5" t="s">
        <v>4259</v>
      </c>
      <c r="C773" s="5">
        <v>1031</v>
      </c>
      <c r="D773" s="5">
        <v>1031</v>
      </c>
      <c r="E773" s="6">
        <v>0.98</v>
      </c>
      <c r="F773" s="5">
        <v>0</v>
      </c>
      <c r="G773" s="5">
        <v>62.56</v>
      </c>
      <c r="H773" s="5">
        <v>784</v>
      </c>
      <c r="I773" s="5" t="str">
        <f>HYPERLINK("https://www.ncbi.nlm.nih.gov/protein/BCG75264.1?report=genbank&amp;log$=prottop&amp;blast_rank=103&amp;RID=7U875CNM013","BCG75264.1")</f>
        <v>BCG75264.1</v>
      </c>
      <c r="J773" s="5" t="s">
        <v>1818</v>
      </c>
    </row>
    <row r="774" spans="1:10" x14ac:dyDescent="0.2">
      <c r="A774" s="5" t="s">
        <v>4182</v>
      </c>
      <c r="B774" s="5" t="s">
        <v>4183</v>
      </c>
      <c r="C774" s="5">
        <v>1031</v>
      </c>
      <c r="D774" s="5">
        <v>1031</v>
      </c>
      <c r="E774" s="6">
        <v>0.98</v>
      </c>
      <c r="F774" s="5">
        <v>0</v>
      </c>
      <c r="G774" s="5">
        <v>62.56</v>
      </c>
      <c r="H774" s="5">
        <v>793</v>
      </c>
      <c r="I774" s="5" t="str">
        <f>HYPERLINK("https://www.ncbi.nlm.nih.gov/protein/RWI96861.1?report=genbank&amp;log$=prottop&amp;blast_rank=105&amp;RID=7U875CNM013","RWI96861.1")</f>
        <v>RWI96861.1</v>
      </c>
      <c r="J774" s="5" t="s">
        <v>1818</v>
      </c>
    </row>
    <row r="775" spans="1:10" s="7" customFormat="1" x14ac:dyDescent="0.2">
      <c r="A775" s="5" t="s">
        <v>4182</v>
      </c>
      <c r="B775" s="5" t="s">
        <v>4183</v>
      </c>
      <c r="C775" s="5">
        <v>1031</v>
      </c>
      <c r="D775" s="5">
        <v>1031</v>
      </c>
      <c r="E775" s="6">
        <v>0.98</v>
      </c>
      <c r="F775" s="5">
        <v>0</v>
      </c>
      <c r="G775" s="5">
        <v>62.56</v>
      </c>
      <c r="H775" s="5">
        <v>793</v>
      </c>
      <c r="I775" s="5" t="str">
        <f>HYPERLINK("https://www.ncbi.nlm.nih.gov/protein/RWN07284.1?report=genbank&amp;log$=prottop&amp;blast_rank=106&amp;RID=7U875CNM013","RWN07284.1")</f>
        <v>RWN07284.1</v>
      </c>
      <c r="J775" s="5" t="s">
        <v>1818</v>
      </c>
    </row>
    <row r="776" spans="1:10" s="7" customFormat="1" x14ac:dyDescent="0.2">
      <c r="A776" s="5" t="s">
        <v>4182</v>
      </c>
      <c r="B776" s="5" t="s">
        <v>4183</v>
      </c>
      <c r="C776" s="5">
        <v>1030</v>
      </c>
      <c r="D776" s="5">
        <v>1030</v>
      </c>
      <c r="E776" s="6">
        <v>0.98</v>
      </c>
      <c r="F776" s="5">
        <v>0</v>
      </c>
      <c r="G776" s="5">
        <v>62.56</v>
      </c>
      <c r="H776" s="5">
        <v>793</v>
      </c>
      <c r="I776" s="5" t="str">
        <f>HYPERLINK("https://www.ncbi.nlm.nih.gov/protein/TIM97857.1?report=genbank&amp;log$=prottop&amp;blast_rank=107&amp;RID=7U875CNM013","TIM97857.1")</f>
        <v>TIM97857.1</v>
      </c>
      <c r="J776" s="5" t="s">
        <v>1818</v>
      </c>
    </row>
    <row r="777" spans="1:10" s="7" customFormat="1" x14ac:dyDescent="0.2">
      <c r="A777" s="5" t="s">
        <v>4260</v>
      </c>
      <c r="B777" s="5" t="s">
        <v>4261</v>
      </c>
      <c r="C777" s="5">
        <v>1030</v>
      </c>
      <c r="D777" s="5">
        <v>1030</v>
      </c>
      <c r="E777" s="6">
        <v>0.98</v>
      </c>
      <c r="F777" s="5">
        <v>0</v>
      </c>
      <c r="G777" s="5">
        <v>62.56</v>
      </c>
      <c r="H777" s="5">
        <v>793</v>
      </c>
      <c r="I777" s="5" t="str">
        <f>HYPERLINK("https://www.ncbi.nlm.nih.gov/protein/WP_128373027.1?report=genbank&amp;log$=prottop&amp;blast_rank=108&amp;RID=7U875CNM013","WP_128373027.1")</f>
        <v>WP_128373027.1</v>
      </c>
      <c r="J777" s="5" t="s">
        <v>1818</v>
      </c>
    </row>
    <row r="778" spans="1:10" s="7" customFormat="1" x14ac:dyDescent="0.2">
      <c r="A778" s="5" t="s">
        <v>4262</v>
      </c>
      <c r="B778" s="5" t="s">
        <v>2052</v>
      </c>
      <c r="C778" s="5">
        <v>1030</v>
      </c>
      <c r="D778" s="5">
        <v>1030</v>
      </c>
      <c r="E778" s="6">
        <v>0.98</v>
      </c>
      <c r="F778" s="5">
        <v>0</v>
      </c>
      <c r="G778" s="5">
        <v>62.56</v>
      </c>
      <c r="H778" s="5">
        <v>784</v>
      </c>
      <c r="I778" s="5" t="str">
        <f>HYPERLINK("https://www.ncbi.nlm.nih.gov/protein/BAV51058.1?report=genbank&amp;log$=prottop&amp;blast_rank=109&amp;RID=7U875CNM013","BAV51058.1")</f>
        <v>BAV51058.1</v>
      </c>
      <c r="J778" s="5" t="s">
        <v>1818</v>
      </c>
    </row>
    <row r="779" spans="1:10" s="7" customFormat="1" x14ac:dyDescent="0.2">
      <c r="A779" s="5" t="s">
        <v>4263</v>
      </c>
      <c r="B779" s="5" t="s">
        <v>4264</v>
      </c>
      <c r="C779" s="5">
        <v>1029</v>
      </c>
      <c r="D779" s="5">
        <v>1029</v>
      </c>
      <c r="E779" s="6">
        <v>0.98</v>
      </c>
      <c r="F779" s="5">
        <v>0</v>
      </c>
      <c r="G779" s="5">
        <v>62.56</v>
      </c>
      <c r="H779" s="5">
        <v>793</v>
      </c>
      <c r="I779" s="5" t="str">
        <f>HYPERLINK("https://www.ncbi.nlm.nih.gov/protein/WP_095800626.1?report=genbank&amp;log$=prottop&amp;blast_rank=111&amp;RID=7U875CNM013","WP_095800626.1")</f>
        <v>WP_095800626.1</v>
      </c>
      <c r="J779" s="5" t="s">
        <v>1818</v>
      </c>
    </row>
    <row r="780" spans="1:10" s="7" customFormat="1" x14ac:dyDescent="0.2">
      <c r="A780" s="5" t="s">
        <v>4265</v>
      </c>
      <c r="B780" s="5" t="s">
        <v>4266</v>
      </c>
      <c r="C780" s="5">
        <v>1029</v>
      </c>
      <c r="D780" s="5">
        <v>1029</v>
      </c>
      <c r="E780" s="6">
        <v>0.98</v>
      </c>
      <c r="F780" s="5">
        <v>0</v>
      </c>
      <c r="G780" s="5">
        <v>62.56</v>
      </c>
      <c r="H780" s="5">
        <v>793</v>
      </c>
      <c r="I780" s="5" t="str">
        <f>HYPERLINK("https://www.ncbi.nlm.nih.gov/protein/WP_095832398.1?report=genbank&amp;log$=prottop&amp;blast_rank=112&amp;RID=7U875CNM013","WP_095832398.1")</f>
        <v>WP_095832398.1</v>
      </c>
      <c r="J780" s="5" t="s">
        <v>1818</v>
      </c>
    </row>
    <row r="781" spans="1:10" s="7" customFormat="1" x14ac:dyDescent="0.2">
      <c r="A781" s="5" t="s">
        <v>2045</v>
      </c>
      <c r="B781" s="5" t="s">
        <v>2046</v>
      </c>
      <c r="C781" s="5">
        <v>1028</v>
      </c>
      <c r="D781" s="5">
        <v>1028</v>
      </c>
      <c r="E781" s="6">
        <v>0.98</v>
      </c>
      <c r="F781" s="5">
        <v>0</v>
      </c>
      <c r="G781" s="5">
        <v>62.56</v>
      </c>
      <c r="H781" s="5">
        <v>793</v>
      </c>
      <c r="I781" s="5" t="str">
        <f>HYPERLINK("https://www.ncbi.nlm.nih.gov/protein/WP_127216619.1?report=genbank&amp;log$=prottop&amp;blast_rank=113&amp;RID=7U875CNM013","WP_127216619.1")</f>
        <v>WP_127216619.1</v>
      </c>
      <c r="J781" s="5" t="s">
        <v>1818</v>
      </c>
    </row>
    <row r="782" spans="1:10" s="7" customFormat="1" x14ac:dyDescent="0.2">
      <c r="A782" s="5" t="s">
        <v>4182</v>
      </c>
      <c r="B782" s="5" t="s">
        <v>4183</v>
      </c>
      <c r="C782" s="5">
        <v>1028</v>
      </c>
      <c r="D782" s="5">
        <v>1028</v>
      </c>
      <c r="E782" s="6">
        <v>0.98</v>
      </c>
      <c r="F782" s="5">
        <v>0</v>
      </c>
      <c r="G782" s="5">
        <v>62.56</v>
      </c>
      <c r="H782" s="5">
        <v>793</v>
      </c>
      <c r="I782" s="5" t="str">
        <f>HYPERLINK("https://www.ncbi.nlm.nih.gov/protein/TIN17709.1?report=genbank&amp;log$=prottop&amp;blast_rank=114&amp;RID=7U875CNM013","TIN17709.1")</f>
        <v>TIN17709.1</v>
      </c>
      <c r="J782" s="5" t="s">
        <v>1818</v>
      </c>
    </row>
    <row r="783" spans="1:10" s="7" customFormat="1" x14ac:dyDescent="0.2">
      <c r="A783" s="5" t="s">
        <v>4267</v>
      </c>
      <c r="B783" s="5" t="s">
        <v>4268</v>
      </c>
      <c r="C783" s="5">
        <v>1028</v>
      </c>
      <c r="D783" s="5">
        <v>1028</v>
      </c>
      <c r="E783" s="6">
        <v>0.98</v>
      </c>
      <c r="F783" s="5">
        <v>0</v>
      </c>
      <c r="G783" s="5">
        <v>62.56</v>
      </c>
      <c r="H783" s="5">
        <v>793</v>
      </c>
      <c r="I783" s="5" t="str">
        <f>HYPERLINK("https://www.ncbi.nlm.nih.gov/protein/WP_095783592.1?report=genbank&amp;log$=prottop&amp;blast_rank=115&amp;RID=7U875CNM013","WP_095783592.1")</f>
        <v>WP_095783592.1</v>
      </c>
      <c r="J783" s="5" t="s">
        <v>1818</v>
      </c>
    </row>
    <row r="784" spans="1:10" s="7" customFormat="1" x14ac:dyDescent="0.2">
      <c r="A784" s="5" t="s">
        <v>2045</v>
      </c>
      <c r="B784" s="5" t="s">
        <v>2046</v>
      </c>
      <c r="C784" s="5">
        <v>1027</v>
      </c>
      <c r="D784" s="5">
        <v>1027</v>
      </c>
      <c r="E784" s="6">
        <v>0.98</v>
      </c>
      <c r="F784" s="5">
        <v>0</v>
      </c>
      <c r="G784" s="5">
        <v>62.56</v>
      </c>
      <c r="H784" s="5">
        <v>793</v>
      </c>
      <c r="I784" s="5" t="str">
        <f>HYPERLINK("https://www.ncbi.nlm.nih.gov/protein/WP_127335398.1?report=genbank&amp;log$=prottop&amp;blast_rank=116&amp;RID=7U875CNM013","WP_127335398.1")</f>
        <v>WP_127335398.1</v>
      </c>
      <c r="J784" s="5" t="s">
        <v>1818</v>
      </c>
    </row>
    <row r="785" spans="1:10" x14ac:dyDescent="0.2">
      <c r="A785" s="5" t="s">
        <v>4269</v>
      </c>
      <c r="B785" s="5" t="s">
        <v>4270</v>
      </c>
      <c r="C785" s="5">
        <v>1035</v>
      </c>
      <c r="D785" s="5">
        <v>1035</v>
      </c>
      <c r="E785" s="6">
        <v>0.99</v>
      </c>
      <c r="F785" s="5">
        <v>0</v>
      </c>
      <c r="G785" s="5">
        <v>62.56</v>
      </c>
      <c r="H785" s="5">
        <v>816</v>
      </c>
      <c r="I785" s="5" t="str">
        <f>HYPERLINK("https://www.ncbi.nlm.nih.gov/protein/WP_082523789.1?report=genbank&amp;log$=prottop&amp;blast_rank=117&amp;RID=7U875CNM013","WP_082523789.1")</f>
        <v>WP_082523789.1</v>
      </c>
      <c r="J785" s="5" t="s">
        <v>1720</v>
      </c>
    </row>
    <row r="786" spans="1:10" x14ac:dyDescent="0.2">
      <c r="A786" s="5" t="s">
        <v>4271</v>
      </c>
      <c r="B786" s="5" t="s">
        <v>4272</v>
      </c>
      <c r="C786" s="5">
        <v>1035</v>
      </c>
      <c r="D786" s="5">
        <v>1035</v>
      </c>
      <c r="E786" s="6">
        <v>0.99</v>
      </c>
      <c r="F786" s="5">
        <v>0</v>
      </c>
      <c r="G786" s="5">
        <v>62.56</v>
      </c>
      <c r="H786" s="5">
        <v>816</v>
      </c>
      <c r="I786" s="5" t="str">
        <f>HYPERLINK("https://www.ncbi.nlm.nih.gov/protein/WP_082571840.1?report=genbank&amp;log$=prottop&amp;blast_rank=118&amp;RID=7U875CNM013","WP_082571840.1")</f>
        <v>WP_082571840.1</v>
      </c>
      <c r="J786" s="5" t="s">
        <v>1720</v>
      </c>
    </row>
    <row r="787" spans="1:10" x14ac:dyDescent="0.2">
      <c r="A787" s="5" t="s">
        <v>4063</v>
      </c>
      <c r="B787" s="5" t="s">
        <v>4064</v>
      </c>
      <c r="C787" s="5">
        <v>1033</v>
      </c>
      <c r="D787" s="5">
        <v>1033</v>
      </c>
      <c r="E787" s="6">
        <v>0.99</v>
      </c>
      <c r="F787" s="5">
        <v>0</v>
      </c>
      <c r="G787" s="5">
        <v>62.56</v>
      </c>
      <c r="H787" s="5">
        <v>816</v>
      </c>
      <c r="I787" s="5" t="str">
        <f>HYPERLINK("https://www.ncbi.nlm.nih.gov/protein/WP_081788911.1?report=genbank&amp;log$=prottop&amp;blast_rank=119&amp;RID=7U875CNM013","WP_081788911.1")</f>
        <v>WP_081788911.1</v>
      </c>
      <c r="J787" s="5" t="s">
        <v>1720</v>
      </c>
    </row>
    <row r="788" spans="1:10" x14ac:dyDescent="0.2">
      <c r="A788" s="5" t="s">
        <v>4273</v>
      </c>
      <c r="B788" s="5" t="s">
        <v>4274</v>
      </c>
      <c r="C788" s="5">
        <v>1033</v>
      </c>
      <c r="D788" s="5">
        <v>1033</v>
      </c>
      <c r="E788" s="6">
        <v>0.99</v>
      </c>
      <c r="F788" s="5">
        <v>0</v>
      </c>
      <c r="G788" s="5">
        <v>62.56</v>
      </c>
      <c r="H788" s="5">
        <v>809</v>
      </c>
      <c r="I788" s="5" t="str">
        <f>HYPERLINK("https://www.ncbi.nlm.nih.gov/protein/KQU75170.1?report=genbank&amp;log$=prottop&amp;blast_rank=120&amp;RID=7U875CNM013","KQU75170.1")</f>
        <v>KQU75170.1</v>
      </c>
      <c r="J788" s="5" t="s">
        <v>1720</v>
      </c>
    </row>
    <row r="789" spans="1:10" x14ac:dyDescent="0.2">
      <c r="A789" s="5" t="s">
        <v>4275</v>
      </c>
      <c r="B789" s="5" t="s">
        <v>4276</v>
      </c>
      <c r="C789" s="5">
        <v>1033</v>
      </c>
      <c r="D789" s="5">
        <v>1033</v>
      </c>
      <c r="E789" s="6">
        <v>0.99</v>
      </c>
      <c r="F789" s="5">
        <v>0</v>
      </c>
      <c r="G789" s="5">
        <v>62.56</v>
      </c>
      <c r="H789" s="5">
        <v>809</v>
      </c>
      <c r="I789" s="5" t="str">
        <f>HYPERLINK("https://www.ncbi.nlm.nih.gov/protein/KQY69996.1?report=genbank&amp;log$=prottop&amp;blast_rank=121&amp;RID=7U875CNM013","KQY69996.1")</f>
        <v>KQY69996.1</v>
      </c>
      <c r="J789" s="5" t="s">
        <v>1720</v>
      </c>
    </row>
    <row r="790" spans="1:10" x14ac:dyDescent="0.2">
      <c r="A790" s="5" t="s">
        <v>4065</v>
      </c>
      <c r="B790" s="5" t="s">
        <v>4064</v>
      </c>
      <c r="C790" s="5">
        <v>1032</v>
      </c>
      <c r="D790" s="5">
        <v>1032</v>
      </c>
      <c r="E790" s="6">
        <v>0.99</v>
      </c>
      <c r="F790" s="5">
        <v>0</v>
      </c>
      <c r="G790" s="5">
        <v>62.56</v>
      </c>
      <c r="H790" s="5">
        <v>818</v>
      </c>
      <c r="I790" s="5" t="str">
        <f>HYPERLINK("https://www.ncbi.nlm.nih.gov/protein/WP_199772897.1?report=genbank&amp;log$=prottop&amp;blast_rank=122&amp;RID=7U875CNM013","WP_199772897.1")</f>
        <v>WP_199772897.1</v>
      </c>
      <c r="J790" s="5" t="s">
        <v>1720</v>
      </c>
    </row>
    <row r="791" spans="1:10" s="7" customFormat="1" x14ac:dyDescent="0.2">
      <c r="A791" s="5" t="s">
        <v>4063</v>
      </c>
      <c r="B791" s="5" t="s">
        <v>4064</v>
      </c>
      <c r="C791" s="5">
        <v>1028</v>
      </c>
      <c r="D791" s="5">
        <v>1028</v>
      </c>
      <c r="E791" s="6">
        <v>0.99</v>
      </c>
      <c r="F791" s="5">
        <v>0</v>
      </c>
      <c r="G791" s="5">
        <v>62.56</v>
      </c>
      <c r="H791" s="5">
        <v>818</v>
      </c>
      <c r="I791" s="5" t="str">
        <f>HYPERLINK("https://www.ncbi.nlm.nih.gov/protein/WP_209792532.1?report=genbank&amp;log$=prottop&amp;blast_rank=123&amp;RID=7U875CNM013","WP_209792532.1")</f>
        <v>WP_209792532.1</v>
      </c>
      <c r="J791" s="5" t="s">
        <v>1720</v>
      </c>
    </row>
    <row r="792" spans="1:10" x14ac:dyDescent="0.2">
      <c r="A792" s="5" t="s">
        <v>3336</v>
      </c>
      <c r="B792" s="5" t="s">
        <v>2768</v>
      </c>
      <c r="C792" s="5">
        <v>1045</v>
      </c>
      <c r="D792" s="5">
        <v>1045</v>
      </c>
      <c r="E792" s="6">
        <v>0.98</v>
      </c>
      <c r="F792" s="5">
        <v>0</v>
      </c>
      <c r="G792" s="5">
        <v>62.55</v>
      </c>
      <c r="H792" s="5">
        <v>821</v>
      </c>
      <c r="I792" s="5" t="str">
        <f>HYPERLINK("https://www.ncbi.nlm.nih.gov/protein/PWT87713.1?report=genbank&amp;log$=prottop&amp;blast_rank=138&amp;RID=7U875CNM013","PWT87713.1")</f>
        <v>PWT87713.1</v>
      </c>
      <c r="J792" s="5" t="s">
        <v>2769</v>
      </c>
    </row>
    <row r="793" spans="1:10" x14ac:dyDescent="0.2">
      <c r="A793" s="5" t="s">
        <v>4277</v>
      </c>
      <c r="B793" s="5" t="s">
        <v>4278</v>
      </c>
      <c r="C793" s="5">
        <v>1043</v>
      </c>
      <c r="D793" s="5">
        <v>1043</v>
      </c>
      <c r="E793" s="6">
        <v>0.98</v>
      </c>
      <c r="F793" s="5">
        <v>0</v>
      </c>
      <c r="G793" s="5">
        <v>62.55</v>
      </c>
      <c r="H793" s="5">
        <v>801</v>
      </c>
      <c r="I793" s="5" t="str">
        <f>HYPERLINK("https://www.ncbi.nlm.nih.gov/protein/MBN2163279.1?report=genbank&amp;log$=prottop&amp;blast_rank=139&amp;RID=7U875CNM013","MBN2163279.1")</f>
        <v>MBN2163279.1</v>
      </c>
      <c r="J793" s="5" t="s">
        <v>4279</v>
      </c>
    </row>
    <row r="794" spans="1:10" x14ac:dyDescent="0.2">
      <c r="A794" s="5" t="s">
        <v>4280</v>
      </c>
      <c r="B794" s="5" t="s">
        <v>4281</v>
      </c>
      <c r="C794" s="5">
        <v>1041</v>
      </c>
      <c r="D794" s="5">
        <v>1041</v>
      </c>
      <c r="E794" s="6">
        <v>0.98</v>
      </c>
      <c r="F794" s="5">
        <v>0</v>
      </c>
      <c r="G794" s="5">
        <v>62.55</v>
      </c>
      <c r="H794" s="5">
        <v>789</v>
      </c>
      <c r="I794" s="5" t="str">
        <f>HYPERLINK("https://www.ncbi.nlm.nih.gov/protein/THD42555.1?report=genbank&amp;log$=prottop&amp;blast_rank=140&amp;RID=7U875CNM013","THD42555.1")</f>
        <v>THD42555.1</v>
      </c>
      <c r="J794" s="5" t="s">
        <v>1720</v>
      </c>
    </row>
    <row r="795" spans="1:10" x14ac:dyDescent="0.2">
      <c r="A795" s="5" t="s">
        <v>4282</v>
      </c>
      <c r="B795" s="5" t="s">
        <v>4283</v>
      </c>
      <c r="C795" s="5">
        <v>1047</v>
      </c>
      <c r="D795" s="5">
        <v>1047</v>
      </c>
      <c r="E795" s="6">
        <v>0.99</v>
      </c>
      <c r="F795" s="5">
        <v>0</v>
      </c>
      <c r="G795" s="5">
        <v>62.55</v>
      </c>
      <c r="H795" s="5">
        <v>790</v>
      </c>
      <c r="I795" s="5" t="str">
        <f>HYPERLINK("https://www.ncbi.nlm.nih.gov/protein/WP_192637349.1?report=genbank&amp;log$=prottop&amp;blast_rank=145&amp;RID=7U875CNM013","WP_192637349.1")</f>
        <v>WP_192637349.1</v>
      </c>
      <c r="J795" s="5" t="s">
        <v>1720</v>
      </c>
    </row>
    <row r="796" spans="1:10" x14ac:dyDescent="0.2">
      <c r="A796" s="5" t="s">
        <v>3393</v>
      </c>
      <c r="B796" s="5" t="s">
        <v>3315</v>
      </c>
      <c r="C796" s="5">
        <v>1055</v>
      </c>
      <c r="D796" s="5">
        <v>1055</v>
      </c>
      <c r="E796" s="6">
        <v>0.98</v>
      </c>
      <c r="F796" s="5">
        <v>0</v>
      </c>
      <c r="G796" s="5">
        <v>62.53</v>
      </c>
      <c r="H796" s="5">
        <v>796</v>
      </c>
      <c r="I796" s="5" t="str">
        <f>HYPERLINK("https://www.ncbi.nlm.nih.gov/protein/HFE38909.1?report=genbank&amp;log$=prottop&amp;blast_rank=163&amp;RID=7U875CNM013","HFE38909.1")</f>
        <v>HFE38909.1</v>
      </c>
      <c r="J796" s="5" t="s">
        <v>3276</v>
      </c>
    </row>
    <row r="797" spans="1:10" x14ac:dyDescent="0.2">
      <c r="A797" s="5" t="s">
        <v>4284</v>
      </c>
      <c r="B797" s="5" t="s">
        <v>3822</v>
      </c>
      <c r="C797" s="5">
        <v>1033</v>
      </c>
      <c r="D797" s="5">
        <v>1033</v>
      </c>
      <c r="E797" s="6">
        <v>0.98</v>
      </c>
      <c r="F797" s="5">
        <v>0</v>
      </c>
      <c r="G797" s="5">
        <v>62.52</v>
      </c>
      <c r="H797" s="5">
        <v>790</v>
      </c>
      <c r="I797" s="5" t="str">
        <f>HYPERLINK("https://www.ncbi.nlm.nih.gov/protein/HAS82486.1?report=genbank&amp;log$=prottop&amp;blast_rank=171&amp;RID=7U875CNM013","HAS82486.1")</f>
        <v>HAS82486.1</v>
      </c>
      <c r="J797" s="5" t="s">
        <v>3277</v>
      </c>
    </row>
    <row r="798" spans="1:10" x14ac:dyDescent="0.2">
      <c r="A798" s="5" t="s">
        <v>3884</v>
      </c>
      <c r="B798" s="5" t="s">
        <v>3885</v>
      </c>
      <c r="C798" s="5">
        <v>1046</v>
      </c>
      <c r="D798" s="5">
        <v>1046</v>
      </c>
      <c r="E798" s="6">
        <v>0.99</v>
      </c>
      <c r="F798" s="5">
        <v>0</v>
      </c>
      <c r="G798" s="5">
        <v>62.52</v>
      </c>
      <c r="H798" s="5">
        <v>794</v>
      </c>
      <c r="I798" s="5" t="str">
        <f>HYPERLINK("https://www.ncbi.nlm.nih.gov/protein/MBN8930244.1?report=genbank&amp;log$=prottop&amp;blast_rank=174&amp;RID=7U875CNM013","MBN8930244.1")</f>
        <v>MBN8930244.1</v>
      </c>
      <c r="J798" s="5" t="s">
        <v>1720</v>
      </c>
    </row>
    <row r="799" spans="1:10" x14ac:dyDescent="0.2">
      <c r="A799" s="5" t="s">
        <v>4285</v>
      </c>
      <c r="B799" s="5" t="s">
        <v>4286</v>
      </c>
      <c r="C799" s="5">
        <v>1040</v>
      </c>
      <c r="D799" s="5">
        <v>1040</v>
      </c>
      <c r="E799" s="6">
        <v>0.99</v>
      </c>
      <c r="F799" s="5">
        <v>0</v>
      </c>
      <c r="G799" s="5">
        <v>62.48</v>
      </c>
      <c r="H799" s="5">
        <v>800</v>
      </c>
      <c r="I799" s="5" t="str">
        <f>HYPERLINK("https://www.ncbi.nlm.nih.gov/protein/MBI1785068.1?report=genbank&amp;log$=prottop&amp;blast_rank=196&amp;RID=7U875CNM013","MBI1785068.1")</f>
        <v>MBI1785068.1</v>
      </c>
      <c r="J799" s="5" t="s">
        <v>3277</v>
      </c>
    </row>
    <row r="800" spans="1:10" x14ac:dyDescent="0.2">
      <c r="A800" s="5" t="s">
        <v>4287</v>
      </c>
      <c r="B800" s="5" t="s">
        <v>4288</v>
      </c>
      <c r="C800" s="5">
        <v>1036</v>
      </c>
      <c r="D800" s="5">
        <v>1036</v>
      </c>
      <c r="E800" s="6">
        <v>0.98</v>
      </c>
      <c r="F800" s="5">
        <v>0</v>
      </c>
      <c r="G800" s="5">
        <v>62.48</v>
      </c>
      <c r="H800" s="5">
        <v>793</v>
      </c>
      <c r="I800" s="5" t="str">
        <f>HYPERLINK("https://www.ncbi.nlm.nih.gov/protein/WP_140836244.1?report=genbank&amp;log$=prottop&amp;blast_rank=199&amp;RID=7U875CNM013","WP_140836244.1")</f>
        <v>WP_140836244.1</v>
      </c>
      <c r="J800" s="5" t="s">
        <v>1818</v>
      </c>
    </row>
    <row r="801" spans="1:10" s="7" customFormat="1" x14ac:dyDescent="0.2">
      <c r="A801" s="5" t="s">
        <v>4289</v>
      </c>
      <c r="B801" s="5" t="s">
        <v>4290</v>
      </c>
      <c r="C801" s="5">
        <v>1028</v>
      </c>
      <c r="D801" s="5">
        <v>1028</v>
      </c>
      <c r="E801" s="6">
        <v>0.98</v>
      </c>
      <c r="F801" s="5">
        <v>0</v>
      </c>
      <c r="G801" s="5">
        <v>62.48</v>
      </c>
      <c r="H801" s="5">
        <v>786</v>
      </c>
      <c r="I801" s="5" t="str">
        <f>HYPERLINK("https://www.ncbi.nlm.nih.gov/protein/MBC7161300.1?report=genbank&amp;log$=prottop&amp;blast_rank=202&amp;RID=7U875CNM013","MBC7161300.1")</f>
        <v>MBC7161300.1</v>
      </c>
      <c r="J801" s="5" t="s">
        <v>4291</v>
      </c>
    </row>
    <row r="802" spans="1:10" x14ac:dyDescent="0.2">
      <c r="A802" s="5" t="s">
        <v>4292</v>
      </c>
      <c r="B802" s="5" t="s">
        <v>4259</v>
      </c>
      <c r="C802" s="5">
        <v>1034</v>
      </c>
      <c r="D802" s="5">
        <v>1034</v>
      </c>
      <c r="E802" s="6">
        <v>0.98</v>
      </c>
      <c r="F802" s="5">
        <v>0</v>
      </c>
      <c r="G802" s="5">
        <v>62.47</v>
      </c>
      <c r="H802" s="5">
        <v>797</v>
      </c>
      <c r="I802" s="5" t="str">
        <f>HYPERLINK("https://www.ncbi.nlm.nih.gov/protein/WP_202351190.1?report=genbank&amp;log$=prottop&amp;blast_rank=1&amp;RID=7U875CNM013","WP_202351190.1")</f>
        <v>WP_202351190.1</v>
      </c>
      <c r="J802" s="5" t="s">
        <v>1818</v>
      </c>
    </row>
    <row r="803" spans="1:10" x14ac:dyDescent="0.2">
      <c r="A803" s="5" t="s">
        <v>3629</v>
      </c>
      <c r="B803" s="5" t="s">
        <v>853</v>
      </c>
      <c r="C803" s="5">
        <v>1035</v>
      </c>
      <c r="D803" s="5">
        <v>1035</v>
      </c>
      <c r="E803" s="6">
        <v>0.98</v>
      </c>
      <c r="F803" s="5">
        <v>0</v>
      </c>
      <c r="G803" s="5">
        <v>62.47</v>
      </c>
      <c r="H803" s="5">
        <v>788</v>
      </c>
      <c r="I803" s="5" t="str">
        <f>HYPERLINK("https://www.ncbi.nlm.nih.gov/protein/NUR55188.1?report=genbank&amp;log$=prottop&amp;blast_rank=7&amp;RID=7U875CNM013","NUR55188.1")</f>
        <v>NUR55188.1</v>
      </c>
      <c r="J803" s="5" t="s">
        <v>854</v>
      </c>
    </row>
    <row r="804" spans="1:10" x14ac:dyDescent="0.2">
      <c r="A804" s="5" t="s">
        <v>2051</v>
      </c>
      <c r="B804" s="5" t="s">
        <v>2052</v>
      </c>
      <c r="C804" s="5">
        <v>1033</v>
      </c>
      <c r="D804" s="5">
        <v>1033</v>
      </c>
      <c r="E804" s="6">
        <v>0.98</v>
      </c>
      <c r="F804" s="5">
        <v>0</v>
      </c>
      <c r="G804" s="5">
        <v>62.47</v>
      </c>
      <c r="H804" s="5">
        <v>793</v>
      </c>
      <c r="I804" s="5" t="str">
        <f>HYPERLINK("https://www.ncbi.nlm.nih.gov/protein/WP_019859836.1?report=genbank&amp;log$=prottop&amp;blast_rank=8&amp;RID=7U875CNM013","WP_019859836.1")</f>
        <v>WP_019859836.1</v>
      </c>
      <c r="J804" s="5" t="s">
        <v>1818</v>
      </c>
    </row>
    <row r="805" spans="1:10" x14ac:dyDescent="0.2">
      <c r="A805" s="5" t="s">
        <v>4184</v>
      </c>
      <c r="B805" s="5" t="s">
        <v>4185</v>
      </c>
      <c r="C805" s="5">
        <v>1033</v>
      </c>
      <c r="D805" s="5">
        <v>1033</v>
      </c>
      <c r="E805" s="6">
        <v>0.98</v>
      </c>
      <c r="F805" s="5">
        <v>0</v>
      </c>
      <c r="G805" s="5">
        <v>62.47</v>
      </c>
      <c r="H805" s="5">
        <v>793</v>
      </c>
      <c r="I805" s="5" t="str">
        <f>HYPERLINK("https://www.ncbi.nlm.nih.gov/protein/WP_064986078.1?report=genbank&amp;log$=prottop&amp;blast_rank=10&amp;RID=7U875CNM013","WP_064986078.1")</f>
        <v>WP_064986078.1</v>
      </c>
      <c r="J805" s="5" t="s">
        <v>1818</v>
      </c>
    </row>
    <row r="806" spans="1:10" x14ac:dyDescent="0.2">
      <c r="A806" s="5" t="s">
        <v>4293</v>
      </c>
      <c r="B806" s="5" t="s">
        <v>4294</v>
      </c>
      <c r="C806" s="5">
        <v>1033</v>
      </c>
      <c r="D806" s="5">
        <v>1033</v>
      </c>
      <c r="E806" s="6">
        <v>0.98</v>
      </c>
      <c r="F806" s="5">
        <v>0</v>
      </c>
      <c r="G806" s="5">
        <v>62.47</v>
      </c>
      <c r="H806" s="5">
        <v>793</v>
      </c>
      <c r="I806" s="5" t="str">
        <f>HYPERLINK("https://www.ncbi.nlm.nih.gov/protein/WP_202362007.1?report=genbank&amp;log$=prottop&amp;blast_rank=11&amp;RID=7U875CNM013","WP_202362007.1")</f>
        <v>WP_202362007.1</v>
      </c>
      <c r="J806" s="5" t="s">
        <v>1818</v>
      </c>
    </row>
    <row r="807" spans="1:10" x14ac:dyDescent="0.2">
      <c r="A807" s="5" t="s">
        <v>4295</v>
      </c>
      <c r="B807" s="5" t="s">
        <v>4296</v>
      </c>
      <c r="C807" s="5">
        <v>1032</v>
      </c>
      <c r="D807" s="5">
        <v>1032</v>
      </c>
      <c r="E807" s="6">
        <v>0.98</v>
      </c>
      <c r="F807" s="5">
        <v>0</v>
      </c>
      <c r="G807" s="5">
        <v>62.47</v>
      </c>
      <c r="H807" s="5">
        <v>793</v>
      </c>
      <c r="I807" s="5" t="str">
        <f>HYPERLINK("https://www.ncbi.nlm.nih.gov/protein/WP_069092802.1?report=genbank&amp;log$=prottop&amp;blast_rank=12&amp;RID=7U875CNM013","WP_069092802.1")</f>
        <v>WP_069092802.1</v>
      </c>
      <c r="J807" s="5" t="s">
        <v>1818</v>
      </c>
    </row>
    <row r="808" spans="1:10" x14ac:dyDescent="0.2">
      <c r="A808" s="5" t="s">
        <v>4297</v>
      </c>
      <c r="B808" s="5" t="s">
        <v>4298</v>
      </c>
      <c r="C808" s="5">
        <v>1031</v>
      </c>
      <c r="D808" s="5">
        <v>1031</v>
      </c>
      <c r="E808" s="6">
        <v>0.98</v>
      </c>
      <c r="F808" s="5">
        <v>0</v>
      </c>
      <c r="G808" s="5">
        <v>62.47</v>
      </c>
      <c r="H808" s="5">
        <v>793</v>
      </c>
      <c r="I808" s="5" t="str">
        <f>HYPERLINK("https://www.ncbi.nlm.nih.gov/protein/WP_038648663.1?report=genbank&amp;log$=prottop&amp;blast_rank=14&amp;RID=7U875CNM013","WP_038648663.1")</f>
        <v>WP_038648663.1</v>
      </c>
      <c r="J808" s="5" t="s">
        <v>1818</v>
      </c>
    </row>
    <row r="809" spans="1:10" x14ac:dyDescent="0.2">
      <c r="A809" s="5" t="s">
        <v>4182</v>
      </c>
      <c r="B809" s="5" t="s">
        <v>4183</v>
      </c>
      <c r="C809" s="5">
        <v>1026</v>
      </c>
      <c r="D809" s="5">
        <v>1026</v>
      </c>
      <c r="E809" s="6">
        <v>0.98</v>
      </c>
      <c r="F809" s="5">
        <v>0</v>
      </c>
      <c r="G809" s="5">
        <v>62.47</v>
      </c>
      <c r="H809" s="5">
        <v>805</v>
      </c>
      <c r="I809" s="5" t="str">
        <f>HYPERLINK("https://www.ncbi.nlm.nih.gov/protein/RWH81299.1?report=genbank&amp;log$=prottop&amp;blast_rank=15&amp;RID=7U875CNM013","RWH81299.1")</f>
        <v>RWH81299.1</v>
      </c>
      <c r="J809" s="5" t="s">
        <v>1818</v>
      </c>
    </row>
    <row r="810" spans="1:10" x14ac:dyDescent="0.2">
      <c r="A810" s="5" t="s">
        <v>4182</v>
      </c>
      <c r="B810" s="5" t="s">
        <v>4183</v>
      </c>
      <c r="C810" s="5">
        <v>1026</v>
      </c>
      <c r="D810" s="5">
        <v>1026</v>
      </c>
      <c r="E810" s="6">
        <v>0.98</v>
      </c>
      <c r="F810" s="5">
        <v>0</v>
      </c>
      <c r="G810" s="5">
        <v>62.47</v>
      </c>
      <c r="H810" s="5">
        <v>805</v>
      </c>
      <c r="I810" s="5" t="str">
        <f>HYPERLINK("https://www.ncbi.nlm.nih.gov/protein/RWK44601.1?report=genbank&amp;log$=prottop&amp;blast_rank=16&amp;RID=7U875CNM013","RWK44601.1")</f>
        <v>RWK44601.1</v>
      </c>
      <c r="J810" s="5" t="s">
        <v>1818</v>
      </c>
    </row>
    <row r="811" spans="1:10" x14ac:dyDescent="0.2">
      <c r="A811" s="5" t="s">
        <v>4299</v>
      </c>
      <c r="B811" s="5" t="s">
        <v>4300</v>
      </c>
      <c r="C811" s="5">
        <v>1030</v>
      </c>
      <c r="D811" s="5">
        <v>1030</v>
      </c>
      <c r="E811" s="6">
        <v>0.99</v>
      </c>
      <c r="F811" s="5">
        <v>0</v>
      </c>
      <c r="G811" s="5">
        <v>62.45</v>
      </c>
      <c r="H811" s="5">
        <v>798</v>
      </c>
      <c r="I811" s="5" t="str">
        <f>HYPERLINK("https://www.ncbi.nlm.nih.gov/protein/WP_136364878.1?report=genbank&amp;log$=prottop&amp;blast_rank=29&amp;RID=7U875CNM013","WP_136364878.1")</f>
        <v>WP_136364878.1</v>
      </c>
      <c r="J811" s="5" t="s">
        <v>4301</v>
      </c>
    </row>
    <row r="812" spans="1:10" x14ac:dyDescent="0.2">
      <c r="A812" s="5" t="s">
        <v>4302</v>
      </c>
      <c r="B812" s="5" t="s">
        <v>4303</v>
      </c>
      <c r="C812" s="5">
        <v>1050</v>
      </c>
      <c r="D812" s="5">
        <v>1050</v>
      </c>
      <c r="E812" s="6">
        <v>0.99</v>
      </c>
      <c r="F812" s="5">
        <v>0</v>
      </c>
      <c r="G812" s="5">
        <v>62.44</v>
      </c>
      <c r="H812" s="5">
        <v>820</v>
      </c>
      <c r="I812" s="5" t="str">
        <f>HYPERLINK("https://www.ncbi.nlm.nih.gov/protein/WP_106726513.1?report=genbank&amp;log$=prottop&amp;blast_rank=37&amp;RID=7U875CNM013","WP_106726513.1")</f>
        <v>WP_106726513.1</v>
      </c>
      <c r="J812" s="5" t="s">
        <v>1818</v>
      </c>
    </row>
    <row r="813" spans="1:10" x14ac:dyDescent="0.2">
      <c r="A813" s="5" t="s">
        <v>4065</v>
      </c>
      <c r="B813" s="5" t="s">
        <v>4064</v>
      </c>
      <c r="C813" s="5">
        <v>1026</v>
      </c>
      <c r="D813" s="5">
        <v>1026</v>
      </c>
      <c r="E813" s="6">
        <v>0.99</v>
      </c>
      <c r="F813" s="5">
        <v>0</v>
      </c>
      <c r="G813" s="5">
        <v>62.44</v>
      </c>
      <c r="H813" s="5">
        <v>818</v>
      </c>
      <c r="I813" s="5" t="str">
        <f>HYPERLINK("https://www.ncbi.nlm.nih.gov/protein/WP_173422122.1?report=genbank&amp;log$=prottop&amp;blast_rank=38&amp;RID=7U875CNM013","WP_173422122.1")</f>
        <v>WP_173422122.1</v>
      </c>
      <c r="J813" s="5" t="s">
        <v>1720</v>
      </c>
    </row>
    <row r="814" spans="1:10" x14ac:dyDescent="0.2">
      <c r="A814" s="5" t="s">
        <v>4304</v>
      </c>
      <c r="B814" s="5" t="s">
        <v>4305</v>
      </c>
      <c r="C814" s="5">
        <v>1037</v>
      </c>
      <c r="D814" s="5">
        <v>1037</v>
      </c>
      <c r="E814" s="6">
        <v>0.98</v>
      </c>
      <c r="F814" s="5">
        <v>0</v>
      </c>
      <c r="G814" s="5">
        <v>62.44</v>
      </c>
      <c r="H814" s="5">
        <v>793</v>
      </c>
      <c r="I814" s="5" t="str">
        <f>HYPERLINK("https://www.ncbi.nlm.nih.gov/protein/CDX53158.1?report=genbank&amp;log$=prottop&amp;blast_rank=40&amp;RID=7U875CNM013","CDX53158.1")</f>
        <v>CDX53158.1</v>
      </c>
      <c r="J814" s="5" t="s">
        <v>1818</v>
      </c>
    </row>
    <row r="815" spans="1:10" x14ac:dyDescent="0.2">
      <c r="A815" s="5" t="s">
        <v>4182</v>
      </c>
      <c r="B815" s="5" t="s">
        <v>4183</v>
      </c>
      <c r="C815" s="5">
        <v>1033</v>
      </c>
      <c r="D815" s="5">
        <v>1033</v>
      </c>
      <c r="E815" s="6">
        <v>0.98</v>
      </c>
      <c r="F815" s="5">
        <v>0</v>
      </c>
      <c r="G815" s="5">
        <v>62.44</v>
      </c>
      <c r="H815" s="5">
        <v>793</v>
      </c>
      <c r="I815" s="5" t="str">
        <f>HYPERLINK("https://www.ncbi.nlm.nih.gov/protein/RWF35533.1?report=genbank&amp;log$=prottop&amp;blast_rank=41&amp;RID=7U875CNM013","RWF35533.1")</f>
        <v>RWF35533.1</v>
      </c>
      <c r="J815" s="5" t="s">
        <v>1818</v>
      </c>
    </row>
    <row r="816" spans="1:10" x14ac:dyDescent="0.2">
      <c r="A816" s="5" t="s">
        <v>4306</v>
      </c>
      <c r="B816" s="5" t="s">
        <v>4307</v>
      </c>
      <c r="C816" s="5">
        <v>1033</v>
      </c>
      <c r="D816" s="5">
        <v>1033</v>
      </c>
      <c r="E816" s="6">
        <v>0.98</v>
      </c>
      <c r="F816" s="5">
        <v>0</v>
      </c>
      <c r="G816" s="5">
        <v>62.44</v>
      </c>
      <c r="H816" s="5">
        <v>793</v>
      </c>
      <c r="I816" s="5" t="str">
        <f>HYPERLINK("https://www.ncbi.nlm.nih.gov/protein/WP_126079223.1?report=genbank&amp;log$=prottop&amp;blast_rank=43&amp;RID=7U875CNM013","WP_126079223.1")</f>
        <v>WP_126079223.1</v>
      </c>
      <c r="J816" s="5" t="s">
        <v>1818</v>
      </c>
    </row>
    <row r="817" spans="1:10" x14ac:dyDescent="0.2">
      <c r="A817" s="5" t="s">
        <v>4182</v>
      </c>
      <c r="B817" s="5" t="s">
        <v>4183</v>
      </c>
      <c r="C817" s="5">
        <v>1032</v>
      </c>
      <c r="D817" s="5">
        <v>1032</v>
      </c>
      <c r="E817" s="6">
        <v>0.98</v>
      </c>
      <c r="F817" s="5">
        <v>0</v>
      </c>
      <c r="G817" s="5">
        <v>62.44</v>
      </c>
      <c r="H817" s="5">
        <v>793</v>
      </c>
      <c r="I817" s="5" t="str">
        <f>HYPERLINK("https://www.ncbi.nlm.nih.gov/protein/RWE80032.1?report=genbank&amp;log$=prottop&amp;blast_rank=44&amp;RID=7U875CNM013","RWE80032.1")</f>
        <v>RWE80032.1</v>
      </c>
      <c r="J817" s="5" t="s">
        <v>1818</v>
      </c>
    </row>
    <row r="818" spans="1:10" x14ac:dyDescent="0.2">
      <c r="A818" s="5" t="s">
        <v>4308</v>
      </c>
      <c r="B818" s="5" t="s">
        <v>4309</v>
      </c>
      <c r="C818" s="5">
        <v>1029</v>
      </c>
      <c r="D818" s="5">
        <v>1029</v>
      </c>
      <c r="E818" s="6">
        <v>0.98</v>
      </c>
      <c r="F818" s="5">
        <v>0</v>
      </c>
      <c r="G818" s="5">
        <v>62.44</v>
      </c>
      <c r="H818" s="5">
        <v>793</v>
      </c>
      <c r="I818" s="5" t="str">
        <f>HYPERLINK("https://www.ncbi.nlm.nih.gov/protein/CDX46107.1?report=genbank&amp;log$=prottop&amp;blast_rank=45&amp;RID=7U875CNM013","CDX46107.1")</f>
        <v>CDX46107.1</v>
      </c>
      <c r="J818" s="5" t="s">
        <v>1818</v>
      </c>
    </row>
    <row r="819" spans="1:10" x14ac:dyDescent="0.2">
      <c r="A819" s="5" t="s">
        <v>4310</v>
      </c>
      <c r="B819" s="5" t="s">
        <v>4311</v>
      </c>
      <c r="C819" s="5">
        <v>1025</v>
      </c>
      <c r="D819" s="5">
        <v>1025</v>
      </c>
      <c r="E819" s="6">
        <v>0.98</v>
      </c>
      <c r="F819" s="5">
        <v>0</v>
      </c>
      <c r="G819" s="5">
        <v>62.44</v>
      </c>
      <c r="H819" s="5">
        <v>793</v>
      </c>
      <c r="I819" s="5" t="str">
        <f>HYPERLINK("https://www.ncbi.nlm.nih.gov/protein/CDX20706.1?report=genbank&amp;log$=prottop&amp;blast_rank=46&amp;RID=7U875CNM013","CDX20706.1")</f>
        <v>CDX20706.1</v>
      </c>
      <c r="J819" s="5" t="s">
        <v>1818</v>
      </c>
    </row>
    <row r="820" spans="1:10" x14ac:dyDescent="0.2">
      <c r="A820" s="5" t="s">
        <v>4312</v>
      </c>
      <c r="B820" s="5" t="s">
        <v>4313</v>
      </c>
      <c r="C820" s="5">
        <v>1025</v>
      </c>
      <c r="D820" s="5">
        <v>1025</v>
      </c>
      <c r="E820" s="6">
        <v>0.98</v>
      </c>
      <c r="F820" s="5">
        <v>0</v>
      </c>
      <c r="G820" s="5">
        <v>62.44</v>
      </c>
      <c r="H820" s="5">
        <v>793</v>
      </c>
      <c r="I820" s="5" t="str">
        <f>HYPERLINK("https://www.ncbi.nlm.nih.gov/protein/WP_095823554.1?report=genbank&amp;log$=prottop&amp;blast_rank=47&amp;RID=7U875CNM013","WP_095823554.1")</f>
        <v>WP_095823554.1</v>
      </c>
      <c r="J820" s="5" t="s">
        <v>1818</v>
      </c>
    </row>
    <row r="821" spans="1:10" x14ac:dyDescent="0.2">
      <c r="A821" s="5" t="s">
        <v>4314</v>
      </c>
      <c r="B821" s="5" t="s">
        <v>4315</v>
      </c>
      <c r="C821" s="5">
        <v>1025</v>
      </c>
      <c r="D821" s="5">
        <v>1025</v>
      </c>
      <c r="E821" s="6">
        <v>0.98</v>
      </c>
      <c r="F821" s="5">
        <v>0</v>
      </c>
      <c r="G821" s="5">
        <v>62.44</v>
      </c>
      <c r="H821" s="5">
        <v>797</v>
      </c>
      <c r="I821" s="5" t="str">
        <f>HYPERLINK("https://www.ncbi.nlm.nih.gov/protein/TAL84511.1?report=genbank&amp;log$=prottop&amp;blast_rank=48&amp;RID=7U875CNM013","TAL84511.1")</f>
        <v>TAL84511.1</v>
      </c>
      <c r="J821" s="5" t="s">
        <v>3632</v>
      </c>
    </row>
    <row r="822" spans="1:10" x14ac:dyDescent="0.2">
      <c r="A822" s="5" t="s">
        <v>4316</v>
      </c>
      <c r="B822" s="5" t="s">
        <v>4317</v>
      </c>
      <c r="C822" s="5">
        <v>1042</v>
      </c>
      <c r="D822" s="5">
        <v>1042</v>
      </c>
      <c r="E822" s="6">
        <v>0.98</v>
      </c>
      <c r="F822" s="5">
        <v>0</v>
      </c>
      <c r="G822" s="5">
        <v>62.42</v>
      </c>
      <c r="H822" s="5">
        <v>786</v>
      </c>
      <c r="I822" s="5" t="str">
        <f>HYPERLINK("https://www.ncbi.nlm.nih.gov/protein/RFC31487.1?report=genbank&amp;log$=prottop&amp;blast_rank=53&amp;RID=7U875CNM013","RFC31487.1")</f>
        <v>RFC31487.1</v>
      </c>
      <c r="J822" s="5" t="s">
        <v>2134</v>
      </c>
    </row>
    <row r="823" spans="1:10" x14ac:dyDescent="0.2">
      <c r="A823" s="5" t="s">
        <v>4318</v>
      </c>
      <c r="B823" s="5" t="s">
        <v>4319</v>
      </c>
      <c r="C823" s="5">
        <v>1037</v>
      </c>
      <c r="D823" s="5">
        <v>1037</v>
      </c>
      <c r="E823" s="6">
        <v>0.98</v>
      </c>
      <c r="F823" s="5">
        <v>0</v>
      </c>
      <c r="G823" s="5">
        <v>62.42</v>
      </c>
      <c r="H823" s="5">
        <v>786</v>
      </c>
      <c r="I823" s="5" t="str">
        <f>HYPERLINK("https://www.ncbi.nlm.nih.gov/protein/HAH25296.1?report=genbank&amp;log$=prottop&amp;blast_rank=54&amp;RID=7U875CNM013","HAH25296.1")</f>
        <v>HAH25296.1</v>
      </c>
      <c r="J823" s="5" t="s">
        <v>4320</v>
      </c>
    </row>
    <row r="824" spans="1:10" x14ac:dyDescent="0.2">
      <c r="A824" s="5" t="s">
        <v>2132</v>
      </c>
      <c r="B824" s="5" t="s">
        <v>2133</v>
      </c>
      <c r="C824" s="5">
        <v>1035</v>
      </c>
      <c r="D824" s="5">
        <v>1035</v>
      </c>
      <c r="E824" s="6">
        <v>0.98</v>
      </c>
      <c r="F824" s="5">
        <v>0</v>
      </c>
      <c r="G824" s="5">
        <v>62.42</v>
      </c>
      <c r="H824" s="5">
        <v>813</v>
      </c>
      <c r="I824" s="5" t="str">
        <f>HYPERLINK("https://www.ncbi.nlm.nih.gov/protein/WP_082783428.1?report=genbank&amp;log$=prottop&amp;blast_rank=58&amp;RID=7U875CNM013","WP_082783428.1")</f>
        <v>WP_082783428.1</v>
      </c>
      <c r="J824" s="5" t="s">
        <v>2134</v>
      </c>
    </row>
    <row r="825" spans="1:10" x14ac:dyDescent="0.2">
      <c r="A825" s="5" t="s">
        <v>4321</v>
      </c>
      <c r="B825" s="5" t="s">
        <v>4322</v>
      </c>
      <c r="C825" s="5">
        <v>1025</v>
      </c>
      <c r="D825" s="5">
        <v>1025</v>
      </c>
      <c r="E825" s="6">
        <v>0.98</v>
      </c>
      <c r="F825" s="5">
        <v>0</v>
      </c>
      <c r="G825" s="5">
        <v>62.41</v>
      </c>
      <c r="H825" s="5">
        <v>852</v>
      </c>
      <c r="I825" s="5" t="str">
        <f>HYPERLINK("https://www.ncbi.nlm.nih.gov/protein/SHK61562.1?report=genbank&amp;log$=prottop&amp;blast_rank=64&amp;RID=7U875CNM013","SHK61562.1")</f>
        <v>SHK61562.1</v>
      </c>
      <c r="J825" s="5" t="s">
        <v>4323</v>
      </c>
    </row>
    <row r="826" spans="1:10" x14ac:dyDescent="0.2">
      <c r="A826" s="5" t="s">
        <v>4324</v>
      </c>
      <c r="B826" s="5" t="s">
        <v>4037</v>
      </c>
      <c r="C826" s="5">
        <v>1050</v>
      </c>
      <c r="D826" s="5">
        <v>1050</v>
      </c>
      <c r="E826" s="6">
        <v>0.98</v>
      </c>
      <c r="F826" s="5">
        <v>0</v>
      </c>
      <c r="G826" s="5">
        <v>62.37</v>
      </c>
      <c r="H826" s="5">
        <v>797</v>
      </c>
      <c r="I826" s="5" t="str">
        <f>HYPERLINK("https://www.ncbi.nlm.nih.gov/protein/NLO90697.1?report=genbank&amp;log$=prottop&amp;blast_rank=90&amp;RID=7U875CNM013","NLO90697.1")</f>
        <v>NLO90697.1</v>
      </c>
      <c r="J826" s="5" t="s">
        <v>4325</v>
      </c>
    </row>
    <row r="827" spans="1:10" x14ac:dyDescent="0.2">
      <c r="A827" s="5" t="s">
        <v>3590</v>
      </c>
      <c r="B827" s="5" t="s">
        <v>3360</v>
      </c>
      <c r="C827" s="5">
        <v>1041</v>
      </c>
      <c r="D827" s="5">
        <v>1041</v>
      </c>
      <c r="E827" s="6">
        <v>0.98</v>
      </c>
      <c r="F827" s="5">
        <v>0</v>
      </c>
      <c r="G827" s="5">
        <v>62.37</v>
      </c>
      <c r="H827" s="5">
        <v>808</v>
      </c>
      <c r="I827" s="5" t="str">
        <f>HYPERLINK("https://www.ncbi.nlm.nih.gov/protein/MBI5887237.1?report=genbank&amp;log$=prottop&amp;blast_rank=93&amp;RID=7U875CNM013","MBI5887237.1")</f>
        <v>MBI5887237.1</v>
      </c>
      <c r="J827" s="5" t="s">
        <v>3286</v>
      </c>
    </row>
    <row r="828" spans="1:10" x14ac:dyDescent="0.2">
      <c r="A828" s="5" t="s">
        <v>4326</v>
      </c>
      <c r="B828" s="5" t="s">
        <v>4327</v>
      </c>
      <c r="C828" s="5">
        <v>1029</v>
      </c>
      <c r="D828" s="5">
        <v>1029</v>
      </c>
      <c r="E828" s="6">
        <v>0.98</v>
      </c>
      <c r="F828" s="5">
        <v>0</v>
      </c>
      <c r="G828" s="5">
        <v>62.36</v>
      </c>
      <c r="H828" s="5">
        <v>794</v>
      </c>
      <c r="I828" s="5" t="str">
        <f>HYPERLINK("https://www.ncbi.nlm.nih.gov/protein/WP_018606509.1?report=genbank&amp;log$=prottop&amp;blast_rank=101&amp;RID=7U875CNM013","WP_018606509.1")</f>
        <v>WP_018606509.1</v>
      </c>
      <c r="J828" s="5" t="s">
        <v>4328</v>
      </c>
    </row>
    <row r="829" spans="1:10" x14ac:dyDescent="0.2">
      <c r="A829" s="5" t="s">
        <v>4329</v>
      </c>
      <c r="B829" s="5" t="s">
        <v>4330</v>
      </c>
      <c r="C829" s="5">
        <v>1023</v>
      </c>
      <c r="D829" s="5">
        <v>1023</v>
      </c>
      <c r="E829" s="6">
        <v>0.98</v>
      </c>
      <c r="F829" s="5">
        <v>0</v>
      </c>
      <c r="G829" s="5">
        <v>62.32</v>
      </c>
      <c r="H829" s="5">
        <v>788</v>
      </c>
      <c r="I829" s="5" t="str">
        <f>HYPERLINK("https://www.ncbi.nlm.nih.gov/protein/WP_011287809.1?report=genbank&amp;log$=prottop&amp;blast_rank=115&amp;RID=7U875CNM013","WP_011287809.1")</f>
        <v>WP_011287809.1</v>
      </c>
      <c r="J829" s="5" t="s">
        <v>4331</v>
      </c>
    </row>
    <row r="830" spans="1:10" x14ac:dyDescent="0.2">
      <c r="A830" s="5" t="s">
        <v>3792</v>
      </c>
      <c r="B830" s="5" t="s">
        <v>3741</v>
      </c>
      <c r="C830" s="5">
        <v>1054</v>
      </c>
      <c r="D830" s="5">
        <v>1054</v>
      </c>
      <c r="E830" s="6">
        <v>1</v>
      </c>
      <c r="F830" s="5">
        <v>0</v>
      </c>
      <c r="G830" s="5">
        <v>62.31</v>
      </c>
      <c r="H830" s="5">
        <v>792</v>
      </c>
      <c r="I830" s="5" t="str">
        <f>HYPERLINK("https://www.ncbi.nlm.nih.gov/protein/NLN77638.1?report=genbank&amp;log$=prottop&amp;blast_rank=116&amp;RID=7U875CNM013","NLN77638.1")</f>
        <v>NLN77638.1</v>
      </c>
      <c r="J830" s="5" t="s">
        <v>4332</v>
      </c>
    </row>
    <row r="831" spans="1:10" x14ac:dyDescent="0.2">
      <c r="A831" s="5" t="s">
        <v>4333</v>
      </c>
      <c r="B831" s="5" t="s">
        <v>4334</v>
      </c>
      <c r="C831" s="5">
        <v>1032</v>
      </c>
      <c r="D831" s="5">
        <v>1032</v>
      </c>
      <c r="E831" s="6">
        <v>0.98</v>
      </c>
      <c r="F831" s="5">
        <v>0</v>
      </c>
      <c r="G831" s="5">
        <v>62.31</v>
      </c>
      <c r="H831" s="5">
        <v>788</v>
      </c>
      <c r="I831" s="5" t="str">
        <f>HYPERLINK("https://www.ncbi.nlm.nih.gov/protein/WP_076094194.1?report=genbank&amp;log$=prottop&amp;blast_rank=122&amp;RID=7U875CNM013","WP_076094194.1")</f>
        <v>WP_076094194.1</v>
      </c>
      <c r="J831" s="5" t="s">
        <v>4335</v>
      </c>
    </row>
    <row r="832" spans="1:10" x14ac:dyDescent="0.2">
      <c r="A832" s="5" t="s">
        <v>4336</v>
      </c>
      <c r="B832" s="5" t="s">
        <v>4337</v>
      </c>
      <c r="C832" s="5">
        <v>1031</v>
      </c>
      <c r="D832" s="5">
        <v>1031</v>
      </c>
      <c r="E832" s="6">
        <v>0.98</v>
      </c>
      <c r="F832" s="5">
        <v>0</v>
      </c>
      <c r="G832" s="5">
        <v>62.31</v>
      </c>
      <c r="H832" s="5">
        <v>793</v>
      </c>
      <c r="I832" s="5" t="str">
        <f>HYPERLINK("https://www.ncbi.nlm.nih.gov/protein/WP_140688892.1?report=genbank&amp;log$=prottop&amp;blast_rank=123&amp;RID=7U875CNM013","WP_140688892.1")</f>
        <v>WP_140688892.1</v>
      </c>
      <c r="J832" s="5" t="s">
        <v>1818</v>
      </c>
    </row>
    <row r="833" spans="1:10" x14ac:dyDescent="0.2">
      <c r="A833" s="5" t="s">
        <v>4338</v>
      </c>
      <c r="B833" s="5" t="s">
        <v>4339</v>
      </c>
      <c r="C833" s="5">
        <v>1031</v>
      </c>
      <c r="D833" s="5">
        <v>1031</v>
      </c>
      <c r="E833" s="6">
        <v>0.98</v>
      </c>
      <c r="F833" s="5">
        <v>0</v>
      </c>
      <c r="G833" s="5">
        <v>62.31</v>
      </c>
      <c r="H833" s="5">
        <v>793</v>
      </c>
      <c r="I833" s="5" t="str">
        <f>HYPERLINK("https://www.ncbi.nlm.nih.gov/protein/WP_126085871.1?report=genbank&amp;log$=prottop&amp;blast_rank=124&amp;RID=7U875CNM013","WP_126085871.1")</f>
        <v>WP_126085871.1</v>
      </c>
      <c r="J833" s="5" t="s">
        <v>1818</v>
      </c>
    </row>
    <row r="834" spans="1:10" x14ac:dyDescent="0.2">
      <c r="A834" s="5" t="s">
        <v>4182</v>
      </c>
      <c r="B834" s="5" t="s">
        <v>4183</v>
      </c>
      <c r="C834" s="5">
        <v>1031</v>
      </c>
      <c r="D834" s="5">
        <v>1031</v>
      </c>
      <c r="E834" s="6">
        <v>0.98</v>
      </c>
      <c r="F834" s="5">
        <v>0</v>
      </c>
      <c r="G834" s="5">
        <v>62.31</v>
      </c>
      <c r="H834" s="5">
        <v>793</v>
      </c>
      <c r="I834" s="5" t="str">
        <f>HYPERLINK("https://www.ncbi.nlm.nih.gov/protein/TIV67918.1?report=genbank&amp;log$=prottop&amp;blast_rank=125&amp;RID=7U875CNM013","TIV67918.1")</f>
        <v>TIV67918.1</v>
      </c>
      <c r="J834" s="5" t="s">
        <v>1818</v>
      </c>
    </row>
    <row r="835" spans="1:10" x14ac:dyDescent="0.2">
      <c r="A835" s="5" t="s">
        <v>4182</v>
      </c>
      <c r="B835" s="5" t="s">
        <v>4183</v>
      </c>
      <c r="C835" s="5">
        <v>1031</v>
      </c>
      <c r="D835" s="5">
        <v>1031</v>
      </c>
      <c r="E835" s="6">
        <v>0.98</v>
      </c>
      <c r="F835" s="5">
        <v>0</v>
      </c>
      <c r="G835" s="5">
        <v>62.31</v>
      </c>
      <c r="H835" s="5">
        <v>793</v>
      </c>
      <c r="I835" s="5" t="str">
        <f>HYPERLINK("https://www.ncbi.nlm.nih.gov/protein/RWE77711.1?report=genbank&amp;log$=prottop&amp;blast_rank=126&amp;RID=7U875CNM013","RWE77711.1")</f>
        <v>RWE77711.1</v>
      </c>
      <c r="J835" s="5" t="s">
        <v>1818</v>
      </c>
    </row>
    <row r="836" spans="1:10" x14ac:dyDescent="0.2">
      <c r="A836" s="5" t="s">
        <v>4340</v>
      </c>
      <c r="B836" s="5" t="s">
        <v>4341</v>
      </c>
      <c r="C836" s="5">
        <v>1026</v>
      </c>
      <c r="D836" s="5">
        <v>1026</v>
      </c>
      <c r="E836" s="6">
        <v>0.98</v>
      </c>
      <c r="F836" s="5">
        <v>0</v>
      </c>
      <c r="G836" s="5">
        <v>62.31</v>
      </c>
      <c r="H836" s="5">
        <v>798</v>
      </c>
      <c r="I836" s="5" t="str">
        <f>HYPERLINK("https://www.ncbi.nlm.nih.gov/protein/WP_202292053.1?report=genbank&amp;log$=prottop&amp;blast_rank=127&amp;RID=7U875CNM013","WP_202292053.1")</f>
        <v>WP_202292053.1</v>
      </c>
      <c r="J836" s="5" t="s">
        <v>1818</v>
      </c>
    </row>
    <row r="837" spans="1:10" x14ac:dyDescent="0.2">
      <c r="A837" s="5" t="s">
        <v>4182</v>
      </c>
      <c r="B837" s="5" t="s">
        <v>4183</v>
      </c>
      <c r="C837" s="5">
        <v>1025</v>
      </c>
      <c r="D837" s="5">
        <v>1025</v>
      </c>
      <c r="E837" s="6">
        <v>0.98</v>
      </c>
      <c r="F837" s="5">
        <v>0</v>
      </c>
      <c r="G837" s="5">
        <v>62.31</v>
      </c>
      <c r="H837" s="5">
        <v>815</v>
      </c>
      <c r="I837" s="5" t="str">
        <f>HYPERLINK("https://www.ncbi.nlm.nih.gov/protein/RWA73150.1?report=genbank&amp;log$=prottop&amp;blast_rank=128&amp;RID=7U875CNM013","RWA73150.1")</f>
        <v>RWA73150.1</v>
      </c>
      <c r="J837" s="5" t="s">
        <v>1818</v>
      </c>
    </row>
    <row r="838" spans="1:10" x14ac:dyDescent="0.2">
      <c r="A838" s="5" t="s">
        <v>4342</v>
      </c>
      <c r="B838" s="5" t="s">
        <v>4343</v>
      </c>
      <c r="C838" s="5">
        <v>1025</v>
      </c>
      <c r="D838" s="5">
        <v>1025</v>
      </c>
      <c r="E838" s="6">
        <v>0.98</v>
      </c>
      <c r="F838" s="5">
        <v>0</v>
      </c>
      <c r="G838" s="5">
        <v>62.31</v>
      </c>
      <c r="H838" s="5">
        <v>793</v>
      </c>
      <c r="I838" s="5" t="str">
        <f>HYPERLINK("https://www.ncbi.nlm.nih.gov/protein/WP_112097594.1?report=genbank&amp;log$=prottop&amp;blast_rank=129&amp;RID=7U875CNM013","WP_112097594.1")</f>
        <v>WP_112097594.1</v>
      </c>
      <c r="J838" s="5" t="s">
        <v>1818</v>
      </c>
    </row>
    <row r="839" spans="1:10" x14ac:dyDescent="0.2">
      <c r="A839" s="5" t="s">
        <v>3314</v>
      </c>
      <c r="B839" s="5" t="s">
        <v>3315</v>
      </c>
      <c r="C839" s="5">
        <v>1055</v>
      </c>
      <c r="D839" s="5">
        <v>1055</v>
      </c>
      <c r="E839" s="6">
        <v>0.98</v>
      </c>
      <c r="F839" s="5">
        <v>0</v>
      </c>
      <c r="G839" s="5">
        <v>62.29</v>
      </c>
      <c r="H839" s="5">
        <v>796</v>
      </c>
      <c r="I839" s="5" t="str">
        <f>HYPERLINK("https://www.ncbi.nlm.nih.gov/protein/NOZ51980.1?report=genbank&amp;log$=prottop&amp;blast_rank=131&amp;RID=7U875CNM013","NOZ51980.1")</f>
        <v>NOZ51980.1</v>
      </c>
      <c r="J839" s="5" t="s">
        <v>3632</v>
      </c>
    </row>
    <row r="840" spans="1:10" x14ac:dyDescent="0.2">
      <c r="A840" s="5" t="s">
        <v>4344</v>
      </c>
      <c r="B840" s="5" t="s">
        <v>4345</v>
      </c>
      <c r="C840" s="5">
        <v>1058</v>
      </c>
      <c r="D840" s="5">
        <v>1058</v>
      </c>
      <c r="E840" s="6">
        <v>0.98</v>
      </c>
      <c r="F840" s="5">
        <v>0</v>
      </c>
      <c r="G840" s="5">
        <v>62.28</v>
      </c>
      <c r="H840" s="5">
        <v>786</v>
      </c>
      <c r="I840" s="5" t="str">
        <f>HYPERLINK("https://www.ncbi.nlm.nih.gov/protein/WP_069477188.1?report=genbank&amp;log$=prottop&amp;blast_rank=144&amp;RID=7U875CNM013","WP_069477188.1")</f>
        <v>WP_069477188.1</v>
      </c>
      <c r="J840" s="5" t="s">
        <v>4346</v>
      </c>
    </row>
    <row r="841" spans="1:10" x14ac:dyDescent="0.2">
      <c r="A841" s="5" t="s">
        <v>4347</v>
      </c>
      <c r="B841" s="5" t="s">
        <v>2768</v>
      </c>
      <c r="C841" s="5">
        <v>1057</v>
      </c>
      <c r="D841" s="5">
        <v>1057</v>
      </c>
      <c r="E841" s="6">
        <v>0.98</v>
      </c>
      <c r="F841" s="5">
        <v>0</v>
      </c>
      <c r="G841" s="5">
        <v>62.28</v>
      </c>
      <c r="H841" s="5">
        <v>785</v>
      </c>
      <c r="I841" s="5" t="str">
        <f>HYPERLINK("https://www.ncbi.nlm.nih.gov/protein/MBP1682268.1?report=genbank&amp;log$=prottop&amp;blast_rank=145&amp;RID=7U875CNM013","MBP1682268.1")</f>
        <v>MBP1682268.1</v>
      </c>
      <c r="J841" s="5" t="s">
        <v>2769</v>
      </c>
    </row>
    <row r="842" spans="1:10" x14ac:dyDescent="0.2">
      <c r="A842" s="5" t="s">
        <v>4348</v>
      </c>
      <c r="B842" s="5" t="s">
        <v>4349</v>
      </c>
      <c r="C842" s="5">
        <v>1023</v>
      </c>
      <c r="D842" s="5">
        <v>1023</v>
      </c>
      <c r="E842" s="6">
        <v>0.98</v>
      </c>
      <c r="F842" s="5">
        <v>0</v>
      </c>
      <c r="G842" s="5">
        <v>62.28</v>
      </c>
      <c r="H842" s="5">
        <v>788</v>
      </c>
      <c r="I842" s="5" t="str">
        <f>HYPERLINK("https://www.ncbi.nlm.nih.gov/protein/PKO49375.1?report=genbank&amp;log$=prottop&amp;blast_rank=148&amp;RID=7U875CNM013","PKO49375.1")</f>
        <v>PKO49375.1</v>
      </c>
      <c r="J842" s="5" t="s">
        <v>2134</v>
      </c>
    </row>
    <row r="843" spans="1:10" x14ac:dyDescent="0.2">
      <c r="A843" s="5" t="s">
        <v>4350</v>
      </c>
      <c r="B843" s="5" t="s">
        <v>4351</v>
      </c>
      <c r="C843" s="5">
        <v>1026</v>
      </c>
      <c r="D843" s="5">
        <v>1026</v>
      </c>
      <c r="E843" s="6">
        <v>0.97</v>
      </c>
      <c r="F843" s="5">
        <v>0</v>
      </c>
      <c r="G843" s="5">
        <v>62.27</v>
      </c>
      <c r="H843" s="5">
        <v>781</v>
      </c>
      <c r="I843" s="5" t="str">
        <f>HYPERLINK("https://www.ncbi.nlm.nih.gov/protein/WP_046367298.1?report=genbank&amp;log$=prottop&amp;blast_rank=149&amp;RID=7U875CNM013","WP_046367298.1")</f>
        <v>WP_046367298.1</v>
      </c>
      <c r="J843" s="5" t="s">
        <v>4352</v>
      </c>
    </row>
    <row r="844" spans="1:10" x14ac:dyDescent="0.2">
      <c r="A844" s="5" t="s">
        <v>4353</v>
      </c>
      <c r="B844" s="5" t="s">
        <v>4354</v>
      </c>
      <c r="C844" s="5">
        <v>1026</v>
      </c>
      <c r="D844" s="5">
        <v>1026</v>
      </c>
      <c r="E844" s="6">
        <v>0.97</v>
      </c>
      <c r="F844" s="5">
        <v>0</v>
      </c>
      <c r="G844" s="5">
        <v>62.27</v>
      </c>
      <c r="H844" s="5">
        <v>788</v>
      </c>
      <c r="I844" s="5" t="str">
        <f>HYPERLINK("https://www.ncbi.nlm.nih.gov/protein/GAO41434.1?report=genbank&amp;log$=prottop&amp;blast_rank=150&amp;RID=7U875CNM013","GAO41434.1")</f>
        <v>GAO41434.1</v>
      </c>
      <c r="J844" s="5" t="s">
        <v>4352</v>
      </c>
    </row>
    <row r="845" spans="1:10" x14ac:dyDescent="0.2">
      <c r="A845" s="5" t="s">
        <v>4182</v>
      </c>
      <c r="B845" s="5" t="s">
        <v>4183</v>
      </c>
      <c r="C845" s="5">
        <v>1045</v>
      </c>
      <c r="D845" s="5">
        <v>1045</v>
      </c>
      <c r="E845" s="6">
        <v>0.99</v>
      </c>
      <c r="F845" s="5">
        <v>0</v>
      </c>
      <c r="G845" s="5">
        <v>62.26</v>
      </c>
      <c r="H845" s="5">
        <v>822</v>
      </c>
      <c r="I845" s="5" t="str">
        <f>HYPERLINK("https://www.ncbi.nlm.nih.gov/protein/RWO61446.1?report=genbank&amp;log$=prottop&amp;blast_rank=152&amp;RID=7U875CNM013","RWO61446.1")</f>
        <v>RWO61446.1</v>
      </c>
      <c r="J845" s="5" t="s">
        <v>1818</v>
      </c>
    </row>
    <row r="846" spans="1:10" x14ac:dyDescent="0.2">
      <c r="A846" s="5" t="s">
        <v>4355</v>
      </c>
      <c r="B846" s="5" t="s">
        <v>4356</v>
      </c>
      <c r="C846" s="5">
        <v>1037</v>
      </c>
      <c r="D846" s="5">
        <v>1037</v>
      </c>
      <c r="E846" s="6">
        <v>0.99</v>
      </c>
      <c r="F846" s="5">
        <v>0</v>
      </c>
      <c r="G846" s="5">
        <v>62.26</v>
      </c>
      <c r="H846" s="5">
        <v>820</v>
      </c>
      <c r="I846" s="5" t="str">
        <f>HYPERLINK("https://www.ncbi.nlm.nih.gov/protein/WP_126827575.1?report=genbank&amp;log$=prottop&amp;blast_rank=156&amp;RID=7U875CNM013","WP_126827575.1")</f>
        <v>WP_126827575.1</v>
      </c>
      <c r="J846" s="5" t="s">
        <v>4143</v>
      </c>
    </row>
    <row r="847" spans="1:10" x14ac:dyDescent="0.2">
      <c r="A847" s="5" t="s">
        <v>4357</v>
      </c>
      <c r="B847" s="5" t="s">
        <v>4358</v>
      </c>
      <c r="C847" s="5">
        <v>1042</v>
      </c>
      <c r="D847" s="5">
        <v>1042</v>
      </c>
      <c r="E847" s="6">
        <v>0.98</v>
      </c>
      <c r="F847" s="5">
        <v>0</v>
      </c>
      <c r="G847" s="5">
        <v>62.26</v>
      </c>
      <c r="H847" s="5">
        <v>793</v>
      </c>
      <c r="I847" s="5" t="str">
        <f>HYPERLINK("https://www.ncbi.nlm.nih.gov/protein/MBA3833303.1?report=genbank&amp;log$=prottop&amp;blast_rank=159&amp;RID=7U875CNM013","MBA3833303.1")</f>
        <v>MBA3833303.1</v>
      </c>
      <c r="J847" s="5" t="s">
        <v>4359</v>
      </c>
    </row>
    <row r="848" spans="1:10" x14ac:dyDescent="0.2">
      <c r="A848" s="5" t="s">
        <v>3393</v>
      </c>
      <c r="B848" s="5" t="s">
        <v>3315</v>
      </c>
      <c r="C848" s="5">
        <v>1039</v>
      </c>
      <c r="D848" s="5">
        <v>1039</v>
      </c>
      <c r="E848" s="6">
        <v>0.98</v>
      </c>
      <c r="F848" s="5">
        <v>0</v>
      </c>
      <c r="G848" s="5">
        <v>62.24</v>
      </c>
      <c r="H848" s="5">
        <v>792</v>
      </c>
      <c r="I848" s="5" t="str">
        <f>HYPERLINK("https://www.ncbi.nlm.nih.gov/protein/HEC29505.1?report=genbank&amp;log$=prottop&amp;blast_rank=8&amp;RID=7U875CNM013","HEC29505.1")</f>
        <v>HEC29505.1</v>
      </c>
      <c r="J848" s="5" t="s">
        <v>3276</v>
      </c>
    </row>
    <row r="849" spans="1:10" x14ac:dyDescent="0.2">
      <c r="A849" s="5" t="s">
        <v>4360</v>
      </c>
      <c r="B849" s="5" t="s">
        <v>4361</v>
      </c>
      <c r="C849" s="5">
        <v>1033</v>
      </c>
      <c r="D849" s="5">
        <v>1033</v>
      </c>
      <c r="E849" s="6">
        <v>0.98</v>
      </c>
      <c r="F849" s="5">
        <v>0</v>
      </c>
      <c r="G849" s="5">
        <v>62.24</v>
      </c>
      <c r="H849" s="5">
        <v>797</v>
      </c>
      <c r="I849" s="5" t="str">
        <f>HYPERLINK("https://www.ncbi.nlm.nih.gov/protein/WP_005878278.1?report=genbank&amp;log$=prottop&amp;blast_rank=10&amp;RID=7U875CNM013","WP_005878278.1")</f>
        <v>WP_005878278.1</v>
      </c>
      <c r="J849" s="5" t="s">
        <v>2134</v>
      </c>
    </row>
    <row r="850" spans="1:10" x14ac:dyDescent="0.2">
      <c r="A850" s="5" t="s">
        <v>4362</v>
      </c>
      <c r="B850" s="5" t="s">
        <v>4363</v>
      </c>
      <c r="C850" s="5">
        <v>1033</v>
      </c>
      <c r="D850" s="5">
        <v>1033</v>
      </c>
      <c r="E850" s="6">
        <v>0.98</v>
      </c>
      <c r="F850" s="5">
        <v>0</v>
      </c>
      <c r="G850" s="5">
        <v>62.24</v>
      </c>
      <c r="H850" s="5">
        <v>799</v>
      </c>
      <c r="I850" s="26" t="str">
        <f>HYPERLINK("https://www.ncbi.nlm.nih.gov/protein/EEO28520.2?report=genbank&amp;log$=prottop&amp;blast_rank=11&amp;RID=7U875CNM013","EEO28520.2")</f>
        <v>EEO28520.2</v>
      </c>
      <c r="J850" s="5" t="s">
        <v>2134</v>
      </c>
    </row>
    <row r="851" spans="1:10" x14ac:dyDescent="0.2">
      <c r="A851" s="5" t="s">
        <v>3393</v>
      </c>
      <c r="B851" s="5" t="s">
        <v>3315</v>
      </c>
      <c r="C851" s="5">
        <v>1056</v>
      </c>
      <c r="D851" s="5">
        <v>1056</v>
      </c>
      <c r="E851" s="6">
        <v>0.98</v>
      </c>
      <c r="F851" s="5">
        <v>0</v>
      </c>
      <c r="G851" s="5">
        <v>62.23</v>
      </c>
      <c r="H851" s="5">
        <v>796</v>
      </c>
      <c r="I851" s="5" t="str">
        <f>HYPERLINK("https://www.ncbi.nlm.nih.gov/protein/HHI92060.1?report=genbank&amp;log$=prottop&amp;blast_rank=15&amp;RID=7U875CNM013","HHI92060.1")</f>
        <v>HHI92060.1</v>
      </c>
      <c r="J851" s="5" t="s">
        <v>3276</v>
      </c>
    </row>
    <row r="852" spans="1:10" x14ac:dyDescent="0.2">
      <c r="A852" s="5" t="s">
        <v>3823</v>
      </c>
      <c r="B852" s="5" t="s">
        <v>3824</v>
      </c>
      <c r="C852" s="5">
        <v>1024</v>
      </c>
      <c r="D852" s="5">
        <v>1024</v>
      </c>
      <c r="E852" s="6">
        <v>0.98</v>
      </c>
      <c r="F852" s="5">
        <v>0</v>
      </c>
      <c r="G852" s="5">
        <v>62.23</v>
      </c>
      <c r="H852" s="5">
        <v>786</v>
      </c>
      <c r="I852" s="5" t="str">
        <f>HYPERLINK("https://www.ncbi.nlm.nih.gov/protein/WP_068806191.1?report=genbank&amp;log$=prottop&amp;blast_rank=17&amp;RID=7U875CNM013","WP_068806191.1")</f>
        <v>WP_068806191.1</v>
      </c>
      <c r="J852" s="5" t="s">
        <v>3276</v>
      </c>
    </row>
    <row r="853" spans="1:10" x14ac:dyDescent="0.2">
      <c r="A853" s="5" t="s">
        <v>4364</v>
      </c>
      <c r="B853" s="5" t="s">
        <v>4365</v>
      </c>
      <c r="C853" s="5">
        <v>1023</v>
      </c>
      <c r="D853" s="5">
        <v>1023</v>
      </c>
      <c r="E853" s="6">
        <v>0.98</v>
      </c>
      <c r="F853" s="5">
        <v>0</v>
      </c>
      <c r="G853" s="5">
        <v>62.23</v>
      </c>
      <c r="H853" s="5">
        <v>791</v>
      </c>
      <c r="I853" s="5" t="str">
        <f>HYPERLINK("https://www.ncbi.nlm.nih.gov/protein/WP_027995033.1?report=genbank&amp;log$=prottop&amp;blast_rank=18&amp;RID=7U875CNM013","WP_027995033.1")</f>
        <v>WP_027995033.1</v>
      </c>
      <c r="J853" s="5" t="s">
        <v>2134</v>
      </c>
    </row>
    <row r="854" spans="1:10" x14ac:dyDescent="0.2">
      <c r="A854" s="5" t="s">
        <v>4366</v>
      </c>
      <c r="B854" s="5" t="s">
        <v>4367</v>
      </c>
      <c r="C854" s="5">
        <v>1026</v>
      </c>
      <c r="D854" s="5">
        <v>1026</v>
      </c>
      <c r="E854" s="6">
        <v>0.98</v>
      </c>
      <c r="F854" s="5">
        <v>0</v>
      </c>
      <c r="G854" s="5">
        <v>62.22</v>
      </c>
      <c r="H854" s="5">
        <v>811</v>
      </c>
      <c r="I854" s="5" t="str">
        <f>HYPERLINK("https://www.ncbi.nlm.nih.gov/protein/WP_159675159.1?report=genbank&amp;log$=prottop&amp;blast_rank=19&amp;RID=7U875CNM013","WP_159675159.1")</f>
        <v>WP_159675159.1</v>
      </c>
      <c r="J854" s="5" t="s">
        <v>2134</v>
      </c>
    </row>
    <row r="855" spans="1:10" x14ac:dyDescent="0.2">
      <c r="A855" s="5" t="s">
        <v>4368</v>
      </c>
      <c r="B855" s="5" t="s">
        <v>4369</v>
      </c>
      <c r="C855" s="5">
        <v>1024</v>
      </c>
      <c r="D855" s="5">
        <v>1024</v>
      </c>
      <c r="E855" s="6">
        <v>0.99</v>
      </c>
      <c r="F855" s="5">
        <v>0</v>
      </c>
      <c r="G855" s="5">
        <v>62.22</v>
      </c>
      <c r="H855" s="5">
        <v>818</v>
      </c>
      <c r="I855" s="5" t="str">
        <f>HYPERLINK("https://www.ncbi.nlm.nih.gov/protein/WP_081929639.1?report=genbank&amp;log$=prottop&amp;blast_rank=21&amp;RID=7U875CNM013","WP_081929639.1")</f>
        <v>WP_081929639.1</v>
      </c>
      <c r="J855" s="5" t="s">
        <v>4370</v>
      </c>
    </row>
    <row r="856" spans="1:10" x14ac:dyDescent="0.2">
      <c r="A856" s="5" t="s">
        <v>4371</v>
      </c>
      <c r="B856" s="5" t="s">
        <v>4372</v>
      </c>
      <c r="C856" s="5">
        <v>1032</v>
      </c>
      <c r="D856" s="5">
        <v>1032</v>
      </c>
      <c r="E856" s="6">
        <v>0.98</v>
      </c>
      <c r="F856" s="5">
        <v>0</v>
      </c>
      <c r="G856" s="5">
        <v>62.21</v>
      </c>
      <c r="H856" s="5">
        <v>798</v>
      </c>
      <c r="I856" s="5" t="str">
        <f>HYPERLINK("https://www.ncbi.nlm.nih.gov/protein/OUS15335.1?report=genbank&amp;log$=prottop&amp;blast_rank=23&amp;RID=7U875CNM013","OUS15335.1")</f>
        <v>OUS15335.1</v>
      </c>
      <c r="J856" s="5" t="s">
        <v>3276</v>
      </c>
    </row>
    <row r="857" spans="1:10" x14ac:dyDescent="0.2">
      <c r="A857" s="5" t="s">
        <v>4182</v>
      </c>
      <c r="B857" s="5" t="s">
        <v>4183</v>
      </c>
      <c r="C857" s="5">
        <v>1029</v>
      </c>
      <c r="D857" s="5">
        <v>1029</v>
      </c>
      <c r="E857" s="6">
        <v>0.98</v>
      </c>
      <c r="F857" s="5">
        <v>0</v>
      </c>
      <c r="G857" s="5">
        <v>62.21</v>
      </c>
      <c r="H857" s="5">
        <v>805</v>
      </c>
      <c r="I857" s="5" t="str">
        <f>HYPERLINK("https://www.ncbi.nlm.nih.gov/protein/RWB97378.1?report=genbank&amp;log$=prottop&amp;blast_rank=24&amp;RID=7U875CNM013","RWB97378.1")</f>
        <v>RWB97378.1</v>
      </c>
      <c r="J857" s="5" t="s">
        <v>1818</v>
      </c>
    </row>
    <row r="858" spans="1:10" x14ac:dyDescent="0.2">
      <c r="A858" s="5" t="s">
        <v>4373</v>
      </c>
      <c r="B858" s="5" t="s">
        <v>4374</v>
      </c>
      <c r="C858" s="5">
        <v>1032</v>
      </c>
      <c r="D858" s="5">
        <v>1032</v>
      </c>
      <c r="E858" s="6">
        <v>0.98</v>
      </c>
      <c r="F858" s="5">
        <v>0</v>
      </c>
      <c r="G858" s="5">
        <v>62.18</v>
      </c>
      <c r="H858" s="5">
        <v>793</v>
      </c>
      <c r="I858" s="5" t="str">
        <f>HYPERLINK("https://www.ncbi.nlm.nih.gov/protein/WP_071071573.1?report=genbank&amp;log$=prottop&amp;blast_rank=35&amp;RID=7U875CNM013","WP_071071573.1")</f>
        <v>WP_071071573.1</v>
      </c>
      <c r="J858" s="5" t="s">
        <v>1818</v>
      </c>
    </row>
    <row r="859" spans="1:10" x14ac:dyDescent="0.2">
      <c r="A859" s="5" t="s">
        <v>2045</v>
      </c>
      <c r="B859" s="5" t="s">
        <v>2046</v>
      </c>
      <c r="C859" s="5">
        <v>1031</v>
      </c>
      <c r="D859" s="5">
        <v>1031</v>
      </c>
      <c r="E859" s="6">
        <v>0.98</v>
      </c>
      <c r="F859" s="5">
        <v>0</v>
      </c>
      <c r="G859" s="5">
        <v>62.18</v>
      </c>
      <c r="H859" s="5">
        <v>793</v>
      </c>
      <c r="I859" s="5" t="str">
        <f>HYPERLINK("https://www.ncbi.nlm.nih.gov/protein/WP_127426686.1?report=genbank&amp;log$=prottop&amp;blast_rank=36&amp;RID=7U875CNM013","WP_127426686.1")</f>
        <v>WP_127426686.1</v>
      </c>
      <c r="J859" s="5" t="s">
        <v>1818</v>
      </c>
    </row>
    <row r="860" spans="1:10" x14ac:dyDescent="0.2">
      <c r="A860" s="5" t="s">
        <v>4182</v>
      </c>
      <c r="B860" s="5" t="s">
        <v>4183</v>
      </c>
      <c r="C860" s="5">
        <v>1029</v>
      </c>
      <c r="D860" s="5">
        <v>1029</v>
      </c>
      <c r="E860" s="6">
        <v>0.98</v>
      </c>
      <c r="F860" s="5">
        <v>0</v>
      </c>
      <c r="G860" s="5">
        <v>62.18</v>
      </c>
      <c r="H860" s="5">
        <v>793</v>
      </c>
      <c r="I860" s="5" t="str">
        <f>HYPERLINK("https://www.ncbi.nlm.nih.gov/protein/RWD62892.1?report=genbank&amp;log$=prottop&amp;blast_rank=37&amp;RID=7U875CNM013","RWD62892.1")</f>
        <v>RWD62892.1</v>
      </c>
      <c r="J860" s="5" t="s">
        <v>1818</v>
      </c>
    </row>
    <row r="861" spans="1:10" x14ac:dyDescent="0.2">
      <c r="A861" s="5" t="s">
        <v>4375</v>
      </c>
      <c r="B861" s="5" t="s">
        <v>4376</v>
      </c>
      <c r="C861" s="5">
        <v>1026</v>
      </c>
      <c r="D861" s="5">
        <v>1026</v>
      </c>
      <c r="E861" s="6">
        <v>0.98</v>
      </c>
      <c r="F861" s="5">
        <v>0</v>
      </c>
      <c r="G861" s="5">
        <v>62.18</v>
      </c>
      <c r="H861" s="5">
        <v>787</v>
      </c>
      <c r="I861" s="5" t="str">
        <f>HYPERLINK("https://www.ncbi.nlm.nih.gov/protein/WP_129833034.1?report=genbank&amp;log$=prottop&amp;blast_rank=38&amp;RID=7U875CNM013","WP_129833034.1")</f>
        <v>WP_129833034.1</v>
      </c>
      <c r="J861" s="5" t="s">
        <v>3276</v>
      </c>
    </row>
    <row r="862" spans="1:10" x14ac:dyDescent="0.2">
      <c r="A862" s="5" t="s">
        <v>4377</v>
      </c>
      <c r="B862" s="5" t="s">
        <v>4378</v>
      </c>
      <c r="C862" s="5">
        <v>1025</v>
      </c>
      <c r="D862" s="5">
        <v>1025</v>
      </c>
      <c r="E862" s="6">
        <v>0.98</v>
      </c>
      <c r="F862" s="5">
        <v>0</v>
      </c>
      <c r="G862" s="5">
        <v>62.18</v>
      </c>
      <c r="H862" s="5">
        <v>793</v>
      </c>
      <c r="I862" s="5" t="str">
        <f>HYPERLINK("https://www.ncbi.nlm.nih.gov/protein/WP_125006427.1?report=genbank&amp;log$=prottop&amp;blast_rank=39&amp;RID=7U875CNM013","WP_125006427.1")</f>
        <v>WP_125006427.1</v>
      </c>
      <c r="J862" s="5" t="s">
        <v>1818</v>
      </c>
    </row>
    <row r="863" spans="1:10" x14ac:dyDescent="0.2">
      <c r="A863" s="5" t="s">
        <v>4379</v>
      </c>
      <c r="B863" s="5" t="s">
        <v>4380</v>
      </c>
      <c r="C863" s="5">
        <v>1025</v>
      </c>
      <c r="D863" s="5">
        <v>1025</v>
      </c>
      <c r="E863" s="6">
        <v>0.98</v>
      </c>
      <c r="F863" s="5">
        <v>0</v>
      </c>
      <c r="G863" s="5">
        <v>62.18</v>
      </c>
      <c r="H863" s="5">
        <v>793</v>
      </c>
      <c r="I863" s="5" t="str">
        <f>HYPERLINK("https://www.ncbi.nlm.nih.gov/protein/WP_127221055.1?report=genbank&amp;log$=prottop&amp;blast_rank=40&amp;RID=7U875CNM013","WP_127221055.1")</f>
        <v>WP_127221055.1</v>
      </c>
      <c r="J863" s="5" t="s">
        <v>1818</v>
      </c>
    </row>
    <row r="864" spans="1:10" x14ac:dyDescent="0.2">
      <c r="A864" s="5" t="s">
        <v>4182</v>
      </c>
      <c r="B864" s="5" t="s">
        <v>4183</v>
      </c>
      <c r="C864" s="5">
        <v>1023</v>
      </c>
      <c r="D864" s="5">
        <v>1023</v>
      </c>
      <c r="E864" s="6">
        <v>0.98</v>
      </c>
      <c r="F864" s="5">
        <v>0</v>
      </c>
      <c r="G864" s="5">
        <v>62.18</v>
      </c>
      <c r="H864" s="5">
        <v>793</v>
      </c>
      <c r="I864" s="5" t="str">
        <f>HYPERLINK("https://www.ncbi.nlm.nih.gov/protein/TKB13023.1?report=genbank&amp;log$=prottop&amp;blast_rank=41&amp;RID=7U875CNM013","TKB13023.1")</f>
        <v>TKB13023.1</v>
      </c>
      <c r="J864" s="5" t="s">
        <v>1818</v>
      </c>
    </row>
    <row r="865" spans="1:10" x14ac:dyDescent="0.2">
      <c r="A865" s="5" t="s">
        <v>4381</v>
      </c>
      <c r="B865" s="5" t="s">
        <v>4382</v>
      </c>
      <c r="C865" s="5">
        <v>1023</v>
      </c>
      <c r="D865" s="5">
        <v>1023</v>
      </c>
      <c r="E865" s="6">
        <v>0.98</v>
      </c>
      <c r="F865" s="5">
        <v>0</v>
      </c>
      <c r="G865" s="5">
        <v>62.18</v>
      </c>
      <c r="H865" s="5">
        <v>815</v>
      </c>
      <c r="I865" s="5" t="str">
        <f>HYPERLINK("https://www.ncbi.nlm.nih.gov/protein/WP_126098210.1?report=genbank&amp;log$=prottop&amp;blast_rank=42&amp;RID=7U875CNM013","WP_126098210.1")</f>
        <v>WP_126098210.1</v>
      </c>
      <c r="J865" s="5" t="s">
        <v>1818</v>
      </c>
    </row>
    <row r="866" spans="1:10" x14ac:dyDescent="0.2">
      <c r="A866" s="5" t="s">
        <v>4383</v>
      </c>
      <c r="B866" s="5" t="s">
        <v>4384</v>
      </c>
      <c r="C866" s="5">
        <v>1047</v>
      </c>
      <c r="D866" s="5">
        <v>1047</v>
      </c>
      <c r="E866" s="6">
        <v>0.99</v>
      </c>
      <c r="F866" s="5">
        <v>0</v>
      </c>
      <c r="G866" s="5">
        <v>62.17</v>
      </c>
      <c r="H866" s="5">
        <v>815</v>
      </c>
      <c r="I866" s="5" t="str">
        <f>HYPERLINK("https://www.ncbi.nlm.nih.gov/protein/WP_183861360.1?report=genbank&amp;log$=prottop&amp;blast_rank=43&amp;RID=7U875CNM013","WP_183861360.1")</f>
        <v>WP_183861360.1</v>
      </c>
      <c r="J866" s="5" t="s">
        <v>4385</v>
      </c>
    </row>
    <row r="867" spans="1:10" x14ac:dyDescent="0.2">
      <c r="A867" s="5" t="s">
        <v>4063</v>
      </c>
      <c r="B867" s="5" t="s">
        <v>4064</v>
      </c>
      <c r="C867" s="5">
        <v>1023</v>
      </c>
      <c r="D867" s="5">
        <v>1023</v>
      </c>
      <c r="E867" s="6">
        <v>0.99</v>
      </c>
      <c r="F867" s="5">
        <v>0</v>
      </c>
      <c r="G867" s="5">
        <v>62.17</v>
      </c>
      <c r="H867" s="5">
        <v>818</v>
      </c>
      <c r="I867" s="5" t="str">
        <f>HYPERLINK("https://www.ncbi.nlm.nih.gov/protein/WP_077961182.1?report=genbank&amp;log$=prottop&amp;blast_rank=47&amp;RID=7U875CNM013","WP_077961182.1")</f>
        <v>WP_077961182.1</v>
      </c>
      <c r="J867" s="5" t="s">
        <v>1720</v>
      </c>
    </row>
    <row r="868" spans="1:10" s="7" customFormat="1" x14ac:dyDescent="0.2">
      <c r="A868" s="5" t="s">
        <v>4386</v>
      </c>
      <c r="B868" s="5" t="s">
        <v>4387</v>
      </c>
      <c r="C868" s="5">
        <v>1034</v>
      </c>
      <c r="D868" s="5">
        <v>1034</v>
      </c>
      <c r="E868" s="6">
        <v>0.98</v>
      </c>
      <c r="F868" s="5">
        <v>0</v>
      </c>
      <c r="G868" s="5">
        <v>62.17</v>
      </c>
      <c r="H868" s="5">
        <v>789</v>
      </c>
      <c r="I868" s="35" t="str">
        <f>HYPERLINK("https://www.ncbi.nlm.nih.gov/protein/WP_070078448.1?report=genbank&amp;log$=prottop&amp;blast_rank=54&amp;RID=7U875CNM013","WP_070078448.1")</f>
        <v>WP_070078448.1</v>
      </c>
      <c r="J868" s="5" t="s">
        <v>3276</v>
      </c>
    </row>
    <row r="869" spans="1:10" x14ac:dyDescent="0.2">
      <c r="A869" s="5" t="s">
        <v>4182</v>
      </c>
      <c r="B869" s="5" t="s">
        <v>4183</v>
      </c>
      <c r="C869" s="5">
        <v>1032</v>
      </c>
      <c r="D869" s="5">
        <v>1032</v>
      </c>
      <c r="E869" s="6">
        <v>0.98</v>
      </c>
      <c r="F869" s="5">
        <v>0</v>
      </c>
      <c r="G869" s="5">
        <v>62.17</v>
      </c>
      <c r="H869" s="5">
        <v>799</v>
      </c>
      <c r="I869" s="5" t="str">
        <f>HYPERLINK("https://www.ncbi.nlm.nih.gov/protein/RWE68116.1?report=genbank&amp;log$=prottop&amp;blast_rank=56&amp;RID=7U875CNM013","RWE68116.1")</f>
        <v>RWE68116.1</v>
      </c>
      <c r="J869" s="5" t="s">
        <v>1818</v>
      </c>
    </row>
    <row r="870" spans="1:10" x14ac:dyDescent="0.2">
      <c r="A870" s="5" t="s">
        <v>4182</v>
      </c>
      <c r="B870" s="5" t="s">
        <v>4183</v>
      </c>
      <c r="C870" s="5">
        <v>1031</v>
      </c>
      <c r="D870" s="5">
        <v>1031</v>
      </c>
      <c r="E870" s="6">
        <v>0.98</v>
      </c>
      <c r="F870" s="5">
        <v>0</v>
      </c>
      <c r="G870" s="5">
        <v>62.17</v>
      </c>
      <c r="H870" s="5">
        <v>799</v>
      </c>
      <c r="I870" s="5" t="str">
        <f>HYPERLINK("https://www.ncbi.nlm.nih.gov/protein/RWB35661.1?report=genbank&amp;log$=prottop&amp;blast_rank=57&amp;RID=7U875CNM013","RWB35661.1")</f>
        <v>RWB35661.1</v>
      </c>
      <c r="J870" s="5" t="s">
        <v>1818</v>
      </c>
    </row>
    <row r="871" spans="1:10" x14ac:dyDescent="0.2">
      <c r="A871" s="5" t="s">
        <v>4182</v>
      </c>
      <c r="B871" s="5" t="s">
        <v>4183</v>
      </c>
      <c r="C871" s="5">
        <v>1031</v>
      </c>
      <c r="D871" s="5">
        <v>1031</v>
      </c>
      <c r="E871" s="6">
        <v>0.98</v>
      </c>
      <c r="F871" s="5">
        <v>0</v>
      </c>
      <c r="G871" s="5">
        <v>62.17</v>
      </c>
      <c r="H871" s="5">
        <v>799</v>
      </c>
      <c r="I871" s="5" t="str">
        <f>HYPERLINK("https://www.ncbi.nlm.nih.gov/protein/RWF58973.1?report=genbank&amp;log$=prottop&amp;blast_rank=58&amp;RID=7U875CNM013","RWF58973.1")</f>
        <v>RWF58973.1</v>
      </c>
      <c r="J871" s="5" t="s">
        <v>1818</v>
      </c>
    </row>
    <row r="872" spans="1:10" x14ac:dyDescent="0.2">
      <c r="A872" s="5" t="s">
        <v>4182</v>
      </c>
      <c r="B872" s="5" t="s">
        <v>4183</v>
      </c>
      <c r="C872" s="5">
        <v>1030</v>
      </c>
      <c r="D872" s="5">
        <v>1030</v>
      </c>
      <c r="E872" s="6">
        <v>0.98</v>
      </c>
      <c r="F872" s="5">
        <v>0</v>
      </c>
      <c r="G872" s="5">
        <v>62.17</v>
      </c>
      <c r="H872" s="5">
        <v>799</v>
      </c>
      <c r="I872" s="5" t="str">
        <f>HYPERLINK("https://www.ncbi.nlm.nih.gov/protein/RWE54141.1?report=genbank&amp;log$=prottop&amp;blast_rank=60&amp;RID=7U875CNM013","RWE54141.1")</f>
        <v>RWE54141.1</v>
      </c>
      <c r="J872" s="5" t="s">
        <v>1818</v>
      </c>
    </row>
    <row r="873" spans="1:10" x14ac:dyDescent="0.2">
      <c r="A873" s="5" t="s">
        <v>2045</v>
      </c>
      <c r="B873" s="5" t="s">
        <v>2046</v>
      </c>
      <c r="C873" s="5">
        <v>1025</v>
      </c>
      <c r="D873" s="5">
        <v>1025</v>
      </c>
      <c r="E873" s="6">
        <v>0.98</v>
      </c>
      <c r="F873" s="5">
        <v>0</v>
      </c>
      <c r="G873" s="5">
        <v>62.17</v>
      </c>
      <c r="H873" s="5">
        <v>807</v>
      </c>
      <c r="I873" s="5" t="str">
        <f>HYPERLINK("https://www.ncbi.nlm.nih.gov/protein/WP_135930092.1?report=genbank&amp;log$=prottop&amp;blast_rank=69&amp;RID=7U875CNM013","WP_135930092.1")</f>
        <v>WP_135930092.1</v>
      </c>
      <c r="J873" s="5" t="s">
        <v>1818</v>
      </c>
    </row>
    <row r="874" spans="1:10" x14ac:dyDescent="0.2">
      <c r="A874" s="5" t="s">
        <v>2121</v>
      </c>
      <c r="B874" s="5" t="s">
        <v>2122</v>
      </c>
      <c r="C874" s="5">
        <v>1041</v>
      </c>
      <c r="D874" s="5">
        <v>1041</v>
      </c>
      <c r="E874" s="6">
        <v>0.99</v>
      </c>
      <c r="F874" s="5">
        <v>0</v>
      </c>
      <c r="G874" s="5">
        <v>62.16</v>
      </c>
      <c r="H874" s="5">
        <v>814</v>
      </c>
      <c r="I874" s="5" t="str">
        <f>HYPERLINK("https://www.ncbi.nlm.nih.gov/protein/WP_051321207.1?report=genbank&amp;log$=prottop&amp;blast_rank=71&amp;RID=7U875CNM013","WP_051321207.1")</f>
        <v>WP_051321207.1</v>
      </c>
      <c r="J874" s="5" t="s">
        <v>1720</v>
      </c>
    </row>
    <row r="875" spans="1:10" x14ac:dyDescent="0.2">
      <c r="A875" s="5" t="s">
        <v>4388</v>
      </c>
      <c r="B875" s="5" t="s">
        <v>4389</v>
      </c>
      <c r="C875" s="5">
        <v>1055</v>
      </c>
      <c r="D875" s="5">
        <v>1055</v>
      </c>
      <c r="E875" s="6">
        <v>0.98</v>
      </c>
      <c r="F875" s="5">
        <v>0</v>
      </c>
      <c r="G875" s="5">
        <v>62.15</v>
      </c>
      <c r="H875" s="5">
        <v>786</v>
      </c>
      <c r="I875" s="5" t="str">
        <f>HYPERLINK("https://www.ncbi.nlm.nih.gov/protein/WP_025343634.1?report=genbank&amp;log$=prottop&amp;blast_rank=79&amp;RID=7U875CNM013","WP_025343634.1")</f>
        <v>WP_025343634.1</v>
      </c>
      <c r="J875" s="5" t="s">
        <v>4390</v>
      </c>
    </row>
    <row r="876" spans="1:10" x14ac:dyDescent="0.2">
      <c r="A876" s="5" t="s">
        <v>4391</v>
      </c>
      <c r="B876" s="5" t="s">
        <v>4392</v>
      </c>
      <c r="C876" s="5">
        <v>1044</v>
      </c>
      <c r="D876" s="5">
        <v>1044</v>
      </c>
      <c r="E876" s="6">
        <v>0.99</v>
      </c>
      <c r="F876" s="5">
        <v>0</v>
      </c>
      <c r="G876" s="5">
        <v>62.14</v>
      </c>
      <c r="H876" s="5">
        <v>822</v>
      </c>
      <c r="I876" s="5" t="str">
        <f>HYPERLINK("https://www.ncbi.nlm.nih.gov/protein/WP_077380038.1?report=genbank&amp;log$=prottop&amp;blast_rank=85&amp;RID=7U875CNM013","WP_077380038.1")</f>
        <v>WP_077380038.1</v>
      </c>
      <c r="J876" s="5" t="s">
        <v>1818</v>
      </c>
    </row>
    <row r="877" spans="1:10" x14ac:dyDescent="0.2">
      <c r="A877" s="5" t="s">
        <v>4393</v>
      </c>
      <c r="B877" s="5" t="s">
        <v>4394</v>
      </c>
      <c r="C877" s="5">
        <v>1036</v>
      </c>
      <c r="D877" s="5">
        <v>1036</v>
      </c>
      <c r="E877" s="6">
        <v>0.99</v>
      </c>
      <c r="F877" s="5">
        <v>0</v>
      </c>
      <c r="G877" s="5">
        <v>62.14</v>
      </c>
      <c r="H877" s="5">
        <v>820</v>
      </c>
      <c r="I877" s="5" t="str">
        <f>HYPERLINK("https://www.ncbi.nlm.nih.gov/protein/WP_081928571.1?report=genbank&amp;log$=prottop&amp;blast_rank=87&amp;RID=7U875CNM013","WP_081928571.1")</f>
        <v>WP_081928571.1</v>
      </c>
      <c r="J877" s="5" t="s">
        <v>1720</v>
      </c>
    </row>
    <row r="878" spans="1:10" x14ac:dyDescent="0.2">
      <c r="A878" s="5" t="s">
        <v>4395</v>
      </c>
      <c r="B878" s="5" t="s">
        <v>4396</v>
      </c>
      <c r="C878" s="5">
        <v>1024</v>
      </c>
      <c r="D878" s="5">
        <v>1024</v>
      </c>
      <c r="E878" s="6">
        <v>0.98</v>
      </c>
      <c r="F878" s="5">
        <v>0</v>
      </c>
      <c r="G878" s="5">
        <v>62.1</v>
      </c>
      <c r="H878" s="5">
        <v>792</v>
      </c>
      <c r="I878" s="5" t="str">
        <f>HYPERLINK("https://www.ncbi.nlm.nih.gov/protein/WP_088917583.1?report=genbank&amp;log$=prottop&amp;blast_rank=97&amp;RID=7U875CNM013","WP_088917583.1")</f>
        <v>WP_088917583.1</v>
      </c>
      <c r="J878" s="5" t="s">
        <v>3276</v>
      </c>
    </row>
    <row r="879" spans="1:10" x14ac:dyDescent="0.2">
      <c r="A879" s="5" t="s">
        <v>4397</v>
      </c>
      <c r="B879" s="5" t="s">
        <v>4398</v>
      </c>
      <c r="C879" s="5">
        <v>1029</v>
      </c>
      <c r="D879" s="5">
        <v>1029</v>
      </c>
      <c r="E879" s="6">
        <v>0.98</v>
      </c>
      <c r="F879" s="5">
        <v>0</v>
      </c>
      <c r="G879" s="5">
        <v>62.09</v>
      </c>
      <c r="H879" s="5">
        <v>813</v>
      </c>
      <c r="I879" s="5" t="str">
        <f>HYPERLINK("https://www.ncbi.nlm.nih.gov/protein/WP_084092991.1?report=genbank&amp;log$=prottop&amp;blast_rank=98&amp;RID=7U875CNM013","WP_084092991.1")</f>
        <v>WP_084092991.1</v>
      </c>
      <c r="J879" s="5" t="s">
        <v>2134</v>
      </c>
    </row>
    <row r="880" spans="1:10" x14ac:dyDescent="0.2">
      <c r="A880" s="5" t="s">
        <v>4399</v>
      </c>
      <c r="B880" s="5" t="s">
        <v>4400</v>
      </c>
      <c r="C880" s="5">
        <v>1031</v>
      </c>
      <c r="D880" s="5">
        <v>1031</v>
      </c>
      <c r="E880" s="6">
        <v>0.98</v>
      </c>
      <c r="F880" s="5">
        <v>0</v>
      </c>
      <c r="G880" s="5">
        <v>62.09</v>
      </c>
      <c r="H880" s="5">
        <v>788</v>
      </c>
      <c r="I880" s="5" t="str">
        <f>HYPERLINK("https://www.ncbi.nlm.nih.gov/protein/MBF0441926.1?report=genbank&amp;log$=prottop&amp;blast_rank=99&amp;RID=7U875CNM013","MBF0441926.1")</f>
        <v>MBF0441926.1</v>
      </c>
      <c r="J880" s="5" t="s">
        <v>4401</v>
      </c>
    </row>
    <row r="881" spans="1:10" x14ac:dyDescent="0.2">
      <c r="A881" s="5" t="s">
        <v>4402</v>
      </c>
      <c r="B881" s="5" t="s">
        <v>4403</v>
      </c>
      <c r="C881" s="5">
        <v>1036</v>
      </c>
      <c r="D881" s="5">
        <v>1036</v>
      </c>
      <c r="E881" s="6">
        <v>0.99</v>
      </c>
      <c r="F881" s="5">
        <v>0</v>
      </c>
      <c r="G881" s="5">
        <v>62.07</v>
      </c>
      <c r="H881" s="5">
        <v>821</v>
      </c>
      <c r="I881" s="5" t="str">
        <f>HYPERLINK("https://www.ncbi.nlm.nih.gov/protein/WP_209708201.1?report=genbank&amp;log$=prottop&amp;blast_rank=103&amp;RID=7U875CNM013","WP_209708201.1")</f>
        <v>WP_209708201.1</v>
      </c>
      <c r="J881" s="5" t="s">
        <v>1720</v>
      </c>
    </row>
    <row r="882" spans="1:10" x14ac:dyDescent="0.2">
      <c r="A882" s="5" t="s">
        <v>4404</v>
      </c>
      <c r="B882" s="5" t="s">
        <v>4405</v>
      </c>
      <c r="C882" s="5">
        <v>1027</v>
      </c>
      <c r="D882" s="5">
        <v>1027</v>
      </c>
      <c r="E882" s="6">
        <v>0.99</v>
      </c>
      <c r="F882" s="5">
        <v>0</v>
      </c>
      <c r="G882" s="5">
        <v>62.06</v>
      </c>
      <c r="H882" s="5">
        <v>818</v>
      </c>
      <c r="I882" s="5" t="str">
        <f>HYPERLINK("https://www.ncbi.nlm.nih.gov/protein/WP_082005954.1?report=genbank&amp;log$=prottop&amp;blast_rank=110&amp;RID=7U875CNM013","WP_082005954.1")</f>
        <v>WP_082005954.1</v>
      </c>
      <c r="J882" s="5" t="s">
        <v>1720</v>
      </c>
    </row>
    <row r="883" spans="1:10" x14ac:dyDescent="0.2">
      <c r="A883" s="5" t="s">
        <v>4269</v>
      </c>
      <c r="B883" s="5" t="s">
        <v>4270</v>
      </c>
      <c r="C883" s="5">
        <v>1024</v>
      </c>
      <c r="D883" s="5">
        <v>1024</v>
      </c>
      <c r="E883" s="6">
        <v>0.99</v>
      </c>
      <c r="F883" s="5">
        <v>0</v>
      </c>
      <c r="G883" s="5">
        <v>62.06</v>
      </c>
      <c r="H883" s="5">
        <v>818</v>
      </c>
      <c r="I883" s="5" t="str">
        <f>HYPERLINK("https://www.ncbi.nlm.nih.gov/protein/WP_083213750.1?report=genbank&amp;log$=prottop&amp;blast_rank=112&amp;RID=7U875CNM013","WP_083213750.1")</f>
        <v>WP_083213750.1</v>
      </c>
      <c r="J883" s="5" t="s">
        <v>1720</v>
      </c>
    </row>
    <row r="884" spans="1:10" x14ac:dyDescent="0.2">
      <c r="A884" s="5" t="s">
        <v>4406</v>
      </c>
      <c r="B884" s="5" t="s">
        <v>4407</v>
      </c>
      <c r="C884" s="5">
        <v>1024</v>
      </c>
      <c r="D884" s="5">
        <v>1024</v>
      </c>
      <c r="E884" s="6">
        <v>0.99</v>
      </c>
      <c r="F884" s="5">
        <v>0</v>
      </c>
      <c r="G884" s="5">
        <v>62.06</v>
      </c>
      <c r="H884" s="5">
        <v>810</v>
      </c>
      <c r="I884" s="5" t="str">
        <f>HYPERLINK("https://www.ncbi.nlm.nih.gov/protein/OCP03948.1?report=genbank&amp;log$=prottop&amp;blast_rank=113&amp;RID=7U875CNM013","OCP03948.1")</f>
        <v>OCP03948.1</v>
      </c>
      <c r="J884" s="5" t="s">
        <v>1720</v>
      </c>
    </row>
    <row r="885" spans="1:10" x14ac:dyDescent="0.2">
      <c r="A885" s="5" t="s">
        <v>4182</v>
      </c>
      <c r="B885" s="5" t="s">
        <v>4183</v>
      </c>
      <c r="C885" s="5">
        <v>1026</v>
      </c>
      <c r="D885" s="5">
        <v>1026</v>
      </c>
      <c r="E885" s="6">
        <v>0.98</v>
      </c>
      <c r="F885" s="5">
        <v>0</v>
      </c>
      <c r="G885" s="5">
        <v>62.06</v>
      </c>
      <c r="H885" s="5">
        <v>793</v>
      </c>
      <c r="I885" s="5" t="str">
        <f>HYPERLINK("https://www.ncbi.nlm.nih.gov/protein/TJV72862.1?report=genbank&amp;log$=prottop&amp;blast_rank=117&amp;RID=7U875CNM013","TJV72862.1")</f>
        <v>TJV72862.1</v>
      </c>
      <c r="J885" s="5" t="s">
        <v>1818</v>
      </c>
    </row>
    <row r="886" spans="1:10" x14ac:dyDescent="0.2">
      <c r="A886" s="5" t="s">
        <v>4408</v>
      </c>
      <c r="B886" s="5" t="s">
        <v>4409</v>
      </c>
      <c r="C886" s="5">
        <v>1024</v>
      </c>
      <c r="D886" s="5">
        <v>1024</v>
      </c>
      <c r="E886" s="6">
        <v>0.98</v>
      </c>
      <c r="F886" s="5">
        <v>0</v>
      </c>
      <c r="G886" s="5">
        <v>62.06</v>
      </c>
      <c r="H886" s="5">
        <v>793</v>
      </c>
      <c r="I886" s="5" t="str">
        <f>HYPERLINK("https://www.ncbi.nlm.nih.gov/protein/WP_095766428.1?report=genbank&amp;log$=prottop&amp;blast_rank=118&amp;RID=7U875CNM013","WP_095766428.1")</f>
        <v>WP_095766428.1</v>
      </c>
      <c r="J886" s="5" t="s">
        <v>1818</v>
      </c>
    </row>
    <row r="887" spans="1:10" x14ac:dyDescent="0.2">
      <c r="A887" s="5" t="s">
        <v>4410</v>
      </c>
      <c r="B887" s="5" t="s">
        <v>4411</v>
      </c>
      <c r="C887" s="5">
        <v>1023</v>
      </c>
      <c r="D887" s="5">
        <v>1023</v>
      </c>
      <c r="E887" s="6">
        <v>0.98</v>
      </c>
      <c r="F887" s="5">
        <v>0</v>
      </c>
      <c r="G887" s="5">
        <v>62.06</v>
      </c>
      <c r="H887" s="5">
        <v>793</v>
      </c>
      <c r="I887" s="5" t="str">
        <f>HYPERLINK("https://www.ncbi.nlm.nih.gov/protein/WP_071029506.1?report=genbank&amp;log$=prottop&amp;blast_rank=119&amp;RID=7U875CNM013","WP_071029506.1")</f>
        <v>WP_071029506.1</v>
      </c>
      <c r="J887" s="5" t="s">
        <v>1818</v>
      </c>
    </row>
    <row r="888" spans="1:10" x14ac:dyDescent="0.2">
      <c r="A888" s="5" t="s">
        <v>4182</v>
      </c>
      <c r="B888" s="5" t="s">
        <v>4183</v>
      </c>
      <c r="C888" s="5">
        <v>1023</v>
      </c>
      <c r="D888" s="5">
        <v>1023</v>
      </c>
      <c r="E888" s="6">
        <v>0.98</v>
      </c>
      <c r="F888" s="5">
        <v>0</v>
      </c>
      <c r="G888" s="5">
        <v>62.06</v>
      </c>
      <c r="H888" s="5">
        <v>793</v>
      </c>
      <c r="I888" s="5" t="str">
        <f>HYPERLINK("https://www.ncbi.nlm.nih.gov/protein/RWL84381.1?report=genbank&amp;log$=prottop&amp;blast_rank=120&amp;RID=7U875CNM013","RWL84381.1")</f>
        <v>RWL84381.1</v>
      </c>
      <c r="J888" s="5" t="s">
        <v>1818</v>
      </c>
    </row>
    <row r="889" spans="1:10" x14ac:dyDescent="0.2">
      <c r="A889" s="5" t="s">
        <v>3388</v>
      </c>
      <c r="B889" s="5" t="s">
        <v>3389</v>
      </c>
      <c r="C889" s="5">
        <v>1032</v>
      </c>
      <c r="D889" s="5">
        <v>1032</v>
      </c>
      <c r="E889" s="6">
        <v>0.98</v>
      </c>
      <c r="F889" s="5">
        <v>0</v>
      </c>
      <c r="G889" s="5">
        <v>62.04</v>
      </c>
      <c r="H889" s="5">
        <v>790</v>
      </c>
      <c r="I889" s="5" t="str">
        <f>HYPERLINK("https://www.ncbi.nlm.nih.gov/protein/MBD3811444.1?report=genbank&amp;log$=prottop&amp;blast_rank=135&amp;RID=7U875CNM013","MBD3811444.1")</f>
        <v>MBD3811444.1</v>
      </c>
      <c r="J889" s="5" t="s">
        <v>2134</v>
      </c>
    </row>
    <row r="890" spans="1:10" x14ac:dyDescent="0.2">
      <c r="A890" s="5" t="s">
        <v>4412</v>
      </c>
      <c r="B890" s="5" t="s">
        <v>4413</v>
      </c>
      <c r="C890" s="5">
        <v>1031</v>
      </c>
      <c r="D890" s="5">
        <v>1031</v>
      </c>
      <c r="E890" s="6">
        <v>0.98</v>
      </c>
      <c r="F890" s="5">
        <v>0</v>
      </c>
      <c r="G890" s="5">
        <v>62.04</v>
      </c>
      <c r="H890" s="5">
        <v>799</v>
      </c>
      <c r="I890" s="5" t="str">
        <f>HYPERLINK("https://www.ncbi.nlm.nih.gov/protein/WP_127315366.1?report=genbank&amp;log$=prottop&amp;blast_rank=136&amp;RID=7U875CNM013","WP_127315366.1")</f>
        <v>WP_127315366.1</v>
      </c>
      <c r="J890" s="5" t="s">
        <v>1818</v>
      </c>
    </row>
    <row r="891" spans="1:10" x14ac:dyDescent="0.2">
      <c r="A891" s="5" t="s">
        <v>3393</v>
      </c>
      <c r="B891" s="5" t="s">
        <v>3315</v>
      </c>
      <c r="C891" s="5">
        <v>1023</v>
      </c>
      <c r="D891" s="5">
        <v>1023</v>
      </c>
      <c r="E891" s="6">
        <v>0.98</v>
      </c>
      <c r="F891" s="5">
        <v>0</v>
      </c>
      <c r="G891" s="5">
        <v>62.04</v>
      </c>
      <c r="H891" s="5">
        <v>798</v>
      </c>
      <c r="I891" s="5" t="str">
        <f>HYPERLINK("https://www.ncbi.nlm.nih.gov/protein/HEB67974.1?report=genbank&amp;log$=prottop&amp;blast_rank=141&amp;RID=7U875CNM013","HEB67974.1")</f>
        <v>HEB67974.1</v>
      </c>
      <c r="J891" s="5" t="s">
        <v>3276</v>
      </c>
    </row>
    <row r="892" spans="1:10" x14ac:dyDescent="0.2">
      <c r="A892" s="5" t="s">
        <v>3535</v>
      </c>
      <c r="B892" s="5" t="s">
        <v>3536</v>
      </c>
      <c r="C892" s="5">
        <v>1033</v>
      </c>
      <c r="D892" s="5">
        <v>1033</v>
      </c>
      <c r="E892" s="6">
        <v>0.98</v>
      </c>
      <c r="F892" s="5">
        <v>0</v>
      </c>
      <c r="G892" s="5">
        <v>62.03</v>
      </c>
      <c r="H892" s="5">
        <v>791</v>
      </c>
      <c r="I892" s="5" t="str">
        <f>HYPERLINK("https://www.ncbi.nlm.nih.gov/protein/MBK6323947.1?report=genbank&amp;log$=prottop&amp;blast_rank=146&amp;RID=7U875CNM013","MBK6323947.1")</f>
        <v>MBK6323947.1</v>
      </c>
      <c r="J892" s="5" t="s">
        <v>2134</v>
      </c>
    </row>
    <row r="893" spans="1:10" x14ac:dyDescent="0.2">
      <c r="A893" s="5" t="s">
        <v>4416</v>
      </c>
      <c r="B893" s="5" t="s">
        <v>4417</v>
      </c>
      <c r="C893" s="5">
        <v>1029</v>
      </c>
      <c r="D893" s="5">
        <v>1029</v>
      </c>
      <c r="E893" s="6">
        <v>0.98</v>
      </c>
      <c r="F893" s="5">
        <v>0</v>
      </c>
      <c r="G893" s="5">
        <v>62.01</v>
      </c>
      <c r="H893" s="5">
        <v>790</v>
      </c>
      <c r="I893" s="5" t="str">
        <f>HYPERLINK("https://www.ncbi.nlm.nih.gov/protein/NNM79365.1?report=genbank&amp;log$=prottop&amp;blast_rank=157&amp;RID=7U875CNM013","NNM79365.1")</f>
        <v>NNM79365.1</v>
      </c>
      <c r="J893" s="5" t="s">
        <v>2134</v>
      </c>
    </row>
    <row r="894" spans="1:10" x14ac:dyDescent="0.2">
      <c r="A894" s="5" t="s">
        <v>4360</v>
      </c>
      <c r="B894" s="5" t="s">
        <v>4361</v>
      </c>
      <c r="C894" s="5">
        <v>1030</v>
      </c>
      <c r="D894" s="5">
        <v>1030</v>
      </c>
      <c r="E894" s="6">
        <v>0.98</v>
      </c>
      <c r="F894" s="5">
        <v>0</v>
      </c>
      <c r="G894" s="5">
        <v>61.99</v>
      </c>
      <c r="H894" s="5">
        <v>798</v>
      </c>
      <c r="I894" s="5" t="str">
        <f>HYPERLINK("https://www.ncbi.nlm.nih.gov/protein/WP_005882057.1?report=genbank&amp;log$=prottop&amp;blast_rank=10&amp;RID=7U875CNM013","WP_005882057.1")</f>
        <v>WP_005882057.1</v>
      </c>
      <c r="J894" s="5" t="s">
        <v>4418</v>
      </c>
    </row>
    <row r="895" spans="1:10" x14ac:dyDescent="0.2">
      <c r="A895" s="5" t="s">
        <v>4422</v>
      </c>
      <c r="B895" s="5" t="s">
        <v>4423</v>
      </c>
      <c r="C895" s="5">
        <v>1041</v>
      </c>
      <c r="D895" s="5">
        <v>1041</v>
      </c>
      <c r="E895" s="6">
        <v>0.98</v>
      </c>
      <c r="F895" s="5">
        <v>0</v>
      </c>
      <c r="G895" s="5">
        <v>61.96</v>
      </c>
      <c r="H895" s="5">
        <v>792</v>
      </c>
      <c r="I895" s="5" t="str">
        <f>HYPERLINK("https://www.ncbi.nlm.nih.gov/protein/MBI5788384.1?report=genbank&amp;log$=prottop&amp;blast_rank=19&amp;RID=7U875CNM013","MBI5788384.1")</f>
        <v>MBI5788384.1</v>
      </c>
      <c r="J895" s="5" t="s">
        <v>3277</v>
      </c>
    </row>
    <row r="896" spans="1:10" x14ac:dyDescent="0.2">
      <c r="A896" s="5" t="s">
        <v>4424</v>
      </c>
      <c r="B896" s="5" t="s">
        <v>4425</v>
      </c>
      <c r="C896" s="5">
        <v>1025</v>
      </c>
      <c r="D896" s="5">
        <v>1025</v>
      </c>
      <c r="E896" s="6">
        <v>0.98</v>
      </c>
      <c r="F896" s="5">
        <v>0</v>
      </c>
      <c r="G896" s="5">
        <v>61.96</v>
      </c>
      <c r="H896" s="5">
        <v>807</v>
      </c>
      <c r="I896" s="5" t="str">
        <f>HYPERLINK("https://www.ncbi.nlm.nih.gov/protein/WP_195174589.1?report=genbank&amp;log$=prottop&amp;blast_rank=20&amp;RID=7U875CNM013","WP_195174589.1")</f>
        <v>WP_195174589.1</v>
      </c>
      <c r="J896" s="5" t="s">
        <v>1818</v>
      </c>
    </row>
    <row r="897" spans="1:10" x14ac:dyDescent="0.2">
      <c r="A897" s="5" t="s">
        <v>4426</v>
      </c>
      <c r="B897" s="5" t="s">
        <v>3389</v>
      </c>
      <c r="C897" s="5">
        <v>1046</v>
      </c>
      <c r="D897" s="5">
        <v>1046</v>
      </c>
      <c r="E897" s="6">
        <v>0.99</v>
      </c>
      <c r="F897" s="5">
        <v>0</v>
      </c>
      <c r="G897" s="5">
        <v>61.95</v>
      </c>
      <c r="H897" s="5">
        <v>798</v>
      </c>
      <c r="I897" s="5" t="str">
        <f>HYPERLINK("https://www.ncbi.nlm.nih.gov/protein/HEU60953.1?report=genbank&amp;log$=prottop&amp;blast_rank=27&amp;RID=7U875CNM013","HEU60953.1")</f>
        <v>HEU60953.1</v>
      </c>
      <c r="J897" s="5" t="s">
        <v>4427</v>
      </c>
    </row>
    <row r="898" spans="1:10" x14ac:dyDescent="0.2">
      <c r="A898" s="5" t="s">
        <v>4428</v>
      </c>
      <c r="B898" s="5" t="s">
        <v>4429</v>
      </c>
      <c r="C898" s="5">
        <v>1024</v>
      </c>
      <c r="D898" s="5">
        <v>1024</v>
      </c>
      <c r="E898" s="6">
        <v>0.99</v>
      </c>
      <c r="F898" s="5">
        <v>0</v>
      </c>
      <c r="G898" s="5">
        <v>61.93</v>
      </c>
      <c r="H898" s="5">
        <v>818</v>
      </c>
      <c r="I898" s="5" t="str">
        <f>HYPERLINK("https://www.ncbi.nlm.nih.gov/protein/WP_192446175.1?report=genbank&amp;log$=prottop&amp;blast_rank=28&amp;RID=7U875CNM013","WP_192446175.1")</f>
        <v>WP_192446175.1</v>
      </c>
      <c r="J898" s="5" t="s">
        <v>1720</v>
      </c>
    </row>
    <row r="899" spans="1:10" x14ac:dyDescent="0.2">
      <c r="A899" s="5" t="s">
        <v>4430</v>
      </c>
      <c r="B899" s="5" t="s">
        <v>4431</v>
      </c>
      <c r="C899" s="5">
        <v>1024</v>
      </c>
      <c r="D899" s="5">
        <v>1024</v>
      </c>
      <c r="E899" s="6">
        <v>0.99</v>
      </c>
      <c r="F899" s="5">
        <v>0</v>
      </c>
      <c r="G899" s="5">
        <v>61.93</v>
      </c>
      <c r="H899" s="5">
        <v>818</v>
      </c>
      <c r="I899" s="5" t="str">
        <f>HYPERLINK("https://www.ncbi.nlm.nih.gov/protein/WP_205238766.1?report=genbank&amp;log$=prottop&amp;blast_rank=29&amp;RID=7U875CNM013","WP_205238766.1")</f>
        <v>WP_205238766.1</v>
      </c>
      <c r="J899" s="5" t="s">
        <v>1720</v>
      </c>
    </row>
    <row r="900" spans="1:10" x14ac:dyDescent="0.2">
      <c r="A900" s="5" t="s">
        <v>4304</v>
      </c>
      <c r="B900" s="5" t="s">
        <v>4305</v>
      </c>
      <c r="C900" s="5">
        <v>1027</v>
      </c>
      <c r="D900" s="5">
        <v>1027</v>
      </c>
      <c r="E900" s="6">
        <v>0.98</v>
      </c>
      <c r="F900" s="5">
        <v>0</v>
      </c>
      <c r="G900" s="5">
        <v>61.93</v>
      </c>
      <c r="H900" s="5">
        <v>793</v>
      </c>
      <c r="I900" s="5" t="str">
        <f>HYPERLINK("https://www.ncbi.nlm.nih.gov/protein/CDX20447.1?report=genbank&amp;log$=prottop&amp;blast_rank=33&amp;RID=7U875CNM013","CDX20447.1")</f>
        <v>CDX20447.1</v>
      </c>
      <c r="J900" s="5" t="s">
        <v>1818</v>
      </c>
    </row>
    <row r="901" spans="1:10" x14ac:dyDescent="0.2">
      <c r="A901" s="5" t="s">
        <v>4304</v>
      </c>
      <c r="B901" s="5" t="s">
        <v>4305</v>
      </c>
      <c r="C901" s="5">
        <v>1026</v>
      </c>
      <c r="D901" s="5">
        <v>1026</v>
      </c>
      <c r="E901" s="6">
        <v>0.98</v>
      </c>
      <c r="F901" s="5">
        <v>0</v>
      </c>
      <c r="G901" s="5">
        <v>61.93</v>
      </c>
      <c r="H901" s="5">
        <v>793</v>
      </c>
      <c r="I901" s="5" t="str">
        <f>HYPERLINK("https://www.ncbi.nlm.nih.gov/protein/CDX57142.1?report=genbank&amp;log$=prottop&amp;blast_rank=34&amp;RID=7U875CNM013","CDX57142.1")</f>
        <v>CDX57142.1</v>
      </c>
      <c r="J901" s="5" t="s">
        <v>1818</v>
      </c>
    </row>
    <row r="902" spans="1:10" x14ac:dyDescent="0.2">
      <c r="A902" s="5" t="s">
        <v>4182</v>
      </c>
      <c r="B902" s="5" t="s">
        <v>4183</v>
      </c>
      <c r="C902" s="5">
        <v>1023</v>
      </c>
      <c r="D902" s="5">
        <v>1023</v>
      </c>
      <c r="E902" s="6">
        <v>0.98</v>
      </c>
      <c r="F902" s="5">
        <v>0</v>
      </c>
      <c r="G902" s="5">
        <v>61.93</v>
      </c>
      <c r="H902" s="5">
        <v>793</v>
      </c>
      <c r="I902" s="5" t="str">
        <f>HYPERLINK("https://www.ncbi.nlm.nih.gov/protein/TIV99552.1?report=genbank&amp;log$=prottop&amp;blast_rank=35&amp;RID=7U875CNM013","TIV99552.1")</f>
        <v>TIV99552.1</v>
      </c>
      <c r="J902" s="5" t="s">
        <v>1818</v>
      </c>
    </row>
    <row r="903" spans="1:10" x14ac:dyDescent="0.2">
      <c r="A903" s="5" t="s">
        <v>4432</v>
      </c>
      <c r="B903" s="5" t="s">
        <v>4433</v>
      </c>
      <c r="C903" s="5">
        <v>1037</v>
      </c>
      <c r="D903" s="5">
        <v>1037</v>
      </c>
      <c r="E903" s="6">
        <v>0.98</v>
      </c>
      <c r="F903" s="5">
        <v>0</v>
      </c>
      <c r="G903" s="5">
        <v>61.91</v>
      </c>
      <c r="H903" s="5">
        <v>790</v>
      </c>
      <c r="I903" s="5" t="str">
        <f>HYPERLINK("https://www.ncbi.nlm.nih.gov/protein/MBA3037450.1?report=genbank&amp;log$=prottop&amp;blast_rank=46&amp;RID=7U875CNM013","MBA3037450.1")</f>
        <v>MBA3037450.1</v>
      </c>
      <c r="J903" s="5" t="s">
        <v>4434</v>
      </c>
    </row>
    <row r="904" spans="1:10" x14ac:dyDescent="0.2">
      <c r="A904" s="5" t="s">
        <v>4435</v>
      </c>
      <c r="B904" s="5" t="s">
        <v>4436</v>
      </c>
      <c r="C904" s="5">
        <v>1025</v>
      </c>
      <c r="D904" s="5">
        <v>1025</v>
      </c>
      <c r="E904" s="6">
        <v>0.98</v>
      </c>
      <c r="F904" s="5">
        <v>0</v>
      </c>
      <c r="G904" s="5">
        <v>61.91</v>
      </c>
      <c r="H904" s="5">
        <v>799</v>
      </c>
      <c r="I904" s="5" t="str">
        <f>HYPERLINK("https://www.ncbi.nlm.nih.gov/protein/WP_135933923.1?report=genbank&amp;log$=prottop&amp;blast_rank=50&amp;RID=7U875CNM013","WP_135933923.1")</f>
        <v>WP_135933923.1</v>
      </c>
      <c r="J904" s="5" t="s">
        <v>1818</v>
      </c>
    </row>
    <row r="905" spans="1:10" x14ac:dyDescent="0.2">
      <c r="A905" s="5" t="s">
        <v>4182</v>
      </c>
      <c r="B905" s="5" t="s">
        <v>4183</v>
      </c>
      <c r="C905" s="5">
        <v>1025</v>
      </c>
      <c r="D905" s="5">
        <v>1025</v>
      </c>
      <c r="E905" s="6">
        <v>0.98</v>
      </c>
      <c r="F905" s="5">
        <v>0</v>
      </c>
      <c r="G905" s="5">
        <v>61.91</v>
      </c>
      <c r="H905" s="5">
        <v>799</v>
      </c>
      <c r="I905" s="5" t="str">
        <f>HYPERLINK("https://www.ncbi.nlm.nih.gov/protein/RWB32419.1?report=genbank&amp;log$=prottop&amp;blast_rank=51&amp;RID=7U875CNM013","RWB32419.1")</f>
        <v>RWB32419.1</v>
      </c>
      <c r="J905" s="5" t="s">
        <v>1818</v>
      </c>
    </row>
    <row r="906" spans="1:10" x14ac:dyDescent="0.2">
      <c r="A906" s="5" t="s">
        <v>4437</v>
      </c>
      <c r="B906" s="5" t="s">
        <v>4438</v>
      </c>
      <c r="C906" s="5">
        <v>1030</v>
      </c>
      <c r="D906" s="5">
        <v>1030</v>
      </c>
      <c r="E906" s="6">
        <v>0.99</v>
      </c>
      <c r="F906" s="5">
        <v>0</v>
      </c>
      <c r="G906" s="5">
        <v>61.9</v>
      </c>
      <c r="H906" s="5">
        <v>795</v>
      </c>
      <c r="I906" s="5" t="str">
        <f>HYPERLINK("https://www.ncbi.nlm.nih.gov/protein/WP_140538399.1?report=genbank&amp;log$=prottop&amp;blast_rank=53&amp;RID=7U875CNM013","WP_140538399.1")</f>
        <v>WP_140538399.1</v>
      </c>
      <c r="J906" s="5" t="s">
        <v>1818</v>
      </c>
    </row>
    <row r="907" spans="1:10" x14ac:dyDescent="0.2">
      <c r="A907" s="5" t="s">
        <v>2164</v>
      </c>
      <c r="B907" s="5" t="s">
        <v>2158</v>
      </c>
      <c r="C907" s="5">
        <v>1031</v>
      </c>
      <c r="D907" s="5">
        <v>1031</v>
      </c>
      <c r="E907" s="6">
        <v>0.98</v>
      </c>
      <c r="F907" s="5">
        <v>0</v>
      </c>
      <c r="G907" s="5">
        <v>61.9</v>
      </c>
      <c r="H907" s="5">
        <v>801</v>
      </c>
      <c r="I907" s="5" t="str">
        <f>HYPERLINK("https://www.ncbi.nlm.nih.gov/protein/WP_202717193.1?report=genbank&amp;log$=prottop&amp;blast_rank=58&amp;RID=7U875CNM013","WP_202717193.1")</f>
        <v>WP_202717193.1</v>
      </c>
      <c r="J907" s="5" t="s">
        <v>2165</v>
      </c>
    </row>
    <row r="908" spans="1:10" x14ac:dyDescent="0.2">
      <c r="A908" s="5" t="s">
        <v>4439</v>
      </c>
      <c r="B908" s="5" t="s">
        <v>3389</v>
      </c>
      <c r="C908" s="5">
        <v>1028</v>
      </c>
      <c r="D908" s="5">
        <v>1028</v>
      </c>
      <c r="E908" s="6">
        <v>0.98</v>
      </c>
      <c r="F908" s="5">
        <v>0</v>
      </c>
      <c r="G908" s="5">
        <v>61.88</v>
      </c>
      <c r="H908" s="5">
        <v>809</v>
      </c>
      <c r="I908" s="5" t="str">
        <f>HYPERLINK("https://www.ncbi.nlm.nih.gov/protein/MPZ44087.1?report=genbank&amp;log$=prottop&amp;blast_rank=67&amp;RID=7U875CNM013","MPZ44087.1")</f>
        <v>MPZ44087.1</v>
      </c>
      <c r="J908" s="5" t="s">
        <v>2134</v>
      </c>
    </row>
    <row r="909" spans="1:10" x14ac:dyDescent="0.2">
      <c r="A909" s="5" t="s">
        <v>4440</v>
      </c>
      <c r="B909" s="5" t="s">
        <v>4441</v>
      </c>
      <c r="C909" s="5">
        <v>1026</v>
      </c>
      <c r="D909" s="5">
        <v>1026</v>
      </c>
      <c r="E909" s="6">
        <v>0.98</v>
      </c>
      <c r="F909" s="5">
        <v>0</v>
      </c>
      <c r="G909" s="5">
        <v>61.85</v>
      </c>
      <c r="H909" s="5">
        <v>801</v>
      </c>
      <c r="I909" s="5" t="str">
        <f>HYPERLINK("https://www.ncbi.nlm.nih.gov/protein/GBE58029.1?report=genbank&amp;log$=prottop&amp;blast_rank=83&amp;RID=7U875CNM013","GBE58029.1")</f>
        <v>GBE58029.1</v>
      </c>
      <c r="J909" s="5" t="s">
        <v>3277</v>
      </c>
    </row>
    <row r="910" spans="1:10" x14ac:dyDescent="0.2">
      <c r="A910" s="5" t="s">
        <v>4445</v>
      </c>
      <c r="B910" s="5" t="s">
        <v>4446</v>
      </c>
      <c r="C910" s="5">
        <v>1025</v>
      </c>
      <c r="D910" s="5">
        <v>1025</v>
      </c>
      <c r="E910" s="6">
        <v>0.98</v>
      </c>
      <c r="F910" s="5">
        <v>0</v>
      </c>
      <c r="G910" s="5">
        <v>61.84</v>
      </c>
      <c r="H910" s="5">
        <v>799</v>
      </c>
      <c r="I910" s="5" t="str">
        <f>HYPERLINK("https://www.ncbi.nlm.nih.gov/protein/WP_035060557.1?report=genbank&amp;log$=prottop&amp;blast_rank=89&amp;RID=7U875CNM013","WP_035060557.1")</f>
        <v>WP_035060557.1</v>
      </c>
      <c r="J910" s="5" t="s">
        <v>4447</v>
      </c>
    </row>
    <row r="911" spans="1:10" x14ac:dyDescent="0.2">
      <c r="A911" s="5" t="s">
        <v>1328</v>
      </c>
      <c r="B911" s="5" t="s">
        <v>1329</v>
      </c>
      <c r="C911" s="5">
        <v>1033</v>
      </c>
      <c r="D911" s="5">
        <v>1033</v>
      </c>
      <c r="E911" s="6">
        <v>0.98</v>
      </c>
      <c r="F911" s="5">
        <v>0</v>
      </c>
      <c r="G911" s="5">
        <v>61.83</v>
      </c>
      <c r="H911" s="5">
        <v>788</v>
      </c>
      <c r="I911" s="5" t="str">
        <f>HYPERLINK("https://www.ncbi.nlm.nih.gov/protein/KXS32760.1?report=genbank&amp;log$=prottop&amp;blast_rank=92&amp;RID=7U875CNM013","KXS32760.1")</f>
        <v>KXS32760.1</v>
      </c>
      <c r="J911" s="5" t="s">
        <v>4427</v>
      </c>
    </row>
    <row r="912" spans="1:10" x14ac:dyDescent="0.2">
      <c r="A912" s="5" t="s">
        <v>2045</v>
      </c>
      <c r="B912" s="5" t="s">
        <v>2046</v>
      </c>
      <c r="C912" s="5">
        <v>1025</v>
      </c>
      <c r="D912" s="5">
        <v>1025</v>
      </c>
      <c r="E912" s="6">
        <v>0.98</v>
      </c>
      <c r="F912" s="5">
        <v>0</v>
      </c>
      <c r="G912" s="5">
        <v>61.83</v>
      </c>
      <c r="H912" s="5">
        <v>793</v>
      </c>
      <c r="I912" s="5" t="str">
        <f>HYPERLINK("https://www.ncbi.nlm.nih.gov/protein/WP_140679428.1?report=genbank&amp;log$=prottop&amp;blast_rank=94&amp;RID=7U875CNM013","WP_140679428.1")</f>
        <v>WP_140679428.1</v>
      </c>
      <c r="J912" s="5" t="s">
        <v>1720</v>
      </c>
    </row>
    <row r="913" spans="1:10" x14ac:dyDescent="0.2">
      <c r="A913" s="5" t="s">
        <v>4448</v>
      </c>
      <c r="B913" s="5" t="s">
        <v>4176</v>
      </c>
      <c r="C913" s="5">
        <v>1032</v>
      </c>
      <c r="D913" s="5">
        <v>1032</v>
      </c>
      <c r="E913" s="6">
        <v>0.99</v>
      </c>
      <c r="F913" s="5">
        <v>0</v>
      </c>
      <c r="G913" s="5">
        <v>61.81</v>
      </c>
      <c r="H913" s="5">
        <v>821</v>
      </c>
      <c r="I913" s="5" t="str">
        <f>HYPERLINK("https://www.ncbi.nlm.nih.gov/protein/WP_112528266.1?report=genbank&amp;log$=prottop&amp;blast_rank=101&amp;RID=7U875CNM013","WP_112528266.1")</f>
        <v>WP_112528266.1</v>
      </c>
      <c r="J913" s="5" t="s">
        <v>4449</v>
      </c>
    </row>
    <row r="914" spans="1:10" x14ac:dyDescent="0.2">
      <c r="A914" s="5" t="s">
        <v>4093</v>
      </c>
      <c r="B914" s="5" t="s">
        <v>4094</v>
      </c>
      <c r="C914" s="5">
        <v>1026</v>
      </c>
      <c r="D914" s="5">
        <v>1026</v>
      </c>
      <c r="E914" s="6">
        <v>0.98</v>
      </c>
      <c r="F914" s="5">
        <v>0</v>
      </c>
      <c r="G914" s="5">
        <v>61.8</v>
      </c>
      <c r="H914" s="5">
        <v>799</v>
      </c>
      <c r="I914" s="5" t="str">
        <f>HYPERLINK("https://www.ncbi.nlm.nih.gov/protein/TMQ51168.1?report=genbank&amp;log$=prottop&amp;blast_rank=106&amp;RID=7U875CNM013","TMQ51168.1")</f>
        <v>TMQ51168.1</v>
      </c>
      <c r="J914" s="5" t="s">
        <v>3277</v>
      </c>
    </row>
    <row r="915" spans="1:10" x14ac:dyDescent="0.2">
      <c r="A915" s="5" t="s">
        <v>4182</v>
      </c>
      <c r="B915" s="5" t="s">
        <v>4183</v>
      </c>
      <c r="C915" s="5">
        <v>1025</v>
      </c>
      <c r="D915" s="5">
        <v>1025</v>
      </c>
      <c r="E915" s="6">
        <v>0.99</v>
      </c>
      <c r="F915" s="5">
        <v>0</v>
      </c>
      <c r="G915" s="5">
        <v>61.79</v>
      </c>
      <c r="H915" s="5">
        <v>805</v>
      </c>
      <c r="I915" s="5" t="str">
        <f>HYPERLINK("https://www.ncbi.nlm.nih.gov/protein/TIP87589.1?report=genbank&amp;log$=prottop&amp;blast_rank=110&amp;RID=7U875CNM013","TIP87589.1")</f>
        <v>TIP87589.1</v>
      </c>
      <c r="J915" s="5" t="s">
        <v>1818</v>
      </c>
    </row>
    <row r="916" spans="1:10" x14ac:dyDescent="0.2">
      <c r="A916" s="5" t="s">
        <v>4452</v>
      </c>
      <c r="B916" s="5" t="s">
        <v>4453</v>
      </c>
      <c r="C916" s="5">
        <v>1043</v>
      </c>
      <c r="D916" s="5">
        <v>1043</v>
      </c>
      <c r="E916" s="6">
        <v>0.98</v>
      </c>
      <c r="F916" s="5">
        <v>0</v>
      </c>
      <c r="G916" s="5">
        <v>61.78</v>
      </c>
      <c r="H916" s="5">
        <v>789</v>
      </c>
      <c r="I916" s="5" t="str">
        <f>HYPERLINK("https://www.ncbi.nlm.nih.gov/protein/MBP2641957.1?report=genbank&amp;log$=prottop&amp;blast_rank=123&amp;RID=7U875CNM013","MBP2641957.1")</f>
        <v>MBP2641957.1</v>
      </c>
      <c r="J916" s="5" t="s">
        <v>4454</v>
      </c>
    </row>
    <row r="917" spans="1:10" ht="18" x14ac:dyDescent="0.25">
      <c r="A917" s="5" t="s">
        <v>4455</v>
      </c>
      <c r="B917" s="5" t="s">
        <v>4456</v>
      </c>
      <c r="C917" s="5">
        <v>1042</v>
      </c>
      <c r="D917" s="5">
        <v>1042</v>
      </c>
      <c r="E917" s="6">
        <v>0.98</v>
      </c>
      <c r="F917" s="5">
        <v>0</v>
      </c>
      <c r="G917" s="5">
        <v>61.78</v>
      </c>
      <c r="H917" s="5">
        <v>798</v>
      </c>
      <c r="I917" s="5" t="str">
        <f>HYPERLINK("https://www.ncbi.nlm.nih.gov/protein/RPH31646.1?report=genbank&amp;log$=prottop&amp;blast_rank=124&amp;RID=7U875CNM013","RPH31646.1")</f>
        <v>RPH31646.1</v>
      </c>
      <c r="J917" s="32" t="s">
        <v>3280</v>
      </c>
    </row>
    <row r="918" spans="1:10" ht="18" x14ac:dyDescent="0.25">
      <c r="A918" s="5" t="s">
        <v>4457</v>
      </c>
      <c r="B918" s="5" t="s">
        <v>4458</v>
      </c>
      <c r="C918" s="5">
        <v>1038</v>
      </c>
      <c r="D918" s="5">
        <v>1038</v>
      </c>
      <c r="E918" s="6">
        <v>0.97</v>
      </c>
      <c r="F918" s="5">
        <v>0</v>
      </c>
      <c r="G918" s="5">
        <v>61.73</v>
      </c>
      <c r="H918" s="5">
        <v>792</v>
      </c>
      <c r="I918" s="5" t="str">
        <f>HYPERLINK("https://www.ncbi.nlm.nih.gov/protein/WP_066207916.1?report=genbank&amp;log$=prottop&amp;blast_rank=158&amp;RID=7U875CNM013","WP_066207916.1")</f>
        <v>WP_066207916.1</v>
      </c>
      <c r="J918" s="32" t="s">
        <v>3280</v>
      </c>
    </row>
    <row r="919" spans="1:10" x14ac:dyDescent="0.2">
      <c r="A919" s="5" t="s">
        <v>3768</v>
      </c>
      <c r="B919" s="5" t="s">
        <v>3769</v>
      </c>
      <c r="C919" s="5">
        <v>1026</v>
      </c>
      <c r="D919" s="5">
        <v>1026</v>
      </c>
      <c r="E919" s="6">
        <v>0.97</v>
      </c>
      <c r="F919" s="5">
        <v>0</v>
      </c>
      <c r="G919" s="5">
        <v>61.73</v>
      </c>
      <c r="H919" s="5">
        <v>794</v>
      </c>
      <c r="I919" s="5" t="str">
        <f>HYPERLINK("https://www.ncbi.nlm.nih.gov/protein/HEB98204.1?report=genbank&amp;log$=prottop&amp;blast_rank=159&amp;RID=7U875CNM013","HEB98204.1")</f>
        <v>HEB98204.1</v>
      </c>
      <c r="J919" s="5" t="s">
        <v>2769</v>
      </c>
    </row>
    <row r="920" spans="1:10" x14ac:dyDescent="0.2">
      <c r="A920" s="5" t="s">
        <v>4182</v>
      </c>
      <c r="B920" s="5" t="s">
        <v>4183</v>
      </c>
      <c r="C920" s="5">
        <v>1028</v>
      </c>
      <c r="D920" s="5">
        <v>1028</v>
      </c>
      <c r="E920" s="6">
        <v>0.98</v>
      </c>
      <c r="F920" s="5">
        <v>0</v>
      </c>
      <c r="G920" s="5">
        <v>61.7</v>
      </c>
      <c r="H920" s="5">
        <v>801</v>
      </c>
      <c r="I920" s="5" t="str">
        <f>HYPERLINK("https://www.ncbi.nlm.nih.gov/protein/RWK27711.1?report=genbank&amp;log$=prottop&amp;blast_rank=165&amp;RID=7U875CNM013","RWK27711.1")</f>
        <v>RWK27711.1</v>
      </c>
      <c r="J920" s="5" t="s">
        <v>1818</v>
      </c>
    </row>
    <row r="921" spans="1:10" x14ac:dyDescent="0.2">
      <c r="A921" s="5" t="s">
        <v>4182</v>
      </c>
      <c r="B921" s="5" t="s">
        <v>4183</v>
      </c>
      <c r="C921" s="5">
        <v>1025</v>
      </c>
      <c r="D921" s="5">
        <v>1025</v>
      </c>
      <c r="E921" s="6">
        <v>0.98</v>
      </c>
      <c r="F921" s="5">
        <v>0</v>
      </c>
      <c r="G921" s="5">
        <v>61.7</v>
      </c>
      <c r="H921" s="5">
        <v>793</v>
      </c>
      <c r="I921" s="5" t="str">
        <f>HYPERLINK("https://www.ncbi.nlm.nih.gov/protein/TIT78127.1?report=genbank&amp;log$=prottop&amp;blast_rank=166&amp;RID=7U875CNM013","TIT78127.1")</f>
        <v>TIT78127.1</v>
      </c>
      <c r="J921" s="5" t="s">
        <v>1818</v>
      </c>
    </row>
    <row r="922" spans="1:10" x14ac:dyDescent="0.2">
      <c r="A922" s="5" t="s">
        <v>4304</v>
      </c>
      <c r="B922" s="5" t="s">
        <v>4305</v>
      </c>
      <c r="C922" s="5">
        <v>1023</v>
      </c>
      <c r="D922" s="5">
        <v>1023</v>
      </c>
      <c r="E922" s="6">
        <v>0.98</v>
      </c>
      <c r="F922" s="5">
        <v>0</v>
      </c>
      <c r="G922" s="5">
        <v>61.68</v>
      </c>
      <c r="H922" s="5">
        <v>793</v>
      </c>
      <c r="I922" s="5" t="str">
        <f>HYPERLINK("https://www.ncbi.nlm.nih.gov/protein/CDX39402.1?report=genbank&amp;log$=prottop&amp;blast_rank=172&amp;RID=7U875CNM013","CDX39402.1")</f>
        <v>CDX39402.1</v>
      </c>
      <c r="J922" s="5" t="s">
        <v>1818</v>
      </c>
    </row>
    <row r="923" spans="1:10" x14ac:dyDescent="0.2">
      <c r="A923" s="5" t="s">
        <v>4182</v>
      </c>
      <c r="B923" s="5" t="s">
        <v>4183</v>
      </c>
      <c r="C923" s="5">
        <v>1023</v>
      </c>
      <c r="D923" s="5">
        <v>1023</v>
      </c>
      <c r="E923" s="6">
        <v>0.98</v>
      </c>
      <c r="F923" s="5">
        <v>0</v>
      </c>
      <c r="G923" s="5">
        <v>61.68</v>
      </c>
      <c r="H923" s="5">
        <v>805</v>
      </c>
      <c r="I923" s="5" t="str">
        <f>HYPERLINK("https://www.ncbi.nlm.nih.gov/protein/TIS57671.1?report=genbank&amp;log$=prottop&amp;blast_rank=173&amp;RID=7U875CNM013","TIS57671.1")</f>
        <v>TIS57671.1</v>
      </c>
      <c r="J923" s="5" t="s">
        <v>1818</v>
      </c>
    </row>
    <row r="924" spans="1:10" x14ac:dyDescent="0.2">
      <c r="A924" s="5" t="s">
        <v>4462</v>
      </c>
      <c r="B924" s="5" t="s">
        <v>4463</v>
      </c>
      <c r="C924" s="5">
        <v>1039</v>
      </c>
      <c r="D924" s="5">
        <v>1039</v>
      </c>
      <c r="E924" s="6">
        <v>0.98</v>
      </c>
      <c r="F924" s="5">
        <v>0</v>
      </c>
      <c r="G924" s="5">
        <v>61.66</v>
      </c>
      <c r="H924" s="5">
        <v>796</v>
      </c>
      <c r="I924" s="5" t="str">
        <f>HYPERLINK("https://www.ncbi.nlm.nih.gov/protein/WP_067756267.1?report=genbank&amp;log$=prottop&amp;blast_rank=182&amp;RID=7U875CNM013","WP_067756267.1")</f>
        <v>WP_067756267.1</v>
      </c>
      <c r="J924" s="5" t="s">
        <v>4464</v>
      </c>
    </row>
    <row r="925" spans="1:10" x14ac:dyDescent="0.2">
      <c r="A925" s="5" t="s">
        <v>4182</v>
      </c>
      <c r="B925" s="5" t="s">
        <v>4183</v>
      </c>
      <c r="C925" s="5">
        <v>1024</v>
      </c>
      <c r="D925" s="5">
        <v>1024</v>
      </c>
      <c r="E925" s="6">
        <v>0.99</v>
      </c>
      <c r="F925" s="5">
        <v>0</v>
      </c>
      <c r="G925" s="5">
        <v>61.65</v>
      </c>
      <c r="H925" s="5">
        <v>806</v>
      </c>
      <c r="I925" s="5" t="str">
        <f>HYPERLINK("https://www.ncbi.nlm.nih.gov/protein/TIP93626.1?report=genbank&amp;log$=prottop&amp;blast_rank=185&amp;RID=7U875CNM013","TIP93626.1")</f>
        <v>TIP93626.1</v>
      </c>
      <c r="J925" s="5" t="s">
        <v>1818</v>
      </c>
    </row>
    <row r="926" spans="1:10" x14ac:dyDescent="0.2">
      <c r="A926" s="5" t="s">
        <v>4302</v>
      </c>
      <c r="B926" s="5" t="s">
        <v>4303</v>
      </c>
      <c r="C926" s="5">
        <v>1028</v>
      </c>
      <c r="D926" s="5">
        <v>1028</v>
      </c>
      <c r="E926" s="6">
        <v>0.98</v>
      </c>
      <c r="F926" s="5">
        <v>0</v>
      </c>
      <c r="G926" s="5">
        <v>61.65</v>
      </c>
      <c r="H926" s="5">
        <v>797</v>
      </c>
      <c r="I926" s="5" t="str">
        <f>HYPERLINK("https://www.ncbi.nlm.nih.gov/protein/WP_106724401.1?report=genbank&amp;log$=prottop&amp;blast_rank=187&amp;RID=7U875CNM013","WP_106724401.1")</f>
        <v>WP_106724401.1</v>
      </c>
      <c r="J926" s="5" t="s">
        <v>1818</v>
      </c>
    </row>
    <row r="927" spans="1:10" x14ac:dyDescent="0.2">
      <c r="A927" s="5" t="s">
        <v>4465</v>
      </c>
      <c r="B927" s="5" t="s">
        <v>4466</v>
      </c>
      <c r="C927" s="5">
        <v>1042</v>
      </c>
      <c r="D927" s="5">
        <v>1042</v>
      </c>
      <c r="E927" s="6">
        <v>0.98</v>
      </c>
      <c r="F927" s="5">
        <v>0</v>
      </c>
      <c r="G927" s="5">
        <v>61.64</v>
      </c>
      <c r="H927" s="5">
        <v>786</v>
      </c>
      <c r="I927" s="5" t="str">
        <f>HYPERLINK("https://www.ncbi.nlm.nih.gov/protein/KFL34685.1?report=genbank&amp;log$=prottop&amp;blast_rank=188&amp;RID=7U875CNM013","KFL34685.1")</f>
        <v>KFL34685.1</v>
      </c>
      <c r="J927" s="5" t="s">
        <v>2769</v>
      </c>
    </row>
    <row r="928" spans="1:10" x14ac:dyDescent="0.2">
      <c r="A928" s="5" t="s">
        <v>4467</v>
      </c>
      <c r="B928" s="5" t="s">
        <v>4468</v>
      </c>
      <c r="C928" s="5">
        <v>1042</v>
      </c>
      <c r="D928" s="5">
        <v>1042</v>
      </c>
      <c r="E928" s="6">
        <v>0.98</v>
      </c>
      <c r="F928" s="5">
        <v>0</v>
      </c>
      <c r="G928" s="5">
        <v>61.64</v>
      </c>
      <c r="H928" s="5">
        <v>788</v>
      </c>
      <c r="I928" s="5" t="str">
        <f>HYPERLINK("https://www.ncbi.nlm.nih.gov/protein/WP_096045739.1?report=genbank&amp;log$=prottop&amp;blast_rank=189&amp;RID=7U875CNM013","WP_096045739.1")</f>
        <v>WP_096045739.1</v>
      </c>
      <c r="J928" s="5" t="s">
        <v>2769</v>
      </c>
    </row>
    <row r="929" spans="1:10" x14ac:dyDescent="0.2">
      <c r="A929" s="5" t="s">
        <v>4469</v>
      </c>
      <c r="B929" s="5" t="s">
        <v>4470</v>
      </c>
      <c r="C929" s="5">
        <v>1041</v>
      </c>
      <c r="D929" s="5">
        <v>1041</v>
      </c>
      <c r="E929" s="6">
        <v>0.98</v>
      </c>
      <c r="F929" s="5">
        <v>0</v>
      </c>
      <c r="G929" s="5">
        <v>61.64</v>
      </c>
      <c r="H929" s="5">
        <v>785</v>
      </c>
      <c r="I929" s="5" t="str">
        <f>HYPERLINK("https://www.ncbi.nlm.nih.gov/protein/WP_067173619.1?report=genbank&amp;log$=prottop&amp;blast_rank=190&amp;RID=7U875CNM013","WP_067173619.1")</f>
        <v>WP_067173619.1</v>
      </c>
      <c r="J929" s="5" t="s">
        <v>2769</v>
      </c>
    </row>
    <row r="930" spans="1:10" x14ac:dyDescent="0.2">
      <c r="A930" s="5" t="s">
        <v>852</v>
      </c>
      <c r="B930" s="5" t="s">
        <v>853</v>
      </c>
      <c r="C930" s="5">
        <v>1040</v>
      </c>
      <c r="D930" s="5">
        <v>1040</v>
      </c>
      <c r="E930" s="6">
        <v>0.98</v>
      </c>
      <c r="F930" s="5">
        <v>0</v>
      </c>
      <c r="G930" s="5">
        <v>61.61</v>
      </c>
      <c r="H930" s="5">
        <v>809</v>
      </c>
      <c r="I930" s="5" t="str">
        <f>HYPERLINK("https://www.ncbi.nlm.nih.gov/protein/PYT35053.1?report=genbank&amp;log$=prottop&amp;blast_rank=200&amp;RID=7U875CNM013","PYT35053.1")</f>
        <v>PYT35053.1</v>
      </c>
      <c r="J930" s="5" t="s">
        <v>854</v>
      </c>
    </row>
    <row r="931" spans="1:10" s="11" customFormat="1" x14ac:dyDescent="0.2">
      <c r="A931" s="5" t="s">
        <v>4471</v>
      </c>
      <c r="B931" s="5" t="s">
        <v>4472</v>
      </c>
      <c r="C931" s="5">
        <v>1026</v>
      </c>
      <c r="D931" s="5">
        <v>1026</v>
      </c>
      <c r="E931" s="6">
        <v>0.98</v>
      </c>
      <c r="F931" s="5">
        <v>0</v>
      </c>
      <c r="G931" s="5">
        <v>61.58</v>
      </c>
      <c r="H931" s="5">
        <v>807</v>
      </c>
      <c r="I931" s="5" t="str">
        <f>HYPERLINK("https://www.ncbi.nlm.nih.gov/protein/WP_127385754.1?report=genbank&amp;log$=prottop&amp;blast_rank=3&amp;RID=7U875CNM013","WP_127385754.1")</f>
        <v>WP_127385754.1</v>
      </c>
      <c r="J931" s="5" t="s">
        <v>1818</v>
      </c>
    </row>
    <row r="932" spans="1:10" s="11" customFormat="1" x14ac:dyDescent="0.2">
      <c r="A932" s="5" t="s">
        <v>4182</v>
      </c>
      <c r="B932" s="5" t="s">
        <v>4183</v>
      </c>
      <c r="C932" s="5">
        <v>1025</v>
      </c>
      <c r="D932" s="5">
        <v>1025</v>
      </c>
      <c r="E932" s="6">
        <v>0.98</v>
      </c>
      <c r="F932" s="5">
        <v>0</v>
      </c>
      <c r="G932" s="5">
        <v>61.58</v>
      </c>
      <c r="H932" s="5">
        <v>807</v>
      </c>
      <c r="I932" s="5" t="str">
        <f>HYPERLINK("https://www.ncbi.nlm.nih.gov/protein/MBN9219393.1?report=genbank&amp;log$=prottop&amp;blast_rank=4&amp;RID=7U875CNM013","MBN9219393.1")</f>
        <v>MBN9219393.1</v>
      </c>
      <c r="J932" s="5" t="s">
        <v>1818</v>
      </c>
    </row>
    <row r="933" spans="1:10" s="11" customFormat="1" x14ac:dyDescent="0.2">
      <c r="A933" s="5" t="s">
        <v>2045</v>
      </c>
      <c r="B933" s="5" t="s">
        <v>2046</v>
      </c>
      <c r="C933" s="5">
        <v>1024</v>
      </c>
      <c r="D933" s="5">
        <v>1024</v>
      </c>
      <c r="E933" s="6">
        <v>0.98</v>
      </c>
      <c r="F933" s="5">
        <v>0</v>
      </c>
      <c r="G933" s="5">
        <v>61.58</v>
      </c>
      <c r="H933" s="5">
        <v>793</v>
      </c>
      <c r="I933" s="5" t="str">
        <f>HYPERLINK("https://www.ncbi.nlm.nih.gov/protein/WP_095807164.1?report=genbank&amp;log$=prottop&amp;blast_rank=5&amp;RID=7U875CNM013","WP_095807164.1")</f>
        <v>WP_095807164.1</v>
      </c>
      <c r="J933" s="5" t="s">
        <v>1818</v>
      </c>
    </row>
    <row r="934" spans="1:10" s="11" customFormat="1" x14ac:dyDescent="0.2">
      <c r="A934" s="5" t="s">
        <v>4182</v>
      </c>
      <c r="B934" s="5" t="s">
        <v>4183</v>
      </c>
      <c r="C934" s="5">
        <v>1024</v>
      </c>
      <c r="D934" s="5">
        <v>1024</v>
      </c>
      <c r="E934" s="6">
        <v>0.98</v>
      </c>
      <c r="F934" s="5">
        <v>0</v>
      </c>
      <c r="G934" s="5">
        <v>61.55</v>
      </c>
      <c r="H934" s="5">
        <v>793</v>
      </c>
      <c r="I934" s="5" t="str">
        <f>HYPERLINK("https://www.ncbi.nlm.nih.gov/protein/RWG22913.1?report=genbank&amp;log$=prottop&amp;blast_rank=12&amp;RID=7U875CNM013","RWG22913.1")</f>
        <v>RWG22913.1</v>
      </c>
      <c r="J934" s="5" t="s">
        <v>1818</v>
      </c>
    </row>
    <row r="935" spans="1:10" s="11" customFormat="1" x14ac:dyDescent="0.2">
      <c r="A935" s="5" t="s">
        <v>3641</v>
      </c>
      <c r="B935" s="5" t="s">
        <v>610</v>
      </c>
      <c r="C935" s="5">
        <v>1040</v>
      </c>
      <c r="D935" s="5">
        <v>1040</v>
      </c>
      <c r="E935" s="6">
        <v>0.98</v>
      </c>
      <c r="F935" s="5">
        <v>0</v>
      </c>
      <c r="G935" s="5">
        <v>61.53</v>
      </c>
      <c r="H935" s="5">
        <v>795</v>
      </c>
      <c r="I935" s="5" t="str">
        <f>HYPERLINK("https://www.ncbi.nlm.nih.gov/protein/QQR59486.1?report=genbank&amp;log$=prottop&amp;blast_rank=20&amp;RID=7U875CNM013","QQR59486.1")</f>
        <v>QQR59486.1</v>
      </c>
      <c r="J935" s="5" t="s">
        <v>3277</v>
      </c>
    </row>
    <row r="936" spans="1:10" s="11" customFormat="1" x14ac:dyDescent="0.2">
      <c r="A936" s="5" t="s">
        <v>4473</v>
      </c>
      <c r="B936" s="5" t="s">
        <v>4474</v>
      </c>
      <c r="C936" s="5">
        <v>1038</v>
      </c>
      <c r="D936" s="5">
        <v>1038</v>
      </c>
      <c r="E936" s="6">
        <v>0.98</v>
      </c>
      <c r="F936" s="5">
        <v>0</v>
      </c>
      <c r="G936" s="5">
        <v>61.53</v>
      </c>
      <c r="H936" s="5">
        <v>784</v>
      </c>
      <c r="I936" s="5" t="str">
        <f>HYPERLINK("https://www.ncbi.nlm.nih.gov/protein/PZR29806.1?report=genbank&amp;log$=prottop&amp;blast_rank=21&amp;RID=7U875CNM013","PZR29806.1")</f>
        <v>PZR29806.1</v>
      </c>
      <c r="J936" s="5" t="s">
        <v>3276</v>
      </c>
    </row>
    <row r="937" spans="1:10" s="11" customFormat="1" x14ac:dyDescent="0.2">
      <c r="A937" s="5" t="s">
        <v>4475</v>
      </c>
      <c r="B937" s="5" t="s">
        <v>4476</v>
      </c>
      <c r="C937" s="5">
        <v>1040</v>
      </c>
      <c r="D937" s="5">
        <v>1040</v>
      </c>
      <c r="E937" s="6">
        <v>0.98</v>
      </c>
      <c r="F937" s="5">
        <v>0</v>
      </c>
      <c r="G937" s="5">
        <v>61.51</v>
      </c>
      <c r="H937" s="5">
        <v>788</v>
      </c>
      <c r="I937" s="5" t="str">
        <f>HYPERLINK("https://www.ncbi.nlm.nih.gov/protein/WP_087437655.1?report=genbank&amp;log$=prottop&amp;blast_rank=29&amp;RID=7U875CNM013","WP_087437655.1")</f>
        <v>WP_087437655.1</v>
      </c>
      <c r="J937" s="5" t="s">
        <v>4477</v>
      </c>
    </row>
    <row r="938" spans="1:10" s="11" customFormat="1" x14ac:dyDescent="0.2">
      <c r="A938" s="5" t="s">
        <v>609</v>
      </c>
      <c r="B938" s="5" t="s">
        <v>610</v>
      </c>
      <c r="C938" s="5">
        <v>1043</v>
      </c>
      <c r="D938" s="5">
        <v>1043</v>
      </c>
      <c r="E938" s="6">
        <v>0.99</v>
      </c>
      <c r="F938" s="5">
        <v>0</v>
      </c>
      <c r="G938" s="5">
        <v>61.48</v>
      </c>
      <c r="H938" s="5">
        <v>813</v>
      </c>
      <c r="I938" s="5" t="str">
        <f>HYPERLINK("https://www.ncbi.nlm.nih.gov/protein/PZM81010.1?report=genbank&amp;log$=prottop&amp;blast_rank=38&amp;RID=7U875CNM013","PZM81010.1")</f>
        <v>PZM81010.1</v>
      </c>
      <c r="J938" s="5" t="s">
        <v>3277</v>
      </c>
    </row>
    <row r="939" spans="1:10" s="11" customFormat="1" x14ac:dyDescent="0.2">
      <c r="A939" s="5" t="s">
        <v>4478</v>
      </c>
      <c r="B939" s="5" t="s">
        <v>4479</v>
      </c>
      <c r="C939" s="5">
        <v>1026</v>
      </c>
      <c r="D939" s="5">
        <v>1026</v>
      </c>
      <c r="E939" s="6">
        <v>0.98</v>
      </c>
      <c r="F939" s="5">
        <v>0</v>
      </c>
      <c r="G939" s="5">
        <v>61.48</v>
      </c>
      <c r="H939" s="5">
        <v>790</v>
      </c>
      <c r="I939" s="5" t="str">
        <f>HYPERLINK("https://www.ncbi.nlm.nih.gov/protein/WP_108687645.1?report=genbank&amp;log$=prottop&amp;blast_rank=47&amp;RID=7U875CNM013","WP_108687645.1")</f>
        <v>WP_108687645.1</v>
      </c>
      <c r="J939" s="5" t="s">
        <v>3280</v>
      </c>
    </row>
    <row r="940" spans="1:10" s="11" customFormat="1" x14ac:dyDescent="0.2">
      <c r="A940" s="5" t="s">
        <v>4480</v>
      </c>
      <c r="B940" s="5" t="s">
        <v>4481</v>
      </c>
      <c r="C940" s="5">
        <v>1024</v>
      </c>
      <c r="D940" s="5">
        <v>1024</v>
      </c>
      <c r="E940" s="6">
        <v>0.98</v>
      </c>
      <c r="F940" s="5">
        <v>0</v>
      </c>
      <c r="G940" s="5">
        <v>61.48</v>
      </c>
      <c r="H940" s="5">
        <v>790</v>
      </c>
      <c r="I940" s="5" t="str">
        <f>HYPERLINK("https://www.ncbi.nlm.nih.gov/protein/OHA79728.1?report=genbank&amp;log$=prottop&amp;blast_rank=48&amp;RID=7U875CNM013","OHA79728.1")</f>
        <v>OHA79728.1</v>
      </c>
      <c r="J940" s="5" t="s">
        <v>3277</v>
      </c>
    </row>
    <row r="941" spans="1:10" s="11" customFormat="1" x14ac:dyDescent="0.2">
      <c r="A941" s="5" t="s">
        <v>3635</v>
      </c>
      <c r="B941" s="5" t="s">
        <v>3636</v>
      </c>
      <c r="C941" s="5">
        <v>1033</v>
      </c>
      <c r="D941" s="5">
        <v>1033</v>
      </c>
      <c r="E941" s="6">
        <v>0.98</v>
      </c>
      <c r="F941" s="5">
        <v>0</v>
      </c>
      <c r="G941" s="5">
        <v>61.47</v>
      </c>
      <c r="H941" s="5">
        <v>803</v>
      </c>
      <c r="I941" s="5" t="str">
        <f>HYPERLINK("https://www.ncbi.nlm.nih.gov/protein/MBK9202883.1?report=genbank&amp;log$=prottop&amp;blast_rank=49&amp;RID=7U875CNM013","MBK9202883.1")</f>
        <v>MBK9202883.1</v>
      </c>
      <c r="J941" s="5" t="s">
        <v>3277</v>
      </c>
    </row>
    <row r="942" spans="1:10" s="11" customFormat="1" x14ac:dyDescent="0.2">
      <c r="A942" s="5" t="s">
        <v>3635</v>
      </c>
      <c r="B942" s="5" t="s">
        <v>3636</v>
      </c>
      <c r="C942" s="5">
        <v>1033</v>
      </c>
      <c r="D942" s="5">
        <v>1033</v>
      </c>
      <c r="E942" s="6">
        <v>0.98</v>
      </c>
      <c r="F942" s="5">
        <v>0</v>
      </c>
      <c r="G942" s="5">
        <v>61.47</v>
      </c>
      <c r="H942" s="5">
        <v>803</v>
      </c>
      <c r="I942" s="5" t="str">
        <f>HYPERLINK("https://www.ncbi.nlm.nih.gov/protein/MBL0185484.1?report=genbank&amp;log$=prottop&amp;blast_rank=50&amp;RID=7U875CNM013","MBL0185484.1")</f>
        <v>MBL0185484.1</v>
      </c>
      <c r="J942" s="5" t="s">
        <v>3277</v>
      </c>
    </row>
    <row r="943" spans="1:10" s="11" customFormat="1" x14ac:dyDescent="0.2">
      <c r="A943" s="5" t="s">
        <v>4184</v>
      </c>
      <c r="B943" s="5" t="s">
        <v>4185</v>
      </c>
      <c r="C943" s="5">
        <v>1024</v>
      </c>
      <c r="D943" s="5">
        <v>1024</v>
      </c>
      <c r="E943" s="6">
        <v>0.98</v>
      </c>
      <c r="F943" s="5">
        <v>0</v>
      </c>
      <c r="G943" s="5">
        <v>61.45</v>
      </c>
      <c r="H943" s="5">
        <v>807</v>
      </c>
      <c r="I943" s="5" t="str">
        <f>HYPERLINK("https://www.ncbi.nlm.nih.gov/protein/WP_136618608.1?report=genbank&amp;log$=prottop&amp;blast_rank=60&amp;RID=7U875CNM013","WP_136618608.1")</f>
        <v>WP_136618608.1</v>
      </c>
      <c r="J943" s="5" t="s">
        <v>1818</v>
      </c>
    </row>
    <row r="944" spans="1:10" s="11" customFormat="1" x14ac:dyDescent="0.2">
      <c r="A944" s="5" t="s">
        <v>4482</v>
      </c>
      <c r="B944" s="5" t="s">
        <v>4483</v>
      </c>
      <c r="C944" s="5">
        <v>1029</v>
      </c>
      <c r="D944" s="5">
        <v>1029</v>
      </c>
      <c r="E944" s="6">
        <v>0.98</v>
      </c>
      <c r="F944" s="5">
        <v>0</v>
      </c>
      <c r="G944" s="5">
        <v>61.43</v>
      </c>
      <c r="H944" s="5">
        <v>795</v>
      </c>
      <c r="I944" s="5" t="str">
        <f>HYPERLINK("https://www.ncbi.nlm.nih.gov/protein/NNM92259.1?report=genbank&amp;log$=prottop&amp;blast_rank=61&amp;RID=7U875CNM013","NNM92259.1")</f>
        <v>NNM92259.1</v>
      </c>
      <c r="J944" s="5" t="s">
        <v>3277</v>
      </c>
    </row>
    <row r="945" spans="1:11" s="11" customFormat="1" x14ac:dyDescent="0.2">
      <c r="A945" s="5" t="s">
        <v>4484</v>
      </c>
      <c r="B945" s="5" t="s">
        <v>610</v>
      </c>
      <c r="C945" s="5">
        <v>1040</v>
      </c>
      <c r="D945" s="5">
        <v>1040</v>
      </c>
      <c r="E945" s="6">
        <v>0.99</v>
      </c>
      <c r="F945" s="5">
        <v>0</v>
      </c>
      <c r="G945" s="5">
        <v>61.41</v>
      </c>
      <c r="H945" s="5">
        <v>813</v>
      </c>
      <c r="I945" s="5" t="str">
        <f>HYPERLINK("https://www.ncbi.nlm.nih.gov/protein/HIA50695.1?report=genbank&amp;log$=prottop&amp;blast_rank=63&amp;RID=7U875CNM013","HIA50695.1")</f>
        <v>HIA50695.1</v>
      </c>
      <c r="J945" s="5" t="s">
        <v>3277</v>
      </c>
    </row>
    <row r="946" spans="1:11" s="11" customFormat="1" x14ac:dyDescent="0.2">
      <c r="A946" s="5" t="s">
        <v>4182</v>
      </c>
      <c r="B946" s="5" t="s">
        <v>4183</v>
      </c>
      <c r="C946" s="5">
        <v>1029</v>
      </c>
      <c r="D946" s="5">
        <v>1029</v>
      </c>
      <c r="E946" s="6">
        <v>0.99</v>
      </c>
      <c r="F946" s="5">
        <v>0</v>
      </c>
      <c r="G946" s="5">
        <v>61.4</v>
      </c>
      <c r="H946" s="5">
        <v>806</v>
      </c>
      <c r="I946" s="5" t="str">
        <f>HYPERLINK("https://www.ncbi.nlm.nih.gov/protein/RWK65713.1?report=genbank&amp;log$=prottop&amp;blast_rank=65&amp;RID=7U875CNM013","RWK65713.1")</f>
        <v>RWK65713.1</v>
      </c>
      <c r="J946" s="5" t="s">
        <v>1818</v>
      </c>
    </row>
    <row r="947" spans="1:11" s="5" customFormat="1" x14ac:dyDescent="0.2">
      <c r="A947" s="5" t="s">
        <v>2045</v>
      </c>
      <c r="B947" s="5" t="s">
        <v>2046</v>
      </c>
      <c r="C947" s="5">
        <v>1027</v>
      </c>
      <c r="D947" s="5">
        <v>1027</v>
      </c>
      <c r="E947" s="6">
        <v>0.99</v>
      </c>
      <c r="F947" s="5">
        <v>0</v>
      </c>
      <c r="G947" s="5">
        <v>61.4</v>
      </c>
      <c r="H947" s="5">
        <v>806</v>
      </c>
      <c r="I947" s="5" t="str">
        <f>HYPERLINK("https://www.ncbi.nlm.nih.gov/protein/WP_127871010.1?report=genbank&amp;log$=prottop&amp;blast_rank=66&amp;RID=7U875CNM013","WP_127871010.1")</f>
        <v>WP_127871010.1</v>
      </c>
      <c r="J947" s="5" t="s">
        <v>1818</v>
      </c>
    </row>
    <row r="948" spans="1:11" s="11" customFormat="1" x14ac:dyDescent="0.2">
      <c r="A948" s="5" t="s">
        <v>3393</v>
      </c>
      <c r="B948" s="5" t="s">
        <v>3315</v>
      </c>
      <c r="C948" s="5">
        <v>1030</v>
      </c>
      <c r="D948" s="5">
        <v>1030</v>
      </c>
      <c r="E948" s="6">
        <v>0.98</v>
      </c>
      <c r="F948" s="5">
        <v>0</v>
      </c>
      <c r="G948" s="5">
        <v>61.35</v>
      </c>
      <c r="H948" s="5">
        <v>793</v>
      </c>
      <c r="I948" s="5" t="str">
        <f>HYPERLINK("https://www.ncbi.nlm.nih.gov/protein/HED52556.1?report=genbank&amp;log$=prottop&amp;blast_rank=92&amp;RID=7U875CNM013","HED52556.1")</f>
        <v>HED52556.1</v>
      </c>
      <c r="J948" s="5" t="s">
        <v>3276</v>
      </c>
    </row>
    <row r="949" spans="1:11" s="5" customFormat="1" x14ac:dyDescent="0.2">
      <c r="A949" s="5" t="s">
        <v>4485</v>
      </c>
      <c r="B949" s="5" t="s">
        <v>4486</v>
      </c>
      <c r="C949" s="5">
        <v>1027</v>
      </c>
      <c r="D949" s="5">
        <v>1027</v>
      </c>
      <c r="E949" s="6">
        <v>0.98</v>
      </c>
      <c r="F949" s="5">
        <v>0</v>
      </c>
      <c r="G949" s="5">
        <v>61.35</v>
      </c>
      <c r="H949" s="5">
        <v>788</v>
      </c>
      <c r="I949" s="5" t="str">
        <f>HYPERLINK("https://www.ncbi.nlm.nih.gov/protein/OHA83525.1?report=genbank&amp;log$=prottop&amp;blast_rank=93&amp;RID=7U875CNM013","OHA83525.1")</f>
        <v>OHA83525.1</v>
      </c>
      <c r="J949" s="5" t="s">
        <v>3277</v>
      </c>
    </row>
    <row r="950" spans="1:11" s="11" customFormat="1" x14ac:dyDescent="0.2">
      <c r="A950" s="5" t="s">
        <v>3314</v>
      </c>
      <c r="B950" s="5" t="s">
        <v>3315</v>
      </c>
      <c r="C950" s="5">
        <v>1025</v>
      </c>
      <c r="D950" s="5">
        <v>1025</v>
      </c>
      <c r="E950" s="6">
        <v>0.98</v>
      </c>
      <c r="F950" s="5">
        <v>0</v>
      </c>
      <c r="G950" s="5">
        <v>61.35</v>
      </c>
      <c r="H950" s="5">
        <v>797</v>
      </c>
      <c r="I950" s="5" t="str">
        <f>HYPERLINK("https://www.ncbi.nlm.nih.gov/protein/NOY16652.1?report=genbank&amp;log$=prottop&amp;blast_rank=95&amp;RID=7U875CNM013","NOY16652.1")</f>
        <v>NOY16652.1</v>
      </c>
      <c r="J950" s="5" t="s">
        <v>3276</v>
      </c>
    </row>
    <row r="951" spans="1:11" s="11" customFormat="1" x14ac:dyDescent="0.2">
      <c r="A951" s="5" t="s">
        <v>3635</v>
      </c>
      <c r="B951" s="5" t="s">
        <v>3636</v>
      </c>
      <c r="C951" s="5">
        <v>1033</v>
      </c>
      <c r="D951" s="5">
        <v>1033</v>
      </c>
      <c r="E951" s="6">
        <v>0.98</v>
      </c>
      <c r="F951" s="5">
        <v>0</v>
      </c>
      <c r="G951" s="5">
        <v>61.34</v>
      </c>
      <c r="H951" s="5">
        <v>803</v>
      </c>
      <c r="I951" s="5" t="str">
        <f>HYPERLINK("https://www.ncbi.nlm.nih.gov/protein/MBK7840812.1?report=genbank&amp;log$=prottop&amp;blast_rank=99&amp;RID=7U875CNM013","MBK7840812.1")</f>
        <v>MBK7840812.1</v>
      </c>
      <c r="J951" s="5" t="s">
        <v>3277</v>
      </c>
    </row>
    <row r="952" spans="1:11" s="11" customFormat="1" x14ac:dyDescent="0.2">
      <c r="A952" s="5" t="s">
        <v>3635</v>
      </c>
      <c r="B952" s="5" t="s">
        <v>3636</v>
      </c>
      <c r="C952" s="5">
        <v>1029</v>
      </c>
      <c r="D952" s="5">
        <v>1029</v>
      </c>
      <c r="E952" s="6">
        <v>0.98</v>
      </c>
      <c r="F952" s="5">
        <v>0</v>
      </c>
      <c r="G952" s="5">
        <v>61.34</v>
      </c>
      <c r="H952" s="5">
        <v>803</v>
      </c>
      <c r="I952" s="5" t="str">
        <f>HYPERLINK("https://www.ncbi.nlm.nih.gov/protein/MBK9771485.1?report=genbank&amp;log$=prottop&amp;blast_rank=100&amp;RID=7U875CNM013","MBK9771485.1")</f>
        <v>MBK9771485.1</v>
      </c>
      <c r="J952" s="5" t="s">
        <v>3277</v>
      </c>
    </row>
    <row r="953" spans="1:11" s="11" customFormat="1" ht="18" x14ac:dyDescent="0.25">
      <c r="A953" s="1" t="s">
        <v>4487</v>
      </c>
      <c r="B953" s="1" t="s">
        <v>4488</v>
      </c>
      <c r="C953" s="1">
        <v>1041</v>
      </c>
      <c r="D953" s="1">
        <v>1041</v>
      </c>
      <c r="E953" s="2">
        <v>0.98</v>
      </c>
      <c r="F953" s="1">
        <v>0</v>
      </c>
      <c r="G953" s="1">
        <v>61.29</v>
      </c>
      <c r="H953" s="1">
        <v>788</v>
      </c>
      <c r="I953" s="1" t="str">
        <f>HYPERLINK("https://www.ncbi.nlm.nih.gov/protein/WP_114790045.1?report=genbank&amp;log$=prottop&amp;blast_rank=2&amp;RID=7U875CNM013","WP_114790045.1")</f>
        <v>WP_114790045.1</v>
      </c>
      <c r="J953" s="32" t="s">
        <v>4529</v>
      </c>
      <c r="K953" s="5"/>
    </row>
    <row r="954" spans="1:11" s="11" customFormat="1" x14ac:dyDescent="0.2">
      <c r="A954" s="5" t="s">
        <v>4182</v>
      </c>
      <c r="B954" s="5" t="s">
        <v>4183</v>
      </c>
      <c r="C954" s="5">
        <v>1029</v>
      </c>
      <c r="D954" s="5">
        <v>1029</v>
      </c>
      <c r="E954" s="6">
        <v>0.99</v>
      </c>
      <c r="F954" s="5">
        <v>0</v>
      </c>
      <c r="G954" s="5">
        <v>61.28</v>
      </c>
      <c r="H954" s="5">
        <v>806</v>
      </c>
      <c r="I954" s="5" t="str">
        <f>HYPERLINK("https://www.ncbi.nlm.nih.gov/protein/RWK96891.1?report=genbank&amp;log$=prottop&amp;blast_rank=4&amp;RID=7U875CNM013","RWK96891.1")</f>
        <v>RWK96891.1</v>
      </c>
      <c r="J954" s="5" t="s">
        <v>4489</v>
      </c>
    </row>
    <row r="955" spans="1:11" s="11" customFormat="1" x14ac:dyDescent="0.2">
      <c r="A955" s="5" t="s">
        <v>4182</v>
      </c>
      <c r="B955" s="5" t="s">
        <v>4183</v>
      </c>
      <c r="C955" s="5">
        <v>1028</v>
      </c>
      <c r="D955" s="5">
        <v>1028</v>
      </c>
      <c r="E955" s="6">
        <v>0.99</v>
      </c>
      <c r="F955" s="5">
        <v>0</v>
      </c>
      <c r="G955" s="5">
        <v>61.28</v>
      </c>
      <c r="H955" s="5">
        <v>806</v>
      </c>
      <c r="I955" s="5" t="str">
        <f>HYPERLINK("https://www.ncbi.nlm.nih.gov/protein/RWD49996.1?report=genbank&amp;log$=prottop&amp;blast_rank=5&amp;RID=7U875CNM013","RWD49996.1")</f>
        <v>RWD49996.1</v>
      </c>
      <c r="J955" s="5" t="s">
        <v>4489</v>
      </c>
    </row>
    <row r="956" spans="1:11" s="11" customFormat="1" x14ac:dyDescent="0.2">
      <c r="A956" s="5" t="s">
        <v>4182</v>
      </c>
      <c r="B956" s="5" t="s">
        <v>4183</v>
      </c>
      <c r="C956" s="5">
        <v>1028</v>
      </c>
      <c r="D956" s="5">
        <v>1028</v>
      </c>
      <c r="E956" s="6">
        <v>0.99</v>
      </c>
      <c r="F956" s="5">
        <v>0</v>
      </c>
      <c r="G956" s="5">
        <v>61.28</v>
      </c>
      <c r="H956" s="5">
        <v>806</v>
      </c>
      <c r="I956" s="5" t="str">
        <f>HYPERLINK("https://www.ncbi.nlm.nih.gov/protein/TJW51131.1?report=genbank&amp;log$=prottop&amp;blast_rank=6&amp;RID=7U875CNM013","TJW51131.1")</f>
        <v>TJW51131.1</v>
      </c>
      <c r="J956" s="5" t="s">
        <v>4489</v>
      </c>
    </row>
    <row r="957" spans="1:11" s="11" customFormat="1" x14ac:dyDescent="0.2">
      <c r="A957" s="5" t="s">
        <v>4490</v>
      </c>
      <c r="B957" s="5" t="s">
        <v>4491</v>
      </c>
      <c r="C957" s="5">
        <v>1023</v>
      </c>
      <c r="D957" s="5">
        <v>1023</v>
      </c>
      <c r="E957" s="6">
        <v>0.98</v>
      </c>
      <c r="F957" s="5">
        <v>0</v>
      </c>
      <c r="G957" s="5">
        <v>61.27</v>
      </c>
      <c r="H957" s="5">
        <v>792</v>
      </c>
      <c r="I957" s="5" t="str">
        <f>HYPERLINK("https://www.ncbi.nlm.nih.gov/protein/OGJ57889.1?report=genbank&amp;log$=prottop&amp;blast_rank=18&amp;RID=7U875CNM013","OGJ57889.1")</f>
        <v>OGJ57889.1</v>
      </c>
      <c r="J957" s="5" t="s">
        <v>4492</v>
      </c>
    </row>
    <row r="958" spans="1:11" s="11" customFormat="1" x14ac:dyDescent="0.2">
      <c r="A958" s="5" t="s">
        <v>4493</v>
      </c>
      <c r="B958" s="5" t="s">
        <v>4494</v>
      </c>
      <c r="C958" s="5">
        <v>1029</v>
      </c>
      <c r="D958" s="5">
        <v>1029</v>
      </c>
      <c r="E958" s="6">
        <v>0.98</v>
      </c>
      <c r="F958" s="5">
        <v>0</v>
      </c>
      <c r="G958" s="5">
        <v>61.25</v>
      </c>
      <c r="H958" s="5">
        <v>811</v>
      </c>
      <c r="I958" s="5" t="str">
        <f>HYPERLINK("https://www.ncbi.nlm.nih.gov/protein/WP_078708193.1?report=genbank&amp;log$=prottop&amp;blast_rank=30&amp;RID=7U875CNM013","WP_078708193.1")</f>
        <v>WP_078708193.1</v>
      </c>
      <c r="J958" s="5" t="s">
        <v>1720</v>
      </c>
    </row>
    <row r="959" spans="1:11" s="11" customFormat="1" x14ac:dyDescent="0.2">
      <c r="A959" s="5" t="s">
        <v>4495</v>
      </c>
      <c r="B959" s="5" t="s">
        <v>4496</v>
      </c>
      <c r="C959" s="5">
        <v>1024</v>
      </c>
      <c r="D959" s="5">
        <v>1024</v>
      </c>
      <c r="E959" s="6">
        <v>0.98</v>
      </c>
      <c r="F959" s="5">
        <v>0</v>
      </c>
      <c r="G959" s="5">
        <v>61.25</v>
      </c>
      <c r="H959" s="5">
        <v>798</v>
      </c>
      <c r="I959" s="5" t="str">
        <f>HYPERLINK("https://www.ncbi.nlm.nih.gov/protein/MBJ6612155.1?report=genbank&amp;log$=prottop&amp;blast_rank=31&amp;RID=7U875CNM013","MBJ6612155.1")</f>
        <v>MBJ6612155.1</v>
      </c>
      <c r="J959" s="5" t="s">
        <v>4497</v>
      </c>
    </row>
    <row r="960" spans="1:11" s="11" customFormat="1" x14ac:dyDescent="0.2">
      <c r="A960" s="5" t="s">
        <v>4498</v>
      </c>
      <c r="B960" s="5" t="s">
        <v>4499</v>
      </c>
      <c r="C960" s="5">
        <v>1033</v>
      </c>
      <c r="D960" s="5">
        <v>1033</v>
      </c>
      <c r="E960" s="6">
        <v>0.99</v>
      </c>
      <c r="F960" s="5">
        <v>0</v>
      </c>
      <c r="G960" s="5">
        <v>61.21</v>
      </c>
      <c r="H960" s="5">
        <v>798</v>
      </c>
      <c r="I960" s="5" t="str">
        <f>HYPERLINK("https://www.ncbi.nlm.nih.gov/protein/WP_127310723.1?report=genbank&amp;log$=prottop&amp;blast_rank=50&amp;RID=7U875CNM013","WP_127310723.1")</f>
        <v>WP_127310723.1</v>
      </c>
      <c r="J960" s="5" t="s">
        <v>4500</v>
      </c>
    </row>
    <row r="961" spans="1:10" s="11" customFormat="1" x14ac:dyDescent="0.2">
      <c r="A961" s="5" t="s">
        <v>4501</v>
      </c>
      <c r="B961" s="5" t="s">
        <v>4502</v>
      </c>
      <c r="C961" s="5">
        <v>1034</v>
      </c>
      <c r="D961" s="5">
        <v>1034</v>
      </c>
      <c r="E961" s="6">
        <v>0.98</v>
      </c>
      <c r="F961" s="5">
        <v>0</v>
      </c>
      <c r="G961" s="5">
        <v>61.2</v>
      </c>
      <c r="H961" s="5">
        <v>791</v>
      </c>
      <c r="I961" s="5" t="str">
        <f>HYPERLINK("https://www.ncbi.nlm.nih.gov/protein/WP_202635789.1?report=genbank&amp;log$=prottop&amp;blast_rank=52&amp;RID=7U875CNM013","WP_202635789.1")</f>
        <v>WP_202635789.1</v>
      </c>
      <c r="J961" s="5" t="s">
        <v>4503</v>
      </c>
    </row>
    <row r="962" spans="1:10" s="11" customFormat="1" x14ac:dyDescent="0.2">
      <c r="A962" s="5" t="s">
        <v>4182</v>
      </c>
      <c r="B962" s="5" t="s">
        <v>4183</v>
      </c>
      <c r="C962" s="5">
        <v>1026</v>
      </c>
      <c r="D962" s="5">
        <v>1026</v>
      </c>
      <c r="E962" s="6">
        <v>0.99</v>
      </c>
      <c r="F962" s="5">
        <v>0</v>
      </c>
      <c r="G962" s="5">
        <v>61.15</v>
      </c>
      <c r="H962" s="5">
        <v>806</v>
      </c>
      <c r="I962" s="5" t="str">
        <f>HYPERLINK("https://www.ncbi.nlm.nih.gov/protein/TIM57261.1?report=genbank&amp;log$=prottop&amp;blast_rank=55&amp;RID=7U875CNM013","TIM57261.1")</f>
        <v>TIM57261.1</v>
      </c>
      <c r="J962" s="5" t="s">
        <v>4500</v>
      </c>
    </row>
    <row r="963" spans="1:10" s="11" customFormat="1" x14ac:dyDescent="0.2">
      <c r="A963" s="5" t="s">
        <v>4182</v>
      </c>
      <c r="B963" s="5" t="s">
        <v>4183</v>
      </c>
      <c r="C963" s="5">
        <v>1026</v>
      </c>
      <c r="D963" s="5">
        <v>1026</v>
      </c>
      <c r="E963" s="6">
        <v>0.99</v>
      </c>
      <c r="F963" s="5">
        <v>0</v>
      </c>
      <c r="G963" s="5">
        <v>61.15</v>
      </c>
      <c r="H963" s="5">
        <v>806</v>
      </c>
      <c r="I963" s="5" t="str">
        <f>HYPERLINK("https://www.ncbi.nlm.nih.gov/protein/TIQ62242.1?report=genbank&amp;log$=prottop&amp;blast_rank=56&amp;RID=7U875CNM013","TIQ62242.1")</f>
        <v>TIQ62242.1</v>
      </c>
      <c r="J963" s="5" t="s">
        <v>4500</v>
      </c>
    </row>
    <row r="964" spans="1:10" s="11" customFormat="1" x14ac:dyDescent="0.2">
      <c r="A964" s="5" t="s">
        <v>4504</v>
      </c>
      <c r="B964" s="5" t="s">
        <v>4453</v>
      </c>
      <c r="C964" s="5">
        <v>1030</v>
      </c>
      <c r="D964" s="5">
        <v>1030</v>
      </c>
      <c r="E964" s="6">
        <v>0.97</v>
      </c>
      <c r="F964" s="5">
        <v>0</v>
      </c>
      <c r="G964" s="5">
        <v>61.13</v>
      </c>
      <c r="H964" s="5">
        <v>799</v>
      </c>
      <c r="I964" s="5" t="str">
        <f>HYPERLINK("https://www.ncbi.nlm.nih.gov/protein/MBP2665359.1?report=genbank&amp;log$=prottop&amp;blast_rank=65&amp;RID=7U875CNM013","MBP2665359.1")</f>
        <v>MBP2665359.1</v>
      </c>
      <c r="J964" s="5" t="s">
        <v>3277</v>
      </c>
    </row>
    <row r="965" spans="1:10" s="11" customFormat="1" x14ac:dyDescent="0.2">
      <c r="A965" s="5" t="s">
        <v>4505</v>
      </c>
      <c r="B965" s="5" t="s">
        <v>4506</v>
      </c>
      <c r="C965" s="5">
        <v>1043</v>
      </c>
      <c r="D965" s="5">
        <v>1043</v>
      </c>
      <c r="E965" s="6">
        <v>0.99</v>
      </c>
      <c r="F965" s="5">
        <v>0</v>
      </c>
      <c r="G965" s="5">
        <v>61.11</v>
      </c>
      <c r="H965" s="5">
        <v>814</v>
      </c>
      <c r="I965" s="5" t="str">
        <f>HYPERLINK("https://www.ncbi.nlm.nih.gov/protein/RJX31315.1?report=genbank&amp;log$=prottop&amp;blast_rank=66&amp;RID=7U875CNM013","RJX31315.1")</f>
        <v>RJX31315.1</v>
      </c>
      <c r="J965" s="5" t="s">
        <v>4503</v>
      </c>
    </row>
    <row r="966" spans="1:10" s="11" customFormat="1" x14ac:dyDescent="0.2">
      <c r="A966" s="5" t="s">
        <v>4324</v>
      </c>
      <c r="B966" s="5" t="s">
        <v>4037</v>
      </c>
      <c r="C966" s="5">
        <v>1026</v>
      </c>
      <c r="D966" s="5">
        <v>1026</v>
      </c>
      <c r="E966" s="6">
        <v>0.98</v>
      </c>
      <c r="F966" s="5">
        <v>0</v>
      </c>
      <c r="G966" s="5">
        <v>60.91</v>
      </c>
      <c r="H966" s="5">
        <v>791</v>
      </c>
      <c r="I966" s="5" t="str">
        <f>HYPERLINK("https://www.ncbi.nlm.nih.gov/protein/NLE91851.1?report=genbank&amp;log$=prottop&amp;blast_rank=110&amp;RID=7U875CNM013","NLE91851.1")</f>
        <v>NLE91851.1</v>
      </c>
      <c r="J966" s="5" t="s">
        <v>4511</v>
      </c>
    </row>
    <row r="967" spans="1:10" s="11" customFormat="1" x14ac:dyDescent="0.2">
      <c r="A967" s="5" t="s">
        <v>4512</v>
      </c>
      <c r="B967" s="5" t="s">
        <v>4513</v>
      </c>
      <c r="C967" s="5">
        <v>1041</v>
      </c>
      <c r="D967" s="5">
        <v>1041</v>
      </c>
      <c r="E967" s="6">
        <v>0.99</v>
      </c>
      <c r="F967" s="5">
        <v>0</v>
      </c>
      <c r="G967" s="5">
        <v>60.88</v>
      </c>
      <c r="H967" s="5">
        <v>876</v>
      </c>
      <c r="I967" s="5" t="str">
        <f>HYPERLINK("https://www.ncbi.nlm.nih.gov/protein/CBX31765.1?report=genbank&amp;log$=prottop&amp;blast_rank=124&amp;RID=7U875CNM013","CBX31765.1")</f>
        <v>CBX31765.1</v>
      </c>
      <c r="J967" s="5" t="s">
        <v>4514</v>
      </c>
    </row>
    <row r="968" spans="1:10" s="11" customFormat="1" x14ac:dyDescent="0.2">
      <c r="A968" s="5" t="s">
        <v>4515</v>
      </c>
      <c r="B968" s="5" t="s">
        <v>4516</v>
      </c>
      <c r="C968" s="5">
        <v>1037</v>
      </c>
      <c r="D968" s="5">
        <v>1037</v>
      </c>
      <c r="E968" s="6">
        <v>0.99</v>
      </c>
      <c r="F968" s="5">
        <v>0</v>
      </c>
      <c r="G968" s="5">
        <v>60.86</v>
      </c>
      <c r="H968" s="5">
        <v>818</v>
      </c>
      <c r="I968" s="5" t="str">
        <f>HYPERLINK("https://www.ncbi.nlm.nih.gov/protein/WP_083930189.1?report=genbank&amp;log$=prottop&amp;blast_rank=132&amp;RID=7U875CNM013","WP_083930189.1")</f>
        <v>WP_083930189.1</v>
      </c>
      <c r="J968" s="5" t="s">
        <v>4517</v>
      </c>
    </row>
    <row r="969" spans="1:10" s="11" customFormat="1" x14ac:dyDescent="0.2">
      <c r="A969" s="5" t="s">
        <v>3570</v>
      </c>
      <c r="B969" s="5" t="s">
        <v>3315</v>
      </c>
      <c r="C969" s="5">
        <v>1025</v>
      </c>
      <c r="D969" s="5">
        <v>1025</v>
      </c>
      <c r="E969" s="6">
        <v>0.98</v>
      </c>
      <c r="F969" s="5">
        <v>0</v>
      </c>
      <c r="G969" s="5">
        <v>60.84</v>
      </c>
      <c r="H969" s="5">
        <v>792</v>
      </c>
      <c r="I969" s="5" t="str">
        <f>HYPERLINK("https://www.ncbi.nlm.nih.gov/protein/RLA50438.1?report=genbank&amp;log$=prottop&amp;blast_rank=140&amp;RID=7U875CNM013","RLA50438.1")</f>
        <v>RLA50438.1</v>
      </c>
      <c r="J969" s="5" t="s">
        <v>3276</v>
      </c>
    </row>
    <row r="970" spans="1:10" s="11" customFormat="1" ht="18" x14ac:dyDescent="0.25">
      <c r="A970" s="5" t="s">
        <v>4521</v>
      </c>
      <c r="B970" s="5" t="s">
        <v>4522</v>
      </c>
      <c r="C970" s="5">
        <v>1028</v>
      </c>
      <c r="D970" s="5">
        <v>1028</v>
      </c>
      <c r="E970" s="6">
        <v>0.99</v>
      </c>
      <c r="F970" s="5">
        <v>0</v>
      </c>
      <c r="G970" s="5">
        <v>60.75</v>
      </c>
      <c r="H970" s="5">
        <v>794</v>
      </c>
      <c r="I970" s="5" t="str">
        <f>HYPERLINK("https://www.ncbi.nlm.nih.gov/protein/WP_199120257.1?report=genbank&amp;log$=prottop&amp;blast_rank=155&amp;RID=7U875CNM013","WP_199120257.1")</f>
        <v>WP_199120257.1</v>
      </c>
      <c r="J970" s="32" t="s">
        <v>3280</v>
      </c>
    </row>
    <row r="971" spans="1:10" s="11" customFormat="1" x14ac:dyDescent="0.2">
      <c r="A971" s="5" t="s">
        <v>4182</v>
      </c>
      <c r="B971" s="5" t="s">
        <v>4183</v>
      </c>
      <c r="C971" s="5">
        <v>1025</v>
      </c>
      <c r="D971" s="5">
        <v>1025</v>
      </c>
      <c r="E971" s="6">
        <v>0.99</v>
      </c>
      <c r="F971" s="5">
        <v>0</v>
      </c>
      <c r="G971" s="5">
        <v>60.71</v>
      </c>
      <c r="H971" s="5">
        <v>798</v>
      </c>
      <c r="I971" s="5" t="str">
        <f>HYPERLINK("https://www.ncbi.nlm.nih.gov/protein/RWB96337.1?report=genbank&amp;log$=prottop&amp;blast_rank=168&amp;RID=7U875CNM013","RWB96337.1")</f>
        <v>RWB96337.1</v>
      </c>
      <c r="J971" s="5" t="s">
        <v>1720</v>
      </c>
    </row>
    <row r="972" spans="1:10" s="11" customFormat="1" ht="18" x14ac:dyDescent="0.25">
      <c r="A972" s="5" t="s">
        <v>4523</v>
      </c>
      <c r="B972" s="5" t="s">
        <v>4524</v>
      </c>
      <c r="C972" s="5">
        <v>1030</v>
      </c>
      <c r="D972" s="5">
        <v>1030</v>
      </c>
      <c r="E972" s="6">
        <v>0.99</v>
      </c>
      <c r="F972" s="5">
        <v>0</v>
      </c>
      <c r="G972" s="5">
        <v>60.55</v>
      </c>
      <c r="H972" s="5">
        <v>807</v>
      </c>
      <c r="I972" s="5" t="str">
        <f>HYPERLINK("https://www.ncbi.nlm.nih.gov/protein/WP_205409939.1?report=genbank&amp;log$=prottop&amp;blast_rank=193&amp;RID=7U875CNM013","WP_205409939.1")</f>
        <v>WP_205409939.1</v>
      </c>
      <c r="J972" s="32" t="s">
        <v>3280</v>
      </c>
    </row>
    <row r="973" spans="1:10" s="11" customFormat="1" x14ac:dyDescent="0.2">
      <c r="A973" s="5" t="s">
        <v>4525</v>
      </c>
      <c r="B973" s="5" t="s">
        <v>4171</v>
      </c>
      <c r="C973" s="5">
        <v>1030</v>
      </c>
      <c r="D973" s="5">
        <v>1030</v>
      </c>
      <c r="E973" s="6">
        <v>0.99</v>
      </c>
      <c r="F973" s="5">
        <v>0</v>
      </c>
      <c r="G973" s="5">
        <v>60.48</v>
      </c>
      <c r="H973" s="5">
        <v>850</v>
      </c>
      <c r="I973" s="5" t="str">
        <f>HYPERLINK("https://www.ncbi.nlm.nih.gov/protein/PLU10505.1?report=genbank&amp;log$=prottop&amp;blast_rank=202&amp;RID=7U875CNM013","PLU10505.1")</f>
        <v>PLU10505.1</v>
      </c>
      <c r="J973" s="5" t="s">
        <v>4500</v>
      </c>
    </row>
    <row r="974" spans="1:10" s="11" customFormat="1" x14ac:dyDescent="0.2">
      <c r="A974" s="5" t="s">
        <v>4526</v>
      </c>
      <c r="B974" s="5" t="s">
        <v>4527</v>
      </c>
      <c r="C974" s="5">
        <v>1035</v>
      </c>
      <c r="D974" s="5">
        <v>1035</v>
      </c>
      <c r="E974" s="6">
        <v>0.99</v>
      </c>
      <c r="F974" s="5">
        <v>0</v>
      </c>
      <c r="G974" s="5">
        <v>60.37</v>
      </c>
      <c r="H974" s="5">
        <v>808</v>
      </c>
      <c r="I974" s="5" t="str">
        <f>HYPERLINK("https://www.ncbi.nlm.nih.gov/protein/TJZ77701.1?report=genbank&amp;log$=prottop&amp;blast_rank=214&amp;RID=7U875CNM013","TJZ77701.1")</f>
        <v>TJZ77701.1</v>
      </c>
      <c r="J974" s="5" t="s">
        <v>4503</v>
      </c>
    </row>
    <row r="975" spans="1:10" s="4" customFormat="1" x14ac:dyDescent="0.2">
      <c r="A975" s="1" t="s">
        <v>1150</v>
      </c>
      <c r="B975" s="1" t="s">
        <v>1151</v>
      </c>
      <c r="C975" s="1">
        <v>1053</v>
      </c>
      <c r="D975" s="1">
        <v>1053</v>
      </c>
      <c r="E975" s="2">
        <v>0.99</v>
      </c>
      <c r="F975" s="1">
        <v>0</v>
      </c>
      <c r="G975" s="1">
        <v>63.86</v>
      </c>
      <c r="H975" s="1">
        <v>797</v>
      </c>
      <c r="I975" s="1" t="str">
        <f>HYPERLINK("https://www.ncbi.nlm.nih.gov/protein/GAP66945.1?report=genbank&amp;log$=prottop&amp;blast_rank=190&amp;RID=7U875CNM013","GAP66945.1")</f>
        <v>GAP66945.1</v>
      </c>
      <c r="J975" s="1" t="s">
        <v>3276</v>
      </c>
    </row>
    <row r="976" spans="1:10" s="4" customFormat="1" x14ac:dyDescent="0.2">
      <c r="A976" s="1" t="s">
        <v>1061</v>
      </c>
      <c r="B976" s="1" t="s">
        <v>1062</v>
      </c>
      <c r="C976" s="1">
        <v>1046</v>
      </c>
      <c r="D976" s="1">
        <v>1046</v>
      </c>
      <c r="E976" s="2">
        <v>0.97</v>
      </c>
      <c r="F976" s="1">
        <v>0</v>
      </c>
      <c r="G976" s="1">
        <v>64.23</v>
      </c>
      <c r="H976" s="1">
        <v>793</v>
      </c>
      <c r="I976" s="1" t="str">
        <f>HYPERLINK("https://www.ncbi.nlm.nih.gov/protein/GGJ69357.1?report=genbank&amp;log$=prottop&amp;blast_rank=16&amp;RID=7U875CNM013","GGJ69357.1")</f>
        <v>GGJ69357.1</v>
      </c>
      <c r="J976" s="1" t="s">
        <v>3277</v>
      </c>
    </row>
    <row r="977" spans="1:10" s="4" customFormat="1" x14ac:dyDescent="0.2">
      <c r="A977" s="1" t="s">
        <v>330</v>
      </c>
      <c r="B977" s="1" t="s">
        <v>331</v>
      </c>
      <c r="C977" s="1">
        <v>1137</v>
      </c>
      <c r="D977" s="1">
        <v>1137</v>
      </c>
      <c r="E977" s="2">
        <v>0.98</v>
      </c>
      <c r="F977" s="1">
        <v>0</v>
      </c>
      <c r="G977" s="1">
        <v>68.319999999999993</v>
      </c>
      <c r="H977" s="1">
        <v>794</v>
      </c>
      <c r="I977" s="1" t="str">
        <f>HYPERLINK("https://www.ncbi.nlm.nih.gov/protein/WP_201219867.1?report=genbank&amp;log$=prottop&amp;blast_rank=57&amp;RID=7U875CNM013","WP_201219867.1")</f>
        <v>WP_201219867.1</v>
      </c>
      <c r="J977" s="1" t="s">
        <v>3276</v>
      </c>
    </row>
    <row r="978" spans="1:10" s="4" customFormat="1" x14ac:dyDescent="0.2">
      <c r="A978" s="1" t="s">
        <v>332</v>
      </c>
      <c r="B978" s="1" t="s">
        <v>333</v>
      </c>
      <c r="C978" s="1">
        <v>1116</v>
      </c>
      <c r="D978" s="1">
        <v>1116</v>
      </c>
      <c r="E978" s="2">
        <v>0.97</v>
      </c>
      <c r="F978" s="1">
        <v>0</v>
      </c>
      <c r="G978" s="1">
        <v>68.3</v>
      </c>
      <c r="H978" s="1">
        <v>794</v>
      </c>
      <c r="I978" s="1" t="str">
        <f>HYPERLINK("https://www.ncbi.nlm.nih.gov/protein/WP_201246918.1?report=genbank&amp;log$=prottop&amp;blast_rank=66&amp;RID=7U875CNM013","WP_201246918.1")</f>
        <v>WP_201246918.1</v>
      </c>
      <c r="J978" s="1" t="s">
        <v>3276</v>
      </c>
    </row>
    <row r="979" spans="1:10" s="1" customFormat="1" x14ac:dyDescent="0.2">
      <c r="A979" s="1" t="s">
        <v>609</v>
      </c>
      <c r="B979" s="1" t="s">
        <v>610</v>
      </c>
      <c r="C979" s="1">
        <v>1153</v>
      </c>
      <c r="D979" s="1">
        <v>1153</v>
      </c>
      <c r="E979" s="2">
        <v>0.99</v>
      </c>
      <c r="F979" s="1">
        <v>0</v>
      </c>
      <c r="G979" s="1">
        <v>66.25</v>
      </c>
      <c r="H979" s="1">
        <v>812</v>
      </c>
      <c r="I979" s="1" t="str">
        <f>HYPERLINK("https://www.ncbi.nlm.nih.gov/protein/PWU03234.1?report=genbank&amp;log$=prottop&amp;blast_rank=108&amp;RID=7U875CNM013","PWU03234.1")</f>
        <v>PWU03234.1</v>
      </c>
      <c r="J979" s="1" t="s">
        <v>3277</v>
      </c>
    </row>
    <row r="980" spans="1:10" s="4" customFormat="1" x14ac:dyDescent="0.2">
      <c r="A980" s="1" t="s">
        <v>1261</v>
      </c>
      <c r="B980" s="1" t="s">
        <v>1262</v>
      </c>
      <c r="C980" s="1">
        <v>1051</v>
      </c>
      <c r="D980" s="1">
        <v>1051</v>
      </c>
      <c r="E980" s="2">
        <v>0.99</v>
      </c>
      <c r="F980" s="1">
        <v>0</v>
      </c>
      <c r="G980" s="1">
        <v>63.08</v>
      </c>
      <c r="H980" s="1">
        <v>813</v>
      </c>
      <c r="I980" s="1" t="str">
        <f>HYPERLINK("https://www.ncbi.nlm.nih.gov/protein/WP_168799226.1?report=genbank&amp;log$=prottop&amp;blast_rank=10&amp;RID=7U875CNM013","WP_168799226.1")</f>
        <v>WP_168799226.1</v>
      </c>
      <c r="J980" s="1" t="s">
        <v>1720</v>
      </c>
    </row>
    <row r="981" spans="1:10" s="33" customFormat="1" x14ac:dyDescent="0.2">
      <c r="A981" s="1" t="s">
        <v>1309</v>
      </c>
      <c r="B981" s="1" t="s">
        <v>1310</v>
      </c>
      <c r="C981" s="1">
        <v>1041</v>
      </c>
      <c r="D981" s="1">
        <v>1041</v>
      </c>
      <c r="E981" s="2">
        <v>0.98</v>
      </c>
      <c r="F981" s="1">
        <v>0</v>
      </c>
      <c r="G981" s="1">
        <v>62.47</v>
      </c>
      <c r="H981" s="1">
        <v>789</v>
      </c>
      <c r="I981" s="1" t="str">
        <f>HYPERLINK("https://www.ncbi.nlm.nih.gov/protein/MBO0704108.1?report=genbank&amp;log$=prottop&amp;blast_rank=4&amp;RID=7U875CNM013","MBO0704108.1")</f>
        <v>MBO0704108.1</v>
      </c>
      <c r="J981" s="1" t="s">
        <v>3277</v>
      </c>
    </row>
    <row r="982" spans="1:10" s="4" customFormat="1" x14ac:dyDescent="0.2">
      <c r="A982" s="1" t="s">
        <v>2683</v>
      </c>
      <c r="B982" s="1" t="s">
        <v>2684</v>
      </c>
      <c r="C982" s="1">
        <v>1053</v>
      </c>
      <c r="D982" s="1">
        <v>1053</v>
      </c>
      <c r="E982" s="2">
        <v>0.97</v>
      </c>
      <c r="F982" s="1">
        <v>0</v>
      </c>
      <c r="G982" s="1">
        <v>64.12</v>
      </c>
      <c r="H982" s="1">
        <v>795</v>
      </c>
      <c r="I982" s="1" t="str">
        <f>HYPERLINK("https://www.ncbi.nlm.nih.gov/protein/GGP22998.1?report=genbank&amp;log$=prottop&amp;blast_rank=121&amp;RID=7U875CNM013","GGP22998.1")</f>
        <v>GGP22998.1</v>
      </c>
      <c r="J982" s="1" t="s">
        <v>2134</v>
      </c>
    </row>
    <row r="983" spans="1:10" s="4" customFormat="1" x14ac:dyDescent="0.2">
      <c r="A983" s="1" t="s">
        <v>2744</v>
      </c>
      <c r="B983" s="1" t="s">
        <v>2745</v>
      </c>
      <c r="C983" s="1">
        <v>1054</v>
      </c>
      <c r="D983" s="1">
        <v>1054</v>
      </c>
      <c r="E983" s="2">
        <v>0.98</v>
      </c>
      <c r="F983" s="1">
        <v>0</v>
      </c>
      <c r="G983" s="1">
        <v>63.98</v>
      </c>
      <c r="H983" s="1">
        <v>820</v>
      </c>
      <c r="I983" s="1" t="str">
        <f>HYPERLINK("https://www.ncbi.nlm.nih.gov/protein/WP_170115887.1?report=genbank&amp;log$=prottop&amp;blast_rank=29&amp;RID=7U875CNM013","WP_170115887.1")</f>
        <v>WP_170115887.1</v>
      </c>
      <c r="J983" s="1" t="s">
        <v>1720</v>
      </c>
    </row>
    <row r="984" spans="1:10" s="4" customFormat="1" x14ac:dyDescent="0.2">
      <c r="A984" s="1" t="s">
        <v>2755</v>
      </c>
      <c r="B984" s="1" t="s">
        <v>2756</v>
      </c>
      <c r="C984" s="1">
        <v>1061</v>
      </c>
      <c r="D984" s="1">
        <v>1061</v>
      </c>
      <c r="E984" s="2">
        <v>0.97</v>
      </c>
      <c r="F984" s="1">
        <v>0</v>
      </c>
      <c r="G984" s="1">
        <v>63.96</v>
      </c>
      <c r="H984" s="1">
        <v>793</v>
      </c>
      <c r="I984" s="1" t="str">
        <f>HYPERLINK("https://www.ncbi.nlm.nih.gov/protein/WP_167212372.1?report=genbank&amp;log$=prottop&amp;blast_rank=44&amp;RID=7U875CNM013","WP_167212372.1")</f>
        <v>WP_167212372.1</v>
      </c>
      <c r="J984" s="1" t="s">
        <v>3280</v>
      </c>
    </row>
    <row r="985" spans="1:10" s="4" customFormat="1" x14ac:dyDescent="0.2">
      <c r="A985" s="1" t="s">
        <v>2767</v>
      </c>
      <c r="B985" s="1" t="s">
        <v>2768</v>
      </c>
      <c r="C985" s="1">
        <v>1043</v>
      </c>
      <c r="D985" s="1">
        <v>1043</v>
      </c>
      <c r="E985" s="2">
        <v>0.98</v>
      </c>
      <c r="F985" s="1">
        <v>0</v>
      </c>
      <c r="G985" s="1">
        <v>63.94</v>
      </c>
      <c r="H985" s="1">
        <v>799</v>
      </c>
      <c r="I985" s="1" t="str">
        <f>HYPERLINK("https://www.ncbi.nlm.nih.gov/protein/NCC04720.1?report=genbank&amp;log$=prottop&amp;blast_rank=64&amp;RID=7U875CNM013","NCC04720.1")</f>
        <v>NCC04720.1</v>
      </c>
      <c r="J985" s="1" t="s">
        <v>2769</v>
      </c>
    </row>
    <row r="986" spans="1:10" s="4" customFormat="1" x14ac:dyDescent="0.2">
      <c r="A986" s="1" t="s">
        <v>2806</v>
      </c>
      <c r="B986" s="1" t="s">
        <v>2807</v>
      </c>
      <c r="C986" s="1">
        <v>1045</v>
      </c>
      <c r="D986" s="1">
        <v>1045</v>
      </c>
      <c r="E986" s="2">
        <v>0.98</v>
      </c>
      <c r="F986" s="1">
        <v>0</v>
      </c>
      <c r="G986" s="1">
        <v>63.9</v>
      </c>
      <c r="H986" s="1">
        <v>821</v>
      </c>
      <c r="I986" s="1" t="str">
        <f>HYPERLINK("https://www.ncbi.nlm.nih.gov/protein/WP_173513900.1?report=genbank&amp;log$=prottop&amp;blast_rank=149&amp;RID=7U875CNM013","WP_173513900.1")</f>
        <v>WP_173513900.1</v>
      </c>
      <c r="J986" s="1" t="s">
        <v>1720</v>
      </c>
    </row>
    <row r="987" spans="1:10" s="4" customFormat="1" x14ac:dyDescent="0.2">
      <c r="A987" s="1" t="s">
        <v>2808</v>
      </c>
      <c r="B987" s="1" t="s">
        <v>2809</v>
      </c>
      <c r="C987" s="1">
        <v>1040</v>
      </c>
      <c r="D987" s="1">
        <v>1040</v>
      </c>
      <c r="E987" s="2">
        <v>0.98</v>
      </c>
      <c r="F987" s="1">
        <v>0</v>
      </c>
      <c r="G987" s="1">
        <v>63.9</v>
      </c>
      <c r="H987" s="1">
        <v>803</v>
      </c>
      <c r="I987" s="1" t="str">
        <f>HYPERLINK("https://www.ncbi.nlm.nih.gov/protein/QLL63800.1?report=genbank&amp;log$=prottop&amp;blast_rank=150&amp;RID=7U875CNM013","QLL63800.1")</f>
        <v>QLL63800.1</v>
      </c>
      <c r="J987" s="1" t="s">
        <v>1720</v>
      </c>
    </row>
    <row r="988" spans="1:10" s="4" customFormat="1" x14ac:dyDescent="0.2">
      <c r="A988" s="1" t="s">
        <v>2843</v>
      </c>
      <c r="B988" s="1" t="s">
        <v>1262</v>
      </c>
      <c r="C988" s="1">
        <v>1049</v>
      </c>
      <c r="D988" s="1">
        <v>1049</v>
      </c>
      <c r="E988" s="2">
        <v>0.98</v>
      </c>
      <c r="F988" s="1">
        <v>0</v>
      </c>
      <c r="G988" s="1">
        <v>63.78</v>
      </c>
      <c r="H988" s="1">
        <v>804</v>
      </c>
      <c r="I988" s="1" t="str">
        <f>HYPERLINK("https://www.ncbi.nlm.nih.gov/protein/THK36470.1?report=genbank&amp;log$=prottop&amp;blast_rank=98&amp;RID=7U875CNM013","THK36470.1")</f>
        <v>THK36470.1</v>
      </c>
      <c r="J988" s="1" t="s">
        <v>1720</v>
      </c>
    </row>
  </sheetData>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sqref="A1:XFD1"/>
    </sheetView>
  </sheetViews>
  <sheetFormatPr baseColWidth="10" defaultRowHeight="16" x14ac:dyDescent="0.2"/>
  <sheetData>
    <row r="1" spans="1:10" s="3" customFormat="1" x14ac:dyDescent="0.2">
      <c r="A1" s="3" t="s">
        <v>5</v>
      </c>
      <c r="B1" s="3" t="s">
        <v>6</v>
      </c>
      <c r="C1" s="3" t="s">
        <v>7</v>
      </c>
      <c r="D1" s="3" t="s">
        <v>8</v>
      </c>
      <c r="E1" s="3" t="s">
        <v>9</v>
      </c>
      <c r="F1" s="3" t="s">
        <v>10</v>
      </c>
      <c r="G1" s="3" t="s">
        <v>11</v>
      </c>
      <c r="H1" s="3" t="s">
        <v>12</v>
      </c>
      <c r="I1" s="3" t="s">
        <v>13</v>
      </c>
      <c r="J1" s="1"/>
    </row>
    <row r="2" spans="1:10" s="4" customFormat="1" x14ac:dyDescent="0.2">
      <c r="A2" s="1" t="s">
        <v>1670</v>
      </c>
      <c r="B2" s="1" t="s">
        <v>1671</v>
      </c>
      <c r="C2" s="1">
        <v>1181</v>
      </c>
      <c r="D2" s="1">
        <v>1181</v>
      </c>
      <c r="E2" s="2">
        <v>0.98</v>
      </c>
      <c r="F2" s="1">
        <v>0</v>
      </c>
      <c r="G2" s="1">
        <v>70.010000000000005</v>
      </c>
      <c r="H2" s="1">
        <v>790</v>
      </c>
      <c r="I2" s="1" t="str">
        <f>HYPERLINK("https://www.ncbi.nlm.nih.gov/protein/WP_062626228.1?report=genbank&amp;log$=prottop&amp;blast_rank=187&amp;RID=7U875CNM013","WP_062626228.1")</f>
        <v>WP_062626228.1</v>
      </c>
      <c r="J2" s="5" t="s">
        <v>1672</v>
      </c>
    </row>
    <row r="3" spans="1:10" s="7" customFormat="1" x14ac:dyDescent="0.2">
      <c r="A3" s="5" t="s">
        <v>1695</v>
      </c>
      <c r="B3" s="5" t="s">
        <v>1696</v>
      </c>
      <c r="C3" s="5">
        <v>1145</v>
      </c>
      <c r="D3" s="5">
        <v>1145</v>
      </c>
      <c r="E3" s="6">
        <v>0.98</v>
      </c>
      <c r="F3" s="5">
        <v>0</v>
      </c>
      <c r="G3" s="5">
        <v>68.540000000000006</v>
      </c>
      <c r="H3" s="5">
        <v>788</v>
      </c>
      <c r="I3" s="5" t="str">
        <f>HYPERLINK("https://www.ncbi.nlm.nih.gov/protein/WP_167631985.1?report=genbank&amp;log$=prottop&amp;blast_rank=216&amp;RID=7U875CNM013","WP_167631985.1")</f>
        <v>WP_167631985.1</v>
      </c>
      <c r="J3" s="5" t="s">
        <v>1697</v>
      </c>
    </row>
    <row r="4" spans="1:10" s="7" customFormat="1" x14ac:dyDescent="0.2">
      <c r="A4" s="5" t="s">
        <v>1698</v>
      </c>
      <c r="B4" s="5" t="s">
        <v>1696</v>
      </c>
      <c r="C4" s="5">
        <v>1144</v>
      </c>
      <c r="D4" s="5">
        <v>1144</v>
      </c>
      <c r="E4" s="6">
        <v>0.98</v>
      </c>
      <c r="F4" s="5">
        <v>0</v>
      </c>
      <c r="G4" s="5">
        <v>68.540000000000006</v>
      </c>
      <c r="H4" s="5">
        <v>788</v>
      </c>
      <c r="I4" s="5" t="str">
        <f>HYPERLINK("https://www.ncbi.nlm.nih.gov/protein/WP_009850143.1?report=genbank&amp;log$=prottop&amp;blast_rank=217&amp;RID=7U875CNM013","WP_009850143.1")</f>
        <v>WP_009850143.1</v>
      </c>
      <c r="J4" s="5" t="s">
        <v>1697</v>
      </c>
    </row>
    <row r="5" spans="1:10" s="7" customFormat="1" x14ac:dyDescent="0.2">
      <c r="A5" s="5" t="s">
        <v>1698</v>
      </c>
      <c r="B5" s="5" t="s">
        <v>1696</v>
      </c>
      <c r="C5" s="5">
        <v>1144</v>
      </c>
      <c r="D5" s="5">
        <v>1144</v>
      </c>
      <c r="E5" s="6">
        <v>0.98</v>
      </c>
      <c r="F5" s="5">
        <v>0</v>
      </c>
      <c r="G5" s="5">
        <v>68.540000000000006</v>
      </c>
      <c r="H5" s="5">
        <v>788</v>
      </c>
      <c r="I5" s="5" t="str">
        <f>HYPERLINK("https://www.ncbi.nlm.nih.gov/protein/WP_018293781.1?report=genbank&amp;log$=prottop&amp;blast_rank=218&amp;RID=7U875CNM013","WP_018293781.1")</f>
        <v>WP_018293781.1</v>
      </c>
      <c r="J5" s="5" t="s">
        <v>1697</v>
      </c>
    </row>
    <row r="6" spans="1:10" x14ac:dyDescent="0.2">
      <c r="A6" s="5" t="s">
        <v>2104</v>
      </c>
      <c r="B6" s="5" t="s">
        <v>2105</v>
      </c>
      <c r="C6" s="5">
        <v>1036</v>
      </c>
      <c r="D6" s="5">
        <v>1036</v>
      </c>
      <c r="E6" s="6">
        <v>0.98</v>
      </c>
      <c r="F6" s="5">
        <v>0</v>
      </c>
      <c r="G6" s="5">
        <v>62.55</v>
      </c>
      <c r="H6" s="5">
        <v>813</v>
      </c>
      <c r="I6" s="5" t="str">
        <f>HYPERLINK("https://www.ncbi.nlm.nih.gov/protein/WP_084190080.1?report=genbank&amp;log$=prottop&amp;blast_rank=142&amp;RID=7U875CNM013","WP_084190080.1")</f>
        <v>WP_084190080.1</v>
      </c>
      <c r="J6" s="5" t="s">
        <v>2106</v>
      </c>
    </row>
    <row r="7" spans="1:10" x14ac:dyDescent="0.2">
      <c r="A7" s="5" t="s">
        <v>2132</v>
      </c>
      <c r="B7" s="5" t="s">
        <v>2133</v>
      </c>
      <c r="C7" s="5">
        <v>1035</v>
      </c>
      <c r="D7" s="5">
        <v>1035</v>
      </c>
      <c r="E7" s="6">
        <v>0.98</v>
      </c>
      <c r="F7" s="5">
        <v>0</v>
      </c>
      <c r="G7" s="5">
        <v>62.42</v>
      </c>
      <c r="H7" s="5">
        <v>813</v>
      </c>
      <c r="I7" s="5" t="str">
        <f>HYPERLINK("https://www.ncbi.nlm.nih.gov/protein/WP_082783428.1?report=genbank&amp;log$=prottop&amp;blast_rank=58&amp;RID=7U875CNM013","WP_082783428.1")</f>
        <v>WP_082783428.1</v>
      </c>
      <c r="J7" s="5" t="s">
        <v>2134</v>
      </c>
    </row>
    <row r="8" spans="1:10" x14ac:dyDescent="0.2">
      <c r="A8" s="5" t="s">
        <v>2104</v>
      </c>
      <c r="B8" s="5" t="s">
        <v>2105</v>
      </c>
      <c r="C8" s="5">
        <v>1034</v>
      </c>
      <c r="D8" s="5">
        <v>1034</v>
      </c>
      <c r="E8" s="6">
        <v>0.98</v>
      </c>
      <c r="F8" s="5">
        <v>0</v>
      </c>
      <c r="G8" s="5">
        <v>62.42</v>
      </c>
      <c r="H8" s="5">
        <v>813</v>
      </c>
      <c r="I8" s="5" t="str">
        <f>HYPERLINK("https://www.ncbi.nlm.nih.gov/protein/QKE42244.1?report=genbank&amp;log$=prottop&amp;blast_rank=59&amp;RID=7U875CNM013","QKE42244.1")</f>
        <v>QKE42244.1</v>
      </c>
      <c r="J8" s="5" t="s">
        <v>2135</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Cyanobacterium</vt:lpstr>
      <vt:lpstr>Phototroph</vt:lpstr>
      <vt:lpstr>Methanotroph</vt:lpstr>
      <vt:lpstr>Sulfur-oxidizing bacteria</vt:lpstr>
      <vt:lpstr>Ammonia-oxidizing bacteria</vt:lpstr>
      <vt:lpstr>Nitrogen-fixation bacteria</vt:lpstr>
      <vt:lpstr>Thermophilic bacteria</vt:lpstr>
      <vt:lpstr>Proteobacteria&amp;others</vt:lpstr>
      <vt:lpstr>Iron-oxidizing bacteria</vt:lpstr>
      <vt:lpstr>Archeae</vt:lpstr>
      <vt:lpstr>Human pathogen</vt:lpstr>
      <vt:lpstr>Planctomycetes</vt:lpstr>
      <vt:lpstr>Actinobacteria</vt:lpstr>
      <vt:lpstr>Fungi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MaryChang</dc:creator>
  <cp:lastModifiedBy>MaryChang</cp:lastModifiedBy>
  <dcterms:created xsi:type="dcterms:W3CDTF">2021-05-18T02:37:03Z</dcterms:created>
  <dcterms:modified xsi:type="dcterms:W3CDTF">2021-11-10T08:12:12Z</dcterms:modified>
</cp:coreProperties>
</file>