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426"/>
  <workbookPr autoCompressPictures="0"/>
  <bookViews>
    <workbookView xWindow="240" yWindow="240" windowWidth="25360" windowHeight="15840" tabRatio="500"/>
  </bookViews>
  <sheets>
    <sheet name="Planilha1" sheetId="1" r:id="rId1"/>
  </sheets>
  <calcPr calcId="140001" concurrentCalc="0"/>
  <extLst>
    <ext xmlns:mx="http://schemas.microsoft.com/office/mac/excel/2008/main" uri="{7523E5D3-25F3-A5E0-1632-64F254C22452}">
      <mx:ArchID Flags="2"/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C51" i="1" l="1"/>
  <c r="C50" i="1"/>
  <c r="C49" i="1"/>
  <c r="C48" i="1"/>
  <c r="C47" i="1"/>
  <c r="C46" i="1"/>
  <c r="C45" i="1"/>
  <c r="C44" i="1"/>
  <c r="C43" i="1"/>
  <c r="C42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L51" i="1"/>
  <c r="H51" i="1"/>
  <c r="I51" i="1"/>
  <c r="F51" i="1"/>
  <c r="L50" i="1"/>
  <c r="H50" i="1"/>
  <c r="I50" i="1"/>
  <c r="E50" i="1"/>
  <c r="F50" i="1"/>
  <c r="L49" i="1"/>
  <c r="H49" i="1"/>
  <c r="I49" i="1"/>
  <c r="E49" i="1"/>
  <c r="F49" i="1"/>
  <c r="L48" i="1"/>
  <c r="H48" i="1"/>
  <c r="I48" i="1"/>
  <c r="E48" i="1"/>
  <c r="F48" i="1"/>
  <c r="L47" i="1"/>
  <c r="H47" i="1"/>
  <c r="I47" i="1"/>
  <c r="F47" i="1"/>
  <c r="L46" i="1"/>
  <c r="H46" i="1"/>
  <c r="I46" i="1"/>
  <c r="F46" i="1"/>
  <c r="L45" i="1"/>
  <c r="H45" i="1"/>
  <c r="I45" i="1"/>
  <c r="F45" i="1"/>
  <c r="L44" i="1"/>
  <c r="H44" i="1"/>
  <c r="I44" i="1"/>
  <c r="F44" i="1"/>
  <c r="L43" i="1"/>
  <c r="H43" i="1"/>
  <c r="I43" i="1"/>
  <c r="F43" i="1"/>
  <c r="L42" i="1"/>
  <c r="H42" i="1"/>
  <c r="I42" i="1"/>
  <c r="F42" i="1"/>
  <c r="L37" i="1"/>
  <c r="H37" i="1"/>
  <c r="I37" i="1"/>
  <c r="F37" i="1"/>
  <c r="L36" i="1"/>
  <c r="H36" i="1"/>
  <c r="I36" i="1"/>
  <c r="F36" i="1"/>
  <c r="N35" i="1"/>
  <c r="O35" i="1"/>
  <c r="L35" i="1"/>
  <c r="H35" i="1"/>
  <c r="I35" i="1"/>
  <c r="E35" i="1"/>
  <c r="F35" i="1"/>
  <c r="D35" i="1"/>
  <c r="L34" i="1"/>
  <c r="H34" i="1"/>
  <c r="I34" i="1"/>
  <c r="F34" i="1"/>
  <c r="L33" i="1"/>
  <c r="H33" i="1"/>
  <c r="I33" i="1"/>
  <c r="E33" i="1"/>
  <c r="F33" i="1"/>
  <c r="L32" i="1"/>
  <c r="H32" i="1"/>
  <c r="I32" i="1"/>
  <c r="F32" i="1"/>
  <c r="L31" i="1"/>
  <c r="H31" i="1"/>
  <c r="I31" i="1"/>
  <c r="F31" i="1"/>
  <c r="L30" i="1"/>
  <c r="H30" i="1"/>
  <c r="I30" i="1"/>
  <c r="F30" i="1"/>
  <c r="L29" i="1"/>
  <c r="H29" i="1"/>
  <c r="I29" i="1"/>
  <c r="F29" i="1"/>
  <c r="O28" i="1"/>
  <c r="L28" i="1"/>
  <c r="I28" i="1"/>
  <c r="F28" i="1"/>
  <c r="L27" i="1"/>
  <c r="H27" i="1"/>
  <c r="I27" i="1"/>
  <c r="E27" i="1"/>
  <c r="F27" i="1"/>
  <c r="O26" i="1"/>
  <c r="L26" i="1"/>
  <c r="H26" i="1"/>
  <c r="I26" i="1"/>
  <c r="F26" i="1"/>
  <c r="L25" i="1"/>
  <c r="H25" i="1"/>
  <c r="I25" i="1"/>
  <c r="F25" i="1"/>
  <c r="N24" i="1"/>
  <c r="O24" i="1"/>
  <c r="K24" i="1"/>
  <c r="L24" i="1"/>
  <c r="H24" i="1"/>
  <c r="I24" i="1"/>
  <c r="F24" i="1"/>
  <c r="L23" i="1"/>
  <c r="H23" i="1"/>
  <c r="I23" i="1"/>
  <c r="F23" i="1"/>
  <c r="L22" i="1"/>
  <c r="H22" i="1"/>
  <c r="I22" i="1"/>
  <c r="F22" i="1"/>
  <c r="O21" i="1"/>
  <c r="L21" i="1"/>
  <c r="H21" i="1"/>
  <c r="I21" i="1"/>
  <c r="F21" i="1"/>
  <c r="L20" i="1"/>
  <c r="H20" i="1"/>
  <c r="I20" i="1"/>
  <c r="F20" i="1"/>
  <c r="O19" i="1"/>
  <c r="L19" i="1"/>
  <c r="I19" i="1"/>
  <c r="F19" i="1"/>
  <c r="O18" i="1"/>
  <c r="L18" i="1"/>
  <c r="H18" i="1"/>
  <c r="I18" i="1"/>
  <c r="F18" i="1"/>
  <c r="N14" i="1"/>
  <c r="O14" i="1"/>
  <c r="L14" i="1"/>
  <c r="H14" i="1"/>
  <c r="I14" i="1"/>
  <c r="O12" i="1"/>
  <c r="L12" i="1"/>
  <c r="H12" i="1"/>
  <c r="I12" i="1"/>
  <c r="F12" i="1"/>
  <c r="O11" i="1"/>
  <c r="L11" i="1"/>
  <c r="H11" i="1"/>
  <c r="I11" i="1"/>
  <c r="F11" i="1"/>
  <c r="O10" i="1"/>
  <c r="L10" i="1"/>
  <c r="H10" i="1"/>
  <c r="I10" i="1"/>
  <c r="F10" i="1"/>
  <c r="O9" i="1"/>
  <c r="L9" i="1"/>
  <c r="H9" i="1"/>
  <c r="I9" i="1"/>
  <c r="E9" i="1"/>
  <c r="F9" i="1"/>
  <c r="O8" i="1"/>
  <c r="L8" i="1"/>
  <c r="H8" i="1"/>
  <c r="I8" i="1"/>
  <c r="F8" i="1"/>
  <c r="O7" i="1"/>
  <c r="L7" i="1"/>
  <c r="H7" i="1"/>
  <c r="I7" i="1"/>
  <c r="F7" i="1"/>
  <c r="O6" i="1"/>
  <c r="L6" i="1"/>
  <c r="H6" i="1"/>
  <c r="I6" i="1"/>
  <c r="E6" i="1"/>
  <c r="F6" i="1"/>
  <c r="O5" i="1"/>
  <c r="L5" i="1"/>
  <c r="H5" i="1"/>
  <c r="I5" i="1"/>
  <c r="E5" i="1"/>
  <c r="F5" i="1"/>
</calcChain>
</file>

<file path=xl/sharedStrings.xml><?xml version="1.0" encoding="utf-8"?>
<sst xmlns="http://schemas.openxmlformats.org/spreadsheetml/2006/main" count="167" uniqueCount="60">
  <si>
    <t>Lineage</t>
  </si>
  <si>
    <t>Genome size (Mb)</t>
  </si>
  <si>
    <t>LTR</t>
  </si>
  <si>
    <t>DNA</t>
  </si>
  <si>
    <t>LINE</t>
  </si>
  <si>
    <t>Unknown</t>
  </si>
  <si>
    <t>Fragments</t>
  </si>
  <si>
    <t>Total_Mb</t>
  </si>
  <si>
    <t>% TE in genome</t>
  </si>
  <si>
    <r>
      <rPr>
        <i/>
        <sz val="12"/>
        <rFont val="Times New Roman"/>
        <family val="1"/>
      </rPr>
      <t xml:space="preserve">Amphiamblys </t>
    </r>
    <r>
      <rPr>
        <sz val="12"/>
        <rFont val="Times New Roman"/>
        <family val="1"/>
      </rPr>
      <t>sp.</t>
    </r>
  </si>
  <si>
    <r>
      <rPr>
        <i/>
        <sz val="12"/>
        <rFont val="Times New Roman"/>
        <family val="1"/>
      </rPr>
      <t>Anncaliia algerae</t>
    </r>
    <r>
      <rPr>
        <sz val="12"/>
        <rFont val="Times New Roman"/>
        <family val="1"/>
      </rPr>
      <t xml:space="preserve"> PRA109</t>
    </r>
  </si>
  <si>
    <r>
      <rPr>
        <i/>
        <sz val="12"/>
        <rFont val="Times New Roman"/>
        <family val="1"/>
      </rPr>
      <t>Anncaliia algerae</t>
    </r>
    <r>
      <rPr>
        <sz val="12"/>
        <rFont val="Times New Roman"/>
        <family val="1"/>
      </rPr>
      <t xml:space="preserve"> PRA339</t>
    </r>
  </si>
  <si>
    <r>
      <rPr>
        <i/>
        <sz val="12"/>
        <rFont val="Times New Roman"/>
        <family val="1"/>
      </rPr>
      <t>Anncaliia algerae</t>
    </r>
    <r>
      <rPr>
        <sz val="12"/>
        <rFont val="Times New Roman"/>
        <family val="1"/>
      </rPr>
      <t xml:space="preserve"> Undeen</t>
    </r>
  </si>
  <si>
    <t xml:space="preserve">Edhazardia aedis </t>
  </si>
  <si>
    <r>
      <rPr>
        <i/>
        <sz val="12"/>
        <rFont val="Times New Roman"/>
        <family val="1"/>
      </rPr>
      <t>Encephalitozoon cuniculi</t>
    </r>
    <r>
      <rPr>
        <sz val="12"/>
        <rFont val="Times New Roman"/>
        <family val="1"/>
      </rPr>
      <t xml:space="preserve"> EC1</t>
    </r>
  </si>
  <si>
    <r>
      <rPr>
        <i/>
        <sz val="12"/>
        <rFont val="Times New Roman"/>
        <family val="1"/>
      </rPr>
      <t>Encephalitozoon cuniculi</t>
    </r>
    <r>
      <rPr>
        <sz val="12"/>
        <rFont val="Times New Roman"/>
        <family val="1"/>
      </rPr>
      <t xml:space="preserve"> EC2</t>
    </r>
  </si>
  <si>
    <r>
      <rPr>
        <i/>
        <sz val="12"/>
        <rFont val="Times New Roman"/>
        <family val="1"/>
      </rPr>
      <t>Encephalitozoon cuniculi</t>
    </r>
    <r>
      <rPr>
        <sz val="12"/>
        <rFont val="Times New Roman"/>
        <family val="1"/>
      </rPr>
      <t xml:space="preserve"> EC3</t>
    </r>
  </si>
  <si>
    <r>
      <rPr>
        <i/>
        <sz val="12"/>
        <color rgb="FF000000"/>
        <rFont val="Times New Roman"/>
        <family val="1"/>
      </rPr>
      <t>Encephalitozoon cuniculi</t>
    </r>
    <r>
      <rPr>
        <sz val="12"/>
        <color rgb="FF000000"/>
        <rFont val="Times New Roman"/>
      </rPr>
      <t xml:space="preserve"> EcunIII-L</t>
    </r>
  </si>
  <si>
    <t>-</t>
  </si>
  <si>
    <r>
      <rPr>
        <i/>
        <sz val="12"/>
        <rFont val="Times New Roman"/>
        <family val="1"/>
      </rPr>
      <t xml:space="preserve">Encephalitozoon cuniculi </t>
    </r>
    <r>
      <rPr>
        <sz val="12"/>
        <rFont val="Times New Roman"/>
        <family val="1"/>
      </rPr>
      <t>GB-M1</t>
    </r>
  </si>
  <si>
    <t>Encephalitozoon hellem</t>
  </si>
  <si>
    <t>Encephalitozoon intestinalis</t>
  </si>
  <si>
    <t>Encephalitozoon romaleae</t>
  </si>
  <si>
    <r>
      <rPr>
        <i/>
        <sz val="12"/>
        <rFont val="Times New Roman"/>
        <family val="1"/>
      </rPr>
      <t>Enterocytozoon bieneusi</t>
    </r>
    <r>
      <rPr>
        <sz val="12"/>
        <rFont val="Times New Roman"/>
        <family val="1"/>
      </rPr>
      <t xml:space="preserve"> </t>
    </r>
  </si>
  <si>
    <t>Enterocytozoon hepatopenaei</t>
  </si>
  <si>
    <t>Enterospora canceri</t>
  </si>
  <si>
    <r>
      <rPr>
        <i/>
        <sz val="12"/>
        <rFont val="Times New Roman"/>
        <family val="1"/>
      </rPr>
      <t>Hamiltosporidium magnivora</t>
    </r>
    <r>
      <rPr>
        <sz val="12"/>
        <rFont val="Times New Roman"/>
        <family val="1"/>
      </rPr>
      <t xml:space="preserve"> BE-OM-2</t>
    </r>
  </si>
  <si>
    <r>
      <rPr>
        <i/>
        <sz val="12"/>
        <rFont val="Times New Roman"/>
        <family val="1"/>
      </rPr>
      <t xml:space="preserve">Hamiltosporidium magnivora </t>
    </r>
    <r>
      <rPr>
        <sz val="12"/>
        <rFont val="Times New Roman"/>
        <family val="1"/>
      </rPr>
      <t>IL-BN-2</t>
    </r>
  </si>
  <si>
    <r>
      <rPr>
        <i/>
        <sz val="12"/>
        <rFont val="Times New Roman"/>
        <family val="1"/>
      </rPr>
      <t xml:space="preserve">Hamiltosporidium tvaerminnensis </t>
    </r>
    <r>
      <rPr>
        <sz val="12"/>
        <rFont val="Times New Roman"/>
        <family val="1"/>
      </rPr>
      <t>FI-OER-3-3</t>
    </r>
  </si>
  <si>
    <r>
      <rPr>
        <i/>
        <sz val="12"/>
        <rFont val="Times New Roman"/>
        <family val="1"/>
      </rPr>
      <t xml:space="preserve">Hamiltosporidium tvaerminnensis </t>
    </r>
    <r>
      <rPr>
        <sz val="12"/>
        <rFont val="Times New Roman"/>
        <family val="1"/>
      </rPr>
      <t>IL-G-3</t>
    </r>
  </si>
  <si>
    <r>
      <rPr>
        <i/>
        <sz val="12"/>
        <rFont val="Times New Roman"/>
        <family val="1"/>
      </rPr>
      <t>Hepatospora eriocheir</t>
    </r>
    <r>
      <rPr>
        <sz val="12"/>
        <rFont val="Times New Roman"/>
        <family val="1"/>
      </rPr>
      <t xml:space="preserve"> Canceri</t>
    </r>
  </si>
  <si>
    <r>
      <rPr>
        <i/>
        <sz val="12"/>
        <rFont val="Times New Roman"/>
        <family val="1"/>
      </rPr>
      <t>Hepatospora eriocheir</t>
    </r>
    <r>
      <rPr>
        <sz val="12"/>
        <rFont val="Times New Roman"/>
        <family val="1"/>
      </rPr>
      <t xml:space="preserve"> GB1</t>
    </r>
  </si>
  <si>
    <t>Mitosporidium daphniae</t>
  </si>
  <si>
    <t>Nematocida displodere</t>
  </si>
  <si>
    <r>
      <rPr>
        <i/>
        <sz val="12"/>
        <rFont val="Times New Roman"/>
        <family val="1"/>
      </rPr>
      <t xml:space="preserve">Nematocida parisii </t>
    </r>
    <r>
      <rPr>
        <sz val="12"/>
        <rFont val="Times New Roman"/>
        <family val="1"/>
      </rPr>
      <t>ERTm1</t>
    </r>
  </si>
  <si>
    <r>
      <rPr>
        <i/>
        <sz val="12"/>
        <rFont val="Times New Roman"/>
        <family val="1"/>
      </rPr>
      <t xml:space="preserve">Nematocida parisii </t>
    </r>
    <r>
      <rPr>
        <sz val="12"/>
        <rFont val="Times New Roman"/>
        <family val="1"/>
      </rPr>
      <t>ERTm3</t>
    </r>
  </si>
  <si>
    <r>
      <rPr>
        <i/>
        <sz val="12"/>
        <rFont val="Times New Roman"/>
        <family val="1"/>
      </rPr>
      <t>Nematocida sp.</t>
    </r>
    <r>
      <rPr>
        <sz val="12"/>
        <rFont val="Times New Roman"/>
        <family val="1"/>
      </rPr>
      <t xml:space="preserve"> 1 ERTm2</t>
    </r>
  </si>
  <si>
    <r>
      <rPr>
        <i/>
        <sz val="12"/>
        <rFont val="Times New Roman"/>
        <family val="1"/>
      </rPr>
      <t xml:space="preserve">Nematocida sp. </t>
    </r>
    <r>
      <rPr>
        <sz val="12"/>
        <rFont val="Times New Roman"/>
        <family val="1"/>
      </rPr>
      <t>ERTm5</t>
    </r>
  </si>
  <si>
    <r>
      <rPr>
        <i/>
        <sz val="12"/>
        <rFont val="Times New Roman"/>
        <family val="1"/>
      </rPr>
      <t xml:space="preserve">Nematocida sp. </t>
    </r>
    <r>
      <rPr>
        <sz val="12"/>
        <rFont val="Times New Roman"/>
        <family val="1"/>
      </rPr>
      <t>1 ERTm6</t>
    </r>
  </si>
  <si>
    <r>
      <rPr>
        <i/>
        <sz val="12"/>
        <rFont val="Times New Roman"/>
        <family val="1"/>
      </rPr>
      <t>Nosema apis</t>
    </r>
    <r>
      <rPr>
        <sz val="12"/>
        <rFont val="Times New Roman"/>
        <family val="1"/>
      </rPr>
      <t xml:space="preserve"> BRL 01</t>
    </r>
  </si>
  <si>
    <r>
      <rPr>
        <i/>
        <sz val="12"/>
        <rFont val="Times New Roman"/>
        <family val="1"/>
      </rPr>
      <t>Nosema bombycis</t>
    </r>
    <r>
      <rPr>
        <sz val="12"/>
        <rFont val="Times New Roman"/>
        <family val="1"/>
      </rPr>
      <t xml:space="preserve"> CQ1</t>
    </r>
  </si>
  <si>
    <r>
      <rPr>
        <i/>
        <sz val="12"/>
        <rFont val="Times New Roman"/>
        <family val="1"/>
      </rPr>
      <t xml:space="preserve">Nosema ceranae </t>
    </r>
    <r>
      <rPr>
        <sz val="12"/>
        <rFont val="Times New Roman"/>
        <family val="1"/>
      </rPr>
      <t>BRL01</t>
    </r>
  </si>
  <si>
    <r>
      <rPr>
        <i/>
        <sz val="12"/>
        <rFont val="Times New Roman"/>
        <family val="1"/>
      </rPr>
      <t>Nosema ceranae</t>
    </r>
    <r>
      <rPr>
        <sz val="12"/>
        <rFont val="Times New Roman"/>
        <family val="1"/>
      </rPr>
      <t xml:space="preserve"> PA08</t>
    </r>
  </si>
  <si>
    <r>
      <rPr>
        <i/>
        <sz val="12"/>
        <rFont val="Times New Roman"/>
        <family val="1"/>
      </rPr>
      <t>Ordospora colligata</t>
    </r>
    <r>
      <rPr>
        <sz val="12"/>
        <rFont val="Times New Roman"/>
        <family val="1"/>
      </rPr>
      <t xml:space="preserve"> FI-SK-17-1</t>
    </r>
  </si>
  <si>
    <r>
      <rPr>
        <i/>
        <sz val="12"/>
        <rFont val="Times New Roman"/>
        <family val="1"/>
      </rPr>
      <t>Ordospora colligata</t>
    </r>
    <r>
      <rPr>
        <sz val="12"/>
        <rFont val="Times New Roman"/>
        <family val="1"/>
      </rPr>
      <t xml:space="preserve"> GB-EP-1</t>
    </r>
  </si>
  <si>
    <r>
      <rPr>
        <i/>
        <sz val="12"/>
        <rFont val="Times New Roman"/>
        <family val="1"/>
      </rPr>
      <t>Ordospora colligata</t>
    </r>
    <r>
      <rPr>
        <sz val="12"/>
        <rFont val="Times New Roman"/>
        <family val="1"/>
      </rPr>
      <t xml:space="preserve"> NO-V-7</t>
    </r>
  </si>
  <si>
    <r>
      <rPr>
        <i/>
        <sz val="12"/>
        <rFont val="Times New Roman"/>
        <family val="1"/>
      </rPr>
      <t>Ordospora colligata</t>
    </r>
    <r>
      <rPr>
        <sz val="12"/>
        <rFont val="Times New Roman"/>
        <family val="1"/>
      </rPr>
      <t xml:space="preserve"> OC4</t>
    </r>
  </si>
  <si>
    <t>Pseudoloma neurophilia</t>
  </si>
  <si>
    <t>Rozella allomycis</t>
  </si>
  <si>
    <r>
      <rPr>
        <i/>
        <sz val="12"/>
        <rFont val="Times New Roman"/>
        <family val="1"/>
      </rPr>
      <t>Spraguea lophii</t>
    </r>
    <r>
      <rPr>
        <sz val="12"/>
        <rFont val="Times New Roman"/>
        <family val="1"/>
      </rPr>
      <t xml:space="preserve"> 42_110</t>
    </r>
  </si>
  <si>
    <r>
      <rPr>
        <i/>
        <sz val="12"/>
        <rFont val="Times New Roman"/>
        <family val="1"/>
      </rPr>
      <t>Spraguea lophii</t>
    </r>
    <r>
      <rPr>
        <sz val="12"/>
        <rFont val="Times New Roman"/>
        <family val="1"/>
      </rPr>
      <t xml:space="preserve"> Celtic Deep</t>
    </r>
  </si>
  <si>
    <r>
      <rPr>
        <i/>
        <sz val="12"/>
        <rFont val="Times New Roman"/>
        <family val="1"/>
      </rPr>
      <t>Spraguea lophii</t>
    </r>
    <r>
      <rPr>
        <sz val="12"/>
        <rFont val="Times New Roman"/>
        <family val="1"/>
      </rPr>
      <t xml:space="preserve"> EM120</t>
    </r>
  </si>
  <si>
    <r>
      <rPr>
        <i/>
        <sz val="12"/>
        <rFont val="Times New Roman"/>
        <family val="1"/>
      </rPr>
      <t>Spraguea lophii</t>
    </r>
    <r>
      <rPr>
        <sz val="12"/>
        <rFont val="Times New Roman"/>
        <family val="1"/>
      </rPr>
      <t xml:space="preserve"> North Atlantic</t>
    </r>
  </si>
  <si>
    <r>
      <rPr>
        <i/>
        <sz val="12"/>
        <rFont val="Times New Roman"/>
        <family val="1"/>
      </rPr>
      <t>Spraguea lophii</t>
    </r>
    <r>
      <rPr>
        <sz val="12"/>
        <rFont val="Times New Roman"/>
        <family val="1"/>
      </rPr>
      <t xml:space="preserve"> RA12034</t>
    </r>
  </si>
  <si>
    <t>Trachipleistophora hominis</t>
  </si>
  <si>
    <t xml:space="preserve">Vavraia culicis </t>
  </si>
  <si>
    <r>
      <rPr>
        <i/>
        <sz val="12"/>
        <rFont val="Times New Roman"/>
        <family val="1"/>
      </rPr>
      <t>Vittaforma corneae</t>
    </r>
    <r>
      <rPr>
        <sz val="12"/>
        <rFont val="Times New Roman"/>
        <family val="1"/>
      </rPr>
      <t xml:space="preserve"> </t>
    </r>
  </si>
  <si>
    <t>% Total</t>
  </si>
  <si>
    <t>Tes</t>
  </si>
  <si>
    <r>
      <t xml:space="preserve">Additional file 2: </t>
    </r>
    <r>
      <rPr>
        <sz val="12"/>
        <color rgb="FF000000"/>
        <rFont val="Times New Roman"/>
      </rPr>
      <t>Content of distinct TE classes in each lineage.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</si>
</sst>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11" x14ac:knownFonts="1">
    <font>
      <sz val="10"/>
      <name val="Arial"/>
      <family val="2"/>
    </font>
    <font>
      <b/>
      <sz val="12"/>
      <color rgb="FF000000"/>
      <name val="Times New Roman"/>
    </font>
    <font>
      <sz val="12"/>
      <color rgb="FF000000"/>
      <name val="Times New Roman"/>
    </font>
    <font>
      <b/>
      <sz val="12"/>
      <name val="Times New Roman"/>
      <family val="1"/>
    </font>
    <font>
      <i/>
      <sz val="12"/>
      <name val="Times New Roman"/>
      <family val="1"/>
    </font>
    <font>
      <sz val="12"/>
      <name val="Times New Roman"/>
      <family val="1"/>
    </font>
    <font>
      <i/>
      <sz val="12"/>
      <color rgb="FF000000"/>
      <name val="Times New Roman"/>
      <family val="1"/>
    </font>
    <font>
      <i/>
      <sz val="12"/>
      <name val="Times New Roman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hair">
        <color auto="1"/>
      </top>
      <bottom style="hair">
        <color auto="1"/>
      </bottom>
      <diagonal/>
    </border>
  </borders>
  <cellStyleXfs count="5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8">
    <xf numFmtId="0" fontId="0" fillId="0" borderId="0" xfId="0"/>
    <xf numFmtId="164" fontId="0" fillId="0" borderId="0" xfId="0" applyNumberFormat="1"/>
    <xf numFmtId="0" fontId="1" fillId="0" borderId="0" xfId="0" applyFont="1"/>
    <xf numFmtId="0" fontId="3" fillId="0" borderId="0" xfId="0" applyFont="1" applyAlignment="1">
      <alignment horizontal="center" vertical="center"/>
    </xf>
    <xf numFmtId="164" fontId="3" fillId="0" borderId="0" xfId="0" applyNumberFormat="1" applyFont="1"/>
    <xf numFmtId="0" fontId="3" fillId="0" borderId="1" xfId="0" applyFont="1" applyBorder="1"/>
    <xf numFmtId="164" fontId="3" fillId="0" borderId="1" xfId="0" applyNumberFormat="1" applyFont="1" applyBorder="1"/>
    <xf numFmtId="0" fontId="4" fillId="0" borderId="0" xfId="0" applyFont="1" applyBorder="1" applyAlignment="1">
      <alignment horizontal="left"/>
    </xf>
    <xf numFmtId="164" fontId="5" fillId="0" borderId="0" xfId="0" applyNumberFormat="1" applyFont="1" applyBorder="1" applyAlignment="1">
      <alignment horizontal="center"/>
    </xf>
    <xf numFmtId="0" fontId="5" fillId="0" borderId="0" xfId="0" applyFont="1"/>
    <xf numFmtId="164" fontId="5" fillId="0" borderId="0" xfId="0" applyNumberFormat="1" applyFont="1"/>
    <xf numFmtId="0" fontId="6" fillId="0" borderId="0" xfId="0" applyFont="1" applyAlignment="1">
      <alignment wrapText="1"/>
    </xf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7" fillId="0" borderId="0" xfId="0" applyFont="1" applyBorder="1" applyAlignment="1">
      <alignment horizontal="left"/>
    </xf>
    <xf numFmtId="0" fontId="4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O51"/>
  <sheetViews>
    <sheetView tabSelected="1" zoomScale="95" zoomScaleNormal="95" zoomScalePageLayoutView="95" workbookViewId="0">
      <selection activeCell="A15" sqref="A15"/>
    </sheetView>
  </sheetViews>
  <sheetFormatPr baseColWidth="10" defaultColWidth="11.5" defaultRowHeight="12" x14ac:dyDescent="0"/>
  <cols>
    <col min="1" max="1" width="51.33203125" customWidth="1"/>
    <col min="2" max="3" width="18.83203125" customWidth="1"/>
    <col min="5" max="5" width="11.5" style="1"/>
    <col min="6" max="6" width="17.5" style="1" customWidth="1"/>
    <col min="8" max="8" width="11.5" style="1"/>
    <col min="9" max="9" width="17.5" style="1" customWidth="1"/>
    <col min="11" max="11" width="11.5" style="1"/>
    <col min="12" max="12" width="17.5" style="1" customWidth="1"/>
    <col min="14" max="14" width="11.5" style="1"/>
    <col min="15" max="15" width="16.33203125" style="1" customWidth="1"/>
  </cols>
  <sheetData>
    <row r="1" spans="1:15" ht="15">
      <c r="A1" s="2" t="s">
        <v>59</v>
      </c>
    </row>
    <row r="2" spans="1:15" ht="15">
      <c r="B2" s="3"/>
      <c r="C2" s="3"/>
      <c r="D2" s="3"/>
      <c r="E2" s="4"/>
      <c r="F2" s="4"/>
      <c r="G2" s="3"/>
      <c r="H2" s="4"/>
      <c r="I2" s="4"/>
      <c r="J2" s="3"/>
      <c r="K2" s="4"/>
      <c r="L2" s="4"/>
      <c r="M2" s="3"/>
      <c r="N2" s="4"/>
      <c r="O2" s="4"/>
    </row>
    <row r="3" spans="1:15" ht="15">
      <c r="A3" s="17" t="s">
        <v>0</v>
      </c>
      <c r="B3" s="17" t="s">
        <v>1</v>
      </c>
      <c r="C3" s="16" t="s">
        <v>58</v>
      </c>
      <c r="D3" s="17" t="s">
        <v>2</v>
      </c>
      <c r="E3" s="17"/>
      <c r="F3" s="17"/>
      <c r="G3" s="17" t="s">
        <v>3</v>
      </c>
      <c r="H3" s="17"/>
      <c r="I3" s="17"/>
      <c r="J3" s="17" t="s">
        <v>4</v>
      </c>
      <c r="K3" s="17"/>
      <c r="L3" s="17"/>
      <c r="M3" s="17" t="s">
        <v>5</v>
      </c>
      <c r="N3" s="17"/>
      <c r="O3" s="17"/>
    </row>
    <row r="4" spans="1:15" ht="15">
      <c r="A4" s="17"/>
      <c r="B4" s="17"/>
      <c r="C4" s="16" t="s">
        <v>57</v>
      </c>
      <c r="D4" s="5" t="s">
        <v>6</v>
      </c>
      <c r="E4" s="6" t="s">
        <v>7</v>
      </c>
      <c r="F4" s="6" t="s">
        <v>8</v>
      </c>
      <c r="G4" s="5" t="s">
        <v>6</v>
      </c>
      <c r="H4" s="6" t="s">
        <v>7</v>
      </c>
      <c r="I4" s="6" t="s">
        <v>8</v>
      </c>
      <c r="J4" s="5" t="s">
        <v>6</v>
      </c>
      <c r="K4" s="6" t="s">
        <v>7</v>
      </c>
      <c r="L4" s="6" t="s">
        <v>8</v>
      </c>
      <c r="M4" s="5" t="s">
        <v>6</v>
      </c>
      <c r="N4" s="6" t="s">
        <v>7</v>
      </c>
      <c r="O4" s="6" t="s">
        <v>8</v>
      </c>
    </row>
    <row r="5" spans="1:15" ht="15">
      <c r="A5" s="7" t="s">
        <v>9</v>
      </c>
      <c r="B5" s="8">
        <v>5.6201470000000002</v>
      </c>
      <c r="C5" s="8">
        <f>F5+I5+L5+O5</f>
        <v>23.424938885050516</v>
      </c>
      <c r="D5" s="9">
        <v>599</v>
      </c>
      <c r="E5" s="10">
        <f>179116/1000000</f>
        <v>0.179116</v>
      </c>
      <c r="F5" s="10">
        <f t="shared" ref="F5:F12" si="0">E5*100/B5</f>
        <v>3.1870340757990849</v>
      </c>
      <c r="G5" s="9">
        <v>3955</v>
      </c>
      <c r="H5" s="10">
        <f>819228/1000000</f>
        <v>0.81922799999999996</v>
      </c>
      <c r="I5" s="10">
        <f t="shared" ref="I5:I12" si="1">H5*100/B5</f>
        <v>14.576629401330605</v>
      </c>
      <c r="J5" s="9">
        <v>1535</v>
      </c>
      <c r="K5" s="10">
        <v>0.31817200000000001</v>
      </c>
      <c r="L5" s="10">
        <f t="shared" ref="L5:L12" si="2">K5*100/B5</f>
        <v>5.661275407920825</v>
      </c>
      <c r="M5" s="9">
        <v>0</v>
      </c>
      <c r="N5" s="10">
        <v>0</v>
      </c>
      <c r="O5" s="10">
        <f t="shared" ref="O5:O12" si="3">N5*100/B5</f>
        <v>0</v>
      </c>
    </row>
    <row r="6" spans="1:15" ht="15">
      <c r="A6" s="7" t="s">
        <v>10</v>
      </c>
      <c r="B6" s="8">
        <v>17.534931</v>
      </c>
      <c r="C6" s="8">
        <f t="shared" ref="C6:C51" si="4">F6+I6+L6+O6</f>
        <v>1.6448140001235247</v>
      </c>
      <c r="D6" s="9">
        <v>81</v>
      </c>
      <c r="E6" s="10">
        <f>104/1000000</f>
        <v>1.0399999999999999E-4</v>
      </c>
      <c r="F6" s="10">
        <f t="shared" si="0"/>
        <v>5.9310184910336971E-4</v>
      </c>
      <c r="G6" s="9">
        <v>1778</v>
      </c>
      <c r="H6" s="10">
        <f>288313/1000000</f>
        <v>0.28831299999999999</v>
      </c>
      <c r="I6" s="10">
        <f t="shared" si="1"/>
        <v>1.6442208982744213</v>
      </c>
      <c r="J6" s="9">
        <v>0</v>
      </c>
      <c r="K6" s="10">
        <v>0</v>
      </c>
      <c r="L6" s="10">
        <f t="shared" si="2"/>
        <v>0</v>
      </c>
      <c r="M6" s="9">
        <v>0</v>
      </c>
      <c r="N6" s="10">
        <v>0</v>
      </c>
      <c r="O6" s="10">
        <f t="shared" si="3"/>
        <v>0</v>
      </c>
    </row>
    <row r="7" spans="1:15" ht="15">
      <c r="A7" s="7" t="s">
        <v>11</v>
      </c>
      <c r="B7" s="8">
        <v>12.163397</v>
      </c>
      <c r="C7" s="8">
        <f t="shared" si="4"/>
        <v>1.3454136208823899</v>
      </c>
      <c r="D7" s="9">
        <v>137</v>
      </c>
      <c r="E7" s="10">
        <v>0</v>
      </c>
      <c r="F7" s="10">
        <f t="shared" si="0"/>
        <v>0</v>
      </c>
      <c r="G7" s="9">
        <v>1382</v>
      </c>
      <c r="H7" s="10">
        <f>163648/1000000</f>
        <v>0.16364799999999999</v>
      </c>
      <c r="I7" s="10">
        <f t="shared" si="1"/>
        <v>1.3454136208823899</v>
      </c>
      <c r="J7" s="9">
        <v>0</v>
      </c>
      <c r="K7" s="10">
        <v>0</v>
      </c>
      <c r="L7" s="10">
        <f t="shared" si="2"/>
        <v>0</v>
      </c>
      <c r="M7" s="9">
        <v>0</v>
      </c>
      <c r="N7" s="10">
        <v>0</v>
      </c>
      <c r="O7" s="10">
        <f t="shared" si="3"/>
        <v>0</v>
      </c>
    </row>
    <row r="8" spans="1:15" ht="15">
      <c r="A8" s="7" t="s">
        <v>12</v>
      </c>
      <c r="B8" s="8">
        <v>13.823425</v>
      </c>
      <c r="C8" s="8">
        <f t="shared" si="4"/>
        <v>15.747645753494522</v>
      </c>
      <c r="D8" s="9">
        <v>1159</v>
      </c>
      <c r="E8" s="10">
        <v>0.276561</v>
      </c>
      <c r="F8" s="10">
        <f t="shared" si="0"/>
        <v>2.0006691539904184</v>
      </c>
      <c r="G8" s="9">
        <v>6804</v>
      </c>
      <c r="H8" s="10">
        <f>1900303/1000000</f>
        <v>1.9003030000000001</v>
      </c>
      <c r="I8" s="10">
        <f t="shared" si="1"/>
        <v>13.746976599504103</v>
      </c>
      <c r="J8" s="9">
        <v>0</v>
      </c>
      <c r="K8" s="10">
        <v>0</v>
      </c>
      <c r="L8" s="10">
        <f t="shared" si="2"/>
        <v>0</v>
      </c>
      <c r="M8" s="9">
        <v>0</v>
      </c>
      <c r="N8" s="10">
        <v>0</v>
      </c>
      <c r="O8" s="10">
        <f t="shared" si="3"/>
        <v>0</v>
      </c>
    </row>
    <row r="9" spans="1:15" ht="15">
      <c r="A9" s="7" t="s">
        <v>13</v>
      </c>
      <c r="B9" s="8">
        <v>51.348005999999998</v>
      </c>
      <c r="C9" s="8">
        <f t="shared" si="4"/>
        <v>8.2128836706921025</v>
      </c>
      <c r="D9" s="9">
        <v>337</v>
      </c>
      <c r="E9" s="10">
        <f>54136 /1000000</f>
        <v>5.4135999999999997E-2</v>
      </c>
      <c r="F9" s="10">
        <f t="shared" si="0"/>
        <v>0.10542960519245868</v>
      </c>
      <c r="G9" s="9">
        <v>21525</v>
      </c>
      <c r="H9" s="10">
        <f>4139929/1000000</f>
        <v>4.1399290000000004</v>
      </c>
      <c r="I9" s="10">
        <f t="shared" si="1"/>
        <v>8.0624922416656268</v>
      </c>
      <c r="J9" s="9">
        <v>69</v>
      </c>
      <c r="K9" s="10">
        <v>2.3087E-2</v>
      </c>
      <c r="L9" s="10">
        <f t="shared" si="2"/>
        <v>4.4961823834016069E-2</v>
      </c>
      <c r="M9" s="9">
        <v>0</v>
      </c>
      <c r="N9" s="10">
        <v>0</v>
      </c>
      <c r="O9" s="10">
        <f t="shared" si="3"/>
        <v>0</v>
      </c>
    </row>
    <row r="10" spans="1:15" ht="15">
      <c r="A10" s="7" t="s">
        <v>14</v>
      </c>
      <c r="B10" s="8">
        <v>2.288106</v>
      </c>
      <c r="C10" s="8">
        <f t="shared" si="4"/>
        <v>1.1103506568314581</v>
      </c>
      <c r="D10" s="9">
        <v>0</v>
      </c>
      <c r="E10" s="10">
        <v>0</v>
      </c>
      <c r="F10" s="10">
        <f t="shared" si="0"/>
        <v>0</v>
      </c>
      <c r="G10" s="9">
        <v>95</v>
      </c>
      <c r="H10" s="10">
        <f>25406/1000000</f>
        <v>2.5406000000000001E-2</v>
      </c>
      <c r="I10" s="10">
        <f t="shared" si="1"/>
        <v>1.1103506568314581</v>
      </c>
      <c r="J10" s="9">
        <v>0</v>
      </c>
      <c r="K10" s="10">
        <v>0</v>
      </c>
      <c r="L10" s="10">
        <f t="shared" si="2"/>
        <v>0</v>
      </c>
      <c r="M10" s="9">
        <v>0</v>
      </c>
      <c r="N10" s="10">
        <v>0</v>
      </c>
      <c r="O10" s="10">
        <f t="shared" si="3"/>
        <v>0</v>
      </c>
    </row>
    <row r="11" spans="1:15" ht="15">
      <c r="A11" s="7" t="s">
        <v>15</v>
      </c>
      <c r="B11" s="8">
        <v>2.281231</v>
      </c>
      <c r="C11" s="8">
        <f t="shared" si="4"/>
        <v>0.54457439864704626</v>
      </c>
      <c r="D11" s="9">
        <v>0</v>
      </c>
      <c r="E11" s="10">
        <v>0</v>
      </c>
      <c r="F11" s="10">
        <f t="shared" si="0"/>
        <v>0</v>
      </c>
      <c r="G11" s="9">
        <v>74</v>
      </c>
      <c r="H11" s="10">
        <f>12423/1000000</f>
        <v>1.2423E-2</v>
      </c>
      <c r="I11" s="10">
        <f t="shared" si="1"/>
        <v>0.54457439864704626</v>
      </c>
      <c r="J11" s="9">
        <v>0</v>
      </c>
      <c r="K11" s="10">
        <v>0</v>
      </c>
      <c r="L11" s="10">
        <f t="shared" si="2"/>
        <v>0</v>
      </c>
      <c r="M11" s="9">
        <v>0</v>
      </c>
      <c r="N11" s="10">
        <v>0</v>
      </c>
      <c r="O11" s="10">
        <f t="shared" si="3"/>
        <v>0</v>
      </c>
    </row>
    <row r="12" spans="1:15" ht="15">
      <c r="A12" s="7" t="s">
        <v>16</v>
      </c>
      <c r="B12" s="8">
        <v>2.2646950000000001</v>
      </c>
      <c r="C12" s="8">
        <f t="shared" si="4"/>
        <v>0.79176224613027357</v>
      </c>
      <c r="D12" s="9">
        <v>0</v>
      </c>
      <c r="E12" s="10">
        <v>0</v>
      </c>
      <c r="F12" s="10">
        <f t="shared" si="0"/>
        <v>0</v>
      </c>
      <c r="G12" s="9">
        <v>65</v>
      </c>
      <c r="H12" s="10">
        <f>17931/1000000</f>
        <v>1.7930999999999999E-2</v>
      </c>
      <c r="I12" s="10">
        <f t="shared" si="1"/>
        <v>0.79176224613027357</v>
      </c>
      <c r="J12" s="9">
        <v>0</v>
      </c>
      <c r="K12" s="10">
        <v>0</v>
      </c>
      <c r="L12" s="10">
        <f t="shared" si="2"/>
        <v>0</v>
      </c>
      <c r="M12" s="9">
        <v>0</v>
      </c>
      <c r="N12" s="10">
        <v>0</v>
      </c>
      <c r="O12" s="10">
        <f t="shared" si="3"/>
        <v>0</v>
      </c>
    </row>
    <row r="13" spans="1:15" ht="15">
      <c r="A13" s="11" t="s">
        <v>17</v>
      </c>
      <c r="B13" s="12">
        <v>2.2923</v>
      </c>
      <c r="C13" s="8" t="e">
        <f t="shared" si="4"/>
        <v>#VALUE!</v>
      </c>
      <c r="D13" s="12" t="s">
        <v>18</v>
      </c>
      <c r="E13" s="12" t="s">
        <v>18</v>
      </c>
      <c r="F13" s="12" t="s">
        <v>18</v>
      </c>
      <c r="G13" s="12" t="s">
        <v>18</v>
      </c>
      <c r="H13" s="12" t="s">
        <v>18</v>
      </c>
      <c r="I13" s="12" t="s">
        <v>18</v>
      </c>
      <c r="J13" s="12" t="s">
        <v>18</v>
      </c>
      <c r="K13" s="12" t="s">
        <v>18</v>
      </c>
      <c r="L13" s="12" t="s">
        <v>18</v>
      </c>
      <c r="M13" s="12" t="s">
        <v>18</v>
      </c>
      <c r="N13" s="12" t="s">
        <v>18</v>
      </c>
      <c r="O13" s="12" t="s">
        <v>18</v>
      </c>
    </row>
    <row r="14" spans="1:15" ht="15">
      <c r="A14" s="7" t="s">
        <v>19</v>
      </c>
      <c r="B14" s="13">
        <v>2.4975000000000001</v>
      </c>
      <c r="C14" s="8">
        <f t="shared" si="4"/>
        <v>8.9475075075075061</v>
      </c>
      <c r="D14" s="9">
        <v>0</v>
      </c>
      <c r="E14" s="10">
        <v>0</v>
      </c>
      <c r="F14" s="10">
        <v>0</v>
      </c>
      <c r="G14" s="9">
        <v>185</v>
      </c>
      <c r="H14" s="10">
        <f>209043/1000000</f>
        <v>0.20904300000000001</v>
      </c>
      <c r="I14" s="10">
        <f>H14*100/B14</f>
        <v>8.3700900900900894</v>
      </c>
      <c r="J14" s="9">
        <v>0</v>
      </c>
      <c r="K14" s="10">
        <v>0</v>
      </c>
      <c r="L14" s="10">
        <f>K14*100/B14</f>
        <v>0</v>
      </c>
      <c r="M14" s="9">
        <v>4</v>
      </c>
      <c r="N14" s="10">
        <f>14421/1000000</f>
        <v>1.4421E-2</v>
      </c>
      <c r="O14" s="10">
        <f>N14*100/B14</f>
        <v>0.57741741741741737</v>
      </c>
    </row>
    <row r="15" spans="1:15" ht="15">
      <c r="A15" s="7" t="s">
        <v>20</v>
      </c>
      <c r="B15" s="13">
        <v>2.2517</v>
      </c>
      <c r="C15" s="8" t="e">
        <f t="shared" si="4"/>
        <v>#VALUE!</v>
      </c>
      <c r="D15" s="12" t="s">
        <v>18</v>
      </c>
      <c r="E15" s="12" t="s">
        <v>18</v>
      </c>
      <c r="F15" s="12" t="s">
        <v>18</v>
      </c>
      <c r="G15" s="12" t="s">
        <v>18</v>
      </c>
      <c r="H15" s="12" t="s">
        <v>18</v>
      </c>
      <c r="I15" s="12" t="s">
        <v>18</v>
      </c>
      <c r="J15" s="12" t="s">
        <v>18</v>
      </c>
      <c r="K15" s="12" t="s">
        <v>18</v>
      </c>
      <c r="L15" s="12" t="s">
        <v>18</v>
      </c>
      <c r="M15" s="12" t="s">
        <v>18</v>
      </c>
      <c r="N15" s="12" t="s">
        <v>18</v>
      </c>
      <c r="O15" s="12" t="s">
        <v>18</v>
      </c>
    </row>
    <row r="16" spans="1:15" ht="15">
      <c r="A16" s="7" t="s">
        <v>21</v>
      </c>
      <c r="B16" s="13">
        <v>2.2168999999999999</v>
      </c>
      <c r="C16" s="8" t="e">
        <f t="shared" si="4"/>
        <v>#VALUE!</v>
      </c>
      <c r="D16" s="12" t="s">
        <v>18</v>
      </c>
      <c r="E16" s="12" t="s">
        <v>18</v>
      </c>
      <c r="F16" s="12" t="s">
        <v>18</v>
      </c>
      <c r="G16" s="12" t="s">
        <v>18</v>
      </c>
      <c r="H16" s="12" t="s">
        <v>18</v>
      </c>
      <c r="I16" s="12" t="s">
        <v>18</v>
      </c>
      <c r="J16" s="12" t="s">
        <v>18</v>
      </c>
      <c r="K16" s="12" t="s">
        <v>18</v>
      </c>
      <c r="L16" s="12" t="s">
        <v>18</v>
      </c>
      <c r="M16" s="12" t="s">
        <v>18</v>
      </c>
      <c r="N16" s="12" t="s">
        <v>18</v>
      </c>
      <c r="O16" s="12" t="s">
        <v>18</v>
      </c>
    </row>
    <row r="17" spans="1:15" ht="15">
      <c r="A17" s="7" t="s">
        <v>22</v>
      </c>
      <c r="B17" s="13">
        <v>2.1875</v>
      </c>
      <c r="C17" s="8" t="e">
        <f t="shared" si="4"/>
        <v>#VALUE!</v>
      </c>
      <c r="D17" s="12" t="s">
        <v>18</v>
      </c>
      <c r="E17" s="12" t="s">
        <v>18</v>
      </c>
      <c r="F17" s="12" t="s">
        <v>18</v>
      </c>
      <c r="G17" s="12" t="s">
        <v>18</v>
      </c>
      <c r="H17" s="12" t="s">
        <v>18</v>
      </c>
      <c r="I17" s="12" t="s">
        <v>18</v>
      </c>
      <c r="J17" s="12" t="s">
        <v>18</v>
      </c>
      <c r="K17" s="12" t="s">
        <v>18</v>
      </c>
      <c r="L17" s="12" t="s">
        <v>18</v>
      </c>
      <c r="M17" s="12" t="s">
        <v>18</v>
      </c>
      <c r="N17" s="12" t="s">
        <v>18</v>
      </c>
      <c r="O17" s="12" t="s">
        <v>18</v>
      </c>
    </row>
    <row r="18" spans="1:15" ht="15">
      <c r="A18" s="7" t="s">
        <v>23</v>
      </c>
      <c r="B18" s="8">
        <v>3.860738</v>
      </c>
      <c r="C18" s="8">
        <f t="shared" si="4"/>
        <v>12.858215190981621</v>
      </c>
      <c r="D18" s="9">
        <v>232</v>
      </c>
      <c r="E18" s="10">
        <v>3.4157E-2</v>
      </c>
      <c r="F18" s="10">
        <f t="shared" ref="F18:F37" si="5">E18*100/B18</f>
        <v>0.88472722054695252</v>
      </c>
      <c r="G18" s="9">
        <v>410</v>
      </c>
      <c r="H18" s="10">
        <f>396021/1000000</f>
        <v>0.39602100000000001</v>
      </c>
      <c r="I18" s="10">
        <f t="shared" ref="I18:I37" si="6">H18*100/B18</f>
        <v>10.257650221278936</v>
      </c>
      <c r="J18" s="9">
        <v>246</v>
      </c>
      <c r="K18" s="10">
        <v>6.6243999999999997E-2</v>
      </c>
      <c r="L18" s="10">
        <f t="shared" ref="L18:L37" si="7">K18*100/B18</f>
        <v>1.7158377491557313</v>
      </c>
      <c r="M18" s="9">
        <v>0</v>
      </c>
      <c r="N18" s="10">
        <v>0</v>
      </c>
      <c r="O18" s="10">
        <f>N18*100/B18</f>
        <v>0</v>
      </c>
    </row>
    <row r="19" spans="1:15" ht="15">
      <c r="A19" s="7" t="s">
        <v>24</v>
      </c>
      <c r="B19" s="8">
        <v>3.2535210000000001</v>
      </c>
      <c r="C19" s="8">
        <f t="shared" si="4"/>
        <v>2.3494239010598057</v>
      </c>
      <c r="D19" s="9">
        <v>208</v>
      </c>
      <c r="E19" s="10">
        <v>7.6439000000000007E-2</v>
      </c>
      <c r="F19" s="10">
        <f t="shared" si="5"/>
        <v>2.3494239010598057</v>
      </c>
      <c r="G19" s="9">
        <v>0</v>
      </c>
      <c r="H19" s="10">
        <v>0</v>
      </c>
      <c r="I19" s="10">
        <f t="shared" si="6"/>
        <v>0</v>
      </c>
      <c r="J19" s="9">
        <v>0</v>
      </c>
      <c r="K19" s="10">
        <v>0</v>
      </c>
      <c r="L19" s="10">
        <f t="shared" si="7"/>
        <v>0</v>
      </c>
      <c r="M19" s="9">
        <v>0</v>
      </c>
      <c r="N19" s="10">
        <v>0</v>
      </c>
      <c r="O19" s="10">
        <f>N19*100/B19</f>
        <v>0</v>
      </c>
    </row>
    <row r="20" spans="1:15" ht="15">
      <c r="A20" s="7" t="s">
        <v>25</v>
      </c>
      <c r="B20" s="8">
        <v>3.0953849999999998</v>
      </c>
      <c r="C20" s="8">
        <f t="shared" si="4"/>
        <v>4.0685407469507036</v>
      </c>
      <c r="D20" s="9">
        <v>47</v>
      </c>
      <c r="E20" s="10">
        <v>1.0411E-2</v>
      </c>
      <c r="F20" s="10">
        <f t="shared" si="5"/>
        <v>0.33633942142899831</v>
      </c>
      <c r="G20" s="9">
        <v>253</v>
      </c>
      <c r="H20" s="10">
        <f>105910/1000000</f>
        <v>0.10591</v>
      </c>
      <c r="I20" s="10">
        <f t="shared" si="6"/>
        <v>3.4215453005038152</v>
      </c>
      <c r="J20" s="9">
        <v>23</v>
      </c>
      <c r="K20" s="10">
        <v>9.6159999999999995E-3</v>
      </c>
      <c r="L20" s="10">
        <f t="shared" si="7"/>
        <v>0.31065602501788958</v>
      </c>
      <c r="M20" s="9">
        <v>0</v>
      </c>
      <c r="N20" s="10">
        <v>0</v>
      </c>
      <c r="O20" s="10">
        <v>0</v>
      </c>
    </row>
    <row r="21" spans="1:15" ht="15">
      <c r="A21" s="7" t="s">
        <v>26</v>
      </c>
      <c r="B21" s="8">
        <v>20.734143</v>
      </c>
      <c r="C21" s="8">
        <f t="shared" si="4"/>
        <v>12.75823167612956</v>
      </c>
      <c r="D21" s="9">
        <v>64</v>
      </c>
      <c r="E21" s="10">
        <v>1.6410000000000001E-2</v>
      </c>
      <c r="F21" s="10">
        <f t="shared" si="5"/>
        <v>7.9144819248135795E-2</v>
      </c>
      <c r="G21" s="9">
        <v>10321</v>
      </c>
      <c r="H21" s="10">
        <f>2024231/1000000</f>
        <v>2.0242309999999999</v>
      </c>
      <c r="I21" s="10">
        <f t="shared" si="6"/>
        <v>9.762790774617498</v>
      </c>
      <c r="J21" s="9">
        <v>3986</v>
      </c>
      <c r="K21" s="10">
        <v>0.60466900000000001</v>
      </c>
      <c r="L21" s="10">
        <f t="shared" si="7"/>
        <v>2.9162960822639259</v>
      </c>
      <c r="M21" s="9">
        <v>0</v>
      </c>
      <c r="N21" s="10">
        <v>0</v>
      </c>
      <c r="O21" s="10">
        <f>N21*100/B21</f>
        <v>0</v>
      </c>
    </row>
    <row r="22" spans="1:15" ht="15">
      <c r="A22" s="7" t="s">
        <v>27</v>
      </c>
      <c r="B22" s="8">
        <v>17.189838999999999</v>
      </c>
      <c r="C22" s="8">
        <f t="shared" si="4"/>
        <v>10.999963408615985</v>
      </c>
      <c r="D22" s="9">
        <v>54</v>
      </c>
      <c r="E22" s="10">
        <v>2.0036999999999999E-2</v>
      </c>
      <c r="F22" s="10">
        <f t="shared" si="5"/>
        <v>0.11656304634383137</v>
      </c>
      <c r="G22" s="9">
        <v>7964</v>
      </c>
      <c r="H22" s="10">
        <f>1417859/1000000</f>
        <v>1.417859</v>
      </c>
      <c r="I22" s="10">
        <f t="shared" si="6"/>
        <v>8.248238974198653</v>
      </c>
      <c r="J22" s="9">
        <v>3299</v>
      </c>
      <c r="K22" s="10">
        <v>0.45297999999999999</v>
      </c>
      <c r="L22" s="10">
        <f t="shared" si="7"/>
        <v>2.635161388073501</v>
      </c>
      <c r="M22" s="9">
        <v>0</v>
      </c>
      <c r="N22" s="10">
        <v>0</v>
      </c>
      <c r="O22" s="10">
        <v>0</v>
      </c>
    </row>
    <row r="23" spans="1:15" ht="15">
      <c r="A23" s="7" t="s">
        <v>28</v>
      </c>
      <c r="B23" s="8">
        <v>18.344352000000001</v>
      </c>
      <c r="C23" s="8">
        <f t="shared" si="4"/>
        <v>10.568609891480495</v>
      </c>
      <c r="D23" s="9">
        <v>96</v>
      </c>
      <c r="E23" s="10">
        <v>2.3855999999999999E-2</v>
      </c>
      <c r="F23" s="10">
        <f t="shared" si="5"/>
        <v>0.13004547666769584</v>
      </c>
      <c r="G23" s="9">
        <v>9463</v>
      </c>
      <c r="H23" s="10">
        <f>1479861/1000000</f>
        <v>1.4798610000000001</v>
      </c>
      <c r="I23" s="10">
        <f t="shared" si="6"/>
        <v>8.0671206047507162</v>
      </c>
      <c r="J23" s="9">
        <v>3268</v>
      </c>
      <c r="K23" s="10">
        <v>0.43502600000000002</v>
      </c>
      <c r="L23" s="10">
        <f t="shared" si="7"/>
        <v>2.3714438100620834</v>
      </c>
      <c r="M23" s="9">
        <v>0</v>
      </c>
      <c r="N23" s="10">
        <v>0</v>
      </c>
      <c r="O23" s="10">
        <v>0</v>
      </c>
    </row>
    <row r="24" spans="1:15" ht="15">
      <c r="A24" s="7" t="s">
        <v>29</v>
      </c>
      <c r="B24" s="8">
        <v>25.202660000000002</v>
      </c>
      <c r="C24" s="8">
        <f t="shared" si="4"/>
        <v>15.209390596072002</v>
      </c>
      <c r="D24" s="9">
        <v>104</v>
      </c>
      <c r="E24" s="10">
        <v>2.5246999999999999E-2</v>
      </c>
      <c r="F24" s="10">
        <f t="shared" si="5"/>
        <v>0.10017593381016129</v>
      </c>
      <c r="G24" s="9">
        <v>13161</v>
      </c>
      <c r="H24" s="10">
        <f>2603995/1000000</f>
        <v>2.6039949999999998</v>
      </c>
      <c r="I24" s="10">
        <f t="shared" si="6"/>
        <v>10.332222868538478</v>
      </c>
      <c r="J24" s="9">
        <v>4977</v>
      </c>
      <c r="K24" s="10">
        <f>1202036/1000000</f>
        <v>1.2020360000000001</v>
      </c>
      <c r="L24" s="10">
        <f t="shared" si="7"/>
        <v>4.7694806818010482</v>
      </c>
      <c r="M24" s="9">
        <v>8</v>
      </c>
      <c r="N24" s="10">
        <f>1893/1000000</f>
        <v>1.8929999999999999E-3</v>
      </c>
      <c r="O24" s="10">
        <f>N24*100/B24</f>
        <v>7.5111119223129613E-3</v>
      </c>
    </row>
    <row r="25" spans="1:15" ht="15">
      <c r="A25" s="7" t="s">
        <v>30</v>
      </c>
      <c r="B25" s="8">
        <v>4.8347920000000002</v>
      </c>
      <c r="C25" s="8">
        <f t="shared" si="4"/>
        <v>13.215935659693322</v>
      </c>
      <c r="D25" s="9">
        <v>168</v>
      </c>
      <c r="E25" s="10">
        <v>3.7880999999999998E-2</v>
      </c>
      <c r="F25" s="10">
        <f t="shared" si="5"/>
        <v>0.78350837016359753</v>
      </c>
      <c r="G25" s="9">
        <v>1536</v>
      </c>
      <c r="H25" s="10">
        <f>601082/1000000</f>
        <v>0.60108200000000001</v>
      </c>
      <c r="I25" s="10">
        <f t="shared" si="6"/>
        <v>12.432427289529725</v>
      </c>
      <c r="J25" s="9">
        <v>0</v>
      </c>
      <c r="K25" s="10">
        <v>0</v>
      </c>
      <c r="L25" s="10">
        <f t="shared" si="7"/>
        <v>0</v>
      </c>
      <c r="M25" s="9">
        <v>0</v>
      </c>
      <c r="N25" s="10">
        <v>0</v>
      </c>
      <c r="O25" s="10">
        <v>0</v>
      </c>
    </row>
    <row r="26" spans="1:15" ht="15">
      <c r="A26" s="7" t="s">
        <v>31</v>
      </c>
      <c r="B26" s="8">
        <v>4.5702780000000001</v>
      </c>
      <c r="C26" s="8">
        <f t="shared" si="4"/>
        <v>8.233941130058172</v>
      </c>
      <c r="D26" s="9">
        <v>100</v>
      </c>
      <c r="E26" s="10">
        <v>1.7323000000000002E-2</v>
      </c>
      <c r="F26" s="10">
        <f t="shared" si="5"/>
        <v>0.37903602362919719</v>
      </c>
      <c r="G26" s="9">
        <v>1310</v>
      </c>
      <c r="H26" s="10">
        <f>261990/1000000</f>
        <v>0.26199</v>
      </c>
      <c r="I26" s="10">
        <f t="shared" si="6"/>
        <v>5.7324740420604616</v>
      </c>
      <c r="J26" s="9">
        <v>0</v>
      </c>
      <c r="K26" s="10">
        <v>0</v>
      </c>
      <c r="L26" s="10">
        <f t="shared" si="7"/>
        <v>0</v>
      </c>
      <c r="M26" s="9">
        <v>466</v>
      </c>
      <c r="N26" s="10">
        <v>9.7001000000000004E-2</v>
      </c>
      <c r="O26" s="10">
        <f>N26*100/B26</f>
        <v>2.1224310643685134</v>
      </c>
    </row>
    <row r="27" spans="1:15" ht="15">
      <c r="A27" s="7" t="s">
        <v>32</v>
      </c>
      <c r="B27" s="8">
        <v>5.6369590000000001</v>
      </c>
      <c r="C27" s="8">
        <f t="shared" si="4"/>
        <v>2.3523321705905613</v>
      </c>
      <c r="D27" s="9">
        <v>46</v>
      </c>
      <c r="E27" s="10">
        <f>660/1000000</f>
        <v>6.6E-4</v>
      </c>
      <c r="F27" s="10">
        <f t="shared" si="5"/>
        <v>1.1708440668097817E-2</v>
      </c>
      <c r="G27" s="9">
        <v>372</v>
      </c>
      <c r="H27" s="10">
        <f>131940/1000000</f>
        <v>0.13194</v>
      </c>
      <c r="I27" s="10">
        <f t="shared" si="6"/>
        <v>2.3406237299224637</v>
      </c>
      <c r="J27" s="9">
        <v>0</v>
      </c>
      <c r="K27" s="10">
        <v>0</v>
      </c>
      <c r="L27" s="10">
        <f t="shared" si="7"/>
        <v>0</v>
      </c>
      <c r="M27" s="9">
        <v>0</v>
      </c>
      <c r="N27" s="10">
        <v>0</v>
      </c>
      <c r="O27" s="10">
        <v>0</v>
      </c>
    </row>
    <row r="28" spans="1:15" ht="15">
      <c r="A28" s="7" t="s">
        <v>33</v>
      </c>
      <c r="B28" s="8">
        <v>3.0663999999999998</v>
      </c>
      <c r="C28" s="8">
        <f t="shared" si="4"/>
        <v>3.3685103052439347</v>
      </c>
      <c r="D28" s="9">
        <v>103</v>
      </c>
      <c r="E28" s="10">
        <v>0.10329199999999999</v>
      </c>
      <c r="F28" s="10">
        <f t="shared" si="5"/>
        <v>3.3685103052439347</v>
      </c>
      <c r="G28" s="9">
        <v>0</v>
      </c>
      <c r="H28" s="10">
        <v>0</v>
      </c>
      <c r="I28" s="10">
        <f t="shared" si="6"/>
        <v>0</v>
      </c>
      <c r="J28" s="9">
        <v>0</v>
      </c>
      <c r="K28" s="10">
        <v>0</v>
      </c>
      <c r="L28" s="10">
        <f t="shared" si="7"/>
        <v>0</v>
      </c>
      <c r="M28" s="9">
        <v>0</v>
      </c>
      <c r="N28" s="10">
        <v>0</v>
      </c>
      <c r="O28" s="10">
        <f>N28*100/B28</f>
        <v>0</v>
      </c>
    </row>
    <row r="29" spans="1:15" ht="15">
      <c r="A29" s="7" t="s">
        <v>34</v>
      </c>
      <c r="B29" s="8">
        <v>4.0713460000000001</v>
      </c>
      <c r="C29" s="8">
        <f t="shared" si="4"/>
        <v>2.3924029055747162</v>
      </c>
      <c r="D29" s="9">
        <v>10</v>
      </c>
      <c r="E29" s="10">
        <v>0</v>
      </c>
      <c r="F29" s="10">
        <f t="shared" si="5"/>
        <v>0</v>
      </c>
      <c r="G29" s="9">
        <v>393</v>
      </c>
      <c r="H29" s="10">
        <f>97403/1000000</f>
        <v>9.7403000000000003E-2</v>
      </c>
      <c r="I29" s="10">
        <f t="shared" si="6"/>
        <v>2.3924029055747162</v>
      </c>
      <c r="J29" s="9">
        <v>0</v>
      </c>
      <c r="K29" s="10">
        <v>0</v>
      </c>
      <c r="L29" s="10">
        <f t="shared" si="7"/>
        <v>0</v>
      </c>
      <c r="M29" s="9">
        <v>0</v>
      </c>
      <c r="N29" s="10">
        <v>0</v>
      </c>
      <c r="O29" s="10">
        <v>0</v>
      </c>
    </row>
    <row r="30" spans="1:15" ht="15">
      <c r="A30" s="7" t="s">
        <v>35</v>
      </c>
      <c r="B30" s="8">
        <v>4.1475970000000002</v>
      </c>
      <c r="C30" s="8">
        <f t="shared" si="4"/>
        <v>5.5851135006607437</v>
      </c>
      <c r="D30" s="9">
        <v>8</v>
      </c>
      <c r="E30" s="10">
        <v>0</v>
      </c>
      <c r="F30" s="10">
        <f t="shared" si="5"/>
        <v>0</v>
      </c>
      <c r="G30" s="9">
        <v>826</v>
      </c>
      <c r="H30" s="10">
        <f>207442/1000000</f>
        <v>0.20744199999999999</v>
      </c>
      <c r="I30" s="10">
        <f t="shared" si="6"/>
        <v>5.0014984580228017</v>
      </c>
      <c r="J30" s="9">
        <v>112</v>
      </c>
      <c r="K30" s="10">
        <v>2.4205999999999998E-2</v>
      </c>
      <c r="L30" s="10">
        <f t="shared" si="7"/>
        <v>0.58361504263794184</v>
      </c>
      <c r="M30" s="9">
        <v>0</v>
      </c>
      <c r="N30" s="10">
        <v>0</v>
      </c>
      <c r="O30" s="10">
        <v>0</v>
      </c>
    </row>
    <row r="31" spans="1:15" ht="15">
      <c r="A31" s="7" t="s">
        <v>36</v>
      </c>
      <c r="B31" s="8">
        <v>4.7007110000000001</v>
      </c>
      <c r="C31" s="8">
        <f t="shared" si="4"/>
        <v>8.8986538419400798</v>
      </c>
      <c r="D31" s="9">
        <v>6</v>
      </c>
      <c r="E31" s="10">
        <v>0</v>
      </c>
      <c r="F31" s="10">
        <f t="shared" si="5"/>
        <v>0</v>
      </c>
      <c r="G31" s="9">
        <v>819</v>
      </c>
      <c r="H31" s="10">
        <f>418300/1000000</f>
        <v>0.41830000000000001</v>
      </c>
      <c r="I31" s="10">
        <f t="shared" si="6"/>
        <v>8.8986538419400798</v>
      </c>
      <c r="J31" s="9">
        <v>0</v>
      </c>
      <c r="K31" s="10">
        <v>0</v>
      </c>
      <c r="L31" s="10">
        <f t="shared" si="7"/>
        <v>0</v>
      </c>
      <c r="M31" s="9">
        <v>0</v>
      </c>
      <c r="N31" s="10">
        <v>0</v>
      </c>
      <c r="O31" s="10">
        <v>0</v>
      </c>
    </row>
    <row r="32" spans="1:15" ht="15">
      <c r="A32" s="14" t="s">
        <v>37</v>
      </c>
      <c r="B32" s="8">
        <v>4.3976059999999997</v>
      </c>
      <c r="C32" s="8">
        <f t="shared" si="4"/>
        <v>3.3542568388345844</v>
      </c>
      <c r="D32" s="9">
        <v>8</v>
      </c>
      <c r="E32" s="10">
        <v>0</v>
      </c>
      <c r="F32" s="10">
        <f t="shared" si="5"/>
        <v>0</v>
      </c>
      <c r="G32" s="9">
        <v>495</v>
      </c>
      <c r="H32" s="10">
        <f>147507/1000000</f>
        <v>0.147507</v>
      </c>
      <c r="I32" s="10">
        <f t="shared" si="6"/>
        <v>3.3542568388345844</v>
      </c>
      <c r="J32" s="9">
        <v>0</v>
      </c>
      <c r="K32" s="10">
        <v>0</v>
      </c>
      <c r="L32" s="10">
        <f t="shared" si="7"/>
        <v>0</v>
      </c>
      <c r="M32" s="9">
        <v>0</v>
      </c>
      <c r="N32" s="10">
        <v>0</v>
      </c>
      <c r="O32" s="10">
        <v>0</v>
      </c>
    </row>
    <row r="33" spans="1:15" ht="15">
      <c r="A33" s="7" t="s">
        <v>38</v>
      </c>
      <c r="B33" s="8">
        <v>4.2760410000000002</v>
      </c>
      <c r="C33" s="8">
        <f t="shared" si="4"/>
        <v>3.4072404824930347</v>
      </c>
      <c r="D33" s="9">
        <v>5</v>
      </c>
      <c r="E33" s="10">
        <f>83/1000000</f>
        <v>8.2999999999999998E-5</v>
      </c>
      <c r="F33" s="10">
        <f t="shared" si="5"/>
        <v>1.9410478056688418E-3</v>
      </c>
      <c r="G33" s="9">
        <v>365</v>
      </c>
      <c r="H33" s="10">
        <f>145612/1000000</f>
        <v>0.14561199999999999</v>
      </c>
      <c r="I33" s="10">
        <f t="shared" si="6"/>
        <v>3.405299434687366</v>
      </c>
      <c r="J33" s="9">
        <v>0</v>
      </c>
      <c r="K33" s="10">
        <v>0</v>
      </c>
      <c r="L33" s="10">
        <f t="shared" si="7"/>
        <v>0</v>
      </c>
      <c r="M33" s="9">
        <v>0</v>
      </c>
      <c r="N33" s="10">
        <v>0</v>
      </c>
      <c r="O33" s="10">
        <v>0</v>
      </c>
    </row>
    <row r="34" spans="1:15" ht="15">
      <c r="A34" s="7" t="s">
        <v>39</v>
      </c>
      <c r="B34" s="8">
        <v>8.5695010000000007</v>
      </c>
      <c r="C34" s="8">
        <f t="shared" si="4"/>
        <v>6.6645187391891305</v>
      </c>
      <c r="D34" s="9">
        <v>186</v>
      </c>
      <c r="E34" s="10">
        <v>2.7129E-2</v>
      </c>
      <c r="F34" s="10">
        <f t="shared" si="5"/>
        <v>0.31657619270947046</v>
      </c>
      <c r="G34" s="9">
        <v>956</v>
      </c>
      <c r="H34" s="10">
        <f>275576/1000000</f>
        <v>0.27557599999999999</v>
      </c>
      <c r="I34" s="10">
        <f t="shared" si="6"/>
        <v>3.2157765078736782</v>
      </c>
      <c r="J34" s="9">
        <v>1072</v>
      </c>
      <c r="K34" s="10">
        <v>0.26841100000000001</v>
      </c>
      <c r="L34" s="10">
        <f t="shared" si="7"/>
        <v>3.1321660386059818</v>
      </c>
      <c r="M34" s="9">
        <v>0</v>
      </c>
      <c r="N34" s="10">
        <v>0</v>
      </c>
      <c r="O34" s="10">
        <v>0</v>
      </c>
    </row>
    <row r="35" spans="1:15" ht="15">
      <c r="A35" s="7" t="s">
        <v>40</v>
      </c>
      <c r="B35" s="8">
        <v>15.689776</v>
      </c>
      <c r="C35" s="8">
        <f t="shared" si="4"/>
        <v>33.414696296492693</v>
      </c>
      <c r="D35" s="9">
        <f>1198-58</f>
        <v>1140</v>
      </c>
      <c r="E35" s="10">
        <f>254546/1000000</f>
        <v>0.25454599999999999</v>
      </c>
      <c r="F35" s="10">
        <f t="shared" si="5"/>
        <v>1.6223686048800185</v>
      </c>
      <c r="G35" s="9">
        <v>13133</v>
      </c>
      <c r="H35" s="10">
        <f>4801690/1000000</f>
        <v>4.8016899999999998</v>
      </c>
      <c r="I35" s="10">
        <f t="shared" si="6"/>
        <v>30.603942337991313</v>
      </c>
      <c r="J35" s="9">
        <v>436</v>
      </c>
      <c r="K35" s="10">
        <v>0.1852</v>
      </c>
      <c r="L35" s="10">
        <f t="shared" si="7"/>
        <v>1.1803865141223175</v>
      </c>
      <c r="M35" s="9">
        <v>58</v>
      </c>
      <c r="N35" s="10">
        <f>1255/1000000</f>
        <v>1.255E-3</v>
      </c>
      <c r="O35" s="10">
        <f>N35*100/B35</f>
        <v>7.9988394990470231E-3</v>
      </c>
    </row>
    <row r="36" spans="1:15" ht="15">
      <c r="A36" s="7" t="s">
        <v>41</v>
      </c>
      <c r="B36" s="8">
        <v>7.8602189999999998</v>
      </c>
      <c r="C36" s="8">
        <f t="shared" si="4"/>
        <v>21.643620871123311</v>
      </c>
      <c r="D36" s="9">
        <v>234</v>
      </c>
      <c r="E36" s="10">
        <v>4.8577000000000002E-2</v>
      </c>
      <c r="F36" s="10">
        <f t="shared" si="5"/>
        <v>0.61801077043782116</v>
      </c>
      <c r="G36" s="9">
        <v>5359</v>
      </c>
      <c r="H36" s="10">
        <f>1646254/1000000</f>
        <v>1.6462540000000001</v>
      </c>
      <c r="I36" s="10">
        <f t="shared" si="6"/>
        <v>20.9441238214864</v>
      </c>
      <c r="J36" s="9">
        <v>45</v>
      </c>
      <c r="K36" s="10">
        <v>6.4050000000000001E-3</v>
      </c>
      <c r="L36" s="10">
        <f t="shared" si="7"/>
        <v>8.1486279199091016E-2</v>
      </c>
      <c r="M36" s="9">
        <v>0</v>
      </c>
      <c r="N36" s="10">
        <v>0</v>
      </c>
      <c r="O36" s="10">
        <v>0</v>
      </c>
    </row>
    <row r="37" spans="1:15" ht="15">
      <c r="A37" s="7" t="s">
        <v>42</v>
      </c>
      <c r="B37" s="8">
        <v>5.6907480000000001</v>
      </c>
      <c r="C37" s="8">
        <f t="shared" si="4"/>
        <v>6.4726113333431741</v>
      </c>
      <c r="D37" s="9">
        <v>224</v>
      </c>
      <c r="E37" s="10">
        <v>7.4842000000000006E-2</v>
      </c>
      <c r="F37" s="10">
        <f t="shared" si="5"/>
        <v>1.3151522436066401</v>
      </c>
      <c r="G37" s="9">
        <v>726</v>
      </c>
      <c r="H37" s="10">
        <f>275461/1000000</f>
        <v>0.27546100000000001</v>
      </c>
      <c r="I37" s="10">
        <f t="shared" si="6"/>
        <v>4.8405060283815065</v>
      </c>
      <c r="J37" s="9">
        <v>96</v>
      </c>
      <c r="K37" s="10">
        <v>1.8037000000000001E-2</v>
      </c>
      <c r="L37" s="10">
        <f t="shared" si="7"/>
        <v>0.31695306135502749</v>
      </c>
      <c r="M37" s="9">
        <v>0</v>
      </c>
      <c r="N37" s="10">
        <v>0</v>
      </c>
      <c r="O37" s="10">
        <v>0</v>
      </c>
    </row>
    <row r="38" spans="1:15" ht="15">
      <c r="A38" s="15" t="s">
        <v>43</v>
      </c>
      <c r="B38" s="13">
        <v>2.2599999999999998</v>
      </c>
      <c r="C38" s="8" t="s">
        <v>18</v>
      </c>
      <c r="D38" s="12" t="s">
        <v>18</v>
      </c>
      <c r="E38" s="12" t="s">
        <v>18</v>
      </c>
      <c r="F38" s="12" t="s">
        <v>18</v>
      </c>
      <c r="G38" s="12" t="s">
        <v>18</v>
      </c>
      <c r="H38" s="12" t="s">
        <v>18</v>
      </c>
      <c r="I38" s="12" t="s">
        <v>18</v>
      </c>
      <c r="J38" s="12" t="s">
        <v>18</v>
      </c>
      <c r="K38" s="12" t="s">
        <v>18</v>
      </c>
      <c r="L38" s="12" t="s">
        <v>18</v>
      </c>
      <c r="M38" s="12" t="s">
        <v>18</v>
      </c>
      <c r="N38" s="12" t="s">
        <v>18</v>
      </c>
      <c r="O38" s="12" t="s">
        <v>18</v>
      </c>
    </row>
    <row r="39" spans="1:15" ht="15">
      <c r="A39" s="15" t="s">
        <v>44</v>
      </c>
      <c r="B39" s="13">
        <v>2.2999999999999998</v>
      </c>
      <c r="C39" s="8" t="s">
        <v>18</v>
      </c>
      <c r="D39" s="12" t="s">
        <v>18</v>
      </c>
      <c r="E39" s="12" t="s">
        <v>18</v>
      </c>
      <c r="F39" s="12" t="s">
        <v>18</v>
      </c>
      <c r="G39" s="12" t="s">
        <v>18</v>
      </c>
      <c r="H39" s="12" t="s">
        <v>18</v>
      </c>
      <c r="I39" s="12" t="s">
        <v>18</v>
      </c>
      <c r="J39" s="12" t="s">
        <v>18</v>
      </c>
      <c r="K39" s="12" t="s">
        <v>18</v>
      </c>
      <c r="L39" s="12" t="s">
        <v>18</v>
      </c>
      <c r="M39" s="12" t="s">
        <v>18</v>
      </c>
      <c r="N39" s="12" t="s">
        <v>18</v>
      </c>
      <c r="O39" s="12" t="s">
        <v>18</v>
      </c>
    </row>
    <row r="40" spans="1:15" ht="15">
      <c r="A40" s="15" t="s">
        <v>45</v>
      </c>
      <c r="B40" s="13">
        <v>2.3199999999999998</v>
      </c>
      <c r="C40" s="8" t="s">
        <v>18</v>
      </c>
      <c r="D40" s="12" t="s">
        <v>18</v>
      </c>
      <c r="E40" s="12" t="s">
        <v>18</v>
      </c>
      <c r="F40" s="12" t="s">
        <v>18</v>
      </c>
      <c r="G40" s="12" t="s">
        <v>18</v>
      </c>
      <c r="H40" s="12" t="s">
        <v>18</v>
      </c>
      <c r="I40" s="12" t="s">
        <v>18</v>
      </c>
      <c r="J40" s="12" t="s">
        <v>18</v>
      </c>
      <c r="K40" s="12" t="s">
        <v>18</v>
      </c>
      <c r="L40" s="12" t="s">
        <v>18</v>
      </c>
      <c r="M40" s="12" t="s">
        <v>18</v>
      </c>
      <c r="N40" s="12" t="s">
        <v>18</v>
      </c>
      <c r="O40" s="12" t="s">
        <v>18</v>
      </c>
    </row>
    <row r="41" spans="1:15" ht="15">
      <c r="A41" s="7" t="s">
        <v>46</v>
      </c>
      <c r="B41" s="13">
        <v>2.2905000000000002</v>
      </c>
      <c r="C41" s="8"/>
      <c r="D41" s="12" t="s">
        <v>18</v>
      </c>
      <c r="E41" s="12" t="s">
        <v>18</v>
      </c>
      <c r="F41" s="12" t="s">
        <v>18</v>
      </c>
      <c r="G41" s="12" t="s">
        <v>18</v>
      </c>
      <c r="H41" s="12" t="s">
        <v>18</v>
      </c>
      <c r="I41" s="12" t="s">
        <v>18</v>
      </c>
      <c r="J41" s="12" t="s">
        <v>18</v>
      </c>
      <c r="K41" s="12" t="s">
        <v>18</v>
      </c>
      <c r="L41" s="12" t="s">
        <v>18</v>
      </c>
      <c r="M41" s="12" t="s">
        <v>18</v>
      </c>
      <c r="N41" s="12" t="s">
        <v>18</v>
      </c>
      <c r="O41" s="12" t="s">
        <v>18</v>
      </c>
    </row>
    <row r="42" spans="1:15" ht="15">
      <c r="A42" s="7" t="s">
        <v>47</v>
      </c>
      <c r="B42" s="8">
        <v>5.2484089999999997</v>
      </c>
      <c r="C42" s="8">
        <f t="shared" si="4"/>
        <v>4.8243763014658345</v>
      </c>
      <c r="D42" s="9">
        <v>612</v>
      </c>
      <c r="E42" s="10">
        <v>9.7070000000000004E-2</v>
      </c>
      <c r="F42" s="10">
        <f t="shared" ref="F42:F51" si="8">E42*100/B42</f>
        <v>1.8495128714244644</v>
      </c>
      <c r="G42" s="9">
        <v>627</v>
      </c>
      <c r="H42" s="10">
        <f>132939/1000000</f>
        <v>0.132939</v>
      </c>
      <c r="I42" s="10">
        <f t="shared" ref="I42:I51" si="9">H42*100/B42</f>
        <v>2.5329390297135763</v>
      </c>
      <c r="J42" s="9">
        <v>180</v>
      </c>
      <c r="K42" s="10">
        <v>2.3193999999999999E-2</v>
      </c>
      <c r="L42" s="10">
        <f t="shared" ref="L42:L51" si="10">K42*100/B42</f>
        <v>0.44192440032779456</v>
      </c>
      <c r="M42" s="9">
        <v>0</v>
      </c>
      <c r="N42" s="10">
        <v>0</v>
      </c>
      <c r="O42" s="10">
        <v>0</v>
      </c>
    </row>
    <row r="43" spans="1:15" ht="15">
      <c r="A43" s="7" t="s">
        <v>48</v>
      </c>
      <c r="B43" s="8">
        <v>11.859273999999999</v>
      </c>
      <c r="C43" s="8">
        <f t="shared" si="4"/>
        <v>1.494560290958789</v>
      </c>
      <c r="D43" s="9">
        <v>650</v>
      </c>
      <c r="E43" s="10">
        <v>8.2645999999999997E-2</v>
      </c>
      <c r="F43" s="10">
        <f t="shared" si="8"/>
        <v>0.69688920249249664</v>
      </c>
      <c r="G43" s="9">
        <v>713</v>
      </c>
      <c r="H43" s="10">
        <f>94598/1000000</f>
        <v>9.4598000000000002E-2</v>
      </c>
      <c r="I43" s="10">
        <f t="shared" si="9"/>
        <v>0.79767108846629231</v>
      </c>
      <c r="J43" s="9">
        <v>0</v>
      </c>
      <c r="K43" s="10">
        <v>0</v>
      </c>
      <c r="L43" s="10">
        <f t="shared" si="10"/>
        <v>0</v>
      </c>
      <c r="M43" s="9">
        <v>0</v>
      </c>
      <c r="N43" s="10">
        <v>0</v>
      </c>
      <c r="O43" s="10">
        <v>0</v>
      </c>
    </row>
    <row r="44" spans="1:15" ht="15">
      <c r="A44" s="7" t="s">
        <v>49</v>
      </c>
      <c r="B44" s="8">
        <v>4.9808760000000003</v>
      </c>
      <c r="C44" s="8">
        <f t="shared" si="4"/>
        <v>3.2142940318128774</v>
      </c>
      <c r="D44" s="9">
        <v>118</v>
      </c>
      <c r="E44" s="10">
        <v>7.6400000000000001E-3</v>
      </c>
      <c r="F44" s="10">
        <f t="shared" si="8"/>
        <v>0.15338667334822229</v>
      </c>
      <c r="G44" s="9">
        <v>1143</v>
      </c>
      <c r="H44" s="10">
        <f>147856/1000000</f>
        <v>0.14785599999999999</v>
      </c>
      <c r="I44" s="10">
        <f t="shared" si="9"/>
        <v>2.9684738186616166</v>
      </c>
      <c r="J44" s="9">
        <v>108</v>
      </c>
      <c r="K44" s="10">
        <v>4.6039999999999996E-3</v>
      </c>
      <c r="L44" s="10">
        <f t="shared" si="10"/>
        <v>9.2433539803038658E-2</v>
      </c>
      <c r="M44" s="9">
        <v>0</v>
      </c>
      <c r="N44" s="10">
        <v>0</v>
      </c>
      <c r="O44" s="10">
        <v>0</v>
      </c>
    </row>
    <row r="45" spans="1:15" ht="15">
      <c r="A45" s="7" t="s">
        <v>50</v>
      </c>
      <c r="B45" s="8">
        <v>5.7647729999999999</v>
      </c>
      <c r="C45" s="8">
        <f t="shared" si="4"/>
        <v>6.6856925675997996</v>
      </c>
      <c r="D45" s="9">
        <v>237</v>
      </c>
      <c r="E45" s="10">
        <v>7.5929999999999999E-3</v>
      </c>
      <c r="F45" s="10">
        <f t="shared" si="8"/>
        <v>0.13171377259781086</v>
      </c>
      <c r="G45" s="9">
        <v>1351</v>
      </c>
      <c r="H45" s="10">
        <f>377822/1000000</f>
        <v>0.37782199999999999</v>
      </c>
      <c r="I45" s="10">
        <f t="shared" si="9"/>
        <v>6.5539787950019885</v>
      </c>
      <c r="J45" s="9">
        <v>0</v>
      </c>
      <c r="K45" s="10">
        <v>0</v>
      </c>
      <c r="L45" s="10">
        <f t="shared" si="10"/>
        <v>0</v>
      </c>
      <c r="M45" s="9">
        <v>0</v>
      </c>
      <c r="N45" s="10">
        <v>0</v>
      </c>
      <c r="O45" s="10">
        <v>0</v>
      </c>
    </row>
    <row r="46" spans="1:15" ht="15">
      <c r="A46" s="7" t="s">
        <v>51</v>
      </c>
      <c r="B46" s="8">
        <v>5.7647729999999999</v>
      </c>
      <c r="C46" s="8">
        <f t="shared" si="4"/>
        <v>6.3705717467105805</v>
      </c>
      <c r="D46" s="9">
        <v>12</v>
      </c>
      <c r="E46" s="10">
        <v>9.2999999999999997E-5</v>
      </c>
      <c r="F46" s="10">
        <f t="shared" si="8"/>
        <v>1.6132465233236416E-3</v>
      </c>
      <c r="G46" s="9">
        <v>1349</v>
      </c>
      <c r="H46" s="10">
        <f>360710/1000000</f>
        <v>0.36070999999999998</v>
      </c>
      <c r="I46" s="10">
        <f t="shared" si="9"/>
        <v>6.2571414347104382</v>
      </c>
      <c r="J46" s="9">
        <v>230</v>
      </c>
      <c r="K46" s="10">
        <v>6.4460000000000003E-3</v>
      </c>
      <c r="L46" s="10">
        <f t="shared" si="10"/>
        <v>0.11181706547681931</v>
      </c>
      <c r="M46" s="9">
        <v>0</v>
      </c>
      <c r="N46" s="10">
        <v>0</v>
      </c>
      <c r="O46" s="10">
        <v>0</v>
      </c>
    </row>
    <row r="47" spans="1:15" ht="15">
      <c r="A47" s="7" t="s">
        <v>52</v>
      </c>
      <c r="B47" s="8">
        <v>5.8500069999999997</v>
      </c>
      <c r="C47" s="8">
        <f t="shared" si="4"/>
        <v>8.1766056006428709</v>
      </c>
      <c r="D47" s="9">
        <v>310</v>
      </c>
      <c r="E47" s="10">
        <v>3.0072999999999999E-2</v>
      </c>
      <c r="F47" s="10">
        <f t="shared" si="8"/>
        <v>0.51406776094455953</v>
      </c>
      <c r="G47" s="9">
        <v>1337</v>
      </c>
      <c r="H47" s="10">
        <f>435034/1000000</f>
        <v>0.43503399999999998</v>
      </c>
      <c r="I47" s="10">
        <f t="shared" si="9"/>
        <v>7.4364697341387798</v>
      </c>
      <c r="J47" s="9">
        <v>208</v>
      </c>
      <c r="K47" s="10">
        <v>1.3225000000000001E-2</v>
      </c>
      <c r="L47" s="10">
        <f t="shared" si="10"/>
        <v>0.22606810555953183</v>
      </c>
      <c r="M47" s="9">
        <v>0</v>
      </c>
      <c r="N47" s="10">
        <v>0</v>
      </c>
      <c r="O47" s="10">
        <v>0</v>
      </c>
    </row>
    <row r="48" spans="1:15" ht="15">
      <c r="A48" s="7" t="s">
        <v>53</v>
      </c>
      <c r="B48" s="8">
        <v>5.8022410000000004</v>
      </c>
      <c r="C48" s="8">
        <f t="shared" si="4"/>
        <v>7.1790709830908446</v>
      </c>
      <c r="D48" s="9">
        <v>11</v>
      </c>
      <c r="E48" s="10">
        <f>214/1000000</f>
        <v>2.14E-4</v>
      </c>
      <c r="F48" s="10">
        <f t="shared" si="8"/>
        <v>3.688230116604946E-3</v>
      </c>
      <c r="G48" s="9">
        <v>1434</v>
      </c>
      <c r="H48" s="10">
        <f>397741/1000000</f>
        <v>0.39774100000000001</v>
      </c>
      <c r="I48" s="10">
        <f t="shared" si="9"/>
        <v>6.8549548355540564</v>
      </c>
      <c r="J48" s="9">
        <v>285</v>
      </c>
      <c r="K48" s="10">
        <v>1.8592000000000001E-2</v>
      </c>
      <c r="L48" s="10">
        <f t="shared" si="10"/>
        <v>0.32042791742018301</v>
      </c>
      <c r="M48" s="9">
        <v>0</v>
      </c>
      <c r="N48" s="10">
        <v>0</v>
      </c>
      <c r="O48" s="10">
        <v>0</v>
      </c>
    </row>
    <row r="49" spans="1:15" ht="15">
      <c r="A49" s="7" t="s">
        <v>54</v>
      </c>
      <c r="B49" s="8">
        <v>8.4981819999999999</v>
      </c>
      <c r="C49" s="8">
        <f t="shared" si="4"/>
        <v>2.2363136021327854</v>
      </c>
      <c r="D49" s="9">
        <v>30</v>
      </c>
      <c r="E49" s="10">
        <f>398/1000000</f>
        <v>3.9800000000000002E-4</v>
      </c>
      <c r="F49" s="10">
        <f t="shared" si="8"/>
        <v>4.6833546280839831E-3</v>
      </c>
      <c r="G49" s="9">
        <v>2133</v>
      </c>
      <c r="H49" s="10">
        <f>157642/1000000</f>
        <v>0.157642</v>
      </c>
      <c r="I49" s="10">
        <f t="shared" si="9"/>
        <v>1.8550085182925007</v>
      </c>
      <c r="J49" s="9">
        <v>478</v>
      </c>
      <c r="K49" s="10">
        <v>3.2006E-2</v>
      </c>
      <c r="L49" s="10">
        <f t="shared" si="10"/>
        <v>0.37662172921220094</v>
      </c>
      <c r="M49" s="9">
        <v>0</v>
      </c>
      <c r="N49" s="10">
        <v>0</v>
      </c>
      <c r="O49" s="10">
        <v>0</v>
      </c>
    </row>
    <row r="50" spans="1:15" ht="15">
      <c r="A50" s="7" t="s">
        <v>55</v>
      </c>
      <c r="B50" s="8">
        <v>6.1186889999999998</v>
      </c>
      <c r="C50" s="8">
        <f t="shared" si="4"/>
        <v>3.648085398685895</v>
      </c>
      <c r="D50" s="9">
        <v>11</v>
      </c>
      <c r="E50" s="10">
        <f>508/1000000</f>
        <v>5.0799999999999999E-4</v>
      </c>
      <c r="F50" s="10">
        <f t="shared" si="8"/>
        <v>8.3024321059625688E-3</v>
      </c>
      <c r="G50" s="9">
        <v>617</v>
      </c>
      <c r="H50" s="10">
        <f>222707/1000000</f>
        <v>0.22270699999999999</v>
      </c>
      <c r="I50" s="10">
        <f t="shared" si="9"/>
        <v>3.6397829665799324</v>
      </c>
      <c r="J50" s="9">
        <v>0</v>
      </c>
      <c r="K50" s="10">
        <v>0</v>
      </c>
      <c r="L50" s="10">
        <f t="shared" si="10"/>
        <v>0</v>
      </c>
      <c r="M50" s="9">
        <v>0</v>
      </c>
      <c r="N50" s="10">
        <v>0</v>
      </c>
      <c r="O50" s="10">
        <v>0</v>
      </c>
    </row>
    <row r="51" spans="1:15" ht="15">
      <c r="A51" s="7" t="s">
        <v>56</v>
      </c>
      <c r="B51" s="8">
        <v>3.2135159999999998</v>
      </c>
      <c r="C51" s="8">
        <f t="shared" si="4"/>
        <v>3.1654424623994406</v>
      </c>
      <c r="D51" s="9">
        <v>3</v>
      </c>
      <c r="E51" s="10">
        <v>0</v>
      </c>
      <c r="F51" s="10">
        <f t="shared" si="8"/>
        <v>0</v>
      </c>
      <c r="G51" s="9">
        <v>206</v>
      </c>
      <c r="H51" s="10">
        <f>101722/1000000</f>
        <v>0.10172200000000001</v>
      </c>
      <c r="I51" s="10">
        <f t="shared" si="9"/>
        <v>3.1654424623994406</v>
      </c>
      <c r="J51" s="9">
        <v>0</v>
      </c>
      <c r="K51" s="10">
        <v>0</v>
      </c>
      <c r="L51" s="10">
        <f t="shared" si="10"/>
        <v>0</v>
      </c>
      <c r="M51" s="9">
        <v>0</v>
      </c>
      <c r="N51" s="10">
        <v>0</v>
      </c>
      <c r="O51" s="10">
        <v>0</v>
      </c>
    </row>
  </sheetData>
  <mergeCells count="6">
    <mergeCell ref="M3:O3"/>
    <mergeCell ref="A3:A4"/>
    <mergeCell ref="B3:B4"/>
    <mergeCell ref="D3:F3"/>
    <mergeCell ref="G3:I3"/>
    <mergeCell ref="J3:L3"/>
  </mergeCells>
  <phoneticPr fontId="10" type="noConversion"/>
  <pageMargins left="0.79000000000000015" right="0.79000000000000015" top="1.03" bottom="1.03" header="0.79000000000000015" footer="0.79000000000000015"/>
  <pageSetup paperSize="9" scale="48" orientation="landscape" useFirstPageNumber="1" horizontalDpi="300" verticalDpi="300"/>
  <ignoredErrors>
    <ignoredError sqref="C13" evalError="1"/>
  </ignoredErrors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85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Karen Haag</cp:lastModifiedBy>
  <cp:revision>13</cp:revision>
  <cp:lastPrinted>2020-04-10T18:31:36Z</cp:lastPrinted>
  <dcterms:created xsi:type="dcterms:W3CDTF">2019-05-23T15:01:43Z</dcterms:created>
  <dcterms:modified xsi:type="dcterms:W3CDTF">2020-04-10T18:31:54Z</dcterms:modified>
  <dc:language>pt-BR</dc:language>
</cp:coreProperties>
</file>