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355" windowHeight="7755" activeTab="1"/>
  </bookViews>
  <sheets>
    <sheet name="Table S1" sheetId="1" r:id="rId1"/>
    <sheet name="Table S2" sheetId="3" r:id="rId2"/>
  </sheets>
  <calcPr calcId="125725"/>
</workbook>
</file>

<file path=xl/calcChain.xml><?xml version="1.0" encoding="utf-8"?>
<calcChain xmlns="http://schemas.openxmlformats.org/spreadsheetml/2006/main">
  <c r="M126" i="3"/>
  <c r="J126"/>
  <c r="I126"/>
  <c r="H126"/>
  <c r="E126"/>
  <c r="M125"/>
  <c r="J125"/>
  <c r="I125"/>
  <c r="H125"/>
  <c r="E125"/>
  <c r="M124"/>
  <c r="J124"/>
  <c r="I124"/>
  <c r="H124"/>
  <c r="E124"/>
  <c r="M123"/>
  <c r="J123"/>
  <c r="I123"/>
  <c r="H123"/>
  <c r="E123"/>
  <c r="M122"/>
  <c r="J122"/>
  <c r="I122"/>
  <c r="H122"/>
  <c r="E122"/>
  <c r="M121"/>
  <c r="J121"/>
  <c r="I121"/>
  <c r="H121"/>
  <c r="E121"/>
  <c r="M120"/>
  <c r="J120"/>
  <c r="I120"/>
  <c r="H120"/>
  <c r="E120"/>
  <c r="M119"/>
  <c r="J119"/>
  <c r="I119"/>
  <c r="H119"/>
  <c r="E119"/>
  <c r="M118"/>
  <c r="J118"/>
  <c r="I118"/>
  <c r="H118"/>
  <c r="E118"/>
  <c r="M117"/>
  <c r="J117"/>
  <c r="I117"/>
  <c r="H117"/>
  <c r="E117"/>
  <c r="M116"/>
  <c r="J116"/>
  <c r="I116"/>
  <c r="H116"/>
  <c r="E116"/>
  <c r="M115"/>
  <c r="J115"/>
  <c r="I115"/>
  <c r="H115"/>
  <c r="E115"/>
  <c r="M114"/>
  <c r="J114"/>
  <c r="I114"/>
  <c r="H114"/>
  <c r="E114"/>
  <c r="M113"/>
  <c r="J113"/>
  <c r="I113"/>
  <c r="H113"/>
  <c r="E113"/>
  <c r="M112"/>
  <c r="J112"/>
  <c r="I112"/>
  <c r="H112"/>
  <c r="E112"/>
  <c r="M111"/>
  <c r="J111"/>
  <c r="I111"/>
  <c r="H111"/>
  <c r="E111"/>
  <c r="M110"/>
  <c r="J110"/>
  <c r="I110"/>
  <c r="H110"/>
  <c r="E110"/>
  <c r="M109"/>
  <c r="J109"/>
  <c r="I109"/>
  <c r="H109"/>
  <c r="E109"/>
  <c r="M108"/>
  <c r="J108"/>
  <c r="I108"/>
  <c r="H108"/>
  <c r="E108"/>
  <c r="M107"/>
  <c r="J107"/>
  <c r="I107"/>
  <c r="H107"/>
  <c r="E107"/>
  <c r="M106"/>
  <c r="J106"/>
  <c r="I106"/>
  <c r="H106"/>
  <c r="E106"/>
  <c r="M105"/>
  <c r="J105"/>
  <c r="I105"/>
  <c r="H105"/>
  <c r="E105"/>
  <c r="M104"/>
  <c r="J104"/>
  <c r="I104"/>
  <c r="H104"/>
  <c r="E104"/>
  <c r="M103"/>
  <c r="J103"/>
  <c r="I103"/>
  <c r="H103"/>
  <c r="E103"/>
  <c r="M102"/>
  <c r="J102"/>
  <c r="I102"/>
  <c r="H102"/>
  <c r="E102"/>
  <c r="M101"/>
  <c r="J101"/>
  <c r="I101"/>
  <c r="H101"/>
  <c r="E101"/>
  <c r="M100"/>
  <c r="J100"/>
  <c r="I100"/>
  <c r="H100"/>
  <c r="E100"/>
  <c r="M99"/>
  <c r="J99"/>
  <c r="I99"/>
  <c r="H99"/>
  <c r="E99"/>
  <c r="M98"/>
  <c r="J98"/>
  <c r="I98"/>
  <c r="H98"/>
  <c r="E98"/>
  <c r="M97"/>
  <c r="J97"/>
  <c r="I97"/>
  <c r="H97"/>
  <c r="E97"/>
  <c r="M96"/>
  <c r="J96"/>
  <c r="I96"/>
  <c r="H96"/>
  <c r="E96"/>
  <c r="M95"/>
  <c r="J95"/>
  <c r="I95"/>
  <c r="H95"/>
  <c r="E95"/>
  <c r="M94"/>
  <c r="J94"/>
  <c r="I94"/>
  <c r="H94"/>
  <c r="E94"/>
  <c r="M93"/>
  <c r="J93"/>
  <c r="I93"/>
  <c r="H93"/>
  <c r="E93"/>
  <c r="M92"/>
  <c r="J92"/>
  <c r="I92"/>
  <c r="H92"/>
  <c r="E92"/>
  <c r="M91"/>
  <c r="J91"/>
  <c r="I91"/>
  <c r="H91"/>
  <c r="E91"/>
  <c r="M90"/>
  <c r="J90"/>
  <c r="I90"/>
  <c r="H90"/>
  <c r="E90"/>
  <c r="M89"/>
  <c r="J89"/>
  <c r="I89"/>
  <c r="H89"/>
  <c r="E89"/>
  <c r="M88"/>
  <c r="J88"/>
  <c r="I88"/>
  <c r="H88"/>
  <c r="E88"/>
  <c r="M87"/>
  <c r="J87"/>
  <c r="I87"/>
  <c r="H87"/>
  <c r="E87"/>
  <c r="M86"/>
  <c r="J86"/>
  <c r="I86"/>
  <c r="H86"/>
  <c r="E86"/>
  <c r="M85"/>
  <c r="J85"/>
  <c r="I85"/>
  <c r="H85"/>
  <c r="E85"/>
  <c r="M84"/>
  <c r="J84"/>
  <c r="I84"/>
  <c r="H84"/>
  <c r="E84"/>
  <c r="M83"/>
  <c r="J83"/>
  <c r="I83"/>
  <c r="H83"/>
  <c r="E83"/>
  <c r="M82"/>
  <c r="J82"/>
  <c r="I82"/>
  <c r="H82"/>
  <c r="E82"/>
  <c r="M81"/>
  <c r="J81"/>
  <c r="I81"/>
  <c r="H81"/>
  <c r="E81"/>
  <c r="M80"/>
  <c r="J80"/>
  <c r="I80"/>
  <c r="H80"/>
  <c r="E80"/>
  <c r="M79"/>
  <c r="J79"/>
  <c r="I79"/>
  <c r="H79"/>
  <c r="E79"/>
  <c r="M78"/>
  <c r="J78"/>
  <c r="I78"/>
  <c r="H78"/>
  <c r="E78"/>
  <c r="M77"/>
  <c r="J77"/>
  <c r="I77"/>
  <c r="H77"/>
  <c r="E77"/>
  <c r="M76"/>
  <c r="J76"/>
  <c r="I76"/>
  <c r="H76"/>
  <c r="E76"/>
  <c r="M75"/>
  <c r="J75"/>
  <c r="I75"/>
  <c r="H75"/>
  <c r="E75"/>
  <c r="M74"/>
  <c r="J74"/>
  <c r="I74"/>
  <c r="H74"/>
  <c r="E74"/>
  <c r="M73"/>
  <c r="J73"/>
  <c r="I73"/>
  <c r="H73"/>
  <c r="E73"/>
  <c r="M72"/>
  <c r="J72"/>
  <c r="I72"/>
  <c r="H72"/>
  <c r="E72"/>
  <c r="M71"/>
  <c r="J71"/>
  <c r="I71"/>
  <c r="H71"/>
  <c r="E71"/>
  <c r="M70"/>
  <c r="J70"/>
  <c r="I70"/>
  <c r="H70"/>
  <c r="E70"/>
  <c r="M69"/>
  <c r="J69"/>
  <c r="I69"/>
  <c r="H69"/>
  <c r="E69"/>
  <c r="M68"/>
  <c r="J68"/>
  <c r="I68"/>
  <c r="H68"/>
  <c r="E68"/>
  <c r="M67"/>
  <c r="J67"/>
  <c r="I67"/>
  <c r="H67"/>
  <c r="E67"/>
  <c r="M66"/>
  <c r="J66"/>
  <c r="I66"/>
  <c r="H66"/>
  <c r="E66"/>
  <c r="M65"/>
  <c r="J65"/>
  <c r="I65"/>
  <c r="H65"/>
  <c r="E65"/>
  <c r="M64"/>
  <c r="J64"/>
  <c r="I64"/>
  <c r="H64"/>
  <c r="E64"/>
  <c r="M63"/>
  <c r="J63"/>
  <c r="I63"/>
  <c r="H63"/>
  <c r="E63"/>
  <c r="M62"/>
  <c r="J62"/>
  <c r="I62"/>
  <c r="H62"/>
  <c r="E62"/>
  <c r="M61"/>
  <c r="J61"/>
  <c r="I61"/>
  <c r="H61"/>
  <c r="E61"/>
  <c r="M60"/>
  <c r="J60"/>
  <c r="I60"/>
  <c r="H60"/>
  <c r="E60"/>
  <c r="M59"/>
  <c r="J59"/>
  <c r="I59"/>
  <c r="H59"/>
  <c r="E59"/>
  <c r="M58"/>
  <c r="J58"/>
  <c r="I58"/>
  <c r="H58"/>
  <c r="E58"/>
  <c r="M57"/>
  <c r="J57"/>
  <c r="I57"/>
  <c r="H57"/>
  <c r="E57"/>
  <c r="M56"/>
  <c r="J56"/>
  <c r="I56"/>
  <c r="H56"/>
  <c r="E56"/>
  <c r="M55"/>
  <c r="J55"/>
  <c r="I55"/>
  <c r="H55"/>
  <c r="E55"/>
  <c r="M54"/>
  <c r="J54"/>
  <c r="I54"/>
  <c r="H54"/>
  <c r="E54"/>
  <c r="M53"/>
  <c r="J53"/>
  <c r="I53"/>
  <c r="H53"/>
  <c r="E53"/>
  <c r="M52"/>
  <c r="J52"/>
  <c r="I52"/>
  <c r="H52"/>
  <c r="E52"/>
  <c r="M51"/>
  <c r="J51"/>
  <c r="I51"/>
  <c r="H51"/>
  <c r="E51"/>
  <c r="M50"/>
  <c r="J50"/>
  <c r="I50"/>
  <c r="H50"/>
  <c r="E50"/>
  <c r="M49"/>
  <c r="J49"/>
  <c r="I49"/>
  <c r="H49"/>
  <c r="E49"/>
  <c r="M48"/>
  <c r="J48"/>
  <c r="I48"/>
  <c r="H48"/>
  <c r="E48"/>
  <c r="M47"/>
  <c r="J47"/>
  <c r="I47"/>
  <c r="H47"/>
  <c r="E47"/>
  <c r="M46"/>
  <c r="J46"/>
  <c r="I46"/>
  <c r="H46"/>
  <c r="E46"/>
  <c r="M45"/>
  <c r="J45"/>
  <c r="I45"/>
  <c r="H45"/>
  <c r="E45"/>
  <c r="M44"/>
  <c r="J44"/>
  <c r="I44"/>
  <c r="H44"/>
  <c r="E44"/>
  <c r="M43"/>
  <c r="J43"/>
  <c r="I43"/>
  <c r="H43"/>
  <c r="E43"/>
  <c r="M42"/>
  <c r="J42"/>
  <c r="I42"/>
  <c r="H42"/>
  <c r="E42"/>
  <c r="M41"/>
  <c r="J41"/>
  <c r="I41"/>
  <c r="H41"/>
  <c r="E41"/>
  <c r="M40"/>
  <c r="J40"/>
  <c r="I40"/>
  <c r="H40"/>
  <c r="E40"/>
  <c r="M39"/>
  <c r="J39"/>
  <c r="I39"/>
  <c r="H39"/>
  <c r="E39"/>
  <c r="M38"/>
  <c r="J38"/>
  <c r="I38"/>
  <c r="H38"/>
  <c r="E38"/>
  <c r="M37"/>
  <c r="J37"/>
  <c r="I37"/>
  <c r="H37"/>
  <c r="E37"/>
  <c r="M36"/>
  <c r="J36"/>
  <c r="I36"/>
  <c r="H36"/>
  <c r="E36"/>
  <c r="M35"/>
  <c r="J35"/>
  <c r="I35"/>
  <c r="H35"/>
  <c r="E35"/>
  <c r="M34"/>
  <c r="J34"/>
  <c r="I34"/>
  <c r="H34"/>
  <c r="E34"/>
  <c r="M33"/>
  <c r="J33"/>
  <c r="I33"/>
  <c r="H33"/>
  <c r="E33"/>
  <c r="M32"/>
  <c r="J32"/>
  <c r="I32"/>
  <c r="H32"/>
  <c r="E32"/>
  <c r="M31"/>
  <c r="J31"/>
  <c r="I31"/>
  <c r="H31"/>
  <c r="E31"/>
  <c r="M30"/>
  <c r="J30"/>
  <c r="I30"/>
  <c r="H30"/>
  <c r="E30"/>
  <c r="M29"/>
  <c r="J29"/>
  <c r="I29"/>
  <c r="H29"/>
  <c r="E29"/>
  <c r="M28"/>
  <c r="J28"/>
  <c r="I28"/>
  <c r="H28"/>
  <c r="E28"/>
  <c r="M27"/>
  <c r="J27"/>
  <c r="I27"/>
  <c r="H27"/>
  <c r="E27"/>
  <c r="M26"/>
  <c r="J26"/>
  <c r="I26"/>
  <c r="H26"/>
  <c r="E26"/>
  <c r="M25"/>
  <c r="J25"/>
  <c r="I25"/>
  <c r="H25"/>
  <c r="E25"/>
  <c r="M24"/>
  <c r="J24"/>
  <c r="I24"/>
  <c r="H24"/>
  <c r="E24"/>
  <c r="M23"/>
  <c r="J23"/>
  <c r="I23"/>
  <c r="H23"/>
  <c r="E23"/>
  <c r="M22"/>
  <c r="J22"/>
  <c r="I22"/>
  <c r="H22"/>
  <c r="E22"/>
  <c r="M21"/>
  <c r="J21"/>
  <c r="I21"/>
  <c r="H21"/>
  <c r="E21"/>
  <c r="M20"/>
  <c r="J20"/>
  <c r="I20"/>
  <c r="H20"/>
  <c r="E20"/>
  <c r="M19"/>
  <c r="J19"/>
  <c r="I19"/>
  <c r="H19"/>
  <c r="E19"/>
  <c r="M18"/>
  <c r="J18"/>
  <c r="I18"/>
  <c r="H18"/>
  <c r="E18"/>
  <c r="M17"/>
  <c r="J17"/>
  <c r="I17"/>
  <c r="H17"/>
  <c r="E17"/>
  <c r="M16"/>
  <c r="J16"/>
  <c r="I16"/>
  <c r="H16"/>
  <c r="E16"/>
  <c r="M15"/>
  <c r="J15"/>
  <c r="I15"/>
  <c r="H15"/>
  <c r="E15"/>
  <c r="M14"/>
  <c r="J14"/>
  <c r="I14"/>
  <c r="H14"/>
  <c r="E14"/>
  <c r="M13"/>
  <c r="J13"/>
  <c r="I13"/>
  <c r="H13"/>
  <c r="E13"/>
  <c r="M12"/>
  <c r="J12"/>
  <c r="I12"/>
  <c r="H12"/>
  <c r="E12"/>
  <c r="M11"/>
  <c r="J11"/>
  <c r="I11"/>
  <c r="H11"/>
  <c r="E11"/>
  <c r="M10"/>
  <c r="J10"/>
  <c r="I10"/>
  <c r="H10"/>
  <c r="E10"/>
  <c r="M9"/>
  <c r="J9"/>
  <c r="I9"/>
  <c r="H9"/>
  <c r="E9"/>
  <c r="M8"/>
  <c r="J8"/>
  <c r="I8"/>
  <c r="H8"/>
  <c r="E8"/>
  <c r="M7"/>
  <c r="J7"/>
  <c r="I7"/>
  <c r="H7"/>
  <c r="E7"/>
  <c r="M6"/>
  <c r="J6"/>
  <c r="I6"/>
  <c r="H6"/>
  <c r="E6"/>
  <c r="M5"/>
  <c r="J5"/>
  <c r="I5"/>
  <c r="H5"/>
  <c r="E5"/>
</calcChain>
</file>

<file path=xl/sharedStrings.xml><?xml version="1.0" encoding="utf-8"?>
<sst xmlns="http://schemas.openxmlformats.org/spreadsheetml/2006/main" count="475" uniqueCount="145">
  <si>
    <t>District</t>
  </si>
  <si>
    <t>Site</t>
  </si>
  <si>
    <t>Variety</t>
  </si>
  <si>
    <t>Elevation (m)</t>
  </si>
  <si>
    <t xml:space="preserve">Latitude </t>
  </si>
  <si>
    <t xml:space="preserve">Longitude </t>
  </si>
  <si>
    <t>East</t>
  </si>
  <si>
    <t>Dikchu Zang</t>
  </si>
  <si>
    <t>Seremna</t>
  </si>
  <si>
    <t>27°19'39.1"</t>
  </si>
  <si>
    <t>88°36'21.2"</t>
  </si>
  <si>
    <t>Khesey, Samdung</t>
  </si>
  <si>
    <t>Ramsey</t>
  </si>
  <si>
    <t>27°21'03.2"</t>
  </si>
  <si>
    <t>88°30'06.5"</t>
  </si>
  <si>
    <t>Pandey, Rakhey</t>
  </si>
  <si>
    <t>27°23'14.6"</t>
  </si>
  <si>
    <t>88°32'37.0"</t>
  </si>
  <si>
    <t>Dzongu Golsey</t>
  </si>
  <si>
    <t>27°23'14.7"</t>
  </si>
  <si>
    <t>88°32'36.8"</t>
  </si>
  <si>
    <t>Pangthang</t>
  </si>
  <si>
    <t>Varlangey</t>
  </si>
  <si>
    <t>27°21'53.0"</t>
  </si>
  <si>
    <t>88°33'19.9"</t>
  </si>
  <si>
    <t>27°21'53.3"</t>
  </si>
  <si>
    <t>88°33'31.2"</t>
  </si>
  <si>
    <t>Sawney</t>
  </si>
  <si>
    <t>27°21'53.2"</t>
  </si>
  <si>
    <t>88°33'32.4"</t>
  </si>
  <si>
    <t>Raidong Busty</t>
  </si>
  <si>
    <t>Rumbuk</t>
  </si>
  <si>
    <t>Tumin1</t>
  </si>
  <si>
    <t>Chibey</t>
  </si>
  <si>
    <t>27°18'32.2"</t>
  </si>
  <si>
    <t>88°30'25.2"</t>
  </si>
  <si>
    <t>Tumin</t>
  </si>
  <si>
    <t>27°18'31.0"</t>
  </si>
  <si>
    <t>88°30'27.0"</t>
  </si>
  <si>
    <t>27°18'25.8"</t>
  </si>
  <si>
    <t>88°30'14.1"</t>
  </si>
  <si>
    <t>27°18'39.1"</t>
  </si>
  <si>
    <t>88°30'28.6"</t>
  </si>
  <si>
    <t>Upper Samdung</t>
  </si>
  <si>
    <t>27°21'08.9"</t>
  </si>
  <si>
    <t>88°30'17.2"</t>
  </si>
  <si>
    <t>Upper Samdung, Khesey</t>
  </si>
  <si>
    <t>27°21'00.5"</t>
  </si>
  <si>
    <t>88°30'09.0"</t>
  </si>
  <si>
    <t>North</t>
  </si>
  <si>
    <t>Bakcha, Phensong</t>
  </si>
  <si>
    <t>27°25'08.9"</t>
  </si>
  <si>
    <t>88°27'49.8"</t>
  </si>
  <si>
    <t>Kabi, Rongpa</t>
  </si>
  <si>
    <t>27°24'27.2"</t>
  </si>
  <si>
    <t>88°37'29.8"</t>
  </si>
  <si>
    <t>Kabi</t>
  </si>
  <si>
    <t xml:space="preserve">Varlangey </t>
  </si>
  <si>
    <t>27°24'12.6"</t>
  </si>
  <si>
    <t>88°36'54.4"</t>
  </si>
  <si>
    <t>27°24'10.3"</t>
  </si>
  <si>
    <t>88°36'58.7"</t>
  </si>
  <si>
    <t>Phensong</t>
  </si>
  <si>
    <t>27°25'02.5"</t>
  </si>
  <si>
    <t>88°37'06.3"</t>
  </si>
  <si>
    <t>Surdang, Phensong</t>
  </si>
  <si>
    <t>27°25'10.3"</t>
  </si>
  <si>
    <t>88°37'50.6"</t>
  </si>
  <si>
    <t>Tingmu</t>
  </si>
  <si>
    <t>27°24'35.8"</t>
  </si>
  <si>
    <t>88°37'31.7"</t>
  </si>
  <si>
    <t>Upper Panney, Phensong</t>
  </si>
  <si>
    <t>27°25'23.8"</t>
  </si>
  <si>
    <t>88°36'32.3"</t>
  </si>
  <si>
    <t>South</t>
  </si>
  <si>
    <t>Damthang</t>
  </si>
  <si>
    <t>27°14'13.4"</t>
  </si>
  <si>
    <t>88°22'32.4"</t>
  </si>
  <si>
    <t>27°14'02.8"</t>
  </si>
  <si>
    <t>88°22'50.54"</t>
  </si>
  <si>
    <t>27°14'00.2"</t>
  </si>
  <si>
    <t>88°22'57.2"</t>
  </si>
  <si>
    <t>27°14'01.4"</t>
  </si>
  <si>
    <t>88°22'52.5"</t>
  </si>
  <si>
    <t>Lower Jau bari</t>
  </si>
  <si>
    <t>27°12'17.4"</t>
  </si>
  <si>
    <t>88°23'15.4"</t>
  </si>
  <si>
    <t>Parbing</t>
  </si>
  <si>
    <t>27°10'37.7"</t>
  </si>
  <si>
    <t>88°24'39.1"</t>
  </si>
  <si>
    <t>27°10'56.7"</t>
  </si>
  <si>
    <t>88°24'30.5"</t>
  </si>
  <si>
    <t>Varlang</t>
  </si>
  <si>
    <t>Upper Jaubari</t>
  </si>
  <si>
    <t>27°11'46.1"</t>
  </si>
  <si>
    <t>88°23'28.1"</t>
  </si>
  <si>
    <t>27°11'45.9"</t>
  </si>
  <si>
    <t>88°23'24.2"</t>
  </si>
  <si>
    <t>27°11'44.8"</t>
  </si>
  <si>
    <t>88°23'26.0"</t>
  </si>
  <si>
    <t>27°11'43.9"</t>
  </si>
  <si>
    <t>88°23'27.4"</t>
  </si>
  <si>
    <t>27°11'45.0"</t>
  </si>
  <si>
    <t>88°23'30.0"</t>
  </si>
  <si>
    <t>Plantation site</t>
  </si>
  <si>
    <t>Elevation</t>
  </si>
  <si>
    <t>Cultivar</t>
  </si>
  <si>
    <t>PH</t>
  </si>
  <si>
    <t>NLpT</t>
  </si>
  <si>
    <t>LL</t>
  </si>
  <si>
    <t>LW</t>
  </si>
  <si>
    <t>NCpS</t>
  </si>
  <si>
    <t>CL</t>
  </si>
  <si>
    <t>CW</t>
  </si>
  <si>
    <t xml:space="preserve">FCW </t>
  </si>
  <si>
    <t xml:space="preserve">DWC </t>
  </si>
  <si>
    <t>NSpL</t>
  </si>
  <si>
    <t>FSW</t>
  </si>
  <si>
    <t>DSW</t>
  </si>
  <si>
    <t>Raidong Busty, East Sikkim</t>
  </si>
  <si>
    <t>Dikchu Zang, East Sikkim</t>
  </si>
  <si>
    <t>Tumin, East Sikkim</t>
  </si>
  <si>
    <t>Parbing, South Sikkim</t>
  </si>
  <si>
    <t>Damthang, South Sikkim</t>
  </si>
  <si>
    <t>Tingmu, North Sikkim</t>
  </si>
  <si>
    <t>Upper Samdung, East Sikkim</t>
  </si>
  <si>
    <t>Upper Jaubari, South Sikkim</t>
  </si>
  <si>
    <t>Pangthang, East Sikkim</t>
  </si>
  <si>
    <t>Rumbuk, East Sikkim</t>
  </si>
  <si>
    <t xml:space="preserve">Pandey Rakhey, East Sikkim </t>
  </si>
  <si>
    <t>Lower Jaubari, South Sikkim</t>
  </si>
  <si>
    <t>Perbing, South Sikkim</t>
  </si>
  <si>
    <t>Surdang Phensong, North Sikkim</t>
  </si>
  <si>
    <t>Bakcha Phensong, North Sikkim</t>
  </si>
  <si>
    <t>Phensong, North Sikkim</t>
  </si>
  <si>
    <t>Upper Panney, Phensong, North Sikkim</t>
  </si>
  <si>
    <t>Khesey Samdung, East Sikkim</t>
  </si>
  <si>
    <t>Upper Samdung, Khesey, East Sikkim</t>
  </si>
  <si>
    <t>Kabi Rongpa, North Sikkim</t>
  </si>
  <si>
    <t>Kabi, North Sikkim</t>
  </si>
  <si>
    <t>Supplementary Table 1</t>
  </si>
  <si>
    <t>Supplementary Table 2</t>
  </si>
  <si>
    <r>
      <t xml:space="preserve">Table S1. </t>
    </r>
    <r>
      <rPr>
        <sz val="12"/>
        <color rgb="FF000000"/>
        <rFont val="Times New Roman"/>
        <family val="1"/>
      </rPr>
      <t>Details of the large cardamom cultivation sites in Sikkim evaluated in the present study along with elevation and geo-coordinated.</t>
    </r>
  </si>
  <si>
    <r>
      <t>Table S2.</t>
    </r>
    <r>
      <rPr>
        <sz val="12"/>
        <color theme="1"/>
        <rFont val="Times New Roman"/>
        <family val="1"/>
      </rPr>
      <t xml:space="preserve"> Data used in the used in the study</t>
    </r>
  </si>
  <si>
    <r>
      <t>Elevation determines the productivity of</t>
    </r>
    <r>
      <rPr>
        <sz val="12"/>
        <color rgb="FFFF0000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large cardamom (</t>
    </r>
    <r>
      <rPr>
        <b/>
        <i/>
        <sz val="12"/>
        <color theme="1"/>
        <rFont val="Times New Roman"/>
        <family val="1"/>
      </rPr>
      <t>Amomum subulatum</t>
    </r>
    <r>
      <rPr>
        <b/>
        <sz val="12"/>
        <color theme="1"/>
        <rFont val="Times New Roman"/>
        <family val="1"/>
      </rPr>
      <t xml:space="preserve"> Roxb.) cultivars in Sikkim Himalaya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</si>
</sst>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7" fillId="0" borderId="0" xfId="0" applyFont="1"/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opLeftCell="A67" workbookViewId="0">
      <selection activeCell="J9" sqref="J9"/>
    </sheetView>
  </sheetViews>
  <sheetFormatPr defaultRowHeight="15.75"/>
  <cols>
    <col min="1" max="1" width="18.5703125" style="3" customWidth="1"/>
    <col min="2" max="2" width="29.140625" style="3" customWidth="1"/>
    <col min="3" max="3" width="22.5703125" style="3" customWidth="1"/>
    <col min="4" max="4" width="18.85546875" style="3" customWidth="1"/>
    <col min="5" max="5" width="19.5703125" style="3" customWidth="1"/>
    <col min="6" max="6" width="17.140625" style="3" customWidth="1"/>
  </cols>
  <sheetData>
    <row r="1" spans="1:8" ht="46.5" customHeight="1">
      <c r="C1" s="25" t="s">
        <v>144</v>
      </c>
      <c r="D1" s="26"/>
      <c r="E1" s="26"/>
      <c r="F1" s="26"/>
    </row>
    <row r="3" spans="1:8">
      <c r="A3" s="2" t="s">
        <v>140</v>
      </c>
    </row>
    <row r="4" spans="1:8">
      <c r="H4" s="24"/>
    </row>
    <row r="5" spans="1:8" s="1" customFormat="1" ht="16.5" thickBot="1">
      <c r="A5" s="4" t="s">
        <v>142</v>
      </c>
      <c r="B5" s="5"/>
      <c r="C5" s="6"/>
      <c r="D5" s="5"/>
      <c r="E5" s="5"/>
      <c r="F5" s="5"/>
    </row>
    <row r="6" spans="1:8" ht="16.5" thickBot="1">
      <c r="A6" s="7" t="s">
        <v>0</v>
      </c>
      <c r="B6" s="7" t="s">
        <v>1</v>
      </c>
      <c r="C6" s="7" t="s">
        <v>2</v>
      </c>
      <c r="D6" s="8" t="s">
        <v>3</v>
      </c>
      <c r="E6" s="8" t="s">
        <v>4</v>
      </c>
      <c r="F6" s="8" t="s">
        <v>5</v>
      </c>
    </row>
    <row r="7" spans="1:8">
      <c r="A7" s="9" t="s">
        <v>6</v>
      </c>
      <c r="B7" s="9" t="s">
        <v>7</v>
      </c>
      <c r="C7" s="9" t="s">
        <v>8</v>
      </c>
      <c r="D7" s="10">
        <v>1100</v>
      </c>
      <c r="E7" s="10" t="s">
        <v>9</v>
      </c>
      <c r="F7" s="10" t="s">
        <v>10</v>
      </c>
    </row>
    <row r="8" spans="1:8">
      <c r="A8" s="11" t="s">
        <v>6</v>
      </c>
      <c r="B8" s="9" t="s">
        <v>11</v>
      </c>
      <c r="C8" s="9" t="s">
        <v>12</v>
      </c>
      <c r="D8" s="10">
        <v>1605</v>
      </c>
      <c r="E8" s="10" t="s">
        <v>13</v>
      </c>
      <c r="F8" s="10" t="s">
        <v>14</v>
      </c>
    </row>
    <row r="9" spans="1:8">
      <c r="A9" s="11" t="s">
        <v>6</v>
      </c>
      <c r="B9" s="9" t="s">
        <v>15</v>
      </c>
      <c r="C9" s="9" t="s">
        <v>12</v>
      </c>
      <c r="D9" s="10">
        <v>1210</v>
      </c>
      <c r="E9" s="10" t="s">
        <v>16</v>
      </c>
      <c r="F9" s="10" t="s">
        <v>17</v>
      </c>
    </row>
    <row r="10" spans="1:8">
      <c r="A10" s="11" t="s">
        <v>6</v>
      </c>
      <c r="B10" s="9" t="s">
        <v>15</v>
      </c>
      <c r="C10" s="9" t="s">
        <v>18</v>
      </c>
      <c r="D10" s="10">
        <v>1218</v>
      </c>
      <c r="E10" s="10" t="s">
        <v>19</v>
      </c>
      <c r="F10" s="10" t="s">
        <v>20</v>
      </c>
    </row>
    <row r="11" spans="1:8">
      <c r="A11" s="11" t="s">
        <v>6</v>
      </c>
      <c r="B11" s="9" t="s">
        <v>21</v>
      </c>
      <c r="C11" s="9" t="s">
        <v>22</v>
      </c>
      <c r="D11" s="10">
        <v>1847</v>
      </c>
      <c r="E11" s="10" t="s">
        <v>23</v>
      </c>
      <c r="F11" s="10" t="s">
        <v>24</v>
      </c>
    </row>
    <row r="12" spans="1:8">
      <c r="A12" s="11" t="s">
        <v>6</v>
      </c>
      <c r="B12" s="9" t="s">
        <v>21</v>
      </c>
      <c r="C12" s="9" t="s">
        <v>22</v>
      </c>
      <c r="D12" s="10">
        <v>1932</v>
      </c>
      <c r="E12" s="10" t="s">
        <v>25</v>
      </c>
      <c r="F12" s="10" t="s">
        <v>26</v>
      </c>
    </row>
    <row r="13" spans="1:8">
      <c r="A13" s="11" t="s">
        <v>6</v>
      </c>
      <c r="B13" s="9" t="s">
        <v>21</v>
      </c>
      <c r="C13" s="9" t="s">
        <v>27</v>
      </c>
      <c r="D13" s="10">
        <v>1926</v>
      </c>
      <c r="E13" s="10" t="s">
        <v>28</v>
      </c>
      <c r="F13" s="10" t="s">
        <v>29</v>
      </c>
    </row>
    <row r="14" spans="1:8">
      <c r="A14" s="11" t="s">
        <v>6</v>
      </c>
      <c r="B14" s="9" t="s">
        <v>30</v>
      </c>
      <c r="C14" s="9" t="s">
        <v>8</v>
      </c>
      <c r="D14" s="10">
        <v>1000</v>
      </c>
      <c r="E14" s="10" t="s">
        <v>9</v>
      </c>
      <c r="F14" s="10" t="s">
        <v>10</v>
      </c>
    </row>
    <row r="15" spans="1:8">
      <c r="A15" s="11" t="s">
        <v>6</v>
      </c>
      <c r="B15" s="9" t="s">
        <v>30</v>
      </c>
      <c r="C15" s="9" t="s">
        <v>8</v>
      </c>
      <c r="D15" s="10">
        <v>975</v>
      </c>
      <c r="E15" s="10" t="s">
        <v>9</v>
      </c>
      <c r="F15" s="10" t="s">
        <v>10</v>
      </c>
    </row>
    <row r="16" spans="1:8">
      <c r="A16" s="11" t="s">
        <v>6</v>
      </c>
      <c r="B16" s="9" t="s">
        <v>31</v>
      </c>
      <c r="C16" s="9" t="s">
        <v>12</v>
      </c>
      <c r="D16" s="10">
        <v>1209</v>
      </c>
      <c r="E16" s="10" t="s">
        <v>9</v>
      </c>
      <c r="F16" s="10" t="s">
        <v>10</v>
      </c>
    </row>
    <row r="17" spans="1:6">
      <c r="A17" s="11" t="s">
        <v>6</v>
      </c>
      <c r="B17" s="9" t="s">
        <v>31</v>
      </c>
      <c r="C17" s="9" t="s">
        <v>18</v>
      </c>
      <c r="D17" s="10">
        <v>1000</v>
      </c>
      <c r="E17" s="10" t="s">
        <v>9</v>
      </c>
      <c r="F17" s="10" t="s">
        <v>10</v>
      </c>
    </row>
    <row r="18" spans="1:6">
      <c r="A18" s="11" t="s">
        <v>6</v>
      </c>
      <c r="B18" s="9" t="s">
        <v>32</v>
      </c>
      <c r="C18" s="9" t="s">
        <v>33</v>
      </c>
      <c r="D18" s="10">
        <v>1671</v>
      </c>
      <c r="E18" s="10" t="s">
        <v>34</v>
      </c>
      <c r="F18" s="10" t="s">
        <v>35</v>
      </c>
    </row>
    <row r="19" spans="1:6">
      <c r="A19" s="11" t="s">
        <v>6</v>
      </c>
      <c r="B19" s="9" t="s">
        <v>36</v>
      </c>
      <c r="C19" s="9" t="s">
        <v>27</v>
      </c>
      <c r="D19" s="10">
        <v>1644</v>
      </c>
      <c r="E19" s="10" t="s">
        <v>37</v>
      </c>
      <c r="F19" s="10" t="s">
        <v>38</v>
      </c>
    </row>
    <row r="20" spans="1:6">
      <c r="A20" s="11" t="s">
        <v>6</v>
      </c>
      <c r="B20" s="9" t="s">
        <v>36</v>
      </c>
      <c r="C20" s="9" t="s">
        <v>12</v>
      </c>
      <c r="D20" s="10">
        <v>1783</v>
      </c>
      <c r="E20" s="10" t="s">
        <v>39</v>
      </c>
      <c r="F20" s="10" t="s">
        <v>40</v>
      </c>
    </row>
    <row r="21" spans="1:6">
      <c r="A21" s="11" t="s">
        <v>6</v>
      </c>
      <c r="B21" s="9" t="s">
        <v>36</v>
      </c>
      <c r="C21" s="9" t="s">
        <v>8</v>
      </c>
      <c r="D21" s="10">
        <v>1783</v>
      </c>
      <c r="E21" s="10" t="s">
        <v>39</v>
      </c>
      <c r="F21" s="10" t="s">
        <v>40</v>
      </c>
    </row>
    <row r="22" spans="1:6">
      <c r="A22" s="11" t="s">
        <v>6</v>
      </c>
      <c r="B22" s="9" t="s">
        <v>36</v>
      </c>
      <c r="C22" s="9" t="s">
        <v>22</v>
      </c>
      <c r="D22" s="10">
        <v>1650</v>
      </c>
      <c r="E22" s="10" t="s">
        <v>41</v>
      </c>
      <c r="F22" s="10" t="s">
        <v>42</v>
      </c>
    </row>
    <row r="23" spans="1:6">
      <c r="A23" s="11" t="s">
        <v>6</v>
      </c>
      <c r="B23" s="9" t="s">
        <v>43</v>
      </c>
      <c r="C23" s="9" t="s">
        <v>27</v>
      </c>
      <c r="D23" s="10">
        <v>1749</v>
      </c>
      <c r="E23" s="10" t="s">
        <v>44</v>
      </c>
      <c r="F23" s="10" t="s">
        <v>45</v>
      </c>
    </row>
    <row r="24" spans="1:6">
      <c r="A24" s="11" t="s">
        <v>6</v>
      </c>
      <c r="B24" s="9" t="s">
        <v>46</v>
      </c>
      <c r="C24" s="9" t="s">
        <v>12</v>
      </c>
      <c r="D24" s="10">
        <v>1617</v>
      </c>
      <c r="E24" s="10" t="s">
        <v>47</v>
      </c>
      <c r="F24" s="10" t="s">
        <v>48</v>
      </c>
    </row>
    <row r="25" spans="1:6">
      <c r="A25" s="9" t="s">
        <v>49</v>
      </c>
      <c r="B25" s="9" t="s">
        <v>50</v>
      </c>
      <c r="C25" s="9" t="s">
        <v>12</v>
      </c>
      <c r="D25" s="10">
        <v>1371</v>
      </c>
      <c r="E25" s="10" t="s">
        <v>51</v>
      </c>
      <c r="F25" s="10" t="s">
        <v>52</v>
      </c>
    </row>
    <row r="26" spans="1:6">
      <c r="A26" s="11" t="s">
        <v>49</v>
      </c>
      <c r="B26" s="9" t="s">
        <v>53</v>
      </c>
      <c r="C26" s="9" t="s">
        <v>22</v>
      </c>
      <c r="D26" s="10">
        <v>1492</v>
      </c>
      <c r="E26" s="10" t="s">
        <v>54</v>
      </c>
      <c r="F26" s="10" t="s">
        <v>55</v>
      </c>
    </row>
    <row r="27" spans="1:6">
      <c r="A27" s="11" t="s">
        <v>49</v>
      </c>
      <c r="B27" s="9" t="s">
        <v>56</v>
      </c>
      <c r="C27" s="9" t="s">
        <v>57</v>
      </c>
      <c r="D27" s="10">
        <v>1564</v>
      </c>
      <c r="E27" s="10" t="s">
        <v>58</v>
      </c>
      <c r="F27" s="10" t="s">
        <v>59</v>
      </c>
    </row>
    <row r="28" spans="1:6">
      <c r="A28" s="11" t="s">
        <v>49</v>
      </c>
      <c r="B28" s="9" t="s">
        <v>56</v>
      </c>
      <c r="C28" s="9" t="s">
        <v>57</v>
      </c>
      <c r="D28" s="10">
        <v>1561</v>
      </c>
      <c r="E28" s="10" t="s">
        <v>60</v>
      </c>
      <c r="F28" s="10" t="s">
        <v>61</v>
      </c>
    </row>
    <row r="29" spans="1:6">
      <c r="A29" s="11" t="s">
        <v>49</v>
      </c>
      <c r="B29" s="9" t="s">
        <v>62</v>
      </c>
      <c r="C29" s="9" t="s">
        <v>12</v>
      </c>
      <c r="D29" s="10">
        <v>1397</v>
      </c>
      <c r="E29" s="10" t="s">
        <v>63</v>
      </c>
      <c r="F29" s="10" t="s">
        <v>64</v>
      </c>
    </row>
    <row r="30" spans="1:6">
      <c r="A30" s="11" t="s">
        <v>49</v>
      </c>
      <c r="B30" s="9" t="s">
        <v>65</v>
      </c>
      <c r="C30" s="9" t="s">
        <v>12</v>
      </c>
      <c r="D30" s="10">
        <v>1369</v>
      </c>
      <c r="E30" s="10" t="s">
        <v>66</v>
      </c>
      <c r="F30" s="10" t="s">
        <v>67</v>
      </c>
    </row>
    <row r="31" spans="1:6">
      <c r="A31" s="11" t="s">
        <v>49</v>
      </c>
      <c r="B31" s="9" t="s">
        <v>68</v>
      </c>
      <c r="C31" s="9" t="s">
        <v>27</v>
      </c>
      <c r="D31" s="10">
        <v>1441</v>
      </c>
      <c r="E31" s="10" t="s">
        <v>69</v>
      </c>
      <c r="F31" s="10" t="s">
        <v>70</v>
      </c>
    </row>
    <row r="32" spans="1:6">
      <c r="A32" s="11" t="s">
        <v>49</v>
      </c>
      <c r="B32" s="9" t="s">
        <v>71</v>
      </c>
      <c r="C32" s="9" t="s">
        <v>12</v>
      </c>
      <c r="D32" s="10">
        <v>1532</v>
      </c>
      <c r="E32" s="10" t="s">
        <v>72</v>
      </c>
      <c r="F32" s="10" t="s">
        <v>73</v>
      </c>
    </row>
    <row r="33" spans="1:6">
      <c r="A33" s="9" t="s">
        <v>74</v>
      </c>
      <c r="B33" s="9" t="s">
        <v>75</v>
      </c>
      <c r="C33" s="9" t="s">
        <v>8</v>
      </c>
      <c r="D33" s="10">
        <v>2069</v>
      </c>
      <c r="E33" s="10" t="s">
        <v>76</v>
      </c>
      <c r="F33" s="10" t="s">
        <v>77</v>
      </c>
    </row>
    <row r="34" spans="1:6">
      <c r="A34" s="11" t="s">
        <v>74</v>
      </c>
      <c r="B34" s="9" t="s">
        <v>75</v>
      </c>
      <c r="C34" s="9" t="s">
        <v>22</v>
      </c>
      <c r="D34" s="10">
        <v>2069</v>
      </c>
      <c r="E34" s="10" t="s">
        <v>76</v>
      </c>
      <c r="F34" s="10" t="s">
        <v>77</v>
      </c>
    </row>
    <row r="35" spans="1:6">
      <c r="A35" s="11" t="s">
        <v>74</v>
      </c>
      <c r="B35" s="9" t="s">
        <v>75</v>
      </c>
      <c r="C35" s="9" t="s">
        <v>22</v>
      </c>
      <c r="D35" s="10">
        <v>2019</v>
      </c>
      <c r="E35" s="10" t="s">
        <v>78</v>
      </c>
      <c r="F35" s="10" t="s">
        <v>79</v>
      </c>
    </row>
    <row r="36" spans="1:6">
      <c r="A36" s="11" t="s">
        <v>74</v>
      </c>
      <c r="B36" s="9" t="s">
        <v>75</v>
      </c>
      <c r="C36" s="9" t="s">
        <v>22</v>
      </c>
      <c r="D36" s="10">
        <v>2008</v>
      </c>
      <c r="E36" s="10" t="s">
        <v>80</v>
      </c>
      <c r="F36" s="10" t="s">
        <v>81</v>
      </c>
    </row>
    <row r="37" spans="1:6">
      <c r="A37" s="11" t="s">
        <v>74</v>
      </c>
      <c r="B37" s="9" t="s">
        <v>75</v>
      </c>
      <c r="C37" s="9" t="s">
        <v>22</v>
      </c>
      <c r="D37" s="10">
        <v>2021</v>
      </c>
      <c r="E37" s="10" t="s">
        <v>82</v>
      </c>
      <c r="F37" s="10" t="s">
        <v>83</v>
      </c>
    </row>
    <row r="38" spans="1:6">
      <c r="A38" s="11" t="s">
        <v>74</v>
      </c>
      <c r="B38" s="9" t="s">
        <v>84</v>
      </c>
      <c r="C38" s="9" t="s">
        <v>18</v>
      </c>
      <c r="D38" s="10">
        <v>1595</v>
      </c>
      <c r="E38" s="10" t="s">
        <v>85</v>
      </c>
      <c r="F38" s="10" t="s">
        <v>86</v>
      </c>
    </row>
    <row r="39" spans="1:6">
      <c r="A39" s="11" t="s">
        <v>74</v>
      </c>
      <c r="B39" s="9" t="s">
        <v>87</v>
      </c>
      <c r="C39" s="9" t="s">
        <v>18</v>
      </c>
      <c r="D39" s="10">
        <v>1842</v>
      </c>
      <c r="E39" s="10" t="s">
        <v>88</v>
      </c>
      <c r="F39" s="10" t="s">
        <v>89</v>
      </c>
    </row>
    <row r="40" spans="1:6">
      <c r="A40" s="11" t="s">
        <v>74</v>
      </c>
      <c r="B40" s="9" t="s">
        <v>87</v>
      </c>
      <c r="C40" s="9" t="s">
        <v>8</v>
      </c>
      <c r="D40" s="10">
        <v>1858</v>
      </c>
      <c r="E40" s="10" t="s">
        <v>90</v>
      </c>
      <c r="F40" s="10" t="s">
        <v>91</v>
      </c>
    </row>
    <row r="41" spans="1:6">
      <c r="A41" s="11" t="s">
        <v>74</v>
      </c>
      <c r="B41" s="9" t="s">
        <v>87</v>
      </c>
      <c r="C41" s="9" t="s">
        <v>92</v>
      </c>
      <c r="D41" s="10">
        <v>1842</v>
      </c>
      <c r="E41" s="10" t="s">
        <v>88</v>
      </c>
      <c r="F41" s="10" t="s">
        <v>89</v>
      </c>
    </row>
    <row r="42" spans="1:6">
      <c r="A42" s="11" t="s">
        <v>74</v>
      </c>
      <c r="B42" s="9" t="s">
        <v>93</v>
      </c>
      <c r="C42" s="9" t="s">
        <v>27</v>
      </c>
      <c r="D42" s="10">
        <v>1875</v>
      </c>
      <c r="E42" s="10" t="s">
        <v>94</v>
      </c>
      <c r="F42" s="10" t="s">
        <v>95</v>
      </c>
    </row>
    <row r="43" spans="1:6">
      <c r="A43" s="11" t="s">
        <v>74</v>
      </c>
      <c r="B43" s="9" t="s">
        <v>93</v>
      </c>
      <c r="C43" s="9" t="s">
        <v>22</v>
      </c>
      <c r="D43" s="10">
        <v>1848</v>
      </c>
      <c r="E43" s="10" t="s">
        <v>96</v>
      </c>
      <c r="F43" s="10" t="s">
        <v>97</v>
      </c>
    </row>
    <row r="44" spans="1:6">
      <c r="A44" s="11" t="s">
        <v>74</v>
      </c>
      <c r="B44" s="9" t="s">
        <v>93</v>
      </c>
      <c r="C44" s="9" t="s">
        <v>22</v>
      </c>
      <c r="D44" s="10">
        <v>1857</v>
      </c>
      <c r="E44" s="10" t="s">
        <v>98</v>
      </c>
      <c r="F44" s="10" t="s">
        <v>99</v>
      </c>
    </row>
    <row r="45" spans="1:6">
      <c r="A45" s="11" t="s">
        <v>74</v>
      </c>
      <c r="B45" s="9" t="s">
        <v>93</v>
      </c>
      <c r="C45" s="9" t="s">
        <v>22</v>
      </c>
      <c r="D45" s="10">
        <v>1875</v>
      </c>
      <c r="E45" s="10" t="s">
        <v>94</v>
      </c>
      <c r="F45" s="10" t="s">
        <v>95</v>
      </c>
    </row>
    <row r="46" spans="1:6">
      <c r="A46" s="11" t="s">
        <v>74</v>
      </c>
      <c r="B46" s="9" t="s">
        <v>93</v>
      </c>
      <c r="C46" s="9" t="s">
        <v>22</v>
      </c>
      <c r="D46" s="10">
        <v>1864</v>
      </c>
      <c r="E46" s="10" t="s">
        <v>100</v>
      </c>
      <c r="F46" s="10" t="s">
        <v>101</v>
      </c>
    </row>
    <row r="47" spans="1:6" ht="16.5" thickBot="1">
      <c r="A47" s="12" t="s">
        <v>74</v>
      </c>
      <c r="B47" s="13" t="s">
        <v>93</v>
      </c>
      <c r="C47" s="13" t="s">
        <v>22</v>
      </c>
      <c r="D47" s="14">
        <v>1886</v>
      </c>
      <c r="E47" s="14" t="s">
        <v>102</v>
      </c>
      <c r="F47" s="14" t="s">
        <v>103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6"/>
  <sheetViews>
    <sheetView tabSelected="1" workbookViewId="0">
      <selection activeCell="C44" sqref="C44"/>
    </sheetView>
  </sheetViews>
  <sheetFormatPr defaultRowHeight="15"/>
  <cols>
    <col min="1" max="1" width="39.85546875" customWidth="1"/>
    <col min="2" max="3" width="15.5703125" customWidth="1"/>
  </cols>
  <sheetData>
    <row r="1" spans="1:15" ht="15.75">
      <c r="A1" s="2" t="s">
        <v>141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5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.75">
      <c r="A3" s="4" t="s">
        <v>143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5.75">
      <c r="A4" s="15" t="s">
        <v>104</v>
      </c>
      <c r="B4" s="16" t="s">
        <v>105</v>
      </c>
      <c r="C4" s="15" t="s">
        <v>106</v>
      </c>
      <c r="D4" s="17" t="s">
        <v>107</v>
      </c>
      <c r="E4" s="17" t="s">
        <v>108</v>
      </c>
      <c r="F4" s="17" t="s">
        <v>109</v>
      </c>
      <c r="G4" s="16" t="s">
        <v>110</v>
      </c>
      <c r="H4" s="16" t="s">
        <v>111</v>
      </c>
      <c r="I4" s="17" t="s">
        <v>112</v>
      </c>
      <c r="J4" s="17" t="s">
        <v>113</v>
      </c>
      <c r="K4" s="17" t="s">
        <v>114</v>
      </c>
      <c r="L4" s="17" t="s">
        <v>115</v>
      </c>
      <c r="M4" s="16" t="s">
        <v>116</v>
      </c>
      <c r="N4" s="16" t="s">
        <v>117</v>
      </c>
      <c r="O4" s="16" t="s">
        <v>118</v>
      </c>
    </row>
    <row r="5" spans="1:15" ht="15.75">
      <c r="A5" s="18" t="s">
        <v>119</v>
      </c>
      <c r="B5" s="19">
        <v>975</v>
      </c>
      <c r="C5" s="18" t="s">
        <v>8</v>
      </c>
      <c r="D5" s="20">
        <v>2.2400000000000002</v>
      </c>
      <c r="E5" s="20">
        <f>(8+8+10+7+9)/5</f>
        <v>8.4</v>
      </c>
      <c r="F5" s="20">
        <v>67.210000000000008</v>
      </c>
      <c r="G5" s="21">
        <v>10.190000000000001</v>
      </c>
      <c r="H5" s="21">
        <f>(9+11+15+9+18)/5</f>
        <v>12.4</v>
      </c>
      <c r="I5" s="20">
        <f>(21.22+21.48+20.59)/3</f>
        <v>21.096666666666668</v>
      </c>
      <c r="J5" s="20">
        <f>(22.55+20.71+17.75)/3</f>
        <v>20.33666666666667</v>
      </c>
      <c r="K5" s="20">
        <v>53.31</v>
      </c>
      <c r="L5" s="20">
        <v>6.3144444444444447</v>
      </c>
      <c r="M5" s="21">
        <f>(10+19+11)/3</f>
        <v>13.333333333333334</v>
      </c>
      <c r="N5" s="21">
        <v>31.200000000000003</v>
      </c>
      <c r="O5" s="21">
        <v>13.919999999999998</v>
      </c>
    </row>
    <row r="6" spans="1:15" ht="15.75">
      <c r="A6" s="18" t="s">
        <v>119</v>
      </c>
      <c r="B6" s="19">
        <v>975</v>
      </c>
      <c r="C6" s="18" t="s">
        <v>8</v>
      </c>
      <c r="D6" s="20">
        <v>2.12</v>
      </c>
      <c r="E6" s="20">
        <f>(11+8+8+8+5)/5</f>
        <v>8</v>
      </c>
      <c r="F6" s="20">
        <v>64.5</v>
      </c>
      <c r="G6" s="21">
        <v>9.33</v>
      </c>
      <c r="H6" s="21">
        <f>(18+11+8+14+9)/5</f>
        <v>12</v>
      </c>
      <c r="I6" s="20">
        <f>(20.84+16.42+21.42)/3</f>
        <v>19.560000000000002</v>
      </c>
      <c r="J6" s="20">
        <f>(19.64+16.74+15.84)/3</f>
        <v>17.406666666666666</v>
      </c>
      <c r="K6" s="20">
        <v>49.959999999999994</v>
      </c>
      <c r="L6" s="20">
        <v>6.7988888888888876</v>
      </c>
      <c r="M6" s="21">
        <f>(22+24+22)/3</f>
        <v>22.666666666666668</v>
      </c>
      <c r="N6" s="21">
        <v>40.32</v>
      </c>
      <c r="O6" s="21">
        <v>14.440000000000001</v>
      </c>
    </row>
    <row r="7" spans="1:15" ht="15.75">
      <c r="A7" s="18" t="s">
        <v>119</v>
      </c>
      <c r="B7" s="19">
        <v>975</v>
      </c>
      <c r="C7" s="18" t="s">
        <v>8</v>
      </c>
      <c r="D7" s="20">
        <v>2.13</v>
      </c>
      <c r="E7" s="20">
        <f>(7+6+10+6+6)/5</f>
        <v>7</v>
      </c>
      <c r="F7" s="20">
        <v>59</v>
      </c>
      <c r="G7" s="21">
        <v>9.32</v>
      </c>
      <c r="H7" s="21">
        <f>(17+12+13+6+9)/5</f>
        <v>11.4</v>
      </c>
      <c r="I7" s="20">
        <f>(23.37+25.06+23.65)/3</f>
        <v>24.026666666666667</v>
      </c>
      <c r="J7" s="20">
        <f>(19.34+21.67+19.05)/3</f>
        <v>20.02</v>
      </c>
      <c r="K7" s="20">
        <v>31.923333333333336</v>
      </c>
      <c r="L7" s="20">
        <v>10.246666666666668</v>
      </c>
      <c r="M7" s="21">
        <f>(23+19+28)/3</f>
        <v>23.333333333333332</v>
      </c>
      <c r="N7" s="21">
        <v>36.6</v>
      </c>
      <c r="O7" s="21">
        <v>14.200000000000001</v>
      </c>
    </row>
    <row r="8" spans="1:15" ht="15.75">
      <c r="A8" s="18" t="s">
        <v>119</v>
      </c>
      <c r="B8" s="19">
        <v>1000</v>
      </c>
      <c r="C8" s="18" t="s">
        <v>8</v>
      </c>
      <c r="D8" s="20">
        <v>2.0699999999999998</v>
      </c>
      <c r="E8" s="20">
        <f>(9+11+8+9+9)/5</f>
        <v>9.1999999999999993</v>
      </c>
      <c r="F8" s="20">
        <v>61.760000000000005</v>
      </c>
      <c r="G8" s="21">
        <v>10.379999999999999</v>
      </c>
      <c r="H8" s="21">
        <f>(14+10+5+8+8)/5</f>
        <v>9</v>
      </c>
      <c r="I8" s="20">
        <f>(19.31+15.33+22.66)/3</f>
        <v>19.099999999999998</v>
      </c>
      <c r="J8" s="20">
        <f>(18.3+17.88+18.66)/3</f>
        <v>18.28</v>
      </c>
      <c r="K8" s="20">
        <v>38.053333333333335</v>
      </c>
      <c r="L8" s="20">
        <v>8.02</v>
      </c>
      <c r="M8" s="21">
        <f>(24+25+27)/3</f>
        <v>25.333333333333332</v>
      </c>
      <c r="N8" s="21">
        <v>33</v>
      </c>
      <c r="O8" s="21">
        <v>11.92</v>
      </c>
    </row>
    <row r="9" spans="1:15" ht="15.75">
      <c r="A9" s="18" t="s">
        <v>119</v>
      </c>
      <c r="B9" s="19">
        <v>1000</v>
      </c>
      <c r="C9" s="18" t="s">
        <v>8</v>
      </c>
      <c r="D9" s="20">
        <v>1.64</v>
      </c>
      <c r="E9" s="20">
        <f>(8+9+10+8+11)/5</f>
        <v>9.1999999999999993</v>
      </c>
      <c r="F9" s="20">
        <v>54.17</v>
      </c>
      <c r="G9" s="21">
        <v>8.44</v>
      </c>
      <c r="H9" s="21">
        <f>(5+3+8+9+2)/5</f>
        <v>5.4</v>
      </c>
      <c r="I9" s="20">
        <f>(19.99+22.17+25.29)/3</f>
        <v>22.483333333333331</v>
      </c>
      <c r="J9" s="20">
        <f>(15.58+15.21+18.1)/3</f>
        <v>16.296666666666667</v>
      </c>
      <c r="K9" s="20">
        <v>38.913333333333334</v>
      </c>
      <c r="L9" s="20">
        <v>8.94</v>
      </c>
      <c r="M9" s="21">
        <f>(11+18+18)/3</f>
        <v>15.666666666666666</v>
      </c>
      <c r="N9" s="21">
        <v>36.6</v>
      </c>
      <c r="O9" s="21">
        <v>12.080000000000002</v>
      </c>
    </row>
    <row r="10" spans="1:15" ht="15.75">
      <c r="A10" s="18" t="s">
        <v>119</v>
      </c>
      <c r="B10" s="19">
        <v>1000</v>
      </c>
      <c r="C10" s="18" t="s">
        <v>8</v>
      </c>
      <c r="D10" s="20">
        <v>1.95</v>
      </c>
      <c r="E10" s="20">
        <f>(7+8+9+10+10)/5</f>
        <v>8.8000000000000007</v>
      </c>
      <c r="F10" s="20">
        <v>53.29</v>
      </c>
      <c r="G10" s="21">
        <v>8.51</v>
      </c>
      <c r="H10" s="21">
        <f>(18+8+11+19+15)/5</f>
        <v>14.2</v>
      </c>
      <c r="I10" s="20">
        <f>(18.86+21.01+16.2)/3</f>
        <v>18.690000000000001</v>
      </c>
      <c r="J10" s="20">
        <f>(15.51+11.39+14.33)/3</f>
        <v>13.743333333333332</v>
      </c>
      <c r="K10" s="20">
        <v>49.836666666666673</v>
      </c>
      <c r="L10" s="20">
        <v>6.38</v>
      </c>
      <c r="M10" s="21">
        <f>(21+26+19)/3</f>
        <v>22</v>
      </c>
      <c r="N10" s="21">
        <v>31.200000000000003</v>
      </c>
      <c r="O10" s="21">
        <v>12.76</v>
      </c>
    </row>
    <row r="11" spans="1:15" ht="15.75">
      <c r="A11" s="18" t="s">
        <v>120</v>
      </c>
      <c r="B11" s="22">
        <v>1100</v>
      </c>
      <c r="C11" s="18" t="s">
        <v>8</v>
      </c>
      <c r="D11" s="20">
        <v>2.56</v>
      </c>
      <c r="E11" s="20">
        <f>(9+7+4+8+6+4)/6</f>
        <v>6.333333333333333</v>
      </c>
      <c r="F11" s="20">
        <v>58.99</v>
      </c>
      <c r="G11" s="21">
        <v>10.47</v>
      </c>
      <c r="H11" s="21">
        <f>(30+5+12+16+23)/5</f>
        <v>17.2</v>
      </c>
      <c r="I11" s="20">
        <f>(19.99+22.17+25.29)/3</f>
        <v>22.483333333333331</v>
      </c>
      <c r="J11" s="20">
        <f>(15.58+15.21+18.1)/3</f>
        <v>16.296666666666667</v>
      </c>
      <c r="K11" s="20">
        <v>35.536666666666704</v>
      </c>
      <c r="L11" s="20">
        <v>7.5455555555555565</v>
      </c>
      <c r="M11" s="21">
        <f>(20+17+18)/3</f>
        <v>18.333333333333332</v>
      </c>
      <c r="N11" s="21">
        <v>22.080000000000002</v>
      </c>
      <c r="O11" s="21">
        <v>13.4</v>
      </c>
    </row>
    <row r="12" spans="1:15" ht="15.75">
      <c r="A12" s="18" t="s">
        <v>120</v>
      </c>
      <c r="B12" s="22">
        <v>1100</v>
      </c>
      <c r="C12" s="18" t="s">
        <v>8</v>
      </c>
      <c r="D12" s="20">
        <v>2.1</v>
      </c>
      <c r="E12" s="20">
        <f>(6+8+11+9+12)/5</f>
        <v>9.1999999999999993</v>
      </c>
      <c r="F12" s="20">
        <v>63.566666666666663</v>
      </c>
      <c r="G12" s="21">
        <v>11.5</v>
      </c>
      <c r="H12" s="21">
        <f>(24+16+11+18+14)/5</f>
        <v>16.600000000000001</v>
      </c>
      <c r="I12" s="20">
        <f>(38.3+35.89+24.19)/3</f>
        <v>32.793333333333329</v>
      </c>
      <c r="J12" s="20">
        <f>(18.6+16.16+22.53)/3</f>
        <v>19.096666666666668</v>
      </c>
      <c r="K12" s="20">
        <v>47.186666666666703</v>
      </c>
      <c r="L12" s="20">
        <v>8.8488888888888901</v>
      </c>
      <c r="M12" s="21">
        <f>(20+14+27)/3</f>
        <v>20.333333333333332</v>
      </c>
      <c r="N12" s="21">
        <v>22.799999999999997</v>
      </c>
      <c r="O12" s="21">
        <v>13.4</v>
      </c>
    </row>
    <row r="13" spans="1:15" ht="15.75">
      <c r="A13" s="18" t="s">
        <v>120</v>
      </c>
      <c r="B13" s="22">
        <v>1100</v>
      </c>
      <c r="C13" s="18" t="s">
        <v>8</v>
      </c>
      <c r="D13" s="20">
        <v>2.34</v>
      </c>
      <c r="E13" s="20">
        <f>(8+9+9+10+8)/5</f>
        <v>8.8000000000000007</v>
      </c>
      <c r="F13" s="20">
        <v>63.430000000000007</v>
      </c>
      <c r="G13" s="21">
        <v>12.175000000000001</v>
      </c>
      <c r="H13" s="21">
        <f>(18+10+14+10+11)/5</f>
        <v>12.6</v>
      </c>
      <c r="I13" s="20">
        <f>(27.6+25.21+26.3)/3</f>
        <v>26.37</v>
      </c>
      <c r="J13" s="20">
        <f>(19.37+23.42+23.1)/3</f>
        <v>21.963333333333338</v>
      </c>
      <c r="K13" s="20">
        <v>38.818666666666701</v>
      </c>
      <c r="L13" s="20">
        <v>9.8499999999999979</v>
      </c>
      <c r="M13" s="21">
        <f>(20+15+20)/3</f>
        <v>18.333333333333332</v>
      </c>
      <c r="N13" s="21">
        <v>23.279999999999998</v>
      </c>
      <c r="O13" s="21">
        <v>13.4</v>
      </c>
    </row>
    <row r="14" spans="1:15" ht="15.75">
      <c r="A14" s="18" t="s">
        <v>121</v>
      </c>
      <c r="B14" s="22">
        <v>1783</v>
      </c>
      <c r="C14" s="18" t="s">
        <v>8</v>
      </c>
      <c r="D14" s="20">
        <v>1.6</v>
      </c>
      <c r="E14" s="20">
        <f>(8+4+9+9+11)/5</f>
        <v>8.1999999999999993</v>
      </c>
      <c r="F14" s="20">
        <v>53.92</v>
      </c>
      <c r="G14" s="21">
        <v>8.2200000000000006</v>
      </c>
      <c r="H14" s="21">
        <f>(6+14+12+12+14)/5</f>
        <v>11.6</v>
      </c>
      <c r="I14" s="20">
        <f>(23.37+24.97+26.34)/3</f>
        <v>24.893333333333334</v>
      </c>
      <c r="J14" s="20">
        <f>(18.92+17.94+18.95)/3</f>
        <v>18.603333333333335</v>
      </c>
      <c r="K14" s="20">
        <v>35.713333333333331</v>
      </c>
      <c r="L14" s="20">
        <v>7.75</v>
      </c>
      <c r="M14" s="21">
        <f>(9+7+8)/3</f>
        <v>8</v>
      </c>
      <c r="N14" s="21">
        <v>29.4</v>
      </c>
      <c r="O14" s="21">
        <v>8.7199999999999989</v>
      </c>
    </row>
    <row r="15" spans="1:15" ht="15.75">
      <c r="A15" s="18" t="s">
        <v>121</v>
      </c>
      <c r="B15" s="22">
        <v>1783</v>
      </c>
      <c r="C15" s="18" t="s">
        <v>8</v>
      </c>
      <c r="D15" s="20">
        <v>1.72</v>
      </c>
      <c r="E15" s="20">
        <f>(10+9+8+9+7)/5</f>
        <v>8.6</v>
      </c>
      <c r="F15" s="20">
        <v>63.03</v>
      </c>
      <c r="G15" s="21">
        <v>7.57</v>
      </c>
      <c r="H15" s="21">
        <f>(8+15+13+10+12)/5</f>
        <v>11.6</v>
      </c>
      <c r="I15" s="20">
        <f>(23.29+26.39+25.12)/3</f>
        <v>24.933333333333334</v>
      </c>
      <c r="J15" s="20">
        <f>(15.62+17.07+15.57)/3</f>
        <v>16.086666666666666</v>
      </c>
      <c r="K15" s="20">
        <v>40.353333333333339</v>
      </c>
      <c r="L15" s="20">
        <v>5.4411111111111099</v>
      </c>
      <c r="M15" s="21">
        <f>(9+9+7)/3</f>
        <v>8.3333333333333339</v>
      </c>
      <c r="N15" s="21">
        <v>30</v>
      </c>
      <c r="O15" s="21">
        <v>9.48</v>
      </c>
    </row>
    <row r="16" spans="1:15" ht="15.75">
      <c r="A16" s="18" t="s">
        <v>121</v>
      </c>
      <c r="B16" s="22">
        <v>1783</v>
      </c>
      <c r="C16" s="18" t="s">
        <v>8</v>
      </c>
      <c r="D16" s="20">
        <v>1.5</v>
      </c>
      <c r="E16" s="20">
        <f>(9+8+10+9+6)/5</f>
        <v>8.4</v>
      </c>
      <c r="F16" s="20">
        <v>53.97</v>
      </c>
      <c r="G16" s="21">
        <v>8.5</v>
      </c>
      <c r="H16" s="21">
        <f>(9+16+6+13+3)/5</f>
        <v>9.4</v>
      </c>
      <c r="I16" s="20">
        <f>(22.25+18.7+20.54)/3</f>
        <v>20.496666666666666</v>
      </c>
      <c r="J16" s="20">
        <f>(16.64+13.42+11.78)/3</f>
        <v>13.946666666666667</v>
      </c>
      <c r="K16" s="20">
        <v>42.976666666666659</v>
      </c>
      <c r="L16" s="20">
        <v>3.3077777777777784</v>
      </c>
      <c r="M16" s="21">
        <f>(6+7+8)/3</f>
        <v>7</v>
      </c>
      <c r="N16" s="21">
        <v>21.6</v>
      </c>
      <c r="O16" s="21">
        <v>11.600000000000001</v>
      </c>
    </row>
    <row r="17" spans="1:15" ht="15.75">
      <c r="A17" s="18" t="s">
        <v>122</v>
      </c>
      <c r="B17" s="19">
        <v>1858</v>
      </c>
      <c r="C17" s="18" t="s">
        <v>8</v>
      </c>
      <c r="D17" s="20">
        <v>0.83</v>
      </c>
      <c r="E17" s="20">
        <f>(10+8+10+9+6)/5</f>
        <v>8.6</v>
      </c>
      <c r="F17" s="20">
        <v>59.620000000000005</v>
      </c>
      <c r="G17" s="21">
        <v>10.120000000000001</v>
      </c>
      <c r="H17" s="20">
        <f>(9+12+5+11+7)/5</f>
        <v>8.8000000000000007</v>
      </c>
      <c r="I17" s="20">
        <f>(18.32+18.67+18.05)/3</f>
        <v>18.346666666666668</v>
      </c>
      <c r="J17" s="20">
        <f>(16.38+13.06+14.6)/3</f>
        <v>14.68</v>
      </c>
      <c r="K17" s="20">
        <v>32.393333333333331</v>
      </c>
      <c r="L17" s="20">
        <v>7.6777777777777771</v>
      </c>
      <c r="M17" s="20">
        <f>(11+13+9)/3</f>
        <v>11</v>
      </c>
      <c r="N17" s="21">
        <v>22.200000000000003</v>
      </c>
      <c r="O17" s="21">
        <v>15.440000000000003</v>
      </c>
    </row>
    <row r="18" spans="1:15" ht="15.75">
      <c r="A18" s="18" t="s">
        <v>122</v>
      </c>
      <c r="B18" s="19">
        <v>1858</v>
      </c>
      <c r="C18" s="18" t="s">
        <v>8</v>
      </c>
      <c r="D18" s="20">
        <v>0.95</v>
      </c>
      <c r="E18" s="20">
        <f>(8+6+9+10+7)/5</f>
        <v>8</v>
      </c>
      <c r="F18" s="20">
        <v>58.37</v>
      </c>
      <c r="G18" s="21">
        <v>9.4599999999999991</v>
      </c>
      <c r="H18" s="20">
        <f>(9+11+8+5+8)/5</f>
        <v>8.1999999999999993</v>
      </c>
      <c r="I18" s="20">
        <f>(20.45+19.67+21.89)/3</f>
        <v>20.67</v>
      </c>
      <c r="J18" s="20">
        <f>(15.03+11.9+18.5)/3</f>
        <v>15.143333333333333</v>
      </c>
      <c r="K18" s="20">
        <v>24.863333333333337</v>
      </c>
      <c r="L18" s="20">
        <v>7.3766666666666669</v>
      </c>
      <c r="M18" s="20">
        <f>(14+13+11)/3</f>
        <v>12.666666666666666</v>
      </c>
      <c r="N18" s="21">
        <v>21.959999999999997</v>
      </c>
      <c r="O18" s="21">
        <v>11.840000000000002</v>
      </c>
    </row>
    <row r="19" spans="1:15" ht="15.75">
      <c r="A19" s="18" t="s">
        <v>122</v>
      </c>
      <c r="B19" s="19">
        <v>1858</v>
      </c>
      <c r="C19" s="18" t="s">
        <v>8</v>
      </c>
      <c r="D19" s="20">
        <v>0.8</v>
      </c>
      <c r="E19" s="20">
        <f>(9+12+10+7+3)/5</f>
        <v>8.1999999999999993</v>
      </c>
      <c r="F19" s="20">
        <v>58.75</v>
      </c>
      <c r="G19" s="21">
        <v>9.93</v>
      </c>
      <c r="H19" s="20">
        <f>(11+10+6+8+5)/5</f>
        <v>8</v>
      </c>
      <c r="I19" s="20">
        <f>(24.98+23.16+22.92)/3</f>
        <v>23.686666666666667</v>
      </c>
      <c r="J19" s="20">
        <f>(15.35+12.97+17.29)/3</f>
        <v>15.203333333333333</v>
      </c>
      <c r="K19" s="20">
        <v>43.541999999999994</v>
      </c>
      <c r="L19" s="20">
        <v>8.4266666666666676</v>
      </c>
      <c r="M19" s="20">
        <f>(16+13+14)/3</f>
        <v>14.333333333333334</v>
      </c>
      <c r="N19" s="21">
        <v>22.680000000000003</v>
      </c>
      <c r="O19" s="21">
        <v>10.92</v>
      </c>
    </row>
    <row r="20" spans="1:15" ht="15.75">
      <c r="A20" s="18" t="s">
        <v>123</v>
      </c>
      <c r="B20" s="19">
        <v>2069</v>
      </c>
      <c r="C20" s="18" t="s">
        <v>8</v>
      </c>
      <c r="D20" s="20">
        <v>2.2000000000000002</v>
      </c>
      <c r="E20" s="20">
        <f>(11+10+11+10+10)/5</f>
        <v>10.4</v>
      </c>
      <c r="F20" s="20">
        <v>67.55</v>
      </c>
      <c r="G20" s="21">
        <v>7.66</v>
      </c>
      <c r="H20" s="20">
        <f>(9+8+6+11+16)/5</f>
        <v>10</v>
      </c>
      <c r="I20" s="20">
        <f>(21.28+23.75+19.03)/3</f>
        <v>21.353333333333335</v>
      </c>
      <c r="J20" s="20">
        <f>(17.03+16.97+16.84)/3</f>
        <v>16.946666666666669</v>
      </c>
      <c r="K20" s="20">
        <v>34.126666666666665</v>
      </c>
      <c r="L20" s="20">
        <v>5.8844444444444441</v>
      </c>
      <c r="M20" s="20">
        <f>(8+6+5)/3</f>
        <v>6.333333333333333</v>
      </c>
      <c r="N20" s="21">
        <v>20.64</v>
      </c>
      <c r="O20" s="21">
        <v>8.3200000000000021</v>
      </c>
    </row>
    <row r="21" spans="1:15" ht="15.75">
      <c r="A21" s="18" t="s">
        <v>123</v>
      </c>
      <c r="B21" s="19">
        <v>2069</v>
      </c>
      <c r="C21" s="18" t="s">
        <v>8</v>
      </c>
      <c r="D21" s="20">
        <v>1.7</v>
      </c>
      <c r="E21" s="20">
        <f>(10+6+13+10+10)/5</f>
        <v>9.8000000000000007</v>
      </c>
      <c r="F21" s="20">
        <v>85.5</v>
      </c>
      <c r="G21" s="21">
        <v>8.6</v>
      </c>
      <c r="H21" s="20">
        <f>(3+8+6+10+8)/5</f>
        <v>7</v>
      </c>
      <c r="I21" s="20">
        <f>(21.6+20.3+19.77)/3</f>
        <v>20.556666666666668</v>
      </c>
      <c r="J21" s="20">
        <f>(15.37+15.89+16.08)/3</f>
        <v>15.78</v>
      </c>
      <c r="K21" s="20">
        <v>32.886666666666663</v>
      </c>
      <c r="L21" s="20">
        <v>5.7311111111111099</v>
      </c>
      <c r="M21" s="20">
        <f>(11+13+9)/3</f>
        <v>11</v>
      </c>
      <c r="N21" s="21">
        <v>18</v>
      </c>
      <c r="O21" s="21">
        <v>12.56</v>
      </c>
    </row>
    <row r="22" spans="1:15" ht="15.75">
      <c r="A22" s="18" t="s">
        <v>123</v>
      </c>
      <c r="B22" s="19">
        <v>2069</v>
      </c>
      <c r="C22" s="18" t="s">
        <v>8</v>
      </c>
      <c r="D22" s="20">
        <v>2.17</v>
      </c>
      <c r="E22" s="20">
        <f>(9+7+6+11+8)/5</f>
        <v>8.1999999999999993</v>
      </c>
      <c r="F22" s="20">
        <v>70.789999999999992</v>
      </c>
      <c r="G22" s="21">
        <v>7.75</v>
      </c>
      <c r="H22" s="20">
        <f>(17+9+5+7+10)/5</f>
        <v>9.6</v>
      </c>
      <c r="I22" s="20">
        <f>(24.15+25.36+24.79)/3</f>
        <v>24.766666666666666</v>
      </c>
      <c r="J22" s="20">
        <f>(18.07+19.66+20.37)/3</f>
        <v>19.366666666666671</v>
      </c>
      <c r="K22" s="20">
        <v>23.256666666666668</v>
      </c>
      <c r="L22" s="20">
        <v>7.1133333333333351</v>
      </c>
      <c r="M22" s="20">
        <f>(17+13+12)/3</f>
        <v>14</v>
      </c>
      <c r="N22" s="21">
        <v>20.999999999999996</v>
      </c>
      <c r="O22" s="21">
        <v>5.7600000000000016</v>
      </c>
    </row>
    <row r="23" spans="1:15" ht="15.75">
      <c r="A23" s="18" t="s">
        <v>124</v>
      </c>
      <c r="B23" s="19">
        <v>1441</v>
      </c>
      <c r="C23" s="18" t="s">
        <v>27</v>
      </c>
      <c r="D23" s="20">
        <v>2.27</v>
      </c>
      <c r="E23" s="20">
        <f>(12+9+10+6+8)/5</f>
        <v>9</v>
      </c>
      <c r="F23" s="20">
        <v>65.97</v>
      </c>
      <c r="G23" s="21">
        <v>9.23</v>
      </c>
      <c r="H23" s="20">
        <f>(18+14+11+14+10)/5</f>
        <v>13.4</v>
      </c>
      <c r="I23" s="20">
        <f>(21.43+19.64+24.6)/3</f>
        <v>21.89</v>
      </c>
      <c r="J23" s="20">
        <f>(16.22+12.23+15.37)/3</f>
        <v>14.606666666666667</v>
      </c>
      <c r="K23" s="20">
        <v>39.115000000000002</v>
      </c>
      <c r="L23" s="20">
        <v>7.9177777777777774</v>
      </c>
      <c r="M23" s="20">
        <f>(21+17+23)/3</f>
        <v>20.333333333333332</v>
      </c>
      <c r="N23" s="21">
        <v>29.64</v>
      </c>
      <c r="O23" s="21">
        <v>9.64</v>
      </c>
    </row>
    <row r="24" spans="1:15" ht="15.75">
      <c r="A24" s="18" t="s">
        <v>124</v>
      </c>
      <c r="B24" s="19">
        <v>1441</v>
      </c>
      <c r="C24" s="18" t="s">
        <v>27</v>
      </c>
      <c r="D24" s="20">
        <v>1.62</v>
      </c>
      <c r="E24" s="20">
        <f>(7+9+8+13+7)/5</f>
        <v>8.8000000000000007</v>
      </c>
      <c r="F24" s="20">
        <v>52.09</v>
      </c>
      <c r="G24" s="21">
        <v>6.93</v>
      </c>
      <c r="H24" s="20">
        <f>(10+6+9+11+15)/5</f>
        <v>10.199999999999999</v>
      </c>
      <c r="I24" s="20">
        <f>(23.39+22.6+18.91)/3</f>
        <v>21.633333333333336</v>
      </c>
      <c r="J24" s="20">
        <f>(19.29+16.59+17.16)/3</f>
        <v>17.679999999999996</v>
      </c>
      <c r="K24" s="20">
        <v>35.729999999999997</v>
      </c>
      <c r="L24" s="20">
        <v>8.9688888888888894</v>
      </c>
      <c r="M24" s="20">
        <f>(14+16+13)/3</f>
        <v>14.333333333333334</v>
      </c>
      <c r="N24" s="21">
        <v>39.960000000000008</v>
      </c>
      <c r="O24" s="21">
        <v>11.520000000000003</v>
      </c>
    </row>
    <row r="25" spans="1:15" ht="15.75">
      <c r="A25" s="18" t="s">
        <v>124</v>
      </c>
      <c r="B25" s="19">
        <v>1441</v>
      </c>
      <c r="C25" s="18" t="s">
        <v>27</v>
      </c>
      <c r="D25" s="20">
        <v>2.1</v>
      </c>
      <c r="E25" s="20">
        <f>(9+8+12+7+10)/5</f>
        <v>9.1999999999999993</v>
      </c>
      <c r="F25" s="20">
        <v>73.316666666666663</v>
      </c>
      <c r="G25" s="21">
        <v>6.25</v>
      </c>
      <c r="H25" s="20">
        <f>(16+17+20+15+17)/5</f>
        <v>17</v>
      </c>
      <c r="I25" s="20">
        <f>(23.39+16.75+48.47)/3</f>
        <v>29.536666666666665</v>
      </c>
      <c r="J25" s="20">
        <f>(16.51+18.75+19.52)/3</f>
        <v>18.260000000000002</v>
      </c>
      <c r="K25" s="20">
        <v>46.035000000000004</v>
      </c>
      <c r="L25" s="20">
        <v>10.308888888888889</v>
      </c>
      <c r="M25" s="20">
        <f>(21+20+24)/3</f>
        <v>21.666666666666668</v>
      </c>
      <c r="N25" s="21">
        <v>27.395999999999997</v>
      </c>
      <c r="O25" s="21">
        <v>13.599999999999998</v>
      </c>
    </row>
    <row r="26" spans="1:15" ht="15.75">
      <c r="A26" s="18" t="s">
        <v>121</v>
      </c>
      <c r="B26" s="22">
        <v>1644</v>
      </c>
      <c r="C26" s="18" t="s">
        <v>27</v>
      </c>
      <c r="D26" s="20">
        <v>1.8</v>
      </c>
      <c r="E26" s="20">
        <f>(11+11+8+9+10)/5</f>
        <v>9.8000000000000007</v>
      </c>
      <c r="F26" s="20">
        <v>60.230000000000004</v>
      </c>
      <c r="G26" s="21">
        <v>8.11</v>
      </c>
      <c r="H26" s="21">
        <f>(12+10+8+5+6)/5</f>
        <v>8.1999999999999993</v>
      </c>
      <c r="I26" s="20">
        <f>(19.49+19.62+18.33)/3</f>
        <v>19.146666666666665</v>
      </c>
      <c r="J26" s="20">
        <f>(14.06+14.09+17.4)/3</f>
        <v>15.183333333333332</v>
      </c>
      <c r="K26" s="20">
        <v>32.653333333333329</v>
      </c>
      <c r="L26" s="20">
        <v>4.1933333333333342</v>
      </c>
      <c r="M26" s="21">
        <f>(12+9+11)/3</f>
        <v>10.666666666666666</v>
      </c>
      <c r="N26" s="21">
        <v>20.759999999999998</v>
      </c>
      <c r="O26" s="21">
        <v>7.8000000000000007</v>
      </c>
    </row>
    <row r="27" spans="1:15" ht="15.75">
      <c r="A27" s="18" t="s">
        <v>121</v>
      </c>
      <c r="B27" s="22">
        <v>1644</v>
      </c>
      <c r="C27" s="18" t="s">
        <v>27</v>
      </c>
      <c r="D27" s="20">
        <v>2.1</v>
      </c>
      <c r="E27" s="20">
        <f>(10+10+9+8+9)/5</f>
        <v>9.1999999999999993</v>
      </c>
      <c r="F27" s="20">
        <v>65.569999999999993</v>
      </c>
      <c r="G27" s="21">
        <v>7.879999999999999</v>
      </c>
      <c r="H27" s="21">
        <f>(19+12+14+22+5)/5</f>
        <v>14.4</v>
      </c>
      <c r="I27" s="20">
        <f>(25.69+26.09+25.52)/3</f>
        <v>25.766666666666666</v>
      </c>
      <c r="J27" s="20">
        <f>(16.01+18.46+15.21)/3</f>
        <v>16.559999999999999</v>
      </c>
      <c r="K27" s="20">
        <v>47.126666666666665</v>
      </c>
      <c r="L27" s="20">
        <v>4.26</v>
      </c>
      <c r="M27" s="21">
        <f>(12+16+14)/3</f>
        <v>14</v>
      </c>
      <c r="N27" s="21">
        <v>27.360000000000003</v>
      </c>
      <c r="O27" s="21">
        <v>6.5200000000000005</v>
      </c>
    </row>
    <row r="28" spans="1:15" ht="15.75">
      <c r="A28" s="18" t="s">
        <v>121</v>
      </c>
      <c r="B28" s="22">
        <v>1644</v>
      </c>
      <c r="C28" s="18" t="s">
        <v>27</v>
      </c>
      <c r="D28" s="20">
        <v>2.2999999999999998</v>
      </c>
      <c r="E28" s="20">
        <f>(10+11+11+12+10)/5</f>
        <v>10.8</v>
      </c>
      <c r="F28" s="20">
        <v>69.75</v>
      </c>
      <c r="G28" s="21">
        <v>8.44</v>
      </c>
      <c r="H28" s="21">
        <f>(18+11+20+15+13)/5</f>
        <v>15.4</v>
      </c>
      <c r="I28" s="20">
        <f>(22.52+26.13+24.79)/3</f>
        <v>24.48</v>
      </c>
      <c r="J28" s="20">
        <f>(18.57+11.55+15.85)/3</f>
        <v>15.323333333333332</v>
      </c>
      <c r="K28" s="20">
        <v>42.300000000000004</v>
      </c>
      <c r="L28" s="20">
        <v>3.5333333333333332</v>
      </c>
      <c r="M28" s="21">
        <f>(16+20+19)/3</f>
        <v>18.333333333333332</v>
      </c>
      <c r="N28" s="21">
        <v>22.439999999999998</v>
      </c>
      <c r="O28" s="21">
        <v>9.52</v>
      </c>
    </row>
    <row r="29" spans="1:15" ht="15.75">
      <c r="A29" s="18" t="s">
        <v>125</v>
      </c>
      <c r="B29" s="22">
        <v>1749</v>
      </c>
      <c r="C29" s="18" t="s">
        <v>27</v>
      </c>
      <c r="D29" s="20">
        <v>2</v>
      </c>
      <c r="E29" s="20">
        <f>(10+8+7+8+10)/5</f>
        <v>8.6</v>
      </c>
      <c r="F29" s="20">
        <v>53.71</v>
      </c>
      <c r="G29" s="21">
        <v>7.69</v>
      </c>
      <c r="H29" s="21">
        <f>(12+8+8+12+3)/5</f>
        <v>8.6</v>
      </c>
      <c r="I29" s="20">
        <f>(26.1+29.33+26.18)/3</f>
        <v>27.203333333333333</v>
      </c>
      <c r="J29" s="20">
        <f>(18.48+19.4+20.93)/3</f>
        <v>19.603333333333332</v>
      </c>
      <c r="K29" s="20">
        <v>33.449999999999996</v>
      </c>
      <c r="L29" s="20">
        <v>5.0016666666666669</v>
      </c>
      <c r="M29" s="20">
        <f>(21+17+23)/3</f>
        <v>20.333333333333332</v>
      </c>
      <c r="N29" s="21">
        <v>26.04</v>
      </c>
      <c r="O29" s="21">
        <v>5.2</v>
      </c>
    </row>
    <row r="30" spans="1:15" ht="15.75">
      <c r="A30" s="18" t="s">
        <v>125</v>
      </c>
      <c r="B30" s="22">
        <v>1749</v>
      </c>
      <c r="C30" s="18" t="s">
        <v>27</v>
      </c>
      <c r="D30" s="20">
        <v>2.15</v>
      </c>
      <c r="E30" s="20">
        <f>(6+9+8+7+8)/5</f>
        <v>7.6</v>
      </c>
      <c r="F30" s="20">
        <v>56.68</v>
      </c>
      <c r="G30" s="21">
        <v>8.84</v>
      </c>
      <c r="H30" s="21">
        <f>(12+10+8+5+6)/5</f>
        <v>8.1999999999999993</v>
      </c>
      <c r="I30" s="20">
        <f>(25.63+22.65+25.79)/3</f>
        <v>24.689999999999998</v>
      </c>
      <c r="J30" s="20">
        <f>(18.12+15.66+16.83)/3</f>
        <v>16.87</v>
      </c>
      <c r="K30" s="20">
        <v>32.480000000000004</v>
      </c>
      <c r="L30" s="20">
        <v>4.8416666666666668</v>
      </c>
      <c r="M30" s="21">
        <f>(16+20+19)/3</f>
        <v>18.333333333333332</v>
      </c>
      <c r="N30" s="21">
        <v>23.640000000000004</v>
      </c>
      <c r="O30" s="21">
        <v>8.4400000000000013</v>
      </c>
    </row>
    <row r="31" spans="1:15" ht="15.75">
      <c r="A31" s="18" t="s">
        <v>125</v>
      </c>
      <c r="B31" s="22">
        <v>1749</v>
      </c>
      <c r="C31" s="18" t="s">
        <v>27</v>
      </c>
      <c r="D31" s="20">
        <v>1.97</v>
      </c>
      <c r="E31" s="20">
        <f>(8+7+10+8+10)/5</f>
        <v>8.6</v>
      </c>
      <c r="F31" s="20">
        <v>56.572000000000003</v>
      </c>
      <c r="G31" s="21">
        <v>8</v>
      </c>
      <c r="H31" s="21">
        <f>(12+8+8+12+3)/5</f>
        <v>8.6</v>
      </c>
      <c r="I31" s="20">
        <f>(24.6+21.85+24.99)/3</f>
        <v>23.813333333333333</v>
      </c>
      <c r="J31" s="20">
        <f>(17.53+16.91+15.96)/3</f>
        <v>16.8</v>
      </c>
      <c r="K31" s="20">
        <v>31.490000000000002</v>
      </c>
      <c r="L31" s="20">
        <v>8.4833333333333325</v>
      </c>
      <c r="M31" s="20">
        <f>(21+20+24)/3</f>
        <v>21.666666666666668</v>
      </c>
      <c r="N31" s="21">
        <v>31.68</v>
      </c>
      <c r="O31" s="21">
        <v>4.0400000000000009</v>
      </c>
    </row>
    <row r="32" spans="1:15" ht="15.75">
      <c r="A32" s="18" t="s">
        <v>126</v>
      </c>
      <c r="B32" s="22">
        <v>1875</v>
      </c>
      <c r="C32" s="18" t="s">
        <v>27</v>
      </c>
      <c r="D32" s="21">
        <v>2.15</v>
      </c>
      <c r="E32" s="21">
        <f>(13+11+9+8+8)/5</f>
        <v>9.8000000000000007</v>
      </c>
      <c r="F32" s="21">
        <v>58.769999999999996</v>
      </c>
      <c r="G32" s="21">
        <v>7.55</v>
      </c>
      <c r="H32" s="21">
        <f>(9+12+17+19+6)/5</f>
        <v>12.6</v>
      </c>
      <c r="I32" s="21">
        <f>(24.1+16.73+20.75)/3</f>
        <v>20.526666666666667</v>
      </c>
      <c r="J32" s="21">
        <f>(14.28+12.22+15.85)/3</f>
        <v>14.116666666666667</v>
      </c>
      <c r="K32" s="20">
        <v>34.903333333333336</v>
      </c>
      <c r="L32" s="20">
        <v>3.3899999999999997</v>
      </c>
      <c r="M32" s="21">
        <f>(14+6+8)/3</f>
        <v>9.3333333333333339</v>
      </c>
      <c r="N32" s="21">
        <v>23.279999999999998</v>
      </c>
      <c r="O32" s="21">
        <v>12.120000000000001</v>
      </c>
    </row>
    <row r="33" spans="1:15" ht="15.75">
      <c r="A33" s="18" t="s">
        <v>126</v>
      </c>
      <c r="B33" s="22">
        <v>1875</v>
      </c>
      <c r="C33" s="18" t="s">
        <v>27</v>
      </c>
      <c r="D33" s="20">
        <v>1.66</v>
      </c>
      <c r="E33" s="20">
        <f>(10+11+9+10+5)/5</f>
        <v>9</v>
      </c>
      <c r="F33" s="20">
        <v>68.97</v>
      </c>
      <c r="G33" s="21">
        <v>7.9399999999999995</v>
      </c>
      <c r="H33" s="20">
        <f>(22+15+19+25+23)/5</f>
        <v>20.8</v>
      </c>
      <c r="I33" s="20">
        <f>(22.4+26.69+24.2)/3</f>
        <v>24.430000000000003</v>
      </c>
      <c r="J33" s="20">
        <f>(14.16+17.07+14.21)/3</f>
        <v>15.146666666666667</v>
      </c>
      <c r="K33" s="20">
        <v>43.359999999999992</v>
      </c>
      <c r="L33" s="20">
        <v>3.4400000000000004</v>
      </c>
      <c r="M33" s="20">
        <f>(16+19+18)/3</f>
        <v>17.666666666666668</v>
      </c>
      <c r="N33" s="21">
        <v>19.2</v>
      </c>
      <c r="O33" s="21">
        <v>6.32</v>
      </c>
    </row>
    <row r="34" spans="1:15" ht="15.75">
      <c r="A34" s="18" t="s">
        <v>126</v>
      </c>
      <c r="B34" s="22">
        <v>1875</v>
      </c>
      <c r="C34" s="18" t="s">
        <v>27</v>
      </c>
      <c r="D34" s="20">
        <v>2</v>
      </c>
      <c r="E34" s="20">
        <f>(12+13+12+13+11)/5</f>
        <v>12.2</v>
      </c>
      <c r="F34" s="20">
        <v>63.56</v>
      </c>
      <c r="G34" s="21">
        <v>7.74</v>
      </c>
      <c r="H34" s="20">
        <f>(13+12+7+10+8)/5</f>
        <v>10</v>
      </c>
      <c r="I34" s="20">
        <f>(24.22+22.69+25.83)/3</f>
        <v>24.246666666666666</v>
      </c>
      <c r="J34" s="20">
        <f>(13.39+14.04+17.97)/3</f>
        <v>15.133333333333333</v>
      </c>
      <c r="K34" s="20">
        <v>45.78</v>
      </c>
      <c r="L34" s="20">
        <v>2.12</v>
      </c>
      <c r="M34" s="20">
        <f>(17+20+19)/3</f>
        <v>18.666666666666668</v>
      </c>
      <c r="N34" s="21">
        <v>19.68</v>
      </c>
      <c r="O34" s="21">
        <v>1.3839999999999999</v>
      </c>
    </row>
    <row r="35" spans="1:15" ht="15.75">
      <c r="A35" s="18" t="s">
        <v>127</v>
      </c>
      <c r="B35" s="22">
        <v>1926</v>
      </c>
      <c r="C35" s="18" t="s">
        <v>27</v>
      </c>
      <c r="D35" s="20">
        <v>2.1</v>
      </c>
      <c r="E35" s="20">
        <f>(10+14+10+8+11)/5</f>
        <v>10.6</v>
      </c>
      <c r="F35" s="20">
        <v>63.829999999999991</v>
      </c>
      <c r="G35" s="21">
        <v>10.18</v>
      </c>
      <c r="H35" s="21">
        <f>(9+10+13+15+13)/5</f>
        <v>12</v>
      </c>
      <c r="I35" s="20">
        <f>(19.61+18.54+15.43)/3</f>
        <v>17.86</v>
      </c>
      <c r="J35" s="20">
        <f>(16.16+15.15+10.94)/3</f>
        <v>14.083333333333334</v>
      </c>
      <c r="K35" s="20">
        <v>32.729999999999997</v>
      </c>
      <c r="L35" s="20">
        <v>2.2200000000000002</v>
      </c>
      <c r="M35" s="21">
        <f>(16+13+3)/3</f>
        <v>10.666666666666666</v>
      </c>
      <c r="N35" s="21">
        <v>23.279999999999998</v>
      </c>
      <c r="O35" s="21">
        <v>3.7199999999999998</v>
      </c>
    </row>
    <row r="36" spans="1:15" ht="15.75">
      <c r="A36" s="18" t="s">
        <v>127</v>
      </c>
      <c r="B36" s="22">
        <v>1926</v>
      </c>
      <c r="C36" s="18" t="s">
        <v>27</v>
      </c>
      <c r="D36" s="20">
        <v>1.97</v>
      </c>
      <c r="E36" s="20">
        <f>(12+8+9+10+7)/5</f>
        <v>9.1999999999999993</v>
      </c>
      <c r="F36" s="20">
        <v>60.7</v>
      </c>
      <c r="G36" s="21">
        <v>7.4599999999999991</v>
      </c>
      <c r="H36" s="21">
        <f>(12+8+8+12+3)/5</f>
        <v>8.6</v>
      </c>
      <c r="I36" s="20">
        <f>(22.5+21.51+21.83)/3</f>
        <v>21.946666666666669</v>
      </c>
      <c r="J36" s="20">
        <f>(16.25+18.78+15.84)/3</f>
        <v>16.956666666666667</v>
      </c>
      <c r="K36" s="20">
        <v>45.486666666666665</v>
      </c>
      <c r="L36" s="20">
        <v>3.67</v>
      </c>
      <c r="M36" s="21">
        <f>(9+9+10)/3</f>
        <v>9.3333333333333339</v>
      </c>
      <c r="N36" s="21">
        <v>30.92</v>
      </c>
      <c r="O36" s="21">
        <v>2.1599999999999997</v>
      </c>
    </row>
    <row r="37" spans="1:15" ht="15.75">
      <c r="A37" s="18" t="s">
        <v>128</v>
      </c>
      <c r="B37" s="19">
        <v>1100</v>
      </c>
      <c r="C37" s="18" t="s">
        <v>18</v>
      </c>
      <c r="D37" s="20">
        <v>1.94</v>
      </c>
      <c r="E37" s="20">
        <f>(5+9+5+6+8)/5</f>
        <v>6.6</v>
      </c>
      <c r="F37" s="20">
        <v>64.599999999999994</v>
      </c>
      <c r="G37" s="21">
        <v>8.879999999999999</v>
      </c>
      <c r="H37" s="21">
        <f>(6+10+15+6+12)/5</f>
        <v>9.8000000000000007</v>
      </c>
      <c r="I37" s="20">
        <f>(23.22+17.49+17.23)/3</f>
        <v>19.313333333333333</v>
      </c>
      <c r="J37" s="20">
        <f>(15.44+17.9+14.36)/3</f>
        <v>15.899999999999999</v>
      </c>
      <c r="K37" s="20">
        <v>42.983333333333327</v>
      </c>
      <c r="L37" s="20">
        <v>7.5288888888888881</v>
      </c>
      <c r="M37" s="21">
        <f>(17+23+18)/3</f>
        <v>19.333333333333332</v>
      </c>
      <c r="N37" s="21">
        <v>39.120000000000005</v>
      </c>
      <c r="O37" s="21">
        <v>15.920000000000003</v>
      </c>
    </row>
    <row r="38" spans="1:15" ht="15.75">
      <c r="A38" s="18" t="s">
        <v>128</v>
      </c>
      <c r="B38" s="19">
        <v>1100</v>
      </c>
      <c r="C38" s="18" t="s">
        <v>18</v>
      </c>
      <c r="D38" s="20">
        <v>1.35</v>
      </c>
      <c r="E38" s="20">
        <f>(5+5+6+4+8)/5</f>
        <v>5.6</v>
      </c>
      <c r="F38" s="20">
        <v>50.11</v>
      </c>
      <c r="G38" s="21">
        <v>8.6399999999999988</v>
      </c>
      <c r="H38" s="21">
        <f>(13+12+15+17+13)/5</f>
        <v>14</v>
      </c>
      <c r="I38" s="20">
        <f>(21.33+15.24+13.22)/3</f>
        <v>16.596666666666668</v>
      </c>
      <c r="J38" s="20">
        <f>(15.53+14.84+15.16)/3</f>
        <v>15.176666666666668</v>
      </c>
      <c r="K38" s="20">
        <v>35.066666666666663</v>
      </c>
      <c r="L38" s="20">
        <v>8.3833333333333329</v>
      </c>
      <c r="M38" s="21">
        <f>(18+23+22)/3</f>
        <v>21</v>
      </c>
      <c r="N38" s="21">
        <v>28.68</v>
      </c>
      <c r="O38" s="21">
        <v>11.880000000000003</v>
      </c>
    </row>
    <row r="39" spans="1:15" ht="15.75">
      <c r="A39" s="18" t="s">
        <v>128</v>
      </c>
      <c r="B39" s="19">
        <v>1100</v>
      </c>
      <c r="C39" s="18" t="s">
        <v>18</v>
      </c>
      <c r="D39" s="20">
        <v>1.52</v>
      </c>
      <c r="E39" s="20">
        <f>(7+6+8+9+5)/5</f>
        <v>7</v>
      </c>
      <c r="F39" s="20">
        <v>44.68</v>
      </c>
      <c r="G39" s="21">
        <v>7.32</v>
      </c>
      <c r="H39" s="21">
        <f>(5+7+9+9+8)/5</f>
        <v>7.6</v>
      </c>
      <c r="I39" s="20">
        <f>(25.35+25.16+21.48)/3</f>
        <v>23.99666666666667</v>
      </c>
      <c r="J39" s="20">
        <f>(20.76+22.27+20.59)/3</f>
        <v>21.206666666666667</v>
      </c>
      <c r="K39" s="20">
        <v>42.364999999999995</v>
      </c>
      <c r="L39" s="20">
        <v>8.3833333333333329</v>
      </c>
      <c r="M39" s="21">
        <f>(34+30+28)/3</f>
        <v>30.666666666666668</v>
      </c>
      <c r="N39" s="21">
        <v>27.360000000000003</v>
      </c>
      <c r="O39" s="21">
        <v>11.96</v>
      </c>
    </row>
    <row r="40" spans="1:15" ht="15.75">
      <c r="A40" s="18" t="s">
        <v>129</v>
      </c>
      <c r="B40" s="22">
        <v>1218</v>
      </c>
      <c r="C40" s="18" t="s">
        <v>18</v>
      </c>
      <c r="D40" s="20">
        <v>1.7</v>
      </c>
      <c r="E40" s="20">
        <f>(7+7+5+7+6)/5</f>
        <v>6.4</v>
      </c>
      <c r="F40" s="20">
        <v>59.25</v>
      </c>
      <c r="G40" s="21">
        <v>10.719999999999999</v>
      </c>
      <c r="H40" s="21">
        <f>(21+8+15+14+11)/5</f>
        <v>13.8</v>
      </c>
      <c r="I40" s="20">
        <f>(21.9+21.02+20.33)/3</f>
        <v>21.083333333333332</v>
      </c>
      <c r="J40" s="20">
        <f>(19.49+15.94+18.39)/3</f>
        <v>17.940000000000001</v>
      </c>
      <c r="K40" s="20">
        <v>45.360000000000007</v>
      </c>
      <c r="L40" s="20">
        <v>11.688333333333334</v>
      </c>
      <c r="M40" s="21">
        <f>(27+20+20)/3</f>
        <v>22.333333333333332</v>
      </c>
      <c r="N40" s="21">
        <v>23.64</v>
      </c>
      <c r="O40" s="21">
        <v>13.759999999999998</v>
      </c>
    </row>
    <row r="41" spans="1:15" ht="15.75">
      <c r="A41" s="18" t="s">
        <v>129</v>
      </c>
      <c r="B41" s="22">
        <v>1218</v>
      </c>
      <c r="C41" s="18" t="s">
        <v>18</v>
      </c>
      <c r="D41" s="20">
        <v>2.25</v>
      </c>
      <c r="E41" s="23">
        <f>(12+6+11+8+7)/5</f>
        <v>8.8000000000000007</v>
      </c>
      <c r="F41" s="20">
        <v>64.84</v>
      </c>
      <c r="G41" s="21">
        <v>10.489999999999998</v>
      </c>
      <c r="H41" s="23">
        <f>(18+15+11+10+10)/5</f>
        <v>12.8</v>
      </c>
      <c r="I41" s="23">
        <f>(25.1+19.14+23.51)/3</f>
        <v>22.583333333333332</v>
      </c>
      <c r="J41" s="23">
        <f>(21.47+19.74+18.55)/3</f>
        <v>19.919999999999998</v>
      </c>
      <c r="K41" s="20">
        <v>56.373333333333335</v>
      </c>
      <c r="L41" s="20">
        <v>2.41888888888889</v>
      </c>
      <c r="M41" s="23">
        <f>(10+12+13)/3</f>
        <v>11.666666666666666</v>
      </c>
      <c r="N41" s="21">
        <v>24.000000000000004</v>
      </c>
      <c r="O41" s="21">
        <v>12.48</v>
      </c>
    </row>
    <row r="42" spans="1:15" ht="15.75">
      <c r="A42" s="18" t="s">
        <v>129</v>
      </c>
      <c r="B42" s="22">
        <v>1218</v>
      </c>
      <c r="C42" s="18" t="s">
        <v>18</v>
      </c>
      <c r="D42" s="20">
        <v>2.6</v>
      </c>
      <c r="E42" s="20">
        <f>(7+12+9+5+7)/5</f>
        <v>8</v>
      </c>
      <c r="F42" s="20">
        <v>79.53</v>
      </c>
      <c r="G42" s="21">
        <v>9.6000000000000014</v>
      </c>
      <c r="H42" s="23">
        <f>(12+20+11+18+10)/5</f>
        <v>14.2</v>
      </c>
      <c r="I42" s="20">
        <f>(24.69+29.22+23.92)/3</f>
        <v>25.943333333333332</v>
      </c>
      <c r="J42" s="20">
        <f>(16.1+19.52+14.61)/3</f>
        <v>16.743333333333336</v>
      </c>
      <c r="K42" s="20">
        <v>43.269999999999996</v>
      </c>
      <c r="L42" s="20">
        <v>5.335</v>
      </c>
      <c r="M42" s="23">
        <f>(27+18+25)/3</f>
        <v>23.333333333333332</v>
      </c>
      <c r="N42" s="21">
        <v>24.6</v>
      </c>
      <c r="O42" s="21">
        <v>13.96</v>
      </c>
    </row>
    <row r="43" spans="1:15" ht="15.75">
      <c r="A43" s="18" t="s">
        <v>130</v>
      </c>
      <c r="B43" s="19">
        <v>1595</v>
      </c>
      <c r="C43" s="18" t="s">
        <v>18</v>
      </c>
      <c r="D43" s="20">
        <v>0.46</v>
      </c>
      <c r="E43" s="20">
        <f>(11+10+14+10+13)/5</f>
        <v>11.6</v>
      </c>
      <c r="F43" s="20">
        <v>56.65</v>
      </c>
      <c r="G43" s="21">
        <v>6.86</v>
      </c>
      <c r="H43" s="20">
        <f>(12+8+19+6+7)/5</f>
        <v>10.4</v>
      </c>
      <c r="I43" s="20">
        <f>(20.9+22.06+19.06)/3</f>
        <v>20.673333333333332</v>
      </c>
      <c r="J43" s="20">
        <f>(17.72+15.61+17.36)/3</f>
        <v>16.896666666666665</v>
      </c>
      <c r="K43" s="20">
        <v>32.263333333333335</v>
      </c>
      <c r="L43" s="20">
        <v>7.4688888888888894</v>
      </c>
      <c r="M43" s="20">
        <f>(6+7+12)/3</f>
        <v>8.3333333333333339</v>
      </c>
      <c r="N43" s="21">
        <v>29.88</v>
      </c>
      <c r="O43" s="21">
        <v>6.5600000000000005</v>
      </c>
    </row>
    <row r="44" spans="1:15" ht="15.75">
      <c r="A44" s="18" t="s">
        <v>130</v>
      </c>
      <c r="B44" s="19">
        <v>1595</v>
      </c>
      <c r="C44" s="18" t="s">
        <v>18</v>
      </c>
      <c r="D44" s="20">
        <v>0.57999999999999996</v>
      </c>
      <c r="E44" s="20">
        <f>(9+10+5+8+9)/5</f>
        <v>8.1999999999999993</v>
      </c>
      <c r="F44" s="20">
        <v>63.92</v>
      </c>
      <c r="G44" s="21">
        <v>6.11</v>
      </c>
      <c r="H44" s="20">
        <f>(18+15+4+10+11)/5</f>
        <v>11.6</v>
      </c>
      <c r="I44" s="20">
        <f>(20.93+23.96+22.79)/3</f>
        <v>22.560000000000002</v>
      </c>
      <c r="J44" s="20">
        <f>(14.91+12.12+13.05)/3</f>
        <v>13.36</v>
      </c>
      <c r="K44" s="20">
        <v>18.943333333333332</v>
      </c>
      <c r="L44" s="20">
        <v>5.7744444444444447</v>
      </c>
      <c r="M44" s="20">
        <f>(7+12+9)/3</f>
        <v>9.3333333333333339</v>
      </c>
      <c r="N44" s="21">
        <v>28.799999999999997</v>
      </c>
      <c r="O44" s="21">
        <v>8.48</v>
      </c>
    </row>
    <row r="45" spans="1:15" ht="15.75">
      <c r="A45" s="18" t="s">
        <v>130</v>
      </c>
      <c r="B45" s="19">
        <v>1595</v>
      </c>
      <c r="C45" s="18" t="s">
        <v>18</v>
      </c>
      <c r="D45" s="20">
        <v>0.88</v>
      </c>
      <c r="E45" s="20">
        <f>(7+8+14+10+10)/5</f>
        <v>9.8000000000000007</v>
      </c>
      <c r="F45" s="20">
        <v>54.65</v>
      </c>
      <c r="G45" s="21">
        <v>8.26</v>
      </c>
      <c r="H45" s="20">
        <f>(9+13+6+11+14)/5</f>
        <v>10.6</v>
      </c>
      <c r="I45" s="20">
        <f>(19.55+19.57+24)/3</f>
        <v>21.040000000000003</v>
      </c>
      <c r="J45" s="20">
        <f>(13.45+12.19+16.85)/3</f>
        <v>14.163333333333334</v>
      </c>
      <c r="K45" s="20">
        <v>50.470000000000006</v>
      </c>
      <c r="L45" s="20">
        <v>5.6133333333333324</v>
      </c>
      <c r="M45" s="20">
        <f>(6+11+9)/3</f>
        <v>8.6666666666666661</v>
      </c>
      <c r="N45" s="21">
        <v>19.8</v>
      </c>
      <c r="O45" s="21">
        <v>8.48</v>
      </c>
    </row>
    <row r="46" spans="1:15" ht="15.75">
      <c r="A46" s="18" t="s">
        <v>131</v>
      </c>
      <c r="B46" s="19">
        <v>1842</v>
      </c>
      <c r="C46" s="18" t="s">
        <v>18</v>
      </c>
      <c r="D46" s="20">
        <v>1.1399999999999999</v>
      </c>
      <c r="E46" s="20">
        <f>(4+5+7+5+8)/5</f>
        <v>5.8</v>
      </c>
      <c r="F46" s="20">
        <v>42.2</v>
      </c>
      <c r="G46" s="21">
        <v>7.45</v>
      </c>
      <c r="H46" s="20">
        <f>(14+18+10+10+19)/5</f>
        <v>14.2</v>
      </c>
      <c r="I46" s="20">
        <f>(21.72+20.28+19.25)/3</f>
        <v>20.416666666666668</v>
      </c>
      <c r="J46" s="20">
        <f>(15.96+17.4+16.44)/3</f>
        <v>16.599999999999998</v>
      </c>
      <c r="K46" s="20">
        <v>34.599999999999994</v>
      </c>
      <c r="L46" s="20">
        <v>5.025555555555556</v>
      </c>
      <c r="M46" s="20">
        <f>(12+17+11)/3</f>
        <v>13.333333333333334</v>
      </c>
      <c r="N46" s="21">
        <v>18.84</v>
      </c>
      <c r="O46" s="21">
        <v>4.9599999999999991</v>
      </c>
    </row>
    <row r="47" spans="1:15" ht="15.75">
      <c r="A47" s="18" t="s">
        <v>131</v>
      </c>
      <c r="B47" s="19">
        <v>1842</v>
      </c>
      <c r="C47" s="18" t="s">
        <v>18</v>
      </c>
      <c r="D47" s="20">
        <v>1.35</v>
      </c>
      <c r="E47" s="20">
        <f>(9+7+9+6+6)/5</f>
        <v>7.4</v>
      </c>
      <c r="F47" s="20">
        <v>57.16</v>
      </c>
      <c r="G47" s="21">
        <v>9.3000000000000007</v>
      </c>
      <c r="H47" s="20">
        <f>(8+14+16+18+5)/5</f>
        <v>12.2</v>
      </c>
      <c r="I47" s="20">
        <f>(21.52+21.36+21.83)/3</f>
        <v>21.569999999999997</v>
      </c>
      <c r="J47" s="20">
        <f>(22.15+21.64+17.97)/3</f>
        <v>20.586666666666666</v>
      </c>
      <c r="K47" s="20">
        <v>34.130000000000003</v>
      </c>
      <c r="L47" s="20">
        <v>1.6211111111111112</v>
      </c>
      <c r="M47" s="20">
        <f>(29+25+20)/3</f>
        <v>24.666666666666668</v>
      </c>
      <c r="N47" s="21">
        <v>19.080000000000002</v>
      </c>
      <c r="O47" s="21">
        <v>2.2399999999999998</v>
      </c>
    </row>
    <row r="48" spans="1:15" ht="15.75">
      <c r="A48" s="18" t="s">
        <v>131</v>
      </c>
      <c r="B48" s="19">
        <v>1842</v>
      </c>
      <c r="C48" s="18" t="s">
        <v>18</v>
      </c>
      <c r="D48" s="20">
        <v>1.6</v>
      </c>
      <c r="E48" s="20">
        <f>(3+8+4+6+11)/5</f>
        <v>6.4</v>
      </c>
      <c r="F48" s="20">
        <v>48.1</v>
      </c>
      <c r="G48" s="21">
        <v>7.85</v>
      </c>
      <c r="H48" s="20">
        <f>(13+16+14+14+8)/5</f>
        <v>13</v>
      </c>
      <c r="I48" s="20">
        <f>(18.54+21.65+21.16)/3</f>
        <v>20.45</v>
      </c>
      <c r="J48" s="20">
        <f>(16.76+16.71+16.49)/3</f>
        <v>16.653333333333332</v>
      </c>
      <c r="K48" s="20">
        <v>25.653333333333332</v>
      </c>
      <c r="L48" s="20">
        <v>7.5688888888888881</v>
      </c>
      <c r="M48" s="20">
        <f>(7+6+6)/3</f>
        <v>6.333333333333333</v>
      </c>
      <c r="N48" s="21">
        <v>17.16</v>
      </c>
      <c r="O48" s="21">
        <v>5.36</v>
      </c>
    </row>
    <row r="49" spans="1:15" ht="15.75">
      <c r="A49" s="18" t="s">
        <v>128</v>
      </c>
      <c r="B49" s="22">
        <v>1209</v>
      </c>
      <c r="C49" s="18" t="s">
        <v>12</v>
      </c>
      <c r="D49" s="20">
        <v>1.83</v>
      </c>
      <c r="E49" s="20">
        <f>(8+5+7+6+11)/5</f>
        <v>7.4</v>
      </c>
      <c r="F49" s="20">
        <v>59.85</v>
      </c>
      <c r="G49" s="21">
        <v>7.92</v>
      </c>
      <c r="H49" s="20">
        <f>(5+6+9+11+5)/5</f>
        <v>7.2</v>
      </c>
      <c r="I49" s="20">
        <f>(21.11+22.79+24.07)/3</f>
        <v>22.656666666666666</v>
      </c>
      <c r="J49" s="20">
        <f>(15.05+15.31+13.4)/3</f>
        <v>14.586666666666666</v>
      </c>
      <c r="K49" s="20">
        <v>30.314999999999998</v>
      </c>
      <c r="L49" s="20">
        <v>3.7616666666666672</v>
      </c>
      <c r="M49" s="21">
        <f>(9+8+7)/3</f>
        <v>8</v>
      </c>
      <c r="N49" s="21">
        <v>23.520000000000003</v>
      </c>
      <c r="O49" s="21">
        <v>1.56</v>
      </c>
    </row>
    <row r="50" spans="1:15" ht="15.75">
      <c r="A50" s="18" t="s">
        <v>128</v>
      </c>
      <c r="B50" s="22">
        <v>1209</v>
      </c>
      <c r="C50" s="18" t="s">
        <v>12</v>
      </c>
      <c r="D50" s="20">
        <v>1.6</v>
      </c>
      <c r="E50" s="20">
        <f>(10+11+11+12+13)/5</f>
        <v>11.4</v>
      </c>
      <c r="F50" s="20">
        <v>56.6875</v>
      </c>
      <c r="G50" s="21">
        <v>6.7249999999999996</v>
      </c>
      <c r="H50" s="20">
        <f>(16+18+7+11+15)/5</f>
        <v>13.4</v>
      </c>
      <c r="I50" s="20">
        <f>(22.35+19.22+22.43)/3</f>
        <v>21.333333333333332</v>
      </c>
      <c r="J50" s="20">
        <f>(13.21+14.08+12.53)/3</f>
        <v>13.273333333333333</v>
      </c>
      <c r="K50" s="20">
        <v>25.150000000000002</v>
      </c>
      <c r="L50" s="20">
        <v>5.0216666666666665</v>
      </c>
      <c r="M50" s="21">
        <f>(15+16+8)/3</f>
        <v>13</v>
      </c>
      <c r="N50" s="21">
        <v>25.799999999999997</v>
      </c>
      <c r="O50" s="21">
        <v>3.6799999999999997</v>
      </c>
    </row>
    <row r="51" spans="1:15" ht="15.75">
      <c r="A51" s="18" t="s">
        <v>128</v>
      </c>
      <c r="B51" s="22">
        <v>1209</v>
      </c>
      <c r="C51" s="18" t="s">
        <v>12</v>
      </c>
      <c r="D51" s="20">
        <v>1.65</v>
      </c>
      <c r="E51" s="20">
        <f>(8+9+9+8+9)/5</f>
        <v>8.6</v>
      </c>
      <c r="F51" s="20">
        <v>53</v>
      </c>
      <c r="G51" s="21">
        <v>9.3000000000000007</v>
      </c>
      <c r="H51" s="20">
        <f>(11+7+12+10+9)/5</f>
        <v>9.8000000000000007</v>
      </c>
      <c r="I51" s="20">
        <f>(27.16+29.25+23.91)/3</f>
        <v>26.77333333333333</v>
      </c>
      <c r="J51" s="20">
        <f>(17.92+17.27+13.11)/3</f>
        <v>16.099999999999998</v>
      </c>
      <c r="K51" s="20">
        <v>36.74</v>
      </c>
      <c r="L51" s="20">
        <v>5.3116666666666665</v>
      </c>
      <c r="M51" s="21">
        <f>(9+9+8)/3</f>
        <v>8.6666666666666661</v>
      </c>
      <c r="N51" s="21">
        <v>19.68</v>
      </c>
      <c r="O51" s="21">
        <v>7.48</v>
      </c>
    </row>
    <row r="52" spans="1:15" ht="15.75">
      <c r="A52" s="18" t="s">
        <v>129</v>
      </c>
      <c r="B52" s="22">
        <v>1210</v>
      </c>
      <c r="C52" s="18" t="s">
        <v>12</v>
      </c>
      <c r="D52" s="20">
        <v>1.9</v>
      </c>
      <c r="E52" s="20">
        <f>(7+6+9+5+8)/5</f>
        <v>7</v>
      </c>
      <c r="F52" s="20">
        <v>63.96</v>
      </c>
      <c r="G52" s="21">
        <v>9.1999999999999993</v>
      </c>
      <c r="H52" s="21">
        <f>(12+10+8+5+6)/5</f>
        <v>8.1999999999999993</v>
      </c>
      <c r="I52" s="20">
        <f>(23.13+18.45+21.15)/3</f>
        <v>20.91</v>
      </c>
      <c r="J52" s="20">
        <f>(17.25+17.47+19.19)/3</f>
        <v>17.97</v>
      </c>
      <c r="K52" s="20">
        <v>42.92</v>
      </c>
      <c r="L52" s="20">
        <v>1.5583333333333331</v>
      </c>
      <c r="M52" s="20">
        <f>(9+5+6)/3</f>
        <v>6.666666666666667</v>
      </c>
      <c r="N52" s="21">
        <v>25.44</v>
      </c>
      <c r="O52" s="21">
        <v>1.36</v>
      </c>
    </row>
    <row r="53" spans="1:15" ht="15.75">
      <c r="A53" s="18" t="s">
        <v>129</v>
      </c>
      <c r="B53" s="22">
        <v>1210</v>
      </c>
      <c r="C53" s="18" t="s">
        <v>12</v>
      </c>
      <c r="D53" s="20">
        <v>0.8</v>
      </c>
      <c r="E53" s="20">
        <f>(4+4+9+7+8)/5</f>
        <v>6.4</v>
      </c>
      <c r="F53" s="20">
        <v>47.7</v>
      </c>
      <c r="G53" s="21">
        <v>8.1900000000000013</v>
      </c>
      <c r="H53" s="21">
        <f>(11+13+14+13+11)/5</f>
        <v>12.4</v>
      </c>
      <c r="I53" s="20">
        <f>(23.72+20.57+20.19)/3</f>
        <v>21.493333333333336</v>
      </c>
      <c r="J53" s="20">
        <f>(19.62+17.2+15.35)/3</f>
        <v>17.39</v>
      </c>
      <c r="K53" s="20">
        <v>27.143333333333338</v>
      </c>
      <c r="L53" s="20">
        <v>2.5033333333333334</v>
      </c>
      <c r="M53" s="20">
        <f>(6+7+5)/3</f>
        <v>6</v>
      </c>
      <c r="N53" s="21">
        <v>21.239999999999995</v>
      </c>
      <c r="O53" s="21">
        <v>11.880000000000003</v>
      </c>
    </row>
    <row r="54" spans="1:15" ht="15.75">
      <c r="A54" s="18" t="s">
        <v>129</v>
      </c>
      <c r="B54" s="22">
        <v>1210</v>
      </c>
      <c r="C54" s="18" t="s">
        <v>12</v>
      </c>
      <c r="D54" s="20">
        <v>2.6</v>
      </c>
      <c r="E54" s="20">
        <f>(13+11+10+10+7)/5</f>
        <v>10.199999999999999</v>
      </c>
      <c r="F54" s="20">
        <v>53.789999999999992</v>
      </c>
      <c r="G54" s="21">
        <v>8.14</v>
      </c>
      <c r="H54" s="21">
        <f>(12+8+8+12+3)/5</f>
        <v>8.6</v>
      </c>
      <c r="I54" s="20">
        <f>(22.58+20.13+17.18)/3</f>
        <v>19.963333333333331</v>
      </c>
      <c r="J54" s="20">
        <f>(17.35+18.11+14.17)/3</f>
        <v>16.543333333333333</v>
      </c>
      <c r="K54" s="20">
        <v>29.535</v>
      </c>
      <c r="L54" s="20">
        <v>3.6983333333333328</v>
      </c>
      <c r="M54" s="20">
        <f>(10+11+12)/3</f>
        <v>11</v>
      </c>
      <c r="N54" s="21">
        <v>23.640000000000004</v>
      </c>
      <c r="O54" s="21">
        <v>8.2000000000000011</v>
      </c>
    </row>
    <row r="55" spans="1:15" ht="15.75">
      <c r="A55" s="18" t="s">
        <v>132</v>
      </c>
      <c r="B55" s="19">
        <v>1369</v>
      </c>
      <c r="C55" s="18" t="s">
        <v>12</v>
      </c>
      <c r="D55" s="20">
        <v>2</v>
      </c>
      <c r="E55" s="20">
        <f>(6+8+9+11+8)/5</f>
        <v>8.4</v>
      </c>
      <c r="F55" s="20">
        <v>58.69</v>
      </c>
      <c r="G55" s="21">
        <v>6.4399999999999995</v>
      </c>
      <c r="H55" s="21">
        <f>(18+17+16+6+17)/5</f>
        <v>14.8</v>
      </c>
      <c r="I55" s="20">
        <f>(20.77+19.65+19.05)/3</f>
        <v>19.823333333333334</v>
      </c>
      <c r="J55" s="20">
        <f>(13.84+15.45+14.76)/3</f>
        <v>14.683333333333332</v>
      </c>
      <c r="K55" s="20">
        <v>32.976666666666667</v>
      </c>
      <c r="L55" s="20">
        <v>4.5555555555555554</v>
      </c>
      <c r="M55" s="20">
        <f>(7+11+8)/3</f>
        <v>8.6666666666666661</v>
      </c>
      <c r="N55" s="21">
        <v>22.799999999999997</v>
      </c>
      <c r="O55" s="21">
        <v>8.5200000000000014</v>
      </c>
    </row>
    <row r="56" spans="1:15" ht="15.75">
      <c r="A56" s="18" t="s">
        <v>132</v>
      </c>
      <c r="B56" s="19">
        <v>1369</v>
      </c>
      <c r="C56" s="18" t="s">
        <v>12</v>
      </c>
      <c r="D56" s="20">
        <v>1.8</v>
      </c>
      <c r="E56" s="20">
        <f>(10+7+11+9+8)/5</f>
        <v>9</v>
      </c>
      <c r="F56" s="20">
        <v>59.710000000000008</v>
      </c>
      <c r="G56" s="21">
        <v>8.2800000000000011</v>
      </c>
      <c r="H56" s="21">
        <f>(5+9+7+10+9)/5</f>
        <v>8</v>
      </c>
      <c r="I56" s="20">
        <f>(32.07+29.51+21.51)/3</f>
        <v>27.696666666666669</v>
      </c>
      <c r="J56" s="20">
        <f>(18.9+18.95+16.02)/3</f>
        <v>17.956666666666663</v>
      </c>
      <c r="K56" s="20">
        <v>42.343333333333334</v>
      </c>
      <c r="L56" s="20">
        <v>4.4755555555555562</v>
      </c>
      <c r="M56" s="20">
        <f>(10+7+8)/3</f>
        <v>8.3333333333333339</v>
      </c>
      <c r="N56" s="21">
        <v>21.36</v>
      </c>
      <c r="O56" s="21">
        <v>7.7599999999999989</v>
      </c>
    </row>
    <row r="57" spans="1:15" ht="15.75">
      <c r="A57" s="18" t="s">
        <v>132</v>
      </c>
      <c r="B57" s="19">
        <v>1369</v>
      </c>
      <c r="C57" s="18" t="s">
        <v>12</v>
      </c>
      <c r="D57" s="20">
        <v>1.75</v>
      </c>
      <c r="E57" s="20">
        <f>(10+8+5+10+6)/5</f>
        <v>7.8</v>
      </c>
      <c r="F57" s="20">
        <v>46.819999999999993</v>
      </c>
      <c r="G57" s="21">
        <v>9.68</v>
      </c>
      <c r="H57" s="21">
        <f>(13+4+13+12+6)/5</f>
        <v>9.6</v>
      </c>
      <c r="I57" s="20">
        <f>(24.21+22.12+19.11)/3</f>
        <v>21.813333333333333</v>
      </c>
      <c r="J57" s="20">
        <f>(17.45+16.35+17.69)/3</f>
        <v>17.16333333333333</v>
      </c>
      <c r="K57" s="20">
        <v>44.98333333333332</v>
      </c>
      <c r="L57" s="20">
        <v>4.4755555555555562</v>
      </c>
      <c r="M57" s="20">
        <f>(15+11+14)/3</f>
        <v>13.333333333333334</v>
      </c>
      <c r="N57" s="21">
        <v>25.44</v>
      </c>
      <c r="O57" s="21">
        <v>7.7599999999999989</v>
      </c>
    </row>
    <row r="58" spans="1:15" ht="15.75">
      <c r="A58" s="18" t="s">
        <v>133</v>
      </c>
      <c r="B58" s="19">
        <v>1371</v>
      </c>
      <c r="C58" s="18" t="s">
        <v>12</v>
      </c>
      <c r="D58" s="20">
        <v>2</v>
      </c>
      <c r="E58" s="20">
        <f>(9+5+6+6+8)/5</f>
        <v>6.8</v>
      </c>
      <c r="F58" s="20">
        <v>62.512500000000003</v>
      </c>
      <c r="G58" s="21">
        <v>8.3500000000000014</v>
      </c>
      <c r="H58" s="20">
        <f>(11+9+5+21+8)/5</f>
        <v>10.8</v>
      </c>
      <c r="I58" s="20">
        <f>(18.66+15.18+16.81)/3</f>
        <v>16.883333333333336</v>
      </c>
      <c r="J58" s="20">
        <f>(14.82+14.53+14.2)/3</f>
        <v>14.516666666666666</v>
      </c>
      <c r="K58" s="20">
        <v>35.413333333333334</v>
      </c>
      <c r="L58" s="20">
        <v>5.1333333333333329</v>
      </c>
      <c r="M58" s="20">
        <f>(7+10+7)/3</f>
        <v>8</v>
      </c>
      <c r="N58" s="21">
        <v>25.2</v>
      </c>
      <c r="O58" s="21">
        <v>8.0400000000000009</v>
      </c>
    </row>
    <row r="59" spans="1:15" ht="15.75">
      <c r="A59" s="18" t="s">
        <v>133</v>
      </c>
      <c r="B59" s="19">
        <v>1371</v>
      </c>
      <c r="C59" s="18" t="s">
        <v>12</v>
      </c>
      <c r="D59" s="20">
        <v>2.1</v>
      </c>
      <c r="E59" s="20">
        <f>(10+6+8+6+5)/5</f>
        <v>7</v>
      </c>
      <c r="F59" s="20">
        <v>58.290000000000006</v>
      </c>
      <c r="G59" s="21">
        <v>9.2099999999999991</v>
      </c>
      <c r="H59" s="20">
        <f>(6+8+11+15+13)/5</f>
        <v>10.6</v>
      </c>
      <c r="I59" s="20">
        <f>(20.2+18.11+20.41)/3</f>
        <v>19.573333333333334</v>
      </c>
      <c r="J59" s="20">
        <f>(17.12+17.24+14.8)/3</f>
        <v>16.386666666666667</v>
      </c>
      <c r="K59" s="20">
        <v>58.263333333333335</v>
      </c>
      <c r="L59" s="20">
        <v>4.8155555555555551</v>
      </c>
      <c r="M59" s="20">
        <f>(10+12+11)/3</f>
        <v>11</v>
      </c>
      <c r="N59" s="21">
        <v>31.8</v>
      </c>
      <c r="O59" s="21">
        <v>18.679999999999996</v>
      </c>
    </row>
    <row r="60" spans="1:15" ht="15.75">
      <c r="A60" s="18" t="s">
        <v>133</v>
      </c>
      <c r="B60" s="19">
        <v>1371</v>
      </c>
      <c r="C60" s="18" t="s">
        <v>12</v>
      </c>
      <c r="D60" s="20">
        <v>2.1</v>
      </c>
      <c r="E60" s="20">
        <f>(8+11+12+10+11)/5</f>
        <v>10.4</v>
      </c>
      <c r="F60" s="20">
        <v>66.240000000000009</v>
      </c>
      <c r="G60" s="21">
        <v>8.44</v>
      </c>
      <c r="H60" s="20">
        <f>(15+7+18+11+7)/5</f>
        <v>11.6</v>
      </c>
      <c r="I60" s="20">
        <f>(23.63+22.35+23.62)/3</f>
        <v>23.200000000000003</v>
      </c>
      <c r="J60" s="20">
        <f>(18.4+15.66+14.84)/3</f>
        <v>16.3</v>
      </c>
      <c r="K60" s="20">
        <v>49.416666666666664</v>
      </c>
      <c r="L60" s="20">
        <v>5.6788888888888902</v>
      </c>
      <c r="M60" s="20">
        <f>(8+7+4)/3</f>
        <v>6.333333333333333</v>
      </c>
      <c r="N60" s="21">
        <v>25.560000000000002</v>
      </c>
      <c r="O60" s="21">
        <v>2.92</v>
      </c>
    </row>
    <row r="61" spans="1:15" ht="15.75">
      <c r="A61" s="18" t="s">
        <v>134</v>
      </c>
      <c r="B61" s="19">
        <v>1397</v>
      </c>
      <c r="C61" s="18" t="s">
        <v>12</v>
      </c>
      <c r="D61" s="20">
        <v>2.14</v>
      </c>
      <c r="E61" s="20">
        <f>(5+10+9+10+10)/5</f>
        <v>8.8000000000000007</v>
      </c>
      <c r="F61" s="20">
        <v>61.019999999999996</v>
      </c>
      <c r="G61" s="21">
        <v>8.61</v>
      </c>
      <c r="H61" s="21">
        <f>(20+17+11+14+15)/5</f>
        <v>15.4</v>
      </c>
      <c r="I61" s="20">
        <f>(20.04+19.88+17.25)/3</f>
        <v>19.056666666666668</v>
      </c>
      <c r="J61" s="20">
        <f>(14.9+14.7+15.45)/3</f>
        <v>15.016666666666666</v>
      </c>
      <c r="K61" s="20">
        <v>24.636666666666667</v>
      </c>
      <c r="L61" s="20">
        <v>4.8150000000000004</v>
      </c>
      <c r="M61" s="20">
        <f>(11+14+7)/3</f>
        <v>10.666666666666666</v>
      </c>
      <c r="N61" s="21">
        <v>22.319999999999997</v>
      </c>
      <c r="O61" s="21">
        <v>7.7599999999999989</v>
      </c>
    </row>
    <row r="62" spans="1:15" ht="15.75">
      <c r="A62" s="18" t="s">
        <v>134</v>
      </c>
      <c r="B62" s="19">
        <v>1397</v>
      </c>
      <c r="C62" s="18" t="s">
        <v>12</v>
      </c>
      <c r="D62" s="20">
        <v>2.2599999999999998</v>
      </c>
      <c r="E62" s="20">
        <f>(8+7+14+13+7)/5</f>
        <v>9.8000000000000007</v>
      </c>
      <c r="F62" s="20">
        <v>53.620000000000005</v>
      </c>
      <c r="G62" s="21">
        <v>8.77</v>
      </c>
      <c r="H62" s="21">
        <f>(9+9+4+4+6)/5</f>
        <v>6.4</v>
      </c>
      <c r="I62" s="20">
        <f>(20.06+22.44+22.76)/3</f>
        <v>21.753333333333334</v>
      </c>
      <c r="J62" s="20">
        <f>(16.33+11.91+16.17)/3</f>
        <v>14.803333333333333</v>
      </c>
      <c r="K62" s="20">
        <v>45.24</v>
      </c>
      <c r="L62" s="20">
        <v>4.1049999999999995</v>
      </c>
      <c r="M62" s="20">
        <f>(10+18+19)/3</f>
        <v>15.666666666666666</v>
      </c>
      <c r="N62" s="21">
        <v>31.8</v>
      </c>
      <c r="O62" s="21">
        <v>9.2800000000000011</v>
      </c>
    </row>
    <row r="63" spans="1:15" ht="15.75">
      <c r="A63" s="18" t="s">
        <v>134</v>
      </c>
      <c r="B63" s="19">
        <v>1397</v>
      </c>
      <c r="C63" s="18" t="s">
        <v>12</v>
      </c>
      <c r="D63" s="20">
        <v>2.36</v>
      </c>
      <c r="E63" s="20">
        <f>(12+5+7+6+10)/5</f>
        <v>8</v>
      </c>
      <c r="F63" s="20">
        <v>63.769999999999996</v>
      </c>
      <c r="G63" s="21">
        <v>8.59</v>
      </c>
      <c r="H63" s="21">
        <f>(16+14+12+12+8)/5</f>
        <v>12.4</v>
      </c>
      <c r="I63" s="20">
        <f>(23.25+24.94+22.6)/3</f>
        <v>23.596666666666664</v>
      </c>
      <c r="J63" s="20">
        <f>(16.13+18.48+14.41)/3</f>
        <v>16.34</v>
      </c>
      <c r="K63" s="20">
        <v>46.353333333333325</v>
      </c>
      <c r="L63" s="20">
        <v>7.2416666666666671</v>
      </c>
      <c r="M63" s="20">
        <f>(8+7+4)/3</f>
        <v>6.333333333333333</v>
      </c>
      <c r="N63" s="21">
        <v>24.96</v>
      </c>
      <c r="O63" s="21">
        <v>12.72</v>
      </c>
    </row>
    <row r="64" spans="1:15" ht="15.75">
      <c r="A64" s="18" t="s">
        <v>135</v>
      </c>
      <c r="B64" s="19">
        <v>1532</v>
      </c>
      <c r="C64" s="18" t="s">
        <v>12</v>
      </c>
      <c r="D64" s="20">
        <v>2.4300000000000002</v>
      </c>
      <c r="E64" s="20">
        <f>(12+10+13+10+9)/5</f>
        <v>10.8</v>
      </c>
      <c r="F64" s="20">
        <v>70.739999999999995</v>
      </c>
      <c r="G64" s="21">
        <v>8.73</v>
      </c>
      <c r="H64" s="21">
        <f>(16+6+12+9+13)/5</f>
        <v>11.2</v>
      </c>
      <c r="I64" s="20">
        <f>(20.44+20.53+23.54)/3</f>
        <v>21.50333333333333</v>
      </c>
      <c r="J64" s="20">
        <f>(19.69+17.37+14.63)/3</f>
        <v>17.23</v>
      </c>
      <c r="K64" s="20">
        <v>51.850000000000009</v>
      </c>
      <c r="L64" s="20">
        <v>2.2183333333333337</v>
      </c>
      <c r="M64" s="21">
        <f>(12+5+8)/3</f>
        <v>8.3333333333333339</v>
      </c>
      <c r="N64" s="21">
        <v>36</v>
      </c>
      <c r="O64" s="21">
        <v>8.6</v>
      </c>
    </row>
    <row r="65" spans="1:15" ht="15.75">
      <c r="A65" s="18" t="s">
        <v>135</v>
      </c>
      <c r="B65" s="19">
        <v>1532</v>
      </c>
      <c r="C65" s="18" t="s">
        <v>12</v>
      </c>
      <c r="D65" s="20">
        <v>2.25</v>
      </c>
      <c r="E65" s="20">
        <f>(11+11+9+13+10)/5</f>
        <v>10.8</v>
      </c>
      <c r="F65" s="20">
        <v>62.83</v>
      </c>
      <c r="G65" s="21">
        <v>7.7799999999999994</v>
      </c>
      <c r="H65" s="21">
        <f>(9+13+11+6+15)/5</f>
        <v>10.8</v>
      </c>
      <c r="I65" s="20">
        <f>(20.57+21.63+18.03)/3</f>
        <v>20.076666666666668</v>
      </c>
      <c r="J65" s="20">
        <f>(13.92+15.37+13.87)/3</f>
        <v>14.386666666666665</v>
      </c>
      <c r="K65" s="20">
        <v>34.53</v>
      </c>
      <c r="L65" s="20">
        <v>4.6483333333333325</v>
      </c>
      <c r="M65" s="21">
        <f>(15+6+15)/3</f>
        <v>12</v>
      </c>
      <c r="N65" s="21">
        <v>30.48</v>
      </c>
      <c r="O65" s="21">
        <v>7.3599999999999994</v>
      </c>
    </row>
    <row r="66" spans="1:15" ht="15.75">
      <c r="A66" s="18" t="s">
        <v>135</v>
      </c>
      <c r="B66" s="19">
        <v>1532</v>
      </c>
      <c r="C66" s="18" t="s">
        <v>12</v>
      </c>
      <c r="D66" s="20">
        <v>2.23</v>
      </c>
      <c r="E66" s="20">
        <f>(7+9+10+7+12)/5</f>
        <v>9</v>
      </c>
      <c r="F66" s="20">
        <v>59.27</v>
      </c>
      <c r="G66" s="21">
        <v>7</v>
      </c>
      <c r="H66" s="21">
        <f>(7+14+11+13+11)/5</f>
        <v>11.2</v>
      </c>
      <c r="I66" s="20">
        <f>(23.07+19.64+18.88)/3</f>
        <v>20.53</v>
      </c>
      <c r="J66" s="20">
        <f>(17.39+15.59+12.43)/3</f>
        <v>15.136666666666668</v>
      </c>
      <c r="K66" s="20">
        <v>38.026666666666671</v>
      </c>
      <c r="L66" s="20">
        <v>9.2416666666666671</v>
      </c>
      <c r="M66" s="21">
        <f>(14+17+15)/3</f>
        <v>15.333333333333334</v>
      </c>
      <c r="N66" s="21">
        <v>26.520000000000003</v>
      </c>
      <c r="O66" s="21">
        <v>7.3599999999999994</v>
      </c>
    </row>
    <row r="67" spans="1:15" ht="15.75">
      <c r="A67" s="18" t="s">
        <v>136</v>
      </c>
      <c r="B67" s="22">
        <v>1605</v>
      </c>
      <c r="C67" s="18" t="s">
        <v>12</v>
      </c>
      <c r="D67" s="20">
        <v>1.97</v>
      </c>
      <c r="E67" s="20">
        <f>(6+5+8+8+9)/5</f>
        <v>7.2</v>
      </c>
      <c r="F67" s="20">
        <v>46.17</v>
      </c>
      <c r="G67" s="21">
        <v>6.64</v>
      </c>
      <c r="H67" s="21">
        <f>(18+12+5+21+15)/6</f>
        <v>11.833333333333334</v>
      </c>
      <c r="I67" s="20">
        <f>(25.53+21.95+23.6)/3</f>
        <v>23.693333333333339</v>
      </c>
      <c r="J67" s="20">
        <f>(20.6+17.15+16.6)/3</f>
        <v>18.116666666666667</v>
      </c>
      <c r="K67" s="20">
        <v>34.414999999999999</v>
      </c>
      <c r="L67" s="20">
        <v>3.9488888888888884</v>
      </c>
      <c r="M67" s="21">
        <f>(16+18+17)/3</f>
        <v>17</v>
      </c>
      <c r="N67" s="21">
        <v>22.799999999999997</v>
      </c>
      <c r="O67" s="21">
        <v>10.48</v>
      </c>
    </row>
    <row r="68" spans="1:15" ht="15.75">
      <c r="A68" s="18" t="s">
        <v>136</v>
      </c>
      <c r="B68" s="22">
        <v>1605</v>
      </c>
      <c r="C68" s="18" t="s">
        <v>12</v>
      </c>
      <c r="D68" s="20">
        <v>2.2000000000000002</v>
      </c>
      <c r="E68" s="20">
        <f>(13+6+10+9+7)/5</f>
        <v>9</v>
      </c>
      <c r="F68" s="20">
        <v>53.26</v>
      </c>
      <c r="G68" s="21">
        <v>8.4</v>
      </c>
      <c r="H68" s="21">
        <f>(5+8+13+14+11)/5</f>
        <v>10.199999999999999</v>
      </c>
      <c r="I68" s="20">
        <f>(26.7+27.82+24.2)/3</f>
        <v>26.24</v>
      </c>
      <c r="J68" s="20">
        <f>(20.16+21.18+20.72)/3</f>
        <v>20.686666666666667</v>
      </c>
      <c r="K68" s="20">
        <v>45.823333333333338</v>
      </c>
      <c r="L68" s="20">
        <v>7.0866666666666669</v>
      </c>
      <c r="M68" s="21">
        <f>(15+13+17)/3</f>
        <v>15</v>
      </c>
      <c r="N68" s="21">
        <v>27.12</v>
      </c>
      <c r="O68" s="21">
        <v>11.2</v>
      </c>
    </row>
    <row r="69" spans="1:15" ht="15.75">
      <c r="A69" s="18" t="s">
        <v>136</v>
      </c>
      <c r="B69" s="22">
        <v>1605</v>
      </c>
      <c r="C69" s="18" t="s">
        <v>12</v>
      </c>
      <c r="D69" s="20">
        <v>1.97</v>
      </c>
      <c r="E69" s="20">
        <f>(7+10+9+10+8)/5</f>
        <v>8.8000000000000007</v>
      </c>
      <c r="F69" s="20">
        <v>61.9</v>
      </c>
      <c r="G69" s="21">
        <v>9.0299999999999994</v>
      </c>
      <c r="H69" s="21">
        <f>(9+11+14+10+13)/5</f>
        <v>11.4</v>
      </c>
      <c r="I69" s="20">
        <f>(28.72+27.68+27.42)/3</f>
        <v>27.939999999999998</v>
      </c>
      <c r="J69" s="20">
        <f>(19.91+19.3+16.1)/3</f>
        <v>18.436666666666667</v>
      </c>
      <c r="K69" s="20">
        <v>49.993333333333332</v>
      </c>
      <c r="L69" s="20">
        <v>5.952222222222221</v>
      </c>
      <c r="M69" s="21">
        <f>(14+17+15)/3</f>
        <v>15.333333333333334</v>
      </c>
      <c r="N69" s="21">
        <v>27.12</v>
      </c>
      <c r="O69" s="21">
        <v>12.8</v>
      </c>
    </row>
    <row r="70" spans="1:15" ht="15.75">
      <c r="A70" s="18" t="s">
        <v>137</v>
      </c>
      <c r="B70" s="22">
        <v>1617</v>
      </c>
      <c r="C70" s="18" t="s">
        <v>12</v>
      </c>
      <c r="D70" s="20">
        <v>2.1</v>
      </c>
      <c r="E70" s="20">
        <f>(7+9+8+11+9)/5</f>
        <v>8.8000000000000007</v>
      </c>
      <c r="F70" s="20">
        <v>63.786000000000001</v>
      </c>
      <c r="G70" s="21">
        <v>8.64</v>
      </c>
      <c r="H70" s="20">
        <f>(8+13+14+16+15)/5</f>
        <v>13.2</v>
      </c>
      <c r="I70" s="20">
        <f>(19.03+19.93+19.2)/3</f>
        <v>19.386666666666667</v>
      </c>
      <c r="J70" s="20">
        <f>(13.45+15.1+12.34)/3</f>
        <v>13.63</v>
      </c>
      <c r="K70" s="20">
        <v>22.515000000000001</v>
      </c>
      <c r="L70" s="20">
        <v>8.043333333333333</v>
      </c>
      <c r="M70" s="21">
        <f>(11+15+7)/3</f>
        <v>11</v>
      </c>
      <c r="N70" s="21">
        <v>25.2</v>
      </c>
      <c r="O70" s="21">
        <v>12.000000000000004</v>
      </c>
    </row>
    <row r="71" spans="1:15" ht="15.75">
      <c r="A71" s="18" t="s">
        <v>137</v>
      </c>
      <c r="B71" s="22">
        <v>1617</v>
      </c>
      <c r="C71" s="18" t="s">
        <v>12</v>
      </c>
      <c r="D71" s="20">
        <v>1.9</v>
      </c>
      <c r="E71" s="20">
        <f>(9+6+9+9+9)/5</f>
        <v>8.4</v>
      </c>
      <c r="F71" s="20">
        <v>56.26</v>
      </c>
      <c r="G71" s="21">
        <v>7.67</v>
      </c>
      <c r="H71" s="20">
        <f>(16+6+9+10+5)/5</f>
        <v>9.1999999999999993</v>
      </c>
      <c r="I71" s="20">
        <f>(21.98+22.35+21.76)/3</f>
        <v>22.03</v>
      </c>
      <c r="J71" s="20">
        <f>(18.2+18.39+16.53)/3</f>
        <v>17.706666666666667</v>
      </c>
      <c r="K71" s="20">
        <v>34.06</v>
      </c>
      <c r="L71" s="20">
        <v>3.8744444444444448</v>
      </c>
      <c r="M71" s="21">
        <f>(11+13+15)/3</f>
        <v>13</v>
      </c>
      <c r="N71" s="21">
        <v>14.28</v>
      </c>
      <c r="O71" s="21">
        <v>11.2</v>
      </c>
    </row>
    <row r="72" spans="1:15" ht="15.75">
      <c r="A72" s="18" t="s">
        <v>137</v>
      </c>
      <c r="B72" s="22">
        <v>1617</v>
      </c>
      <c r="C72" s="18" t="s">
        <v>12</v>
      </c>
      <c r="D72" s="20">
        <v>1.66</v>
      </c>
      <c r="E72" s="20">
        <f>(10+8+6+9+7)/5</f>
        <v>8</v>
      </c>
      <c r="F72" s="20">
        <v>58.97</v>
      </c>
      <c r="G72" s="21">
        <v>7.6400000000000006</v>
      </c>
      <c r="H72" s="20">
        <f>(13+14+15+6+15)/5</f>
        <v>12.6</v>
      </c>
      <c r="I72" s="20">
        <f>(21.85+19.41+18.32)/3</f>
        <v>19.860000000000003</v>
      </c>
      <c r="J72" s="20">
        <f>(13.9+14.62+15.66)/3</f>
        <v>14.726666666666667</v>
      </c>
      <c r="K72" s="20">
        <v>24.134999999999998</v>
      </c>
      <c r="L72" s="20">
        <v>10.243333333333332</v>
      </c>
      <c r="M72" s="21">
        <f>(16+13+7)/3</f>
        <v>12</v>
      </c>
      <c r="N72" s="21">
        <v>19.080000000000002</v>
      </c>
      <c r="O72" s="21">
        <v>11.720000000000002</v>
      </c>
    </row>
    <row r="73" spans="1:15" ht="15.75">
      <c r="A73" s="18" t="s">
        <v>121</v>
      </c>
      <c r="B73" s="22">
        <v>1671</v>
      </c>
      <c r="C73" s="18" t="s">
        <v>12</v>
      </c>
      <c r="D73" s="20">
        <v>1.9</v>
      </c>
      <c r="E73" s="20">
        <f>(10+9+10+10+8)/5</f>
        <v>9.4</v>
      </c>
      <c r="F73" s="20">
        <v>57.05</v>
      </c>
      <c r="G73" s="21">
        <v>9.23</v>
      </c>
      <c r="H73" s="21">
        <f>(9+7+6+5+8)/5</f>
        <v>7</v>
      </c>
      <c r="I73" s="20">
        <f>(25.1+22.75+21.06)/3</f>
        <v>22.97</v>
      </c>
      <c r="J73" s="20">
        <f>(18.39+15.93+11.17)/3</f>
        <v>15.163333333333334</v>
      </c>
      <c r="K73" s="20">
        <v>35.676666666666662</v>
      </c>
      <c r="L73" s="20">
        <v>6.9700000000000006</v>
      </c>
      <c r="M73" s="21">
        <f>(10+11+13)/3</f>
        <v>11.333333333333334</v>
      </c>
      <c r="N73" s="21">
        <v>10.379999999999999</v>
      </c>
      <c r="O73" s="21">
        <v>10.120000000000001</v>
      </c>
    </row>
    <row r="74" spans="1:15" ht="15.75">
      <c r="A74" s="18" t="s">
        <v>121</v>
      </c>
      <c r="B74" s="22">
        <v>1671</v>
      </c>
      <c r="C74" s="18" t="s">
        <v>12</v>
      </c>
      <c r="D74" s="20">
        <v>1.82</v>
      </c>
      <c r="E74" s="20">
        <f>(9+8+8+9+9)/5</f>
        <v>8.6</v>
      </c>
      <c r="F74" s="20">
        <v>69.62</v>
      </c>
      <c r="G74" s="21">
        <v>7.87</v>
      </c>
      <c r="H74" s="21">
        <f>(11+10+12+18+25)/5</f>
        <v>15.2</v>
      </c>
      <c r="I74" s="20">
        <f>(26.91+26.05+22.62)/3</f>
        <v>25.193333333333332</v>
      </c>
      <c r="J74" s="20">
        <f>(15+15.76+14.32)/3</f>
        <v>15.026666666666666</v>
      </c>
      <c r="K74" s="20">
        <v>46.773333333333341</v>
      </c>
      <c r="L74" s="20">
        <v>10.010000000000002</v>
      </c>
      <c r="M74" s="21">
        <f>(7+5+5)/3</f>
        <v>5.666666666666667</v>
      </c>
      <c r="N74" s="21">
        <v>26.04</v>
      </c>
      <c r="O74" s="21">
        <v>13</v>
      </c>
    </row>
    <row r="75" spans="1:15" ht="15.75">
      <c r="A75" s="18" t="s">
        <v>121</v>
      </c>
      <c r="B75" s="22">
        <v>1671</v>
      </c>
      <c r="C75" s="18" t="s">
        <v>12</v>
      </c>
      <c r="D75" s="20">
        <v>1.78</v>
      </c>
      <c r="E75" s="20">
        <f>(9+10+7+5+8)/5</f>
        <v>7.8</v>
      </c>
      <c r="F75" s="20">
        <v>63.730000000000004</v>
      </c>
      <c r="G75" s="21">
        <v>8.27</v>
      </c>
      <c r="H75" s="21">
        <f>(21+17+12+19+9)/5</f>
        <v>15.6</v>
      </c>
      <c r="I75" s="20">
        <f>(25.02+23.14+24.6)/3</f>
        <v>24.25333333333333</v>
      </c>
      <c r="J75" s="20">
        <f>(13.44+15.59+17.57)/3</f>
        <v>15.533333333333333</v>
      </c>
      <c r="K75" s="20">
        <v>42.376666666666665</v>
      </c>
      <c r="L75" s="20">
        <v>9.9350000000000005</v>
      </c>
      <c r="M75" s="21">
        <f>(18+18+19)/3</f>
        <v>18.333333333333332</v>
      </c>
      <c r="N75" s="21">
        <v>29.832000000000001</v>
      </c>
      <c r="O75" s="21">
        <v>15.519999999999998</v>
      </c>
    </row>
    <row r="76" spans="1:15" ht="15.75">
      <c r="A76" s="18" t="s">
        <v>121</v>
      </c>
      <c r="B76" s="22">
        <v>1783</v>
      </c>
      <c r="C76" s="18" t="s">
        <v>12</v>
      </c>
      <c r="D76" s="20">
        <v>1.92</v>
      </c>
      <c r="E76" s="20">
        <f>(7+6+4+5+5)/5</f>
        <v>5.4</v>
      </c>
      <c r="F76" s="20">
        <v>63.660000000000004</v>
      </c>
      <c r="G76" s="21">
        <v>9.68</v>
      </c>
      <c r="H76" s="20">
        <f>(13+8+16+19+8)/5</f>
        <v>12.8</v>
      </c>
      <c r="I76" s="20">
        <f>(22.17+24.68+19.84)/3</f>
        <v>22.23</v>
      </c>
      <c r="J76" s="20">
        <f>(15.74+16.09+14.43)/3</f>
        <v>15.42</v>
      </c>
      <c r="K76" s="20">
        <v>37.976666666666667</v>
      </c>
      <c r="L76" s="20">
        <v>6.1550000000000002</v>
      </c>
      <c r="M76" s="21">
        <f>(15+15+13)/3</f>
        <v>14.333333333333334</v>
      </c>
      <c r="N76" s="21">
        <v>33.527999999999999</v>
      </c>
      <c r="O76" s="21">
        <v>11.760000000000003</v>
      </c>
    </row>
    <row r="77" spans="1:15" ht="15.75">
      <c r="A77" s="18" t="s">
        <v>121</v>
      </c>
      <c r="B77" s="22">
        <v>1783</v>
      </c>
      <c r="C77" s="18" t="s">
        <v>12</v>
      </c>
      <c r="D77" s="20">
        <v>1.9</v>
      </c>
      <c r="E77" s="20">
        <f>(10+6+9+7+9)/5</f>
        <v>8.1999999999999993</v>
      </c>
      <c r="F77" s="20">
        <v>56.769999999999996</v>
      </c>
      <c r="G77" s="21">
        <v>8.74</v>
      </c>
      <c r="H77" s="20">
        <f>(28+16+10+17+12)/5</f>
        <v>16.600000000000001</v>
      </c>
      <c r="I77" s="20">
        <f>(22.18+25.84+17.42)/3</f>
        <v>21.813333333333333</v>
      </c>
      <c r="J77" s="20">
        <f>(18.64+13.42+12.37)/3</f>
        <v>14.81</v>
      </c>
      <c r="K77" s="20">
        <v>45.593333333333341</v>
      </c>
      <c r="L77" s="20">
        <v>12.206666666666665</v>
      </c>
      <c r="M77" s="21">
        <f>(19+15+17)/3</f>
        <v>17</v>
      </c>
      <c r="N77" s="21">
        <v>44.844000000000001</v>
      </c>
      <c r="O77" s="21">
        <v>11.2</v>
      </c>
    </row>
    <row r="78" spans="1:15" ht="15.75">
      <c r="A78" s="18" t="s">
        <v>121</v>
      </c>
      <c r="B78" s="22">
        <v>1783</v>
      </c>
      <c r="C78" s="18" t="s">
        <v>12</v>
      </c>
      <c r="D78" s="20">
        <v>1.88</v>
      </c>
      <c r="E78" s="20">
        <f>(9+5+8+7+8)/5</f>
        <v>7.4</v>
      </c>
      <c r="F78" s="20">
        <v>62.29</v>
      </c>
      <c r="G78" s="21">
        <v>8.11</v>
      </c>
      <c r="H78" s="20">
        <f>(16+18+15+11+12)/5</f>
        <v>14.4</v>
      </c>
      <c r="I78" s="20">
        <f>(30.14+25.81+24.35)/3</f>
        <v>26.766666666666669</v>
      </c>
      <c r="J78" s="20">
        <f>(16.54+14.61+12.52)/3</f>
        <v>14.556666666666667</v>
      </c>
      <c r="K78" s="20">
        <v>39.860000000000007</v>
      </c>
      <c r="L78" s="20">
        <v>2.6466666666666665</v>
      </c>
      <c r="M78" s="21">
        <f>(25+21+15)/3</f>
        <v>20.333333333333332</v>
      </c>
      <c r="N78" s="21">
        <v>32.04</v>
      </c>
      <c r="O78" s="21">
        <v>15.920000000000003</v>
      </c>
    </row>
    <row r="79" spans="1:15" ht="15.75">
      <c r="A79" s="18" t="s">
        <v>138</v>
      </c>
      <c r="B79" s="19">
        <v>1492</v>
      </c>
      <c r="C79" s="18" t="s">
        <v>22</v>
      </c>
      <c r="D79" s="20">
        <v>1.75</v>
      </c>
      <c r="E79" s="20">
        <f>(9+9+9+12+7)/5</f>
        <v>9.1999999999999993</v>
      </c>
      <c r="F79" s="20">
        <v>57.96</v>
      </c>
      <c r="G79" s="21">
        <v>7.5599999999999987</v>
      </c>
      <c r="H79" s="20">
        <f>(14+8+11+19+18)/5</f>
        <v>14</v>
      </c>
      <c r="I79" s="20">
        <f>(24.05+22.65+23.5)/3</f>
        <v>23.400000000000002</v>
      </c>
      <c r="J79" s="20">
        <f>(12.48+15.64+12.58)/3</f>
        <v>13.566666666666668</v>
      </c>
      <c r="K79" s="20">
        <v>54.204999999999998</v>
      </c>
      <c r="L79" s="20">
        <v>8.2233333333333327</v>
      </c>
      <c r="M79" s="20">
        <f>(9+13+11)/3</f>
        <v>11</v>
      </c>
      <c r="N79" s="21">
        <v>28.080000000000002</v>
      </c>
      <c r="O79" s="21">
        <v>1.9600000000000004</v>
      </c>
    </row>
    <row r="80" spans="1:15" ht="15.75">
      <c r="A80" s="18" t="s">
        <v>138</v>
      </c>
      <c r="B80" s="19">
        <v>1492</v>
      </c>
      <c r="C80" s="18" t="s">
        <v>22</v>
      </c>
      <c r="D80" s="20">
        <v>2.1</v>
      </c>
      <c r="E80" s="20">
        <f>(8+11+8+5+8)/5</f>
        <v>8</v>
      </c>
      <c r="F80" s="20">
        <v>54.83</v>
      </c>
      <c r="G80" s="21">
        <v>8.61</v>
      </c>
      <c r="H80" s="20">
        <f>(12+20+16+14+15)/5</f>
        <v>15.4</v>
      </c>
      <c r="I80" s="20">
        <f>(21.47+21.57+21.71)/3</f>
        <v>21.583333333333332</v>
      </c>
      <c r="J80" s="20">
        <f>(18.84+16.91+17.95)/3</f>
        <v>17.900000000000002</v>
      </c>
      <c r="K80" s="20">
        <v>52.27</v>
      </c>
      <c r="L80" s="20">
        <v>3.8666666666666671</v>
      </c>
      <c r="M80" s="20">
        <f>(6+8+7)/3</f>
        <v>7</v>
      </c>
      <c r="N80" s="21">
        <v>31.92</v>
      </c>
      <c r="O80" s="21">
        <v>3.4400000000000004</v>
      </c>
    </row>
    <row r="81" spans="1:15" ht="15.75">
      <c r="A81" s="18" t="s">
        <v>138</v>
      </c>
      <c r="B81" s="19">
        <v>1492</v>
      </c>
      <c r="C81" s="18" t="s">
        <v>22</v>
      </c>
      <c r="D81" s="20">
        <v>1.9</v>
      </c>
      <c r="E81" s="20">
        <f>(10+18+10+10+10)/5</f>
        <v>11.6</v>
      </c>
      <c r="F81" s="20">
        <v>52.16</v>
      </c>
      <c r="G81" s="21">
        <v>8.4499999999999993</v>
      </c>
      <c r="H81" s="20">
        <f>(9+10+15+18+12)/5</f>
        <v>12.8</v>
      </c>
      <c r="I81" s="20">
        <f>(22.74+21.68+21.88)/3</f>
        <v>22.099999999999998</v>
      </c>
      <c r="J81" s="20">
        <f>(17.95+16.37+14.49)/3</f>
        <v>16.27</v>
      </c>
      <c r="K81" s="20">
        <v>53.320000000000007</v>
      </c>
      <c r="L81" s="20">
        <v>8.9833333333333343</v>
      </c>
      <c r="M81" s="20">
        <f>(15+15+16)/3</f>
        <v>15.333333333333334</v>
      </c>
      <c r="N81" s="21">
        <v>24.96</v>
      </c>
      <c r="O81" s="21">
        <v>3.8000000000000007</v>
      </c>
    </row>
    <row r="82" spans="1:15" ht="15.75">
      <c r="A82" s="18" t="s">
        <v>139</v>
      </c>
      <c r="B82" s="19">
        <v>1561</v>
      </c>
      <c r="C82" s="18" t="s">
        <v>22</v>
      </c>
      <c r="D82" s="20">
        <v>2.5</v>
      </c>
      <c r="E82" s="20">
        <f>(10+11+12+9+10)/5</f>
        <v>10.4</v>
      </c>
      <c r="F82" s="20">
        <v>78.88</v>
      </c>
      <c r="G82" s="21">
        <v>8.5599999999999987</v>
      </c>
      <c r="H82" s="20">
        <f>(18+14+11+14+10)/5</f>
        <v>13.4</v>
      </c>
      <c r="I82" s="20">
        <f>(28.2+28.5+27.23)/3</f>
        <v>27.97666666666667</v>
      </c>
      <c r="J82" s="20">
        <f>(15.05+15.83+13.6)/3</f>
        <v>14.826666666666668</v>
      </c>
      <c r="K82" s="20">
        <v>37.484999999999999</v>
      </c>
      <c r="L82" s="20">
        <v>6.1516666666666664</v>
      </c>
      <c r="M82" s="20">
        <f>(5+6+9)/3</f>
        <v>6.666666666666667</v>
      </c>
      <c r="N82" s="21">
        <v>18.479999999999997</v>
      </c>
      <c r="O82" s="21">
        <v>2.6</v>
      </c>
    </row>
    <row r="83" spans="1:15" ht="15.75">
      <c r="A83" s="18" t="s">
        <v>139</v>
      </c>
      <c r="B83" s="19">
        <v>1561</v>
      </c>
      <c r="C83" s="18" t="s">
        <v>22</v>
      </c>
      <c r="D83" s="20">
        <v>2.13</v>
      </c>
      <c r="E83" s="20">
        <f>(7+9+7+9+8)/5</f>
        <v>8</v>
      </c>
      <c r="F83" s="20">
        <v>66.75</v>
      </c>
      <c r="G83" s="21">
        <v>8.370000000000001</v>
      </c>
      <c r="H83" s="20">
        <f>(10+6+9+11+15)/5</f>
        <v>10.199999999999999</v>
      </c>
      <c r="I83" s="20">
        <f>(20.53+23.47+19.99)/3</f>
        <v>21.33</v>
      </c>
      <c r="J83" s="20">
        <f>(18.79+19.87+16.92)/3</f>
        <v>18.526666666666667</v>
      </c>
      <c r="K83" s="20">
        <v>40.575000000000003</v>
      </c>
      <c r="L83" s="20">
        <v>5.3733333333333331</v>
      </c>
      <c r="M83" s="20">
        <f>(18+18+12)/3</f>
        <v>16</v>
      </c>
      <c r="N83" s="21">
        <v>23.279999999999998</v>
      </c>
      <c r="O83" s="21">
        <v>4.88</v>
      </c>
    </row>
    <row r="84" spans="1:15" ht="15.75">
      <c r="A84" s="18" t="s">
        <v>139</v>
      </c>
      <c r="B84" s="19">
        <v>1561</v>
      </c>
      <c r="C84" s="18" t="s">
        <v>22</v>
      </c>
      <c r="D84" s="20">
        <v>2.2000000000000002</v>
      </c>
      <c r="E84" s="20">
        <f>(9+9+11+12+8)/5</f>
        <v>9.8000000000000007</v>
      </c>
      <c r="F84" s="20">
        <v>68.98</v>
      </c>
      <c r="G84" s="21">
        <v>8.4700000000000006</v>
      </c>
      <c r="H84" s="20">
        <f>(16+17+20+15+17)/5</f>
        <v>17</v>
      </c>
      <c r="I84" s="20">
        <f>(26.04+23.28+25.49)/3</f>
        <v>24.936666666666667</v>
      </c>
      <c r="J84" s="20">
        <f>(17.56+15.8+17.42)/3</f>
        <v>16.926666666666666</v>
      </c>
      <c r="K84" s="20">
        <v>40.83</v>
      </c>
      <c r="L84" s="20">
        <v>6.43</v>
      </c>
      <c r="M84" s="20">
        <f>(8+11+8)/3</f>
        <v>9</v>
      </c>
      <c r="N84" s="21">
        <v>28.32</v>
      </c>
      <c r="O84" s="21">
        <v>2.56</v>
      </c>
    </row>
    <row r="85" spans="1:15" ht="15.75">
      <c r="A85" s="18" t="s">
        <v>139</v>
      </c>
      <c r="B85" s="19">
        <v>1564</v>
      </c>
      <c r="C85" s="18" t="s">
        <v>22</v>
      </c>
      <c r="D85" s="20">
        <v>1.65</v>
      </c>
      <c r="E85" s="20">
        <f>(10+6+7+9+11)/5</f>
        <v>8.6</v>
      </c>
      <c r="F85" s="20">
        <v>57.59</v>
      </c>
      <c r="G85" s="21">
        <v>8.27</v>
      </c>
      <c r="H85" s="20">
        <f>(15+11+15+12+16)/5</f>
        <v>13.8</v>
      </c>
      <c r="I85" s="20">
        <f>(26.97+23.18+25.49)/3</f>
        <v>25.213333333333335</v>
      </c>
      <c r="J85" s="20">
        <f>(13.52+12.28+13.19)/3</f>
        <v>12.996666666666664</v>
      </c>
      <c r="K85" s="20">
        <v>33.384999999999998</v>
      </c>
      <c r="L85" s="20">
        <v>5.3383333333333303</v>
      </c>
      <c r="M85" s="20">
        <f>(12+17+20)/3</f>
        <v>16.333333333333332</v>
      </c>
      <c r="N85" s="21">
        <v>25.319999999999997</v>
      </c>
      <c r="O85" s="21">
        <v>5.6</v>
      </c>
    </row>
    <row r="86" spans="1:15" ht="15.75">
      <c r="A86" s="18" t="s">
        <v>139</v>
      </c>
      <c r="B86" s="19">
        <v>1564</v>
      </c>
      <c r="C86" s="18" t="s">
        <v>22</v>
      </c>
      <c r="D86" s="20">
        <v>1.83</v>
      </c>
      <c r="E86" s="20">
        <f>(6+9+12+11+7)/5</f>
        <v>9</v>
      </c>
      <c r="F86" s="20">
        <v>61.510000000000005</v>
      </c>
      <c r="G86" s="21">
        <v>8.870000000000001</v>
      </c>
      <c r="H86" s="20">
        <f>(4+5+5+8+11)/5</f>
        <v>6.6</v>
      </c>
      <c r="I86" s="20">
        <f>(26.48+23.85+24.42)/3</f>
        <v>24.916666666666668</v>
      </c>
      <c r="J86" s="20">
        <f>(19.45+20.79+21.7)/3</f>
        <v>20.646666666666665</v>
      </c>
      <c r="K86" s="20">
        <v>65</v>
      </c>
      <c r="L86" s="20">
        <v>6.42</v>
      </c>
      <c r="M86" s="20">
        <f>(14+12+12)/3</f>
        <v>12.666666666666666</v>
      </c>
      <c r="N86" s="21">
        <v>31.44</v>
      </c>
      <c r="O86" s="21">
        <v>10.600000000000001</v>
      </c>
    </row>
    <row r="87" spans="1:15" ht="15.75">
      <c r="A87" s="18" t="s">
        <v>139</v>
      </c>
      <c r="B87" s="19">
        <v>1564</v>
      </c>
      <c r="C87" s="18" t="s">
        <v>22</v>
      </c>
      <c r="D87" s="20">
        <v>1.78</v>
      </c>
      <c r="E87" s="20">
        <f>(11+10+10+12+7)/5</f>
        <v>10</v>
      </c>
      <c r="F87" s="20">
        <v>56.019999999999996</v>
      </c>
      <c r="G87" s="21">
        <v>8.620000000000001</v>
      </c>
      <c r="H87" s="20">
        <f>(10+12+14+18+13)/5</f>
        <v>13.4</v>
      </c>
      <c r="I87" s="20">
        <f>(23.98+24.11+23.76)/3</f>
        <v>23.950000000000003</v>
      </c>
      <c r="J87" s="20">
        <f>(17.1+12.68+15.63)/3</f>
        <v>15.136666666666668</v>
      </c>
      <c r="K87" s="20">
        <v>39.855000000000004</v>
      </c>
      <c r="L87" s="20">
        <v>6.1816666666666666</v>
      </c>
      <c r="M87" s="20">
        <f>(7+6+9)/3</f>
        <v>7.333333333333333</v>
      </c>
      <c r="N87" s="21">
        <v>25.92</v>
      </c>
      <c r="O87" s="21">
        <v>10.36</v>
      </c>
    </row>
    <row r="88" spans="1:15" ht="15.75">
      <c r="A88" s="18" t="s">
        <v>121</v>
      </c>
      <c r="B88" s="22">
        <v>1650</v>
      </c>
      <c r="C88" s="18" t="s">
        <v>22</v>
      </c>
      <c r="D88" s="20">
        <v>2.9</v>
      </c>
      <c r="E88" s="20">
        <f>(8+12+14+9+7)/5</f>
        <v>10</v>
      </c>
      <c r="F88" s="20">
        <v>83.78</v>
      </c>
      <c r="G88" s="21">
        <v>9.33</v>
      </c>
      <c r="H88" s="21">
        <f>(21+14+12+19+22)/5</f>
        <v>17.600000000000001</v>
      </c>
      <c r="I88" s="20">
        <f>(24.45+28.77+25.73)/3</f>
        <v>26.316666666666666</v>
      </c>
      <c r="J88" s="20">
        <f>(19.94+18.23+19.18)/3</f>
        <v>19.116666666666667</v>
      </c>
      <c r="K88" s="20">
        <v>72.763333333333335</v>
      </c>
      <c r="L88" s="20">
        <v>9.3099999999999987</v>
      </c>
      <c r="M88" s="21">
        <f>(13+11+16)/3</f>
        <v>13.333333333333334</v>
      </c>
      <c r="N88" s="21">
        <v>31.560000000000002</v>
      </c>
      <c r="O88" s="21">
        <v>6.28</v>
      </c>
    </row>
    <row r="89" spans="1:15" ht="15.75">
      <c r="A89" s="18" t="s">
        <v>121</v>
      </c>
      <c r="B89" s="22">
        <v>1650</v>
      </c>
      <c r="C89" s="18" t="s">
        <v>22</v>
      </c>
      <c r="D89" s="20">
        <v>3.1</v>
      </c>
      <c r="E89" s="20">
        <f>(8+10+7+8+9)/5</f>
        <v>8.4</v>
      </c>
      <c r="F89" s="20">
        <v>70.28</v>
      </c>
      <c r="G89" s="21">
        <v>7.96</v>
      </c>
      <c r="H89" s="21">
        <f>(24+10+11+16+14)/5</f>
        <v>15</v>
      </c>
      <c r="I89" s="20">
        <f>(34.14+27.67+24.64)/3</f>
        <v>28.816666666666666</v>
      </c>
      <c r="J89" s="20">
        <f>(21.45+17.01+17.66)/3</f>
        <v>18.706666666666667</v>
      </c>
      <c r="K89" s="20">
        <v>81.723333333333329</v>
      </c>
      <c r="L89" s="20">
        <v>8.2144444444444442</v>
      </c>
      <c r="M89" s="20">
        <f>(8+13+7)/3</f>
        <v>9.3333333333333339</v>
      </c>
      <c r="N89" s="21">
        <v>42.24</v>
      </c>
      <c r="O89" s="21">
        <v>9.76</v>
      </c>
    </row>
    <row r="90" spans="1:15" ht="15.75">
      <c r="A90" s="18" t="s">
        <v>121</v>
      </c>
      <c r="B90" s="22">
        <v>1650</v>
      </c>
      <c r="C90" s="18" t="s">
        <v>22</v>
      </c>
      <c r="D90" s="20">
        <v>3.2</v>
      </c>
      <c r="E90" s="20">
        <f>(9+5+10+10+10)/5</f>
        <v>8.8000000000000007</v>
      </c>
      <c r="F90" s="20">
        <v>59</v>
      </c>
      <c r="G90" s="21">
        <v>8.3999999999999986</v>
      </c>
      <c r="H90" s="21">
        <f>(10+10+28+18+17)/5</f>
        <v>16.600000000000001</v>
      </c>
      <c r="I90" s="20">
        <f>(23.52+24.44+20.18)/3</f>
        <v>22.713333333333335</v>
      </c>
      <c r="J90" s="20">
        <f>(19.14+19.13+18.17)/3</f>
        <v>18.813333333333333</v>
      </c>
      <c r="K90" s="20">
        <v>62.836666666666659</v>
      </c>
      <c r="L90" s="20">
        <v>8.0355555555555576</v>
      </c>
      <c r="M90" s="20">
        <f>(16+9+9)/3</f>
        <v>11.333333333333334</v>
      </c>
      <c r="N90" s="21">
        <v>36.372</v>
      </c>
      <c r="O90" s="21">
        <v>12.080000000000002</v>
      </c>
    </row>
    <row r="91" spans="1:15" ht="15.75">
      <c r="A91" s="18" t="s">
        <v>122</v>
      </c>
      <c r="B91" s="19">
        <v>1842</v>
      </c>
      <c r="C91" s="18" t="s">
        <v>22</v>
      </c>
      <c r="D91" s="20">
        <v>1.96</v>
      </c>
      <c r="E91" s="20">
        <f>(8+8+9+8+3)/5</f>
        <v>7.2</v>
      </c>
      <c r="F91" s="20">
        <v>59.8</v>
      </c>
      <c r="G91" s="21">
        <v>8.5</v>
      </c>
      <c r="H91" s="20">
        <f>(11+13+17+18+15)/5</f>
        <v>14.8</v>
      </c>
      <c r="I91" s="20">
        <f>(25.32+24.3+24.8)/3</f>
        <v>24.806666666666668</v>
      </c>
      <c r="J91" s="20">
        <f>(17.75+15.8+16.94)/3</f>
        <v>16.829999999999998</v>
      </c>
      <c r="K91" s="20">
        <v>55.09</v>
      </c>
      <c r="L91" s="20">
        <v>8.9211111111111112</v>
      </c>
      <c r="M91" s="20">
        <f>(15+11+9)/3</f>
        <v>11.666666666666666</v>
      </c>
      <c r="N91" s="21">
        <v>39</v>
      </c>
      <c r="O91" s="21">
        <v>9.08</v>
      </c>
    </row>
    <row r="92" spans="1:15" ht="15.75">
      <c r="A92" s="18" t="s">
        <v>122</v>
      </c>
      <c r="B92" s="19">
        <v>1842</v>
      </c>
      <c r="C92" s="18" t="s">
        <v>22</v>
      </c>
      <c r="D92" s="20">
        <v>1.96</v>
      </c>
      <c r="E92" s="20">
        <f>(9+8+5+6+7)/5</f>
        <v>7</v>
      </c>
      <c r="F92" s="20">
        <v>54.7</v>
      </c>
      <c r="G92" s="21">
        <v>7.85</v>
      </c>
      <c r="H92" s="20">
        <f>(12+15+13+4+12)/5</f>
        <v>11.2</v>
      </c>
      <c r="I92" s="20">
        <f>(32.27+30.11+32.12)/5</f>
        <v>18.899999999999999</v>
      </c>
      <c r="J92" s="20">
        <f>(17.37+18.27+21.25)/3</f>
        <v>18.963333333333335</v>
      </c>
      <c r="K92" s="20">
        <v>75.040000000000006</v>
      </c>
      <c r="L92" s="20">
        <v>12.832222222222223</v>
      </c>
      <c r="M92" s="20">
        <f>(8+7+9)/3</f>
        <v>8</v>
      </c>
      <c r="N92" s="21">
        <v>41.879999999999995</v>
      </c>
      <c r="O92" s="21">
        <v>6.8400000000000007</v>
      </c>
    </row>
    <row r="93" spans="1:15" ht="15.75">
      <c r="A93" s="18" t="s">
        <v>122</v>
      </c>
      <c r="B93" s="19">
        <v>1842</v>
      </c>
      <c r="C93" s="18" t="s">
        <v>22</v>
      </c>
      <c r="D93" s="20">
        <v>2.7</v>
      </c>
      <c r="E93" s="20">
        <f>(7+9+11+13+7)/5</f>
        <v>9.4</v>
      </c>
      <c r="F93" s="20">
        <v>64.86</v>
      </c>
      <c r="G93" s="21">
        <v>9.09</v>
      </c>
      <c r="H93" s="20">
        <f>(22+25+20+17+19)/5</f>
        <v>20.6</v>
      </c>
      <c r="I93" s="20">
        <f>(30.04+37.46+33.2)/3</f>
        <v>33.56666666666667</v>
      </c>
      <c r="J93" s="20">
        <f>(15.89+22.15+17.89)/3</f>
        <v>18.643333333333334</v>
      </c>
      <c r="K93" s="20">
        <v>82.13</v>
      </c>
      <c r="L93" s="20">
        <v>12.347777777777777</v>
      </c>
      <c r="M93" s="20">
        <f>(15+13+14)/3</f>
        <v>14</v>
      </c>
      <c r="N93" s="21">
        <v>39.72</v>
      </c>
      <c r="O93" s="21">
        <v>6.24</v>
      </c>
    </row>
    <row r="94" spans="1:15" ht="15.75">
      <c r="A94" s="18" t="s">
        <v>127</v>
      </c>
      <c r="B94" s="22">
        <v>1847</v>
      </c>
      <c r="C94" s="18" t="s">
        <v>22</v>
      </c>
      <c r="D94" s="20">
        <v>2.2999999999999998</v>
      </c>
      <c r="E94" s="20">
        <f>(9+9+8+7+8)/5</f>
        <v>8.1999999999999993</v>
      </c>
      <c r="F94" s="20">
        <v>68.47</v>
      </c>
      <c r="G94" s="21">
        <v>8.490000000000002</v>
      </c>
      <c r="H94" s="21">
        <f>(12+10+8+5+6)/5</f>
        <v>8.1999999999999993</v>
      </c>
      <c r="I94" s="20">
        <f>(26.25+25.62+24.27)/3</f>
        <v>25.38</v>
      </c>
      <c r="J94" s="20">
        <f>(18.21+19.04+19.48)/3</f>
        <v>18.91</v>
      </c>
      <c r="K94" s="20">
        <v>73.996666666666655</v>
      </c>
      <c r="L94" s="20">
        <v>6.1355555555555563</v>
      </c>
      <c r="M94" s="20">
        <f>(17+15+13)/3</f>
        <v>15</v>
      </c>
      <c r="N94" s="21">
        <v>29.04</v>
      </c>
      <c r="O94" s="21">
        <v>10.920000000000002</v>
      </c>
    </row>
    <row r="95" spans="1:15" ht="15.75">
      <c r="A95" s="18" t="s">
        <v>127</v>
      </c>
      <c r="B95" s="22">
        <v>1847</v>
      </c>
      <c r="C95" s="18" t="s">
        <v>22</v>
      </c>
      <c r="D95" s="20">
        <v>2.65</v>
      </c>
      <c r="E95" s="20">
        <f>(7+6+7+9+7)/5</f>
        <v>7.2</v>
      </c>
      <c r="F95" s="20">
        <v>69.169999999999987</v>
      </c>
      <c r="G95" s="21">
        <v>8.8699999999999992</v>
      </c>
      <c r="H95" s="21">
        <f>(7+8+18+21+13)/5</f>
        <v>13.4</v>
      </c>
      <c r="I95" s="20">
        <f>(23.58+25.99+25.41)/3</f>
        <v>24.993333333333329</v>
      </c>
      <c r="J95" s="20">
        <f>(19.75+21.85+20.57)/3</f>
        <v>20.723333333333333</v>
      </c>
      <c r="K95" s="20">
        <v>69.36</v>
      </c>
      <c r="L95" s="20">
        <v>5.5644444444444439</v>
      </c>
      <c r="M95" s="20">
        <f>(22+20+17)/3</f>
        <v>19.666666666666668</v>
      </c>
      <c r="N95" s="21">
        <v>34.799999999999997</v>
      </c>
      <c r="O95" s="21">
        <v>7.14</v>
      </c>
    </row>
    <row r="96" spans="1:15" ht="15.75">
      <c r="A96" s="18" t="s">
        <v>127</v>
      </c>
      <c r="B96" s="22">
        <v>1847</v>
      </c>
      <c r="C96" s="18" t="s">
        <v>22</v>
      </c>
      <c r="D96" s="20">
        <v>1.95</v>
      </c>
      <c r="E96" s="20">
        <f>(8+7+8+7+7)/5</f>
        <v>7.4</v>
      </c>
      <c r="F96" s="20">
        <v>62.259999999999991</v>
      </c>
      <c r="G96" s="21">
        <v>7.85</v>
      </c>
      <c r="H96" s="21">
        <f>(4+5+4+3+6)/5</f>
        <v>4.4000000000000004</v>
      </c>
      <c r="I96" s="20">
        <f>(23.87+20.58+24.97)/3</f>
        <v>23.14</v>
      </c>
      <c r="J96" s="20">
        <f>(21.93+16.1+18.37)/3</f>
        <v>18.8</v>
      </c>
      <c r="K96" s="20">
        <v>59.063333333333333</v>
      </c>
      <c r="L96" s="20">
        <v>4.7077777777777783</v>
      </c>
      <c r="M96" s="20">
        <f>(13+11+15)/3</f>
        <v>13</v>
      </c>
      <c r="N96" s="21">
        <v>30.240000000000002</v>
      </c>
      <c r="O96" s="21">
        <v>8.48</v>
      </c>
    </row>
    <row r="97" spans="1:15" ht="15.75">
      <c r="A97" s="18" t="s">
        <v>126</v>
      </c>
      <c r="B97" s="19">
        <v>1848</v>
      </c>
      <c r="C97" s="18" t="s">
        <v>22</v>
      </c>
      <c r="D97" s="20">
        <v>0.95</v>
      </c>
      <c r="E97" s="20">
        <f>(9+12+9+9+10)/5</f>
        <v>9.8000000000000007</v>
      </c>
      <c r="F97" s="20">
        <v>64.680000000000007</v>
      </c>
      <c r="G97" s="21">
        <v>8.84</v>
      </c>
      <c r="H97" s="20">
        <f>(12+11+10+6+17)/5</f>
        <v>11.2</v>
      </c>
      <c r="I97" s="20">
        <f>(21.53+19.87+17.02)/3</f>
        <v>19.473333333333333</v>
      </c>
      <c r="J97" s="20">
        <f>(16.93+15.44+16.99)/3</f>
        <v>16.453333333333333</v>
      </c>
      <c r="K97" s="20">
        <v>34.303333333333335</v>
      </c>
      <c r="L97" s="20">
        <v>2.7866666666666666</v>
      </c>
      <c r="M97" s="20">
        <f>(10+19+19)/3</f>
        <v>16</v>
      </c>
      <c r="N97" s="21">
        <v>24.6</v>
      </c>
      <c r="O97" s="21">
        <v>8.9199999999999982</v>
      </c>
    </row>
    <row r="98" spans="1:15" ht="15.75">
      <c r="A98" s="18" t="s">
        <v>126</v>
      </c>
      <c r="B98" s="19">
        <v>1848</v>
      </c>
      <c r="C98" s="18" t="s">
        <v>22</v>
      </c>
      <c r="D98" s="20">
        <v>2.1</v>
      </c>
      <c r="E98" s="20">
        <f>(11+10+9+12+11)/5</f>
        <v>10.6</v>
      </c>
      <c r="F98" s="20">
        <v>72.150000000000006</v>
      </c>
      <c r="G98" s="21">
        <v>9.23</v>
      </c>
      <c r="H98" s="20">
        <f>(12+11+8+14+9)/5</f>
        <v>10.8</v>
      </c>
      <c r="I98" s="20">
        <f>(24.54+24.18+24.63)/3</f>
        <v>24.45</v>
      </c>
      <c r="J98" s="20">
        <f>(16.65+19.39+16.15)/3</f>
        <v>17.396666666666665</v>
      </c>
      <c r="K98" s="20">
        <v>54.163333333333341</v>
      </c>
      <c r="L98" s="20">
        <v>12.9</v>
      </c>
      <c r="M98" s="20">
        <f>(12+18+15)/3</f>
        <v>15</v>
      </c>
      <c r="N98" s="21">
        <v>21.6</v>
      </c>
      <c r="O98" s="21">
        <v>10.36</v>
      </c>
    </row>
    <row r="99" spans="1:15" ht="15.75">
      <c r="A99" s="18" t="s">
        <v>126</v>
      </c>
      <c r="B99" s="19">
        <v>1848</v>
      </c>
      <c r="C99" s="18" t="s">
        <v>22</v>
      </c>
      <c r="D99" s="20">
        <v>2.2000000000000002</v>
      </c>
      <c r="E99" s="20">
        <f>(9+11+10+11+11)/5</f>
        <v>10.4</v>
      </c>
      <c r="F99" s="20">
        <v>66.06</v>
      </c>
      <c r="G99" s="21">
        <v>8.91</v>
      </c>
      <c r="H99" s="20">
        <f>(15+19+14+21+16)/5</f>
        <v>17</v>
      </c>
      <c r="I99" s="20">
        <f>(23.61+26.02+25.85)/3</f>
        <v>25.159999999999997</v>
      </c>
      <c r="J99" s="20">
        <f>(19.56+19.08+16.49)/3</f>
        <v>18.376666666666665</v>
      </c>
      <c r="K99" s="20">
        <v>58.58</v>
      </c>
      <c r="L99" s="20">
        <v>12.867777777777778</v>
      </c>
      <c r="M99" s="20">
        <f>(15+19+10)/3</f>
        <v>14.666666666666666</v>
      </c>
      <c r="N99" s="21">
        <v>19.560000000000002</v>
      </c>
      <c r="O99" s="21">
        <v>13.280000000000001</v>
      </c>
    </row>
    <row r="100" spans="1:15" ht="15.75">
      <c r="A100" s="18" t="s">
        <v>126</v>
      </c>
      <c r="B100" s="19">
        <v>1857</v>
      </c>
      <c r="C100" s="18" t="s">
        <v>22</v>
      </c>
      <c r="D100" s="20">
        <v>2.42</v>
      </c>
      <c r="E100" s="20">
        <f>(11+11+12+12+12)/5</f>
        <v>11.6</v>
      </c>
      <c r="F100" s="20">
        <v>77.42</v>
      </c>
      <c r="G100" s="21">
        <v>7.9399999999999995</v>
      </c>
      <c r="H100" s="20">
        <f>(12+19+10+13+26)/5</f>
        <v>16</v>
      </c>
      <c r="I100" s="20">
        <f>(22.4+23.32+21.5)/3</f>
        <v>22.406666666666666</v>
      </c>
      <c r="J100" s="20">
        <f>(16.84+18.12+15.71)/3</f>
        <v>16.89</v>
      </c>
      <c r="K100" s="20">
        <v>55.153333333333336</v>
      </c>
      <c r="L100" s="20">
        <v>7.2299999999999995</v>
      </c>
      <c r="M100" s="21">
        <f>(13+16+15)/3</f>
        <v>14.666666666666666</v>
      </c>
      <c r="N100" s="21">
        <v>28.799999999999997</v>
      </c>
      <c r="O100" s="21">
        <v>11.600000000000001</v>
      </c>
    </row>
    <row r="101" spans="1:15" ht="15.75">
      <c r="A101" s="18" t="s">
        <v>126</v>
      </c>
      <c r="B101" s="19">
        <v>1857</v>
      </c>
      <c r="C101" s="18" t="s">
        <v>22</v>
      </c>
      <c r="D101" s="20">
        <v>2.2999999999999998</v>
      </c>
      <c r="E101" s="20">
        <f>(13+11+12+12+12)/5</f>
        <v>12</v>
      </c>
      <c r="F101" s="20">
        <v>70.75</v>
      </c>
      <c r="G101" s="21">
        <v>7.22</v>
      </c>
      <c r="H101" s="20">
        <f>(9+19+16+10+9)/5</f>
        <v>12.6</v>
      </c>
      <c r="I101" s="20">
        <f>(25.03+25.19+20.09)/3</f>
        <v>23.436666666666667</v>
      </c>
      <c r="J101" s="20">
        <f>(18.89+19.3+20.09)/3</f>
        <v>19.426666666666666</v>
      </c>
      <c r="K101" s="20">
        <v>53.72</v>
      </c>
      <c r="L101" s="20">
        <v>8.7311111111111099</v>
      </c>
      <c r="M101" s="21">
        <f>(16+20+13)/3</f>
        <v>16.333333333333332</v>
      </c>
      <c r="N101" s="21">
        <v>32.160000000000004</v>
      </c>
      <c r="O101" s="21">
        <v>5.4</v>
      </c>
    </row>
    <row r="102" spans="1:15" ht="15.75">
      <c r="A102" s="18" t="s">
        <v>126</v>
      </c>
      <c r="B102" s="19">
        <v>1857</v>
      </c>
      <c r="C102" s="18" t="s">
        <v>22</v>
      </c>
      <c r="D102" s="20">
        <v>2</v>
      </c>
      <c r="E102" s="20">
        <f>(12+13+11+11+9)/5</f>
        <v>11.2</v>
      </c>
      <c r="F102" s="20">
        <v>73.37</v>
      </c>
      <c r="G102" s="21">
        <v>8.23</v>
      </c>
      <c r="H102" s="20">
        <f>(9+8+12+16+11)/5</f>
        <v>11.2</v>
      </c>
      <c r="I102" s="20">
        <f>(21.61+25.95+24.8)/3</f>
        <v>24.12</v>
      </c>
      <c r="J102" s="20">
        <f>(21.11+20.26+17.76)/3</f>
        <v>19.710000000000004</v>
      </c>
      <c r="K102" s="20">
        <v>62.086666666666659</v>
      </c>
      <c r="L102" s="20">
        <v>8.2844444444444445</v>
      </c>
      <c r="M102" s="21">
        <f>(13+17+14)/3</f>
        <v>14.666666666666666</v>
      </c>
      <c r="N102" s="21">
        <v>29.28</v>
      </c>
      <c r="O102" s="21">
        <v>32.160000000000004</v>
      </c>
    </row>
    <row r="103" spans="1:15" ht="15.75">
      <c r="A103" s="18" t="s">
        <v>126</v>
      </c>
      <c r="B103" s="19">
        <v>1864</v>
      </c>
      <c r="C103" s="18" t="s">
        <v>22</v>
      </c>
      <c r="D103" s="20">
        <v>2.2999999999999998</v>
      </c>
      <c r="E103" s="20">
        <f>(11+14+12+13+8)/5</f>
        <v>11.6</v>
      </c>
      <c r="F103" s="20">
        <v>71.349999999999994</v>
      </c>
      <c r="G103" s="21">
        <v>7.9099999999999993</v>
      </c>
      <c r="H103" s="20">
        <f>(12+22+19+11+13)/5</f>
        <v>15.4</v>
      </c>
      <c r="I103" s="20">
        <f>(28.35+27.9+26.21)/3</f>
        <v>27.486666666666668</v>
      </c>
      <c r="J103" s="20">
        <f>(20.65+20.79+17.53)/3</f>
        <v>19.656666666666666</v>
      </c>
      <c r="K103" s="20">
        <v>59.426666666666669</v>
      </c>
      <c r="L103" s="20">
        <v>10.666666666666668</v>
      </c>
      <c r="M103" s="20">
        <f>(19+13+8)/3</f>
        <v>13.333333333333334</v>
      </c>
      <c r="N103" s="21">
        <v>22.200000000000003</v>
      </c>
      <c r="O103" s="21">
        <v>13.200000000000001</v>
      </c>
    </row>
    <row r="104" spans="1:15" ht="15.75">
      <c r="A104" s="18" t="s">
        <v>126</v>
      </c>
      <c r="B104" s="19">
        <v>1864</v>
      </c>
      <c r="C104" s="18" t="s">
        <v>22</v>
      </c>
      <c r="D104" s="20">
        <v>2.2000000000000002</v>
      </c>
      <c r="E104" s="20">
        <f>(11+6+14+14+10)/5</f>
        <v>11</v>
      </c>
      <c r="F104" s="20">
        <v>58.71</v>
      </c>
      <c r="G104" s="21">
        <v>10.079999999999998</v>
      </c>
      <c r="H104" s="20">
        <f>(26+19+21+15+10)/5</f>
        <v>18.2</v>
      </c>
      <c r="I104" s="20">
        <f>(30.16+26.98+30)/3</f>
        <v>29.046666666666667</v>
      </c>
      <c r="J104" s="20">
        <f>(15.27+17.7+14.6)/3</f>
        <v>15.856666666666667</v>
      </c>
      <c r="K104" s="20">
        <v>50.66</v>
      </c>
      <c r="L104" s="20">
        <v>9.0066666666666659</v>
      </c>
      <c r="M104" s="20">
        <f>(14+17+11)/3</f>
        <v>14</v>
      </c>
      <c r="N104" s="21">
        <v>27.360000000000003</v>
      </c>
      <c r="O104" s="21">
        <v>14.48</v>
      </c>
    </row>
    <row r="105" spans="1:15" ht="15.75">
      <c r="A105" s="18" t="s">
        <v>126</v>
      </c>
      <c r="B105" s="19">
        <v>1864</v>
      </c>
      <c r="C105" s="18" t="s">
        <v>22</v>
      </c>
      <c r="D105" s="20">
        <v>0.67</v>
      </c>
      <c r="E105" s="20">
        <f>(11+11+10+10+9)/5</f>
        <v>10.199999999999999</v>
      </c>
      <c r="F105" s="20">
        <v>44.7</v>
      </c>
      <c r="G105" s="21">
        <v>6.5</v>
      </c>
      <c r="H105" s="20">
        <f>(14+10+24+15+8)/5</f>
        <v>14.2</v>
      </c>
      <c r="I105" s="20">
        <f>(20.26+20.73+21.11)/3</f>
        <v>20.7</v>
      </c>
      <c r="J105" s="20">
        <f>(14.37+14.36+8.82)/3</f>
        <v>12.516666666666666</v>
      </c>
      <c r="K105" s="20">
        <v>24.993333333333329</v>
      </c>
      <c r="L105" s="20">
        <v>5.0355555555555558</v>
      </c>
      <c r="M105" s="20">
        <f>(17+16+14)/3</f>
        <v>15.666666666666666</v>
      </c>
      <c r="N105" s="21">
        <v>25.319999999999997</v>
      </c>
      <c r="O105" s="21">
        <v>11.360000000000001</v>
      </c>
    </row>
    <row r="106" spans="1:15" ht="15.75">
      <c r="A106" s="18" t="s">
        <v>126</v>
      </c>
      <c r="B106" s="22">
        <v>1875</v>
      </c>
      <c r="C106" s="18" t="s">
        <v>22</v>
      </c>
      <c r="D106" s="21">
        <v>2.1</v>
      </c>
      <c r="E106" s="21">
        <f>(8+11+10+11+12)/5</f>
        <v>10.4</v>
      </c>
      <c r="F106" s="21">
        <v>58.570000000000007</v>
      </c>
      <c r="G106" s="21">
        <v>9.2199999999999989</v>
      </c>
      <c r="H106" s="21">
        <f>(12+7+14+10+14)/5</f>
        <v>11.4</v>
      </c>
      <c r="I106" s="21">
        <f>(22.7+27.06+22.53)/3</f>
        <v>24.096666666666664</v>
      </c>
      <c r="J106" s="21">
        <f>(16.43+14.36+14.67)/3</f>
        <v>15.153333333333334</v>
      </c>
      <c r="K106" s="20">
        <v>46.156666666666666</v>
      </c>
      <c r="L106" s="20">
        <v>5.6277777777777773</v>
      </c>
      <c r="M106" s="21">
        <f>(17+18+25)/3</f>
        <v>20</v>
      </c>
      <c r="N106" s="21">
        <v>24.96</v>
      </c>
      <c r="O106" s="21">
        <v>11.2</v>
      </c>
    </row>
    <row r="107" spans="1:15" ht="15.75">
      <c r="A107" s="18" t="s">
        <v>126</v>
      </c>
      <c r="B107" s="22">
        <v>1875</v>
      </c>
      <c r="C107" s="18" t="s">
        <v>22</v>
      </c>
      <c r="D107" s="20">
        <v>2.9</v>
      </c>
      <c r="E107" s="20">
        <f>(10+11+11+7+13)/5</f>
        <v>10.4</v>
      </c>
      <c r="F107" s="20">
        <v>64.23</v>
      </c>
      <c r="G107" s="21">
        <v>8.8500000000000014</v>
      </c>
      <c r="H107" s="20">
        <f>(17+9+7+15+21)/5</f>
        <v>13.8</v>
      </c>
      <c r="I107" s="20">
        <f>(26.61+26.36+25)/3</f>
        <v>25.99</v>
      </c>
      <c r="J107" s="20">
        <f>(22.27+17.28+18.53)/3</f>
        <v>19.36</v>
      </c>
      <c r="K107" s="20">
        <v>50.08</v>
      </c>
      <c r="L107" s="20">
        <v>7.8388888888888886</v>
      </c>
      <c r="M107" s="21">
        <f>(16+20+12)/3</f>
        <v>16</v>
      </c>
      <c r="N107" s="21">
        <v>27.24</v>
      </c>
      <c r="O107" s="21">
        <v>11.8</v>
      </c>
    </row>
    <row r="108" spans="1:15" ht="15.75">
      <c r="A108" s="18" t="s">
        <v>126</v>
      </c>
      <c r="B108" s="22">
        <v>1875</v>
      </c>
      <c r="C108" s="18" t="s">
        <v>22</v>
      </c>
      <c r="D108" s="20">
        <v>2.7</v>
      </c>
      <c r="E108" s="20">
        <f>(10+10+12+12+11)/5</f>
        <v>11</v>
      </c>
      <c r="F108" s="20">
        <v>60.79</v>
      </c>
      <c r="G108" s="21">
        <v>9.76</v>
      </c>
      <c r="H108" s="20">
        <f>(19+16+12+9+7)/5</f>
        <v>12.6</v>
      </c>
      <c r="I108" s="20">
        <f>(25.56+26.26+28.44)/3</f>
        <v>26.753333333333334</v>
      </c>
      <c r="J108" s="20">
        <f>(14.07+13.01+16.93)/3</f>
        <v>14.67</v>
      </c>
      <c r="K108" s="20">
        <v>45.339999999999996</v>
      </c>
      <c r="L108" s="20">
        <v>3.8888888888888893</v>
      </c>
      <c r="M108" s="21">
        <f>(20+22+15)/3</f>
        <v>19</v>
      </c>
      <c r="N108" s="21">
        <v>24.000000000000004</v>
      </c>
      <c r="O108" s="21">
        <v>9.5599999999999987</v>
      </c>
    </row>
    <row r="109" spans="1:15" ht="15.75">
      <c r="A109" s="18" t="s">
        <v>126</v>
      </c>
      <c r="B109" s="19">
        <v>1886</v>
      </c>
      <c r="C109" s="18" t="s">
        <v>22</v>
      </c>
      <c r="D109" s="20">
        <v>1.9</v>
      </c>
      <c r="E109" s="20">
        <f>(15+13+11+9+12)/5</f>
        <v>12</v>
      </c>
      <c r="F109" s="20">
        <v>59.64</v>
      </c>
      <c r="G109" s="21">
        <v>7.8999999999999995</v>
      </c>
      <c r="H109" s="20">
        <f>(11+9+7+15+12)/5</f>
        <v>10.8</v>
      </c>
      <c r="I109" s="20">
        <f>(19.05+20.72+21.77)/3</f>
        <v>20.513333333333332</v>
      </c>
      <c r="J109" s="20">
        <f>(11.99+15.95+13.97)/3</f>
        <v>13.969999999999999</v>
      </c>
      <c r="K109" s="20">
        <v>20.470000000000002</v>
      </c>
      <c r="L109" s="20">
        <v>4.4616666666666669</v>
      </c>
      <c r="M109" s="20">
        <f>(15+14+16)/3</f>
        <v>15</v>
      </c>
      <c r="N109" s="21">
        <v>22.200000000000003</v>
      </c>
      <c r="O109" s="21">
        <v>10.24</v>
      </c>
    </row>
    <row r="110" spans="1:15" ht="15.75">
      <c r="A110" s="18" t="s">
        <v>126</v>
      </c>
      <c r="B110" s="19">
        <v>1886</v>
      </c>
      <c r="C110" s="18" t="s">
        <v>22</v>
      </c>
      <c r="D110" s="20">
        <v>2</v>
      </c>
      <c r="E110" s="20">
        <f>(11+13+10+9+13)/5</f>
        <v>11.2</v>
      </c>
      <c r="F110" s="20">
        <v>57.56</v>
      </c>
      <c r="G110" s="21">
        <v>9.3500000000000014</v>
      </c>
      <c r="H110" s="20">
        <f>(15+5+11+9+12)/5</f>
        <v>10.4</v>
      </c>
      <c r="I110" s="20">
        <f>(22.83+21.32+21.64)/3</f>
        <v>21.929999999999996</v>
      </c>
      <c r="J110" s="20">
        <f>(16.22+15.84+15.62)/3</f>
        <v>15.893333333333333</v>
      </c>
      <c r="K110" s="20">
        <v>44.616666666666667</v>
      </c>
      <c r="L110" s="20">
        <v>8.4955555555555549</v>
      </c>
      <c r="M110" s="20">
        <f>(20+17+15)/3</f>
        <v>17.333333333333332</v>
      </c>
      <c r="N110" s="21">
        <v>26.880000000000003</v>
      </c>
      <c r="O110" s="21">
        <v>11.360000000000001</v>
      </c>
    </row>
    <row r="111" spans="1:15" ht="15.75">
      <c r="A111" s="18" t="s">
        <v>126</v>
      </c>
      <c r="B111" s="19">
        <v>1886</v>
      </c>
      <c r="C111" s="18" t="s">
        <v>22</v>
      </c>
      <c r="D111" s="20">
        <v>2.1</v>
      </c>
      <c r="E111" s="20">
        <f>(13+12+11+11+10)/5</f>
        <v>11.4</v>
      </c>
      <c r="F111" s="20">
        <v>61.16</v>
      </c>
      <c r="G111" s="21">
        <v>8.620000000000001</v>
      </c>
      <c r="H111" s="20">
        <f>(6+4+10+7+13)/5</f>
        <v>8</v>
      </c>
      <c r="I111" s="20">
        <f>(19.55+19.09+19.9)/3</f>
        <v>19.513333333333332</v>
      </c>
      <c r="J111" s="20">
        <f>(16.84+16.71+18.73)/3</f>
        <v>17.426666666666666</v>
      </c>
      <c r="K111" s="20">
        <v>34.586666666666666</v>
      </c>
      <c r="L111" s="20">
        <v>8.0211111111111109</v>
      </c>
      <c r="M111" s="20">
        <f>(18+16+17)/3</f>
        <v>17</v>
      </c>
      <c r="N111" s="21">
        <v>25.319999999999997</v>
      </c>
      <c r="O111" s="21">
        <v>10.4</v>
      </c>
    </row>
    <row r="112" spans="1:15" ht="15.75">
      <c r="A112" s="18" t="s">
        <v>127</v>
      </c>
      <c r="B112" s="22">
        <v>1932</v>
      </c>
      <c r="C112" s="18" t="s">
        <v>22</v>
      </c>
      <c r="D112" s="20">
        <v>1.27</v>
      </c>
      <c r="E112" s="20">
        <f>(10+10+10+10+9)/5</f>
        <v>9.8000000000000007</v>
      </c>
      <c r="F112" s="20">
        <v>58.02</v>
      </c>
      <c r="G112" s="21">
        <v>10.65</v>
      </c>
      <c r="H112" s="21">
        <f>(10+7+11+7+12)/5</f>
        <v>9.4</v>
      </c>
      <c r="I112" s="20">
        <f>(30.07+32.48+30.75)/3</f>
        <v>31.099999999999998</v>
      </c>
      <c r="J112" s="20">
        <f>(20.32+20.74+21.66)/3</f>
        <v>20.906666666666666</v>
      </c>
      <c r="K112" s="20">
        <v>88.02</v>
      </c>
      <c r="L112" s="20">
        <v>7.0077777777777781</v>
      </c>
      <c r="M112" s="20">
        <f>(25+21+18)/3</f>
        <v>21.333333333333332</v>
      </c>
      <c r="N112" s="21">
        <v>43.679999999999993</v>
      </c>
      <c r="O112" s="21">
        <v>13.32</v>
      </c>
    </row>
    <row r="113" spans="1:15" ht="15.75">
      <c r="A113" s="18" t="s">
        <v>127</v>
      </c>
      <c r="B113" s="22">
        <v>1932</v>
      </c>
      <c r="C113" s="18" t="s">
        <v>22</v>
      </c>
      <c r="D113" s="20">
        <v>2.6</v>
      </c>
      <c r="E113" s="20">
        <f>(11+8+8+11+10)/5</f>
        <v>9.6</v>
      </c>
      <c r="F113" s="20">
        <v>60.430000000000007</v>
      </c>
      <c r="G113" s="21">
        <v>10.860000000000001</v>
      </c>
      <c r="H113" s="21">
        <f>(7+2+6+5+4)/5</f>
        <v>4.8</v>
      </c>
      <c r="I113" s="20">
        <f>(30.86+30.74+32.41)/3</f>
        <v>31.336666666666662</v>
      </c>
      <c r="J113" s="20">
        <f>(22.06+19.16+19.74)/3</f>
        <v>20.319999999999997</v>
      </c>
      <c r="K113" s="20">
        <v>88.483333333333348</v>
      </c>
      <c r="L113" s="20">
        <v>6.0744444444444445</v>
      </c>
      <c r="M113" s="20">
        <f>(19+25+15)/3</f>
        <v>19.666666666666668</v>
      </c>
      <c r="N113" s="21">
        <v>49.8</v>
      </c>
      <c r="O113" s="21">
        <v>14.680000000000001</v>
      </c>
    </row>
    <row r="114" spans="1:15" ht="15.75">
      <c r="A114" s="18" t="s">
        <v>127</v>
      </c>
      <c r="B114" s="22">
        <v>1932</v>
      </c>
      <c r="C114" s="18" t="s">
        <v>22</v>
      </c>
      <c r="D114" s="20">
        <v>1.8</v>
      </c>
      <c r="E114" s="20">
        <f>(7+9+8+6+9)/5</f>
        <v>7.8</v>
      </c>
      <c r="F114" s="20">
        <v>54.91</v>
      </c>
      <c r="G114" s="21">
        <v>9.0299999999999994</v>
      </c>
      <c r="H114" s="21">
        <f>(8+2+6)/3</f>
        <v>5.333333333333333</v>
      </c>
      <c r="I114" s="20">
        <f>(24.71+26.29+19.09)/3</f>
        <v>23.363333333333333</v>
      </c>
      <c r="J114" s="20">
        <f>(20.28+20.42+15.48)/3</f>
        <v>18.72666666666667</v>
      </c>
      <c r="K114" s="20">
        <v>67.320000000000007</v>
      </c>
      <c r="L114" s="20">
        <v>6.1511111111111116</v>
      </c>
      <c r="M114" s="20">
        <f>(11+11+16)/3</f>
        <v>12.666666666666666</v>
      </c>
      <c r="N114" s="21">
        <v>45.96</v>
      </c>
      <c r="O114" s="21">
        <v>13.120000000000001</v>
      </c>
    </row>
    <row r="115" spans="1:15" ht="15.75">
      <c r="A115" s="18" t="s">
        <v>123</v>
      </c>
      <c r="B115" s="19">
        <v>2008</v>
      </c>
      <c r="C115" s="18" t="s">
        <v>22</v>
      </c>
      <c r="D115" s="20">
        <v>1.95</v>
      </c>
      <c r="E115" s="20">
        <f>(12+11+12+9+10)/5</f>
        <v>10.8</v>
      </c>
      <c r="F115" s="20">
        <v>38.299999999999997</v>
      </c>
      <c r="G115" s="21">
        <v>6.5</v>
      </c>
      <c r="H115" s="20">
        <f>(20+17+16+16+15)/5</f>
        <v>16.8</v>
      </c>
      <c r="I115" s="20">
        <f>(27.82+29.02+25.14)/3</f>
        <v>27.326666666666668</v>
      </c>
      <c r="J115" s="20">
        <f>(18.92+13.22+10.4)/3</f>
        <v>14.18</v>
      </c>
      <c r="K115" s="20">
        <v>68.490000000000009</v>
      </c>
      <c r="L115" s="20">
        <v>9.09</v>
      </c>
      <c r="M115" s="20">
        <f>(21+17+23)/3</f>
        <v>20.333333333333332</v>
      </c>
      <c r="N115" s="21">
        <v>41.04</v>
      </c>
      <c r="O115" s="21">
        <v>11.120000000000001</v>
      </c>
    </row>
    <row r="116" spans="1:15" ht="15.75">
      <c r="A116" s="18" t="s">
        <v>123</v>
      </c>
      <c r="B116" s="19">
        <v>2008</v>
      </c>
      <c r="C116" s="18" t="s">
        <v>22</v>
      </c>
      <c r="D116" s="20">
        <v>2.4900000000000002</v>
      </c>
      <c r="E116" s="20">
        <f>(11+10+9+10+9)/5</f>
        <v>9.8000000000000007</v>
      </c>
      <c r="F116" s="20">
        <v>64.8</v>
      </c>
      <c r="G116" s="21">
        <v>9.5399999999999991</v>
      </c>
      <c r="H116" s="20">
        <f>(20+16+9+12+18)/5</f>
        <v>15</v>
      </c>
      <c r="I116" s="20">
        <f>(26.17+26.41+24.38)/3</f>
        <v>25.653333333333332</v>
      </c>
      <c r="J116" s="20">
        <f>(17.56+18.89+14.66)/3</f>
        <v>17.036666666666665</v>
      </c>
      <c r="K116" s="20">
        <v>61.436666666666653</v>
      </c>
      <c r="L116" s="20">
        <v>10.396666666666665</v>
      </c>
      <c r="M116" s="20">
        <f>(14+16+13)/3</f>
        <v>14.333333333333334</v>
      </c>
      <c r="N116" s="21">
        <v>79.44</v>
      </c>
      <c r="O116" s="21">
        <v>13.040000000000001</v>
      </c>
    </row>
    <row r="117" spans="1:15" ht="15.75">
      <c r="A117" s="18" t="s">
        <v>123</v>
      </c>
      <c r="B117" s="19">
        <v>2008</v>
      </c>
      <c r="C117" s="18" t="s">
        <v>22</v>
      </c>
      <c r="D117" s="20">
        <v>2.2999999999999998</v>
      </c>
      <c r="E117" s="20">
        <f>(8+11+5+6+8)/5</f>
        <v>7.6</v>
      </c>
      <c r="F117" s="20">
        <v>70.75</v>
      </c>
      <c r="G117" s="21">
        <v>9.24</v>
      </c>
      <c r="H117" s="20">
        <f>(15+16+14+14+4)/5</f>
        <v>12.6</v>
      </c>
      <c r="I117" s="20">
        <f>(33.68+27.71+30.61)/3</f>
        <v>30.666666666666668</v>
      </c>
      <c r="J117" s="20">
        <f>(15.93+23.87+12.69)/3</f>
        <v>17.496666666666666</v>
      </c>
      <c r="K117" s="20">
        <v>75.070000000000007</v>
      </c>
      <c r="L117" s="20">
        <v>9.3466666666666676</v>
      </c>
      <c r="M117" s="20">
        <f>(21+20+24)/3</f>
        <v>21.666666666666668</v>
      </c>
      <c r="N117" s="21">
        <v>51</v>
      </c>
      <c r="O117" s="21">
        <v>10.24</v>
      </c>
    </row>
    <row r="118" spans="1:15" ht="15.75">
      <c r="A118" s="18" t="s">
        <v>123</v>
      </c>
      <c r="B118" s="19">
        <v>2019</v>
      </c>
      <c r="C118" s="18" t="s">
        <v>22</v>
      </c>
      <c r="D118" s="20">
        <v>2.5</v>
      </c>
      <c r="E118" s="20">
        <f>(12+16+8+12+14)/5</f>
        <v>12.4</v>
      </c>
      <c r="F118" s="20">
        <v>51.5</v>
      </c>
      <c r="G118" s="21">
        <v>10.3</v>
      </c>
      <c r="H118" s="20">
        <f>(16+7+17+10+13)/5</f>
        <v>12.6</v>
      </c>
      <c r="I118" s="20">
        <f>(28.4+32.22+27.39)/3</f>
        <v>29.336666666666662</v>
      </c>
      <c r="J118" s="20">
        <f>(21.23+21.48+20.91)/3</f>
        <v>21.206666666666667</v>
      </c>
      <c r="K118" s="20">
        <v>88.406666666666666</v>
      </c>
      <c r="L118" s="20">
        <v>7.2399999999999984</v>
      </c>
      <c r="M118" s="21">
        <f>(26+9+14)/3</f>
        <v>16.333333333333332</v>
      </c>
      <c r="N118" s="21">
        <v>45.24</v>
      </c>
      <c r="O118" s="21">
        <v>16.62</v>
      </c>
    </row>
    <row r="119" spans="1:15" ht="15.75">
      <c r="A119" s="18" t="s">
        <v>123</v>
      </c>
      <c r="B119" s="19">
        <v>2019</v>
      </c>
      <c r="C119" s="18" t="s">
        <v>22</v>
      </c>
      <c r="D119" s="20">
        <v>3</v>
      </c>
      <c r="E119" s="20">
        <f>(11+12+11+8+10)/5</f>
        <v>10.4</v>
      </c>
      <c r="F119" s="20">
        <v>66.33</v>
      </c>
      <c r="G119" s="21">
        <v>10.47</v>
      </c>
      <c r="H119" s="20">
        <f>(7+5+22+14+17)/5</f>
        <v>13</v>
      </c>
      <c r="I119" s="20">
        <f>(24.13+24.08+23.47)/3</f>
        <v>23.893333333333331</v>
      </c>
      <c r="J119" s="20">
        <f>(19+19.39+20.25)/3</f>
        <v>19.546666666666667</v>
      </c>
      <c r="K119" s="20">
        <v>62.073333333333338</v>
      </c>
      <c r="L119" s="20">
        <v>7.2322222222222212</v>
      </c>
      <c r="M119" s="21">
        <f>(14+15+17)/3</f>
        <v>15.333333333333334</v>
      </c>
      <c r="N119" s="21">
        <v>51.36</v>
      </c>
      <c r="O119" s="21">
        <v>11.44</v>
      </c>
    </row>
    <row r="120" spans="1:15" ht="15.75">
      <c r="A120" s="18" t="s">
        <v>123</v>
      </c>
      <c r="B120" s="19">
        <v>2019</v>
      </c>
      <c r="C120" s="18" t="s">
        <v>22</v>
      </c>
      <c r="D120" s="20">
        <v>3.5</v>
      </c>
      <c r="E120" s="20">
        <f>(12+9+11+11+9)/5</f>
        <v>10.4</v>
      </c>
      <c r="F120" s="20">
        <v>69.23</v>
      </c>
      <c r="G120" s="21">
        <v>9.5599999999999987</v>
      </c>
      <c r="H120" s="20">
        <f>(12+15+18+18+13)/5</f>
        <v>15.2</v>
      </c>
      <c r="I120" s="20">
        <f>(27.04+25.24+24.27)/3</f>
        <v>25.516666666666666</v>
      </c>
      <c r="J120" s="20">
        <f>(20.08+23.64+21.5)/3</f>
        <v>21.74</v>
      </c>
      <c r="K120" s="20">
        <v>77.556666666666672</v>
      </c>
      <c r="L120" s="20">
        <v>8.18</v>
      </c>
      <c r="M120" s="21">
        <f>(13+16+22)/3</f>
        <v>17</v>
      </c>
      <c r="N120" s="21">
        <v>36.479999999999997</v>
      </c>
      <c r="O120" s="21">
        <v>13.96</v>
      </c>
    </row>
    <row r="121" spans="1:15" ht="15.75">
      <c r="A121" s="18" t="s">
        <v>123</v>
      </c>
      <c r="B121" s="19">
        <v>2021</v>
      </c>
      <c r="C121" s="18" t="s">
        <v>22</v>
      </c>
      <c r="D121" s="20">
        <v>1.95</v>
      </c>
      <c r="E121" s="20">
        <f>(12+10+9+10+8)/5</f>
        <v>9.8000000000000007</v>
      </c>
      <c r="F121" s="20">
        <v>50.89</v>
      </c>
      <c r="G121" s="21">
        <v>8.4</v>
      </c>
      <c r="H121" s="20">
        <f>(12+5+14+12+10)/5</f>
        <v>10.6</v>
      </c>
      <c r="I121" s="20">
        <f>(29.7+28.67+29.04)/3</f>
        <v>29.136666666666667</v>
      </c>
      <c r="J121" s="20">
        <f>(21.18+17.14+19.57)/3</f>
        <v>19.296666666666667</v>
      </c>
      <c r="K121" s="20">
        <v>83.856666666666669</v>
      </c>
      <c r="L121" s="20">
        <v>7.9144444444444453</v>
      </c>
      <c r="M121" s="20">
        <f>(8+9+8)/3</f>
        <v>8.3333333333333339</v>
      </c>
      <c r="N121" s="21">
        <v>39.6</v>
      </c>
      <c r="O121" s="21">
        <v>8.4</v>
      </c>
    </row>
    <row r="122" spans="1:15" ht="15.75">
      <c r="A122" s="18" t="s">
        <v>123</v>
      </c>
      <c r="B122" s="19">
        <v>2021</v>
      </c>
      <c r="C122" s="18" t="s">
        <v>22</v>
      </c>
      <c r="D122" s="20">
        <v>2.2999999999999998</v>
      </c>
      <c r="E122" s="20">
        <f>(9+10+11+12+9)/5</f>
        <v>10.199999999999999</v>
      </c>
      <c r="F122" s="20">
        <v>49.9</v>
      </c>
      <c r="G122" s="21">
        <v>11.65</v>
      </c>
      <c r="H122" s="20">
        <f>(18+17+18+12+22)/5</f>
        <v>17.399999999999999</v>
      </c>
      <c r="I122" s="20">
        <f>(23.01+29.26+27.97)/3</f>
        <v>26.74666666666667</v>
      </c>
      <c r="J122" s="20">
        <f>(16.93+19.43+18.6)/3</f>
        <v>18.32</v>
      </c>
      <c r="K122" s="20">
        <v>71.456666666666678</v>
      </c>
      <c r="L122" s="20">
        <v>7.7555555555555555</v>
      </c>
      <c r="M122" s="20">
        <f>(14+14+15)/3</f>
        <v>14.333333333333334</v>
      </c>
      <c r="N122" s="21">
        <v>39.960000000000008</v>
      </c>
      <c r="O122" s="21">
        <v>11.760000000000003</v>
      </c>
    </row>
    <row r="123" spans="1:15" ht="15.75">
      <c r="A123" s="18" t="s">
        <v>123</v>
      </c>
      <c r="B123" s="19">
        <v>2021</v>
      </c>
      <c r="C123" s="18" t="s">
        <v>22</v>
      </c>
      <c r="D123" s="20">
        <v>1.56</v>
      </c>
      <c r="E123" s="20">
        <f>(13+5+6+13+10)/5</f>
        <v>9.4</v>
      </c>
      <c r="F123" s="20">
        <v>42.3</v>
      </c>
      <c r="G123" s="21">
        <v>9.15</v>
      </c>
      <c r="H123" s="20">
        <f>(13+7+9+11+6)/5</f>
        <v>9.1999999999999993</v>
      </c>
      <c r="I123" s="20">
        <f>(20.58+20.47+24.44)/3</f>
        <v>21.83</v>
      </c>
      <c r="J123" s="20">
        <f>(18.42+13.52+15.36)/3</f>
        <v>15.766666666666666</v>
      </c>
      <c r="K123" s="20">
        <v>39.619999999999997</v>
      </c>
      <c r="L123" s="20">
        <v>8.18</v>
      </c>
      <c r="M123" s="20">
        <f>(21+23+18)/3</f>
        <v>20.666666666666668</v>
      </c>
      <c r="N123" s="21">
        <v>25.799999999999997</v>
      </c>
      <c r="O123" s="21">
        <v>11.64</v>
      </c>
    </row>
    <row r="124" spans="1:15" ht="15.75">
      <c r="A124" s="18" t="s">
        <v>123</v>
      </c>
      <c r="B124" s="19">
        <v>2069</v>
      </c>
      <c r="C124" s="18" t="s">
        <v>22</v>
      </c>
      <c r="D124" s="20">
        <v>2.2999999999999998</v>
      </c>
      <c r="E124" s="20">
        <f>(14+11+9+11+12)/5</f>
        <v>11.4</v>
      </c>
      <c r="F124" s="20">
        <v>64.820000000000007</v>
      </c>
      <c r="G124" s="21">
        <v>9.8300000000000018</v>
      </c>
      <c r="H124" s="20">
        <f>(6+12+21+14+19)/5</f>
        <v>14.4</v>
      </c>
      <c r="I124" s="20">
        <f>(23.63+25.52+23.09)/3</f>
        <v>24.08</v>
      </c>
      <c r="J124" s="20">
        <f>(16.19+18+14.34)/3</f>
        <v>16.176666666666666</v>
      </c>
      <c r="K124" s="20">
        <v>40.360000000000007</v>
      </c>
      <c r="L124" s="20">
        <v>8.4355555555555544</v>
      </c>
      <c r="M124" s="20">
        <f>(19+15+11)/3</f>
        <v>15</v>
      </c>
      <c r="N124" s="21">
        <v>30</v>
      </c>
      <c r="O124" s="21">
        <v>11.96</v>
      </c>
    </row>
    <row r="125" spans="1:15" ht="15.75">
      <c r="A125" s="18" t="s">
        <v>123</v>
      </c>
      <c r="B125" s="19">
        <v>2069</v>
      </c>
      <c r="C125" s="18" t="s">
        <v>22</v>
      </c>
      <c r="D125" s="20">
        <v>1.97</v>
      </c>
      <c r="E125" s="20">
        <f>(8+10+12+5+10)/5</f>
        <v>9</v>
      </c>
      <c r="F125" s="20">
        <v>45.1</v>
      </c>
      <c r="G125" s="21">
        <v>9</v>
      </c>
      <c r="H125" s="20">
        <f>(11+13+4+5+9)/5</f>
        <v>8.4</v>
      </c>
      <c r="I125" s="20">
        <f>(23.98+21.77+19.08)/3</f>
        <v>21.61</v>
      </c>
      <c r="J125" s="20">
        <f>(16.16+16.92+16.02)/3</f>
        <v>16.366666666666664</v>
      </c>
      <c r="K125" s="20">
        <v>41.07</v>
      </c>
      <c r="L125" s="20">
        <v>7.8144444444444439</v>
      </c>
      <c r="M125" s="20">
        <f>(24+10+18)/3</f>
        <v>17.333333333333332</v>
      </c>
      <c r="N125" s="21">
        <v>34.799999999999997</v>
      </c>
      <c r="O125" s="21">
        <v>12.080000000000002</v>
      </c>
    </row>
    <row r="126" spans="1:15" ht="15.75">
      <c r="A126" s="18" t="s">
        <v>123</v>
      </c>
      <c r="B126" s="19">
        <v>2069</v>
      </c>
      <c r="C126" s="18" t="s">
        <v>22</v>
      </c>
      <c r="D126" s="20">
        <v>2.25</v>
      </c>
      <c r="E126" s="20">
        <f>(14+16+11+12+10)/5</f>
        <v>12.6</v>
      </c>
      <c r="F126" s="20">
        <v>53.6</v>
      </c>
      <c r="G126" s="21">
        <v>7.95</v>
      </c>
      <c r="H126" s="20">
        <f>(17+12+8+10+11)/5</f>
        <v>11.6</v>
      </c>
      <c r="I126" s="20">
        <f>(31.13+25.27+28.6)/3</f>
        <v>28.333333333333332</v>
      </c>
      <c r="J126" s="20">
        <f>(20.14+14.71+17.22)/3</f>
        <v>17.356666666666666</v>
      </c>
      <c r="K126" s="20">
        <v>67.906666666666666</v>
      </c>
      <c r="L126" s="20">
        <v>8.3377777777777791</v>
      </c>
      <c r="M126" s="20">
        <f>(33+30+26)/3</f>
        <v>29.666666666666668</v>
      </c>
      <c r="N126" s="21">
        <v>39</v>
      </c>
      <c r="O126" s="21">
        <v>9.7199999999999989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 hp</dc:creator>
  <cp:lastModifiedBy>A</cp:lastModifiedBy>
  <dcterms:created xsi:type="dcterms:W3CDTF">2022-11-17T17:49:06Z</dcterms:created>
  <dcterms:modified xsi:type="dcterms:W3CDTF">2022-11-19T16:39:55Z</dcterms:modified>
</cp:coreProperties>
</file>