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chael/Publications/COVID Mouse work/#1 Mouse Model/SARS B6 Model Paper/"/>
    </mc:Choice>
  </mc:AlternateContent>
  <xr:revisionPtr revIDLastSave="0" documentId="13_ncr:1_{8DB59ACE-19C0-E645-AC65-C2E53E336BCD}" xr6:coauthVersionLast="45" xr6:coauthVersionMax="45" xr10:uidLastSave="{00000000-0000-0000-0000-000000000000}"/>
  <bookViews>
    <workbookView xWindow="10360" yWindow="460" windowWidth="28800" windowHeight="12300" activeTab="3" xr2:uid="{00000000-000D-0000-FFFF-FFFF00000000}"/>
  </bookViews>
  <sheets>
    <sheet name="ISH for 10 wk MA10" sheetId="6" r:id="rId1"/>
    <sheet name="ISH for 10wk R2G" sheetId="1" r:id="rId2"/>
    <sheet name="ISH for 20wk R2G" sheetId="5" r:id="rId3"/>
    <sheet name="ISH for 2yr R2G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8" i="6" l="1"/>
  <c r="E8" i="6"/>
  <c r="F8" i="6"/>
  <c r="H8" i="6"/>
  <c r="D9" i="6"/>
  <c r="E9" i="6"/>
  <c r="F9" i="6"/>
  <c r="H9" i="6"/>
  <c r="D10" i="6"/>
  <c r="E10" i="6"/>
  <c r="F10" i="6"/>
  <c r="H10" i="6"/>
  <c r="D11" i="6"/>
  <c r="E11" i="6"/>
  <c r="F11" i="6"/>
  <c r="H11" i="6"/>
  <c r="D12" i="6"/>
  <c r="H12" i="6" s="1"/>
  <c r="E12" i="6"/>
  <c r="F12" i="6"/>
  <c r="D13" i="6"/>
  <c r="E13" i="6"/>
  <c r="F13" i="6"/>
  <c r="H13" i="6"/>
  <c r="D14" i="6"/>
  <c r="H14" i="6" s="1"/>
  <c r="E14" i="6"/>
  <c r="F14" i="6"/>
  <c r="D15" i="6"/>
  <c r="E15" i="6"/>
  <c r="F15" i="6"/>
  <c r="H15" i="6"/>
  <c r="D16" i="6"/>
  <c r="H16" i="6" s="1"/>
  <c r="E16" i="6"/>
  <c r="F16" i="6"/>
  <c r="D17" i="6"/>
  <c r="E17" i="6"/>
  <c r="F17" i="6"/>
  <c r="H17" i="6"/>
  <c r="D26" i="6"/>
  <c r="H26" i="6" s="1"/>
  <c r="E26" i="6"/>
  <c r="F26" i="6"/>
  <c r="D27" i="6"/>
  <c r="E27" i="6"/>
  <c r="F27" i="6"/>
  <c r="H27" i="6"/>
  <c r="D28" i="6"/>
  <c r="H28" i="6" s="1"/>
  <c r="E28" i="6"/>
  <c r="F28" i="6"/>
  <c r="D29" i="6"/>
  <c r="E29" i="6"/>
  <c r="F29" i="6"/>
  <c r="H29" i="6"/>
  <c r="D30" i="6"/>
  <c r="H30" i="6" s="1"/>
  <c r="E30" i="6"/>
  <c r="F30" i="6"/>
  <c r="D31" i="6"/>
  <c r="E31" i="6"/>
  <c r="F31" i="6"/>
  <c r="H31" i="6"/>
  <c r="D32" i="6"/>
  <c r="H32" i="6" s="1"/>
  <c r="E32" i="6"/>
  <c r="F32" i="6"/>
  <c r="D33" i="6"/>
  <c r="E33" i="6"/>
  <c r="F33" i="6"/>
  <c r="H33" i="6"/>
  <c r="D34" i="6"/>
  <c r="H34" i="6" s="1"/>
  <c r="E34" i="6"/>
  <c r="F34" i="6"/>
  <c r="D35" i="6"/>
  <c r="E35" i="6"/>
  <c r="F35" i="6"/>
  <c r="H35" i="6"/>
  <c r="D36" i="6"/>
  <c r="H36" i="6" s="1"/>
  <c r="E36" i="6"/>
  <c r="F36" i="6"/>
  <c r="D37" i="6"/>
  <c r="E37" i="6"/>
  <c r="F37" i="6"/>
  <c r="H37" i="6"/>
  <c r="D38" i="6"/>
  <c r="H38" i="6" s="1"/>
  <c r="E38" i="6"/>
  <c r="F38" i="6"/>
  <c r="D39" i="6"/>
  <c r="E39" i="6"/>
  <c r="F39" i="6"/>
  <c r="H39" i="6"/>
  <c r="D40" i="6"/>
  <c r="H40" i="6" s="1"/>
  <c r="E40" i="6"/>
  <c r="F40" i="6"/>
  <c r="D41" i="6"/>
  <c r="E41" i="6"/>
  <c r="F41" i="6"/>
  <c r="H41" i="6"/>
  <c r="D42" i="6"/>
  <c r="H42" i="6" s="1"/>
  <c r="E42" i="6"/>
  <c r="F42" i="6"/>
  <c r="D43" i="6"/>
  <c r="E43" i="6"/>
  <c r="F43" i="6"/>
  <c r="H43" i="6"/>
  <c r="D44" i="6"/>
  <c r="H44" i="6" s="1"/>
  <c r="E44" i="6"/>
  <c r="F44" i="6"/>
  <c r="D45" i="6"/>
  <c r="E45" i="6"/>
  <c r="F45" i="6"/>
  <c r="H45" i="6"/>
  <c r="D46" i="6"/>
  <c r="H46" i="6" s="1"/>
  <c r="E46" i="6"/>
  <c r="F46" i="6"/>
  <c r="D47" i="6"/>
  <c r="E47" i="6"/>
  <c r="F47" i="6"/>
  <c r="H47" i="6"/>
  <c r="D48" i="6"/>
  <c r="E48" i="6"/>
  <c r="F48" i="6"/>
  <c r="D49" i="6"/>
  <c r="E49" i="6"/>
  <c r="F49" i="6"/>
  <c r="H49" i="6"/>
  <c r="F27" i="5" l="1"/>
  <c r="E27" i="5"/>
  <c r="D27" i="5"/>
  <c r="H27" i="5"/>
  <c r="F26" i="5"/>
  <c r="E26" i="5"/>
  <c r="D26" i="5"/>
  <c r="H26" i="5"/>
  <c r="F25" i="5"/>
  <c r="E25" i="5"/>
  <c r="D25" i="5"/>
  <c r="H25" i="5"/>
  <c r="F24" i="5"/>
  <c r="E24" i="5"/>
  <c r="D24" i="5"/>
  <c r="H24" i="5"/>
  <c r="F23" i="5"/>
  <c r="E23" i="5"/>
  <c r="D23" i="5"/>
  <c r="H23" i="5"/>
  <c r="F22" i="5"/>
  <c r="E22" i="5"/>
  <c r="D22" i="5"/>
  <c r="H22" i="5"/>
  <c r="F21" i="5"/>
  <c r="E21" i="5"/>
  <c r="D21" i="5"/>
  <c r="F20" i="5"/>
  <c r="E20" i="5"/>
  <c r="D20" i="5"/>
  <c r="H20" i="5" s="1"/>
  <c r="F19" i="5"/>
  <c r="E19" i="5"/>
  <c r="D19" i="5"/>
  <c r="H19" i="5" s="1"/>
  <c r="F18" i="5"/>
  <c r="E18" i="5"/>
  <c r="D18" i="5"/>
  <c r="H18" i="5" s="1"/>
  <c r="F17" i="5"/>
  <c r="E17" i="5"/>
  <c r="D17" i="5"/>
  <c r="H17" i="5" s="1"/>
  <c r="F16" i="5"/>
  <c r="E16" i="5"/>
  <c r="D16" i="5"/>
  <c r="H16" i="5" s="1"/>
  <c r="F15" i="5"/>
  <c r="E15" i="5"/>
  <c r="D15" i="5"/>
  <c r="H15" i="5" s="1"/>
  <c r="F14" i="5"/>
  <c r="E14" i="5"/>
  <c r="D14" i="5"/>
  <c r="H14" i="5" s="1"/>
  <c r="F13" i="5"/>
  <c r="E13" i="5"/>
  <c r="D13" i="5"/>
  <c r="H13" i="5" s="1"/>
  <c r="F12" i="5"/>
  <c r="E12" i="5"/>
  <c r="D12" i="5"/>
  <c r="H12" i="5" s="1"/>
  <c r="F11" i="5"/>
  <c r="E11" i="5"/>
  <c r="D11" i="5"/>
  <c r="H11" i="5" s="1"/>
  <c r="F10" i="5"/>
  <c r="E10" i="5"/>
  <c r="D10" i="5"/>
  <c r="H10" i="5" s="1"/>
  <c r="F9" i="5"/>
  <c r="E9" i="5"/>
  <c r="D9" i="5"/>
  <c r="H9" i="5" s="1"/>
  <c r="F8" i="5"/>
  <c r="E8" i="5"/>
  <c r="D8" i="5"/>
  <c r="H8" i="5" s="1"/>
  <c r="F7" i="5"/>
  <c r="E7" i="5"/>
  <c r="D7" i="5"/>
  <c r="H7" i="5" s="1"/>
  <c r="F6" i="5"/>
  <c r="E6" i="5"/>
  <c r="D6" i="5"/>
  <c r="H6" i="5" s="1"/>
  <c r="H21" i="5"/>
  <c r="F30" i="4" l="1"/>
  <c r="E30" i="4"/>
  <c r="D30" i="4"/>
  <c r="F31" i="4"/>
  <c r="E31" i="4"/>
  <c r="D31" i="4"/>
  <c r="H31" i="4"/>
  <c r="H30" i="4"/>
  <c r="F28" i="4"/>
  <c r="E28" i="4"/>
  <c r="D28" i="4"/>
  <c r="H28" i="4" s="1"/>
  <c r="D6" i="4"/>
  <c r="H6" i="4" s="1"/>
  <c r="F27" i="4"/>
  <c r="E27" i="4"/>
  <c r="D27" i="4"/>
  <c r="H27" i="4" s="1"/>
  <c r="F26" i="4"/>
  <c r="E26" i="4"/>
  <c r="D26" i="4"/>
  <c r="D8" i="4"/>
  <c r="H8" i="4" s="1"/>
  <c r="F25" i="4"/>
  <c r="E25" i="4"/>
  <c r="D25" i="4"/>
  <c r="H25" i="4" s="1"/>
  <c r="F24" i="4"/>
  <c r="E24" i="4"/>
  <c r="D24" i="4"/>
  <c r="F23" i="4"/>
  <c r="E23" i="4"/>
  <c r="D23" i="4"/>
  <c r="H23" i="4" s="1"/>
  <c r="F22" i="4"/>
  <c r="E22" i="4"/>
  <c r="D22" i="4"/>
  <c r="H22" i="4" s="1"/>
  <c r="F21" i="4"/>
  <c r="E21" i="4"/>
  <c r="D21" i="4"/>
  <c r="H21" i="4" s="1"/>
  <c r="F20" i="4"/>
  <c r="E20" i="4"/>
  <c r="D20" i="4"/>
  <c r="H20" i="4" s="1"/>
  <c r="F19" i="4"/>
  <c r="E19" i="4"/>
  <c r="D19" i="4"/>
  <c r="H19" i="4" s="1"/>
  <c r="F18" i="4"/>
  <c r="E18" i="4"/>
  <c r="D18" i="4"/>
  <c r="H18" i="4" s="1"/>
  <c r="F17" i="4"/>
  <c r="E17" i="4"/>
  <c r="D17" i="4"/>
  <c r="H17" i="4" s="1"/>
  <c r="D16" i="4"/>
  <c r="H16" i="4" s="1"/>
  <c r="F16" i="4"/>
  <c r="E16" i="4"/>
  <c r="F15" i="4"/>
  <c r="E15" i="4"/>
  <c r="D15" i="4"/>
  <c r="H15" i="4" s="1"/>
  <c r="F14" i="4"/>
  <c r="E14" i="4"/>
  <c r="D14" i="4"/>
  <c r="H14" i="4" s="1"/>
  <c r="F13" i="4"/>
  <c r="E13" i="4"/>
  <c r="D13" i="4"/>
  <c r="H13" i="4" s="1"/>
  <c r="F12" i="4"/>
  <c r="E12" i="4"/>
  <c r="D12" i="4"/>
  <c r="H12" i="4" s="1"/>
  <c r="F11" i="4"/>
  <c r="E11" i="4"/>
  <c r="D11" i="4"/>
  <c r="H11" i="4" s="1"/>
  <c r="F10" i="4"/>
  <c r="E10" i="4"/>
  <c r="D10" i="4"/>
  <c r="H10" i="4" s="1"/>
  <c r="F9" i="4"/>
  <c r="E9" i="4"/>
  <c r="D9" i="4"/>
  <c r="H9" i="4" s="1"/>
  <c r="F8" i="4"/>
  <c r="E8" i="4"/>
  <c r="F7" i="4"/>
  <c r="E7" i="4"/>
  <c r="D7" i="4"/>
  <c r="H7" i="4" s="1"/>
  <c r="E6" i="4"/>
  <c r="H26" i="4"/>
  <c r="H24" i="4"/>
  <c r="F6" i="4"/>
  <c r="F47" i="1" l="1"/>
  <c r="E47" i="1"/>
  <c r="D47" i="1"/>
  <c r="H47" i="1" s="1"/>
  <c r="F46" i="1"/>
  <c r="E46" i="1"/>
  <c r="D46" i="1"/>
  <c r="F45" i="1"/>
  <c r="E45" i="1"/>
  <c r="D45" i="1"/>
  <c r="H45" i="1" s="1"/>
  <c r="F44" i="1"/>
  <c r="E44" i="1"/>
  <c r="D44" i="1"/>
  <c r="H44" i="1" s="1"/>
  <c r="D43" i="1"/>
  <c r="H43" i="1" s="1"/>
  <c r="F43" i="1"/>
  <c r="E43" i="1"/>
  <c r="F42" i="1"/>
  <c r="E42" i="1"/>
  <c r="D42" i="1"/>
  <c r="H42" i="1" s="1"/>
  <c r="F41" i="1"/>
  <c r="E41" i="1"/>
  <c r="D41" i="1"/>
  <c r="H41" i="1" s="1"/>
  <c r="F40" i="1"/>
  <c r="E40" i="1"/>
  <c r="D40" i="1"/>
  <c r="H40" i="1" s="1"/>
  <c r="F39" i="1"/>
  <c r="E39" i="1"/>
  <c r="D39" i="1"/>
  <c r="H39" i="1" s="1"/>
  <c r="F38" i="1"/>
  <c r="E38" i="1"/>
  <c r="D38" i="1"/>
  <c r="H38" i="1" s="1"/>
  <c r="F37" i="1"/>
  <c r="E37" i="1"/>
  <c r="D37" i="1"/>
  <c r="F36" i="1"/>
  <c r="E36" i="1"/>
  <c r="D36" i="1"/>
  <c r="F35" i="1"/>
  <c r="E35" i="1"/>
  <c r="D35" i="1"/>
  <c r="H35" i="1" s="1"/>
  <c r="F34" i="1"/>
  <c r="E34" i="1"/>
  <c r="D34" i="1"/>
  <c r="H34" i="1" s="1"/>
  <c r="F33" i="1"/>
  <c r="E33" i="1"/>
  <c r="D33" i="1"/>
  <c r="F32" i="1"/>
  <c r="E32" i="1"/>
  <c r="D32" i="1"/>
  <c r="H32" i="1" s="1"/>
  <c r="F31" i="1"/>
  <c r="E31" i="1"/>
  <c r="D31" i="1"/>
  <c r="F30" i="1"/>
  <c r="E30" i="1"/>
  <c r="D30" i="1"/>
  <c r="H30" i="1"/>
  <c r="F29" i="1"/>
  <c r="E29" i="1"/>
  <c r="D29" i="1"/>
  <c r="H29" i="1" s="1"/>
  <c r="F28" i="1"/>
  <c r="E28" i="1"/>
  <c r="D28" i="1"/>
  <c r="H28" i="1" s="1"/>
  <c r="F26" i="1"/>
  <c r="E26" i="1"/>
  <c r="D26" i="1"/>
  <c r="H26" i="1" s="1"/>
  <c r="F25" i="1"/>
  <c r="E25" i="1"/>
  <c r="D25" i="1"/>
  <c r="H25" i="1" s="1"/>
  <c r="F24" i="1"/>
  <c r="E24" i="1"/>
  <c r="D24" i="1"/>
  <c r="H24" i="1" s="1"/>
  <c r="F27" i="1"/>
  <c r="E27" i="1"/>
  <c r="D27" i="1"/>
  <c r="H27" i="1" s="1"/>
  <c r="H31" i="1"/>
  <c r="H33" i="1"/>
  <c r="H36" i="1"/>
  <c r="H37" i="1"/>
  <c r="F15" i="1"/>
  <c r="E15" i="1"/>
  <c r="D15" i="1"/>
  <c r="H15" i="1" s="1"/>
  <c r="F14" i="1"/>
  <c r="D14" i="1"/>
  <c r="H14" i="1" s="1"/>
  <c r="E14" i="1"/>
  <c r="F13" i="1"/>
  <c r="E13" i="1"/>
  <c r="D13" i="1"/>
  <c r="H13" i="1"/>
  <c r="F12" i="1"/>
  <c r="E12" i="1"/>
  <c r="D12" i="1"/>
  <c r="H12" i="1"/>
  <c r="F11" i="1"/>
  <c r="E11" i="1"/>
  <c r="D11" i="1"/>
  <c r="H11" i="1" s="1"/>
  <c r="F10" i="1"/>
  <c r="E10" i="1"/>
  <c r="D10" i="1"/>
  <c r="H10" i="1" s="1"/>
  <c r="F9" i="1"/>
  <c r="E9" i="1"/>
  <c r="D9" i="1"/>
  <c r="H9" i="1" s="1"/>
  <c r="F8" i="1"/>
  <c r="E8" i="1"/>
  <c r="D8" i="1"/>
  <c r="H8" i="1" s="1"/>
  <c r="F6" i="1"/>
  <c r="E6" i="1"/>
  <c r="D6" i="1"/>
  <c r="H6" i="1" s="1"/>
  <c r="D7" i="1"/>
  <c r="H7" i="1" s="1"/>
  <c r="E7" i="1"/>
  <c r="F7" i="1"/>
</calcChain>
</file>

<file path=xl/sharedStrings.xml><?xml version="1.0" encoding="utf-8"?>
<sst xmlns="http://schemas.openxmlformats.org/spreadsheetml/2006/main" count="505" uniqueCount="62">
  <si>
    <t>MA10 Virus -- 10 week old -- C57BL6/J mice</t>
  </si>
  <si>
    <t>R2G Virus -- 10 week old --C57BL6/J mice</t>
  </si>
  <si>
    <t>% airspace involvement</t>
  </si>
  <si>
    <t>Mediastinal Lymph Node</t>
  </si>
  <si>
    <t>Spleen</t>
  </si>
  <si>
    <t>Heart</t>
  </si>
  <si>
    <t>Mock</t>
  </si>
  <si>
    <t>Animal #</t>
  </si>
  <si>
    <t>Infection Day</t>
  </si>
  <si>
    <t>NA</t>
  </si>
  <si>
    <t>0 = No staining</t>
  </si>
  <si>
    <t>1 = &lt;25% of profile with strong cytoplasmic staining</t>
  </si>
  <si>
    <t>2 = 26-50% of profile with strong cytoplasmic staining</t>
  </si>
  <si>
    <t>3 = 50-75% of profile with strong cytoplasmic staining</t>
  </si>
  <si>
    <t>4 = &gt;75% of profile with strong cytoplasmic staining</t>
  </si>
  <si>
    <t>Negative</t>
  </si>
  <si>
    <t>Tracheal/major bronchi involvement</t>
  </si>
  <si>
    <t># Bronchiole profiles scored</t>
  </si>
  <si>
    <t>Bronchiole epithelial cell infection (Average)</t>
  </si>
  <si>
    <t>Bronchiole epithelial cell infection (SD)</t>
  </si>
  <si>
    <t># Bronchioles with epithelial cell shedding (&gt;10 shed cells/profile)</t>
  </si>
  <si>
    <t>Bronchiole and Bronchi/Tracheal Scoring (per profile)</t>
  </si>
  <si>
    <t>% bronchioles with shedding</t>
  </si>
  <si>
    <t>ACDBio RNAScope -- Intact Virus -- nCoV2019-S (catalog #848161, RED chromogen)</t>
  </si>
  <si>
    <t>B16 Male 1M</t>
  </si>
  <si>
    <t>B16 Male 2M</t>
  </si>
  <si>
    <t>B16 Male 3M</t>
  </si>
  <si>
    <t>B16 Female 1M</t>
  </si>
  <si>
    <t>B16 Female 2M</t>
  </si>
  <si>
    <t>B16 Female 3M</t>
  </si>
  <si>
    <t>B16 Male 1.2</t>
  </si>
  <si>
    <t>B16 Male 2.2</t>
  </si>
  <si>
    <t>B16 Male 3.2</t>
  </si>
  <si>
    <t>B16 Female 1.2</t>
  </si>
  <si>
    <t>B16 Female 2.2</t>
  </si>
  <si>
    <t>B16 Female 3.2</t>
  </si>
  <si>
    <t>B16 Male 1.4</t>
  </si>
  <si>
    <t>B16 Male 2.4</t>
  </si>
  <si>
    <t>B16 Male 3.4</t>
  </si>
  <si>
    <t>B16 Female 1.4</t>
  </si>
  <si>
    <t>B16 Female 2.4</t>
  </si>
  <si>
    <t>B16 Female 3.4</t>
  </si>
  <si>
    <t>B16 Male 1.7</t>
  </si>
  <si>
    <t>B16 Male 2.7</t>
  </si>
  <si>
    <t>B16 Male 3.7</t>
  </si>
  <si>
    <t>B16 Female 1.7</t>
  </si>
  <si>
    <t>B16 Female 2.7</t>
  </si>
  <si>
    <t>B16 Female 3.7</t>
  </si>
  <si>
    <t>Focal +</t>
  </si>
  <si>
    <t>&lt;1</t>
  </si>
  <si>
    <t>&lt;3</t>
  </si>
  <si>
    <t>R2G Virus -- 2 year old --C57BL6/J mice</t>
  </si>
  <si>
    <t>Not available</t>
  </si>
  <si>
    <t>Focally positive</t>
  </si>
  <si>
    <t>Tumor is focally positive</t>
  </si>
  <si>
    <t>B16 Male 1.6</t>
  </si>
  <si>
    <t>B16 Female 1.5</t>
  </si>
  <si>
    <t>R2G Virus -- 20 week old --C57BL6/J mice</t>
  </si>
  <si>
    <t>Negative (non-specific background staining)</t>
  </si>
  <si>
    <t>Focally positive? High background</t>
  </si>
  <si>
    <t>Positive? High non-specific signal</t>
  </si>
  <si>
    <t>Analysis of 10 wk old mice infected with 10^4 MA10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</si>
</sst>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164" fontId="0" fillId="0" borderId="0" xfId="0" applyNumberFormat="1"/>
    <xf numFmtId="0" fontId="2" fillId="0" borderId="0" xfId="0" applyFont="1"/>
    <xf numFmtId="0" fontId="1" fillId="0" borderId="1" xfId="0" applyFont="1" applyBorder="1"/>
    <xf numFmtId="0" fontId="1" fillId="0" borderId="0" xfId="0" applyFont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1" fillId="2" borderId="2" xfId="0" applyFont="1" applyFill="1" applyBorder="1"/>
    <xf numFmtId="0" fontId="1" fillId="0" borderId="1" xfId="0" applyFont="1" applyBorder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center"/>
    </xf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76201</xdr:colOff>
      <xdr:row>25</xdr:row>
      <xdr:rowOff>19050</xdr:rowOff>
    </xdr:from>
    <xdr:ext cx="2635249" cy="2381249"/>
    <xdr:pic>
      <xdr:nvPicPr>
        <xdr:cNvPr id="2" name="Picture 1">
          <a:extLst>
            <a:ext uri="{FF2B5EF4-FFF2-40B4-BE49-F238E27FC236}">
              <a16:creationId xmlns:a16="http://schemas.microsoft.com/office/drawing/2014/main" id="{3BD70C29-1FB3-944D-8E32-B5486B3AA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65101" y="4781550"/>
          <a:ext cx="2635249" cy="2381249"/>
        </a:xfrm>
        <a:prstGeom prst="rect">
          <a:avLst/>
        </a:prstGeom>
      </xdr:spPr>
    </xdr:pic>
    <xdr:clientData/>
  </xdr:oneCellAnchor>
  <xdr:oneCellAnchor>
    <xdr:from>
      <xdr:col>19</xdr:col>
      <xdr:colOff>95251</xdr:colOff>
      <xdr:row>13</xdr:row>
      <xdr:rowOff>0</xdr:rowOff>
    </xdr:from>
    <xdr:ext cx="2616200" cy="2378960"/>
    <xdr:pic>
      <xdr:nvPicPr>
        <xdr:cNvPr id="3" name="Picture 2">
          <a:extLst>
            <a:ext uri="{FF2B5EF4-FFF2-40B4-BE49-F238E27FC236}">
              <a16:creationId xmlns:a16="http://schemas.microsoft.com/office/drawing/2014/main" id="{4BCAAEAD-0E20-2042-9646-53E4144C5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884151" y="2476500"/>
          <a:ext cx="2616200" cy="2378960"/>
        </a:xfrm>
        <a:prstGeom prst="rect">
          <a:avLst/>
        </a:prstGeom>
      </xdr:spPr>
    </xdr:pic>
    <xdr:clientData/>
  </xdr:oneCellAnchor>
  <xdr:oneCellAnchor>
    <xdr:from>
      <xdr:col>19</xdr:col>
      <xdr:colOff>104511</xdr:colOff>
      <xdr:row>2</xdr:row>
      <xdr:rowOff>66676</xdr:rowOff>
    </xdr:from>
    <xdr:ext cx="2606940" cy="2362971"/>
    <xdr:pic>
      <xdr:nvPicPr>
        <xdr:cNvPr id="4" name="Picture 3">
          <a:extLst>
            <a:ext uri="{FF2B5EF4-FFF2-40B4-BE49-F238E27FC236}">
              <a16:creationId xmlns:a16="http://schemas.microsoft.com/office/drawing/2014/main" id="{3F334925-EC8C-CB43-84EE-7F4B73813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893411" y="447676"/>
          <a:ext cx="2606940" cy="2362971"/>
        </a:xfrm>
        <a:prstGeom prst="rect">
          <a:avLst/>
        </a:prstGeom>
      </xdr:spPr>
    </xdr:pic>
    <xdr:clientData/>
  </xdr:oneCellAnchor>
  <xdr:oneCellAnchor>
    <xdr:from>
      <xdr:col>22</xdr:col>
      <xdr:colOff>22683</xdr:colOff>
      <xdr:row>13</xdr:row>
      <xdr:rowOff>64585</xdr:rowOff>
    </xdr:from>
    <xdr:ext cx="535659" cy="937629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7C8CDF8E-E25D-C840-9BC9-3A114AC7D11B}"/>
            </a:ext>
          </a:extLst>
        </xdr:cNvPr>
        <xdr:cNvSpPr/>
      </xdr:nvSpPr>
      <xdr:spPr>
        <a:xfrm>
          <a:off x="14830883" y="254108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2</a:t>
          </a:r>
        </a:p>
      </xdr:txBody>
    </xdr:sp>
    <xdr:clientData/>
  </xdr:oneCellAnchor>
  <xdr:oneCellAnchor>
    <xdr:from>
      <xdr:col>22</xdr:col>
      <xdr:colOff>89358</xdr:colOff>
      <xdr:row>8</xdr:row>
      <xdr:rowOff>26485</xdr:rowOff>
    </xdr:from>
    <xdr:ext cx="535659" cy="937629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31C18958-2EB2-814C-A0DA-35C7DC1E4B8F}"/>
            </a:ext>
          </a:extLst>
        </xdr:cNvPr>
        <xdr:cNvSpPr/>
      </xdr:nvSpPr>
      <xdr:spPr>
        <a:xfrm>
          <a:off x="14897558" y="155048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1</a:t>
          </a:r>
        </a:p>
      </xdr:txBody>
    </xdr:sp>
    <xdr:clientData/>
  </xdr:oneCellAnchor>
  <xdr:oneCellAnchor>
    <xdr:from>
      <xdr:col>22</xdr:col>
      <xdr:colOff>60783</xdr:colOff>
      <xdr:row>19</xdr:row>
      <xdr:rowOff>140785</xdr:rowOff>
    </xdr:from>
    <xdr:ext cx="535659" cy="937629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60967FE1-02D1-2E44-8E31-CE1951F2A674}"/>
            </a:ext>
          </a:extLst>
        </xdr:cNvPr>
        <xdr:cNvSpPr/>
      </xdr:nvSpPr>
      <xdr:spPr>
        <a:xfrm>
          <a:off x="14868983" y="376028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3</a:t>
          </a:r>
        </a:p>
      </xdr:txBody>
    </xdr:sp>
    <xdr:clientData/>
  </xdr:oneCellAnchor>
  <xdr:oneCellAnchor>
    <xdr:from>
      <xdr:col>22</xdr:col>
      <xdr:colOff>89358</xdr:colOff>
      <xdr:row>32</xdr:row>
      <xdr:rowOff>159835</xdr:rowOff>
    </xdr:from>
    <xdr:ext cx="535659" cy="937629"/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C6FA7F8F-8163-8149-830A-C0A1BEA18A4A}"/>
            </a:ext>
          </a:extLst>
        </xdr:cNvPr>
        <xdr:cNvSpPr/>
      </xdr:nvSpPr>
      <xdr:spPr>
        <a:xfrm>
          <a:off x="14897558" y="625583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4</a:t>
          </a:r>
        </a:p>
      </xdr:txBody>
    </xdr:sp>
    <xdr:clientData/>
  </xdr:oneCellAnchor>
  <xdr:oneCellAnchor>
    <xdr:from>
      <xdr:col>13</xdr:col>
      <xdr:colOff>466726</xdr:colOff>
      <xdr:row>14</xdr:row>
      <xdr:rowOff>38100</xdr:rowOff>
    </xdr:from>
    <xdr:ext cx="2301874" cy="2057399"/>
    <xdr:pic>
      <xdr:nvPicPr>
        <xdr:cNvPr id="9" name="Picture 8">
          <a:extLst>
            <a:ext uri="{FF2B5EF4-FFF2-40B4-BE49-F238E27FC236}">
              <a16:creationId xmlns:a16="http://schemas.microsoft.com/office/drawing/2014/main" id="{9E872C70-E408-7C48-822E-E5944B5AA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217026" y="2705100"/>
          <a:ext cx="2301874" cy="2057399"/>
        </a:xfrm>
        <a:prstGeom prst="rect">
          <a:avLst/>
        </a:prstGeom>
      </xdr:spPr>
    </xdr:pic>
    <xdr:clientData/>
  </xdr:oneCellAnchor>
  <xdr:oneCellAnchor>
    <xdr:from>
      <xdr:col>13</xdr:col>
      <xdr:colOff>466726</xdr:colOff>
      <xdr:row>24</xdr:row>
      <xdr:rowOff>133350</xdr:rowOff>
    </xdr:from>
    <xdr:ext cx="2330449" cy="2060452"/>
    <xdr:pic>
      <xdr:nvPicPr>
        <xdr:cNvPr id="10" name="Picture 9">
          <a:extLst>
            <a:ext uri="{FF2B5EF4-FFF2-40B4-BE49-F238E27FC236}">
              <a16:creationId xmlns:a16="http://schemas.microsoft.com/office/drawing/2014/main" id="{FD2CE504-FB17-F340-AA0C-E39C43968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17026" y="4705350"/>
          <a:ext cx="2330449" cy="2060452"/>
        </a:xfrm>
        <a:prstGeom prst="rect">
          <a:avLst/>
        </a:prstGeom>
      </xdr:spPr>
    </xdr:pic>
    <xdr:clientData/>
  </xdr:oneCellAnchor>
  <xdr:oneCellAnchor>
    <xdr:from>
      <xdr:col>13</xdr:col>
      <xdr:colOff>282713</xdr:colOff>
      <xdr:row>14</xdr:row>
      <xdr:rowOff>7435</xdr:rowOff>
    </xdr:from>
    <xdr:ext cx="2422387" cy="405432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EFCF57A7-EB72-8A4F-BBCC-2FA30B923F1C}"/>
            </a:ext>
          </a:extLst>
        </xdr:cNvPr>
        <xdr:cNvSpPr/>
      </xdr:nvSpPr>
      <xdr:spPr>
        <a:xfrm>
          <a:off x="9033013" y="2674435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Non-shedding</a:t>
          </a:r>
        </a:p>
      </xdr:txBody>
    </xdr:sp>
    <xdr:clientData/>
  </xdr:oneCellAnchor>
  <xdr:oneCellAnchor>
    <xdr:from>
      <xdr:col>13</xdr:col>
      <xdr:colOff>216038</xdr:colOff>
      <xdr:row>24</xdr:row>
      <xdr:rowOff>83635</xdr:rowOff>
    </xdr:from>
    <xdr:ext cx="2422387" cy="405432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BA7020F2-3FD2-344B-AFA2-92199B613D4F}"/>
            </a:ext>
          </a:extLst>
        </xdr:cNvPr>
        <xdr:cNvSpPr/>
      </xdr:nvSpPr>
      <xdr:spPr>
        <a:xfrm>
          <a:off x="8966338" y="4655635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Shedding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76201</xdr:colOff>
      <xdr:row>23</xdr:row>
      <xdr:rowOff>19050</xdr:rowOff>
    </xdr:from>
    <xdr:to>
      <xdr:col>23</xdr:col>
      <xdr:colOff>19050</xdr:colOff>
      <xdr:row>35</xdr:row>
      <xdr:rowOff>114299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59601" y="4838700"/>
          <a:ext cx="2381249" cy="2381249"/>
        </a:xfrm>
        <a:prstGeom prst="rect">
          <a:avLst/>
        </a:prstGeom>
      </xdr:spPr>
    </xdr:pic>
    <xdr:clientData/>
  </xdr:twoCellAnchor>
  <xdr:twoCellAnchor editAs="oneCell">
    <xdr:from>
      <xdr:col>19</xdr:col>
      <xdr:colOff>95251</xdr:colOff>
      <xdr:row>11</xdr:row>
      <xdr:rowOff>0</xdr:rowOff>
    </xdr:from>
    <xdr:to>
      <xdr:col>23</xdr:col>
      <xdr:colOff>19051</xdr:colOff>
      <xdr:row>22</xdr:row>
      <xdr:rowOff>169160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678651" y="2428875"/>
          <a:ext cx="2362200" cy="2369435"/>
        </a:xfrm>
        <a:prstGeom prst="rect">
          <a:avLst/>
        </a:prstGeom>
      </xdr:spPr>
    </xdr:pic>
    <xdr:clientData/>
  </xdr:twoCellAnchor>
  <xdr:twoCellAnchor editAs="oneCell">
    <xdr:from>
      <xdr:col>19</xdr:col>
      <xdr:colOff>104511</xdr:colOff>
      <xdr:row>0</xdr:row>
      <xdr:rowOff>66676</xdr:rowOff>
    </xdr:from>
    <xdr:to>
      <xdr:col>23</xdr:col>
      <xdr:colOff>19051</xdr:colOff>
      <xdr:row>10</xdr:row>
      <xdr:rowOff>169047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687911" y="66676"/>
          <a:ext cx="2352940" cy="2331221"/>
        </a:xfrm>
        <a:prstGeom prst="rect">
          <a:avLst/>
        </a:prstGeom>
      </xdr:spPr>
    </xdr:pic>
    <xdr:clientData/>
  </xdr:twoCellAnchor>
  <xdr:oneCellAnchor>
    <xdr:from>
      <xdr:col>22</xdr:col>
      <xdr:colOff>22683</xdr:colOff>
      <xdr:row>11</xdr:row>
      <xdr:rowOff>64585</xdr:rowOff>
    </xdr:from>
    <xdr:ext cx="535659" cy="937629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1434883" y="2493460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2</a:t>
          </a:r>
        </a:p>
      </xdr:txBody>
    </xdr:sp>
    <xdr:clientData/>
  </xdr:oneCellAnchor>
  <xdr:oneCellAnchor>
    <xdr:from>
      <xdr:col>22</xdr:col>
      <xdr:colOff>89358</xdr:colOff>
      <xdr:row>6</xdr:row>
      <xdr:rowOff>26485</xdr:rowOff>
    </xdr:from>
    <xdr:ext cx="535659" cy="937629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1501558" y="149333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1</a:t>
          </a:r>
        </a:p>
      </xdr:txBody>
    </xdr:sp>
    <xdr:clientData/>
  </xdr:oneCellAnchor>
  <xdr:oneCellAnchor>
    <xdr:from>
      <xdr:col>22</xdr:col>
      <xdr:colOff>60783</xdr:colOff>
      <xdr:row>17</xdr:row>
      <xdr:rowOff>140785</xdr:rowOff>
    </xdr:from>
    <xdr:ext cx="535659" cy="937629"/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1472983" y="3712660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3</a:t>
          </a:r>
        </a:p>
      </xdr:txBody>
    </xdr:sp>
    <xdr:clientData/>
  </xdr:oneCellAnchor>
  <xdr:oneCellAnchor>
    <xdr:from>
      <xdr:col>22</xdr:col>
      <xdr:colOff>89358</xdr:colOff>
      <xdr:row>30</xdr:row>
      <xdr:rowOff>159835</xdr:rowOff>
    </xdr:from>
    <xdr:ext cx="535659" cy="937629"/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1501558" y="631298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4</a:t>
          </a:r>
        </a:p>
      </xdr:txBody>
    </xdr:sp>
    <xdr:clientData/>
  </xdr:oneCellAnchor>
  <xdr:twoCellAnchor editAs="oneCell">
    <xdr:from>
      <xdr:col>13</xdr:col>
      <xdr:colOff>466726</xdr:colOff>
      <xdr:row>12</xdr:row>
      <xdr:rowOff>38100</xdr:rowOff>
    </xdr:from>
    <xdr:to>
      <xdr:col>17</xdr:col>
      <xdr:colOff>76200</xdr:colOff>
      <xdr:row>22</xdr:row>
      <xdr:rowOff>76199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392526" y="2657475"/>
          <a:ext cx="2047874" cy="2047874"/>
        </a:xfrm>
        <a:prstGeom prst="rect">
          <a:avLst/>
        </a:prstGeom>
      </xdr:spPr>
    </xdr:pic>
    <xdr:clientData/>
  </xdr:twoCellAnchor>
  <xdr:twoCellAnchor editAs="oneCell">
    <xdr:from>
      <xdr:col>13</xdr:col>
      <xdr:colOff>466726</xdr:colOff>
      <xdr:row>22</xdr:row>
      <xdr:rowOff>133350</xdr:rowOff>
    </xdr:from>
    <xdr:to>
      <xdr:col>17</xdr:col>
      <xdr:colOff>104775</xdr:colOff>
      <xdr:row>33</xdr:row>
      <xdr:rowOff>98302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392526" y="4762500"/>
          <a:ext cx="2076449" cy="2060452"/>
        </a:xfrm>
        <a:prstGeom prst="rect">
          <a:avLst/>
        </a:prstGeom>
      </xdr:spPr>
    </xdr:pic>
    <xdr:clientData/>
  </xdr:twoCellAnchor>
  <xdr:oneCellAnchor>
    <xdr:from>
      <xdr:col>13</xdr:col>
      <xdr:colOff>282713</xdr:colOff>
      <xdr:row>12</xdr:row>
      <xdr:rowOff>7435</xdr:rowOff>
    </xdr:from>
    <xdr:ext cx="2422387" cy="405432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6208513" y="2626810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Non-shedding</a:t>
          </a:r>
        </a:p>
      </xdr:txBody>
    </xdr:sp>
    <xdr:clientData/>
  </xdr:oneCellAnchor>
  <xdr:oneCellAnchor>
    <xdr:from>
      <xdr:col>13</xdr:col>
      <xdr:colOff>216038</xdr:colOff>
      <xdr:row>22</xdr:row>
      <xdr:rowOff>83635</xdr:rowOff>
    </xdr:from>
    <xdr:ext cx="2422387" cy="405432"/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6141838" y="4712785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Shedding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66676</xdr:colOff>
      <xdr:row>25</xdr:row>
      <xdr:rowOff>0</xdr:rowOff>
    </xdr:from>
    <xdr:to>
      <xdr:col>22</xdr:col>
      <xdr:colOff>9525</xdr:colOff>
      <xdr:row>37</xdr:row>
      <xdr:rowOff>95249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74051" y="5076825"/>
          <a:ext cx="2381249" cy="2381249"/>
        </a:xfrm>
        <a:prstGeom prst="rect">
          <a:avLst/>
        </a:prstGeom>
      </xdr:spPr>
    </xdr:pic>
    <xdr:clientData/>
  </xdr:twoCellAnchor>
  <xdr:twoCellAnchor editAs="oneCell">
    <xdr:from>
      <xdr:col>18</xdr:col>
      <xdr:colOff>57151</xdr:colOff>
      <xdr:row>12</xdr:row>
      <xdr:rowOff>19050</xdr:rowOff>
    </xdr:from>
    <xdr:to>
      <xdr:col>21</xdr:col>
      <xdr:colOff>590551</xdr:colOff>
      <xdr:row>24</xdr:row>
      <xdr:rowOff>102485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964526" y="2619375"/>
          <a:ext cx="2362200" cy="2369435"/>
        </a:xfrm>
        <a:prstGeom prst="rect">
          <a:avLst/>
        </a:prstGeom>
      </xdr:spPr>
    </xdr:pic>
    <xdr:clientData/>
  </xdr:twoCellAnchor>
  <xdr:twoCellAnchor editAs="oneCell">
    <xdr:from>
      <xdr:col>18</xdr:col>
      <xdr:colOff>104511</xdr:colOff>
      <xdr:row>0</xdr:row>
      <xdr:rowOff>66676</xdr:rowOff>
    </xdr:from>
    <xdr:to>
      <xdr:col>22</xdr:col>
      <xdr:colOff>19051</xdr:colOff>
      <xdr:row>10</xdr:row>
      <xdr:rowOff>178572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011886" y="66676"/>
          <a:ext cx="2352940" cy="2331221"/>
        </a:xfrm>
        <a:prstGeom prst="rect">
          <a:avLst/>
        </a:prstGeom>
      </xdr:spPr>
    </xdr:pic>
    <xdr:clientData/>
  </xdr:twoCellAnchor>
  <xdr:oneCellAnchor>
    <xdr:from>
      <xdr:col>21</xdr:col>
      <xdr:colOff>3633</xdr:colOff>
      <xdr:row>12</xdr:row>
      <xdr:rowOff>133350</xdr:rowOff>
    </xdr:from>
    <xdr:ext cx="535659" cy="937629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2739808" y="273367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2</a:t>
          </a:r>
        </a:p>
      </xdr:txBody>
    </xdr:sp>
    <xdr:clientData/>
  </xdr:oneCellAnchor>
  <xdr:oneCellAnchor>
    <xdr:from>
      <xdr:col>21</xdr:col>
      <xdr:colOff>89358</xdr:colOff>
      <xdr:row>2</xdr:row>
      <xdr:rowOff>0</xdr:rowOff>
    </xdr:from>
    <xdr:ext cx="535659" cy="937629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22825533" y="590550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1</a:t>
          </a:r>
        </a:p>
      </xdr:txBody>
    </xdr:sp>
    <xdr:clientData/>
  </xdr:oneCellAnchor>
  <xdr:oneCellAnchor>
    <xdr:from>
      <xdr:col>20</xdr:col>
      <xdr:colOff>527508</xdr:colOff>
      <xdr:row>18</xdr:row>
      <xdr:rowOff>133350</xdr:rowOff>
    </xdr:from>
    <xdr:ext cx="535659" cy="937629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2654083" y="387667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3</a:t>
          </a:r>
        </a:p>
      </xdr:txBody>
    </xdr:sp>
    <xdr:clientData/>
  </xdr:oneCellAnchor>
  <xdr:oneCellAnchor>
    <xdr:from>
      <xdr:col>21</xdr:col>
      <xdr:colOff>79833</xdr:colOff>
      <xdr:row>28</xdr:row>
      <xdr:rowOff>140785</xdr:rowOff>
    </xdr:from>
    <xdr:ext cx="535659" cy="937629"/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22816008" y="6551110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4</a:t>
          </a:r>
        </a:p>
      </xdr:txBody>
    </xdr:sp>
    <xdr:clientData/>
  </xdr:oneCellAnchor>
  <xdr:twoCellAnchor editAs="oneCell">
    <xdr:from>
      <xdr:col>12</xdr:col>
      <xdr:colOff>466726</xdr:colOff>
      <xdr:row>2</xdr:row>
      <xdr:rowOff>0</xdr:rowOff>
    </xdr:from>
    <xdr:to>
      <xdr:col>16</xdr:col>
      <xdr:colOff>76200</xdr:colOff>
      <xdr:row>12</xdr:row>
      <xdr:rowOff>38099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716501" y="590550"/>
          <a:ext cx="2047874" cy="2047874"/>
        </a:xfrm>
        <a:prstGeom prst="rect">
          <a:avLst/>
        </a:prstGeom>
      </xdr:spPr>
    </xdr:pic>
    <xdr:clientData/>
  </xdr:twoCellAnchor>
  <xdr:twoCellAnchor editAs="oneCell">
    <xdr:from>
      <xdr:col>12</xdr:col>
      <xdr:colOff>466726</xdr:colOff>
      <xdr:row>13</xdr:row>
      <xdr:rowOff>57150</xdr:rowOff>
    </xdr:from>
    <xdr:to>
      <xdr:col>16</xdr:col>
      <xdr:colOff>104775</xdr:colOff>
      <xdr:row>24</xdr:row>
      <xdr:rowOff>22102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716501" y="2847975"/>
          <a:ext cx="2076449" cy="2060452"/>
        </a:xfrm>
        <a:prstGeom prst="rect">
          <a:avLst/>
        </a:prstGeom>
      </xdr:spPr>
    </xdr:pic>
    <xdr:clientData/>
  </xdr:twoCellAnchor>
  <xdr:oneCellAnchor>
    <xdr:from>
      <xdr:col>12</xdr:col>
      <xdr:colOff>282713</xdr:colOff>
      <xdr:row>2</xdr:row>
      <xdr:rowOff>0</xdr:rowOff>
    </xdr:from>
    <xdr:ext cx="2422387" cy="405432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17532488" y="590550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Non-shedding</a:t>
          </a:r>
        </a:p>
      </xdr:txBody>
    </xdr:sp>
    <xdr:clientData/>
  </xdr:oneCellAnchor>
  <xdr:oneCellAnchor>
    <xdr:from>
      <xdr:col>12</xdr:col>
      <xdr:colOff>216038</xdr:colOff>
      <xdr:row>13</xdr:row>
      <xdr:rowOff>7435</xdr:rowOff>
    </xdr:from>
    <xdr:ext cx="2422387" cy="405432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17465813" y="2798260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Shedding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66676</xdr:colOff>
      <xdr:row>25</xdr:row>
      <xdr:rowOff>0</xdr:rowOff>
    </xdr:from>
    <xdr:to>
      <xdr:col>23</xdr:col>
      <xdr:colOff>9525</xdr:colOff>
      <xdr:row>37</xdr:row>
      <xdr:rowOff>95249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50076" y="5267325"/>
          <a:ext cx="2381249" cy="2381249"/>
        </a:xfrm>
        <a:prstGeom prst="rect">
          <a:avLst/>
        </a:prstGeom>
      </xdr:spPr>
    </xdr:pic>
    <xdr:clientData/>
  </xdr:twoCellAnchor>
  <xdr:twoCellAnchor editAs="oneCell">
    <xdr:from>
      <xdr:col>19</xdr:col>
      <xdr:colOff>57151</xdr:colOff>
      <xdr:row>12</xdr:row>
      <xdr:rowOff>19050</xdr:rowOff>
    </xdr:from>
    <xdr:to>
      <xdr:col>22</xdr:col>
      <xdr:colOff>590551</xdr:colOff>
      <xdr:row>24</xdr:row>
      <xdr:rowOff>102485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640551" y="2619375"/>
          <a:ext cx="2362200" cy="2369435"/>
        </a:xfrm>
        <a:prstGeom prst="rect">
          <a:avLst/>
        </a:prstGeom>
      </xdr:spPr>
    </xdr:pic>
    <xdr:clientData/>
  </xdr:twoCellAnchor>
  <xdr:twoCellAnchor editAs="oneCell">
    <xdr:from>
      <xdr:col>19</xdr:col>
      <xdr:colOff>104511</xdr:colOff>
      <xdr:row>0</xdr:row>
      <xdr:rowOff>66676</xdr:rowOff>
    </xdr:from>
    <xdr:to>
      <xdr:col>23</xdr:col>
      <xdr:colOff>19051</xdr:colOff>
      <xdr:row>10</xdr:row>
      <xdr:rowOff>178572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9687911" y="66676"/>
          <a:ext cx="2352940" cy="2331221"/>
        </a:xfrm>
        <a:prstGeom prst="rect">
          <a:avLst/>
        </a:prstGeom>
      </xdr:spPr>
    </xdr:pic>
    <xdr:clientData/>
  </xdr:twoCellAnchor>
  <xdr:oneCellAnchor>
    <xdr:from>
      <xdr:col>22</xdr:col>
      <xdr:colOff>3633</xdr:colOff>
      <xdr:row>12</xdr:row>
      <xdr:rowOff>133350</xdr:rowOff>
    </xdr:from>
    <xdr:ext cx="535659" cy="937629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1415833" y="273367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2</a:t>
          </a:r>
        </a:p>
      </xdr:txBody>
    </xdr:sp>
    <xdr:clientData/>
  </xdr:oneCellAnchor>
  <xdr:oneCellAnchor>
    <xdr:from>
      <xdr:col>22</xdr:col>
      <xdr:colOff>89358</xdr:colOff>
      <xdr:row>2</xdr:row>
      <xdr:rowOff>0</xdr:rowOff>
    </xdr:from>
    <xdr:ext cx="535659" cy="937629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1501558" y="149333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1</a:t>
          </a:r>
        </a:p>
      </xdr:txBody>
    </xdr:sp>
    <xdr:clientData/>
  </xdr:oneCellAnchor>
  <xdr:oneCellAnchor>
    <xdr:from>
      <xdr:col>21</xdr:col>
      <xdr:colOff>527508</xdr:colOff>
      <xdr:row>18</xdr:row>
      <xdr:rowOff>133350</xdr:rowOff>
    </xdr:from>
    <xdr:ext cx="535659" cy="937629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21330108" y="3876675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3</a:t>
          </a:r>
        </a:p>
      </xdr:txBody>
    </xdr:sp>
    <xdr:clientData/>
  </xdr:oneCellAnchor>
  <xdr:oneCellAnchor>
    <xdr:from>
      <xdr:col>22</xdr:col>
      <xdr:colOff>79833</xdr:colOff>
      <xdr:row>32</xdr:row>
      <xdr:rowOff>140785</xdr:rowOff>
    </xdr:from>
    <xdr:ext cx="535659" cy="937629"/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21492033" y="6741610"/>
          <a:ext cx="535659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4</a:t>
          </a:r>
        </a:p>
      </xdr:txBody>
    </xdr:sp>
    <xdr:clientData/>
  </xdr:oneCellAnchor>
  <xdr:twoCellAnchor editAs="oneCell">
    <xdr:from>
      <xdr:col>13</xdr:col>
      <xdr:colOff>466726</xdr:colOff>
      <xdr:row>2</xdr:row>
      <xdr:rowOff>0</xdr:rowOff>
    </xdr:from>
    <xdr:to>
      <xdr:col>17</xdr:col>
      <xdr:colOff>76200</xdr:colOff>
      <xdr:row>12</xdr:row>
      <xdr:rowOff>38099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392526" y="2657475"/>
          <a:ext cx="2047874" cy="2047874"/>
        </a:xfrm>
        <a:prstGeom prst="rect">
          <a:avLst/>
        </a:prstGeom>
      </xdr:spPr>
    </xdr:pic>
    <xdr:clientData/>
  </xdr:twoCellAnchor>
  <xdr:twoCellAnchor editAs="oneCell">
    <xdr:from>
      <xdr:col>13</xdr:col>
      <xdr:colOff>466726</xdr:colOff>
      <xdr:row>13</xdr:row>
      <xdr:rowOff>57150</xdr:rowOff>
    </xdr:from>
    <xdr:to>
      <xdr:col>17</xdr:col>
      <xdr:colOff>104775</xdr:colOff>
      <xdr:row>24</xdr:row>
      <xdr:rowOff>22102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392526" y="2847975"/>
          <a:ext cx="2076449" cy="2060452"/>
        </a:xfrm>
        <a:prstGeom prst="rect">
          <a:avLst/>
        </a:prstGeom>
      </xdr:spPr>
    </xdr:pic>
    <xdr:clientData/>
  </xdr:twoCellAnchor>
  <xdr:oneCellAnchor>
    <xdr:from>
      <xdr:col>13</xdr:col>
      <xdr:colOff>282713</xdr:colOff>
      <xdr:row>2</xdr:row>
      <xdr:rowOff>0</xdr:rowOff>
    </xdr:from>
    <xdr:ext cx="2422387" cy="405432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16208513" y="2626810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Non-shedding</a:t>
          </a:r>
        </a:p>
      </xdr:txBody>
    </xdr:sp>
    <xdr:clientData/>
  </xdr:oneCellAnchor>
  <xdr:oneCellAnchor>
    <xdr:from>
      <xdr:col>13</xdr:col>
      <xdr:colOff>216038</xdr:colOff>
      <xdr:row>13</xdr:row>
      <xdr:rowOff>7435</xdr:rowOff>
    </xdr:from>
    <xdr:ext cx="2422387" cy="405432"/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16141838" y="2798260"/>
          <a:ext cx="2422387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2000" b="1" cap="none" spc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</a:rPr>
            <a:t>Shedding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52533-9186-AE4E-9807-97C228B412BB}">
  <dimension ref="A1:S49"/>
  <sheetViews>
    <sheetView workbookViewId="0"/>
  </sheetViews>
  <sheetFormatPr baseColWidth="10" defaultColWidth="8.83203125" defaultRowHeight="15" x14ac:dyDescent="0.2"/>
  <cols>
    <col min="1" max="1" width="14.5" customWidth="1"/>
    <col min="2" max="2" width="16.5" customWidth="1"/>
    <col min="3" max="3" width="23.83203125" customWidth="1"/>
    <col min="4" max="4" width="27.1640625" customWidth="1"/>
    <col min="5" max="5" width="32.1640625" customWidth="1"/>
    <col min="6" max="8" width="26.5" customWidth="1"/>
    <col min="9" max="9" width="9" customWidth="1"/>
  </cols>
  <sheetData>
    <row r="1" spans="1:19" x14ac:dyDescent="0.2">
      <c r="A1" t="s">
        <v>61</v>
      </c>
    </row>
    <row r="3" spans="1:19" ht="24" x14ac:dyDescent="0.3">
      <c r="A3" s="4" t="s">
        <v>23</v>
      </c>
    </row>
    <row r="4" spans="1:19" ht="24" x14ac:dyDescent="0.3">
      <c r="A4" s="4"/>
    </row>
    <row r="5" spans="1:19" ht="24" x14ac:dyDescent="0.3">
      <c r="A5" s="4" t="s">
        <v>0</v>
      </c>
    </row>
    <row r="7" spans="1:19" s="5" customFormat="1" ht="16" thickBot="1" x14ac:dyDescent="0.25">
      <c r="A7" s="5" t="s">
        <v>8</v>
      </c>
      <c r="B7" s="5" t="s">
        <v>7</v>
      </c>
      <c r="C7" s="5" t="s">
        <v>2</v>
      </c>
      <c r="D7" s="5" t="s">
        <v>17</v>
      </c>
      <c r="E7" s="5" t="s">
        <v>18</v>
      </c>
      <c r="F7" s="5" t="s">
        <v>19</v>
      </c>
      <c r="G7" s="5" t="s">
        <v>20</v>
      </c>
      <c r="H7" s="5" t="s">
        <v>22</v>
      </c>
      <c r="I7" s="5" t="s">
        <v>16</v>
      </c>
      <c r="J7" s="5" t="s">
        <v>3</v>
      </c>
      <c r="K7" s="5" t="s">
        <v>4</v>
      </c>
      <c r="L7" s="5" t="s">
        <v>5</v>
      </c>
      <c r="N7" s="23"/>
      <c r="O7" s="23"/>
      <c r="P7" s="23"/>
      <c r="Q7" s="23"/>
      <c r="R7" s="23"/>
      <c r="S7" s="23"/>
    </row>
    <row r="8" spans="1:19" x14ac:dyDescent="0.2">
      <c r="A8" s="1" t="s">
        <v>9</v>
      </c>
      <c r="B8" s="1" t="s">
        <v>6</v>
      </c>
      <c r="C8" s="1">
        <v>0</v>
      </c>
      <c r="D8" s="1">
        <f>COUNT(0,0,0,0,0,0,0,0,0,0,0,0,0,0,0,0,0,0,0,0,0)</f>
        <v>21</v>
      </c>
      <c r="E8" s="17">
        <f>AVERAGE(0,0,0,0,0,0,0,0,0,0,0,0,0,0,0,0,0,0,0,0,0)</f>
        <v>0</v>
      </c>
      <c r="F8" s="17">
        <f>STDEV(0,0,0,0,0,0,0,0,0,0,0,0,0,0,0,0,0,0,0,0,0)</f>
        <v>0</v>
      </c>
      <c r="G8" s="1">
        <v>0</v>
      </c>
      <c r="H8" s="18">
        <f>G8/D8</f>
        <v>0</v>
      </c>
      <c r="I8" s="1">
        <v>0</v>
      </c>
      <c r="J8" s="1" t="s">
        <v>9</v>
      </c>
      <c r="K8" s="1" t="s">
        <v>15</v>
      </c>
      <c r="L8" s="1" t="s">
        <v>15</v>
      </c>
      <c r="N8" s="15" t="s">
        <v>21</v>
      </c>
      <c r="O8" s="7"/>
      <c r="P8" s="7"/>
      <c r="Q8" s="7"/>
      <c r="R8" s="7"/>
      <c r="S8" s="8"/>
    </row>
    <row r="9" spans="1:19" x14ac:dyDescent="0.2">
      <c r="A9" s="1">
        <v>2</v>
      </c>
      <c r="B9" s="1">
        <v>1.2</v>
      </c>
      <c r="C9" s="1">
        <v>60</v>
      </c>
      <c r="D9" s="1">
        <f>COUNT(4,3,3,4,4,4,4,4,3,4,4,4,4,4,3,2)</f>
        <v>16</v>
      </c>
      <c r="E9" s="17">
        <f>AVERAGE(4,3,3,4,4,4,4,4,3,4,4,4,4,4,3,2)</f>
        <v>3.625</v>
      </c>
      <c r="F9" s="17">
        <f>STDEV(4,3,3,4,4,4,4,4,3,4,4,4,4,4,3,2)</f>
        <v>0.61913918736689033</v>
      </c>
      <c r="G9" s="1">
        <v>3</v>
      </c>
      <c r="H9" s="18">
        <f>G9/D9</f>
        <v>0.1875</v>
      </c>
      <c r="I9" s="1">
        <v>1</v>
      </c>
      <c r="J9" s="1" t="s">
        <v>48</v>
      </c>
      <c r="K9" s="1" t="s">
        <v>48</v>
      </c>
      <c r="L9" s="1" t="s">
        <v>15</v>
      </c>
      <c r="N9" s="9" t="s">
        <v>10</v>
      </c>
      <c r="O9" s="22"/>
      <c r="P9" s="22"/>
      <c r="Q9" s="22"/>
      <c r="R9" s="22"/>
      <c r="S9" s="11"/>
    </row>
    <row r="10" spans="1:19" x14ac:dyDescent="0.2">
      <c r="A10" s="1">
        <v>2</v>
      </c>
      <c r="B10" s="1">
        <v>2.2000000000000002</v>
      </c>
      <c r="C10" s="1">
        <v>35</v>
      </c>
      <c r="D10" s="1">
        <f>COUNT(3,4,4,4,4,4,4,0,0,0,0,0,4,4,3,4,4,4)</f>
        <v>18</v>
      </c>
      <c r="E10" s="17">
        <f>AVERAGE(3,4,4,4,4,4,4,0,0,0,0,0,4,4,3,4,4,4)</f>
        <v>2.7777777777777777</v>
      </c>
      <c r="F10" s="17">
        <f>STDEV(3,4,4,4,4,4,4,0,0,0,0,0,4,4,3,4,4,4)</f>
        <v>1.8005082797253327</v>
      </c>
      <c r="G10" s="1">
        <v>3</v>
      </c>
      <c r="H10" s="18">
        <f>G10/D10</f>
        <v>0.16666666666666666</v>
      </c>
      <c r="I10" s="1">
        <v>1</v>
      </c>
      <c r="J10" s="1" t="s">
        <v>9</v>
      </c>
      <c r="K10" s="1" t="s">
        <v>15</v>
      </c>
      <c r="L10" s="1" t="s">
        <v>15</v>
      </c>
      <c r="N10" s="9" t="s">
        <v>11</v>
      </c>
      <c r="O10" s="22"/>
      <c r="P10" s="22"/>
      <c r="Q10" s="22"/>
      <c r="R10" s="22"/>
      <c r="S10" s="11"/>
    </row>
    <row r="11" spans="1:19" x14ac:dyDescent="0.2">
      <c r="A11" s="1">
        <v>2</v>
      </c>
      <c r="B11" s="1">
        <v>3.2</v>
      </c>
      <c r="C11" s="1">
        <v>35</v>
      </c>
      <c r="D11" s="1">
        <f>COUNT(0,0,0,4,0,1,2,0,0,0,0,0,4)</f>
        <v>13</v>
      </c>
      <c r="E11" s="17">
        <f>AVERAGE(0,0,0,4,0,1,2,0,0,0,0,0,4)</f>
        <v>0.84615384615384615</v>
      </c>
      <c r="F11" s="17">
        <f>STDEV(0,0,0,4,0,1,2,0,0,0,0,0,4)</f>
        <v>1.5191090506255001</v>
      </c>
      <c r="G11" s="1">
        <v>1</v>
      </c>
      <c r="H11" s="18">
        <f>G11/D11</f>
        <v>7.6923076923076927E-2</v>
      </c>
      <c r="I11" s="1">
        <v>0</v>
      </c>
      <c r="J11" s="1" t="s">
        <v>9</v>
      </c>
      <c r="K11" s="1" t="s">
        <v>15</v>
      </c>
      <c r="L11" s="1" t="s">
        <v>15</v>
      </c>
      <c r="N11" s="9" t="s">
        <v>12</v>
      </c>
      <c r="O11" s="22"/>
      <c r="P11" s="22"/>
      <c r="Q11" s="22"/>
      <c r="R11" s="22"/>
      <c r="S11" s="11"/>
    </row>
    <row r="12" spans="1:19" x14ac:dyDescent="0.2">
      <c r="A12" s="1">
        <v>4</v>
      </c>
      <c r="B12" s="1">
        <v>1.4</v>
      </c>
      <c r="C12" s="1">
        <v>30</v>
      </c>
      <c r="D12" s="1">
        <f>COUNT(0,0,0,0,0,0,0,0,0,0,0,0,0,0,0,0)</f>
        <v>16</v>
      </c>
      <c r="E12" s="17">
        <f>AVERAGE(0,0,0,0,0,0,0,0,0,0,0,0,0,0,0,0)</f>
        <v>0</v>
      </c>
      <c r="F12" s="17">
        <f>STDEV(0,0,0,0,0,0,0,0,0,0,0,0,0,0,0,0)</f>
        <v>0</v>
      </c>
      <c r="G12" s="1">
        <v>0</v>
      </c>
      <c r="H12" s="18">
        <f>G12/D12</f>
        <v>0</v>
      </c>
      <c r="I12" s="1">
        <v>0</v>
      </c>
      <c r="J12" s="1" t="s">
        <v>9</v>
      </c>
      <c r="K12" s="1" t="s">
        <v>15</v>
      </c>
      <c r="L12" s="1" t="s">
        <v>15</v>
      </c>
      <c r="N12" s="9" t="s">
        <v>13</v>
      </c>
      <c r="O12" s="22"/>
      <c r="P12" s="22"/>
      <c r="Q12" s="22"/>
      <c r="R12" s="22"/>
      <c r="S12" s="11"/>
    </row>
    <row r="13" spans="1:19" ht="16" thickBot="1" x14ac:dyDescent="0.25">
      <c r="A13" s="1">
        <v>4</v>
      </c>
      <c r="B13" s="1">
        <v>2.4</v>
      </c>
      <c r="C13" s="1">
        <v>25</v>
      </c>
      <c r="D13" s="1">
        <f>COUNT(0,0,0,0,0,0,0,0,0,0,0,0)</f>
        <v>12</v>
      </c>
      <c r="E13" s="17">
        <f>AVERAGE(0,0,0,0,0,0,0,0,0,0,0,0)</f>
        <v>0</v>
      </c>
      <c r="F13" s="17">
        <f>STDEV(0,0,0,0,0,0,0,0,0,0,0,0)</f>
        <v>0</v>
      </c>
      <c r="G13" s="1">
        <v>1</v>
      </c>
      <c r="H13" s="18">
        <f>G13/D13</f>
        <v>8.3333333333333329E-2</v>
      </c>
      <c r="I13" s="1">
        <v>0</v>
      </c>
      <c r="J13" s="1" t="s">
        <v>9</v>
      </c>
      <c r="K13" s="1" t="s">
        <v>15</v>
      </c>
      <c r="L13" s="1" t="s">
        <v>15</v>
      </c>
      <c r="N13" s="12" t="s">
        <v>14</v>
      </c>
      <c r="O13" s="13"/>
      <c r="P13" s="13"/>
      <c r="Q13" s="13"/>
      <c r="R13" s="13"/>
      <c r="S13" s="14"/>
    </row>
    <row r="14" spans="1:19" x14ac:dyDescent="0.2">
      <c r="A14" s="1">
        <v>4</v>
      </c>
      <c r="B14" s="1">
        <v>3.4</v>
      </c>
      <c r="C14" s="1">
        <v>25</v>
      </c>
      <c r="D14" s="1">
        <f>COUNT(0,0,0,0,0,0,0,0,0,0,0,0,0,0,0,0)</f>
        <v>16</v>
      </c>
      <c r="E14" s="17">
        <f>AVERAGE(0,0,0,0,0,0,0,0,0,0,0,0,0,0,0,0)</f>
        <v>0</v>
      </c>
      <c r="F14" s="17">
        <f>STDEV(0,0,0,0,0,0,0,0,0,0,0,0,0,0,0,0)</f>
        <v>0</v>
      </c>
      <c r="G14" s="1">
        <v>0</v>
      </c>
      <c r="H14" s="18">
        <f>G14/D14</f>
        <v>0</v>
      </c>
      <c r="I14" s="1">
        <v>0</v>
      </c>
      <c r="J14" s="1" t="s">
        <v>9</v>
      </c>
      <c r="K14" s="1" t="s">
        <v>15</v>
      </c>
      <c r="L14" s="1" t="s">
        <v>15</v>
      </c>
    </row>
    <row r="15" spans="1:19" x14ac:dyDescent="0.2">
      <c r="A15" s="1">
        <v>6</v>
      </c>
      <c r="B15" s="1">
        <v>1.6</v>
      </c>
      <c r="C15" s="1">
        <v>10</v>
      </c>
      <c r="D15" s="1">
        <f>COUNT(0,0,0,0,0,0,0,0,0,0,0,0,0,0,0,0,0,0)</f>
        <v>18</v>
      </c>
      <c r="E15" s="17">
        <f>AVERAGE(0,0,0,0,0,0,0,0,0,0,0,0,0,0,0,0,0,0)</f>
        <v>0</v>
      </c>
      <c r="F15" s="17">
        <f>STDEV(0,0,0,0,0,0,0,0,0,0,0,0,0,0,0,0,0,0)</f>
        <v>0</v>
      </c>
      <c r="G15" s="1">
        <v>0</v>
      </c>
      <c r="H15" s="18">
        <f>G15/D15</f>
        <v>0</v>
      </c>
      <c r="I15" s="1">
        <v>0</v>
      </c>
      <c r="J15" s="1" t="s">
        <v>9</v>
      </c>
      <c r="K15" s="1" t="s">
        <v>15</v>
      </c>
      <c r="L15" s="1" t="s">
        <v>15</v>
      </c>
    </row>
    <row r="16" spans="1:19" x14ac:dyDescent="0.2">
      <c r="A16" s="1">
        <v>6</v>
      </c>
      <c r="B16" s="1">
        <v>2.6</v>
      </c>
      <c r="C16" s="1">
        <v>20</v>
      </c>
      <c r="D16" s="1">
        <f>COUNT(0,0,0,0,0,0,0,0,0,0,0,0,0,0,0,0,0,0,0,0,0,0,0,0,0)</f>
        <v>25</v>
      </c>
      <c r="E16" s="17">
        <f>AVERAGE(0,0,0,0,0,0,0,0,0,0,0,0,0,0,0,0,0,0,0,0,0,0,0,0,0)</f>
        <v>0</v>
      </c>
      <c r="F16" s="17">
        <f>STDEV(0,0,0,0,0,0,0,0,0,0,0,0,0,0,0,0,0,0,0,0,0,0,0,0,0)</f>
        <v>0</v>
      </c>
      <c r="G16" s="1">
        <v>0</v>
      </c>
      <c r="H16" s="18">
        <f>G16/D16</f>
        <v>0</v>
      </c>
      <c r="I16" s="1">
        <v>0</v>
      </c>
      <c r="J16" s="1" t="s">
        <v>9</v>
      </c>
      <c r="K16" s="1" t="s">
        <v>15</v>
      </c>
      <c r="L16" s="1" t="s">
        <v>15</v>
      </c>
    </row>
    <row r="17" spans="1:12" x14ac:dyDescent="0.2">
      <c r="A17" s="1">
        <v>6</v>
      </c>
      <c r="B17" s="1">
        <v>3.6</v>
      </c>
      <c r="C17" s="1">
        <v>20</v>
      </c>
      <c r="D17" s="1">
        <f>COUNT(0,0,0,0,0,0,0,0,0,0,0,0,0,0,0,0,0,0,0,0,0)</f>
        <v>21</v>
      </c>
      <c r="E17" s="17">
        <f>AVERAGE(0,0,0,0,0,0,0,0,0,0,0,0,0,0,0,0,0,0,0,0,0)</f>
        <v>0</v>
      </c>
      <c r="F17" s="17">
        <f>STDEV(0,0,0,0,0,0,0,0,0,0,0,0,0,0,0,0,0,0,0,0,0)</f>
        <v>0</v>
      </c>
      <c r="G17" s="1">
        <v>0</v>
      </c>
      <c r="H17" s="18">
        <f>G17/D17</f>
        <v>0</v>
      </c>
      <c r="I17" s="1">
        <v>0</v>
      </c>
      <c r="J17" s="1" t="s">
        <v>9</v>
      </c>
      <c r="K17" s="1" t="s">
        <v>15</v>
      </c>
      <c r="L17" s="1" t="s">
        <v>15</v>
      </c>
    </row>
    <row r="18" spans="1:12" x14ac:dyDescent="0.2">
      <c r="E18" s="2"/>
      <c r="F18" s="2"/>
      <c r="H18" s="3"/>
    </row>
    <row r="19" spans="1:12" x14ac:dyDescent="0.2">
      <c r="E19" s="2"/>
      <c r="F19" s="2"/>
      <c r="H19" s="3"/>
    </row>
    <row r="20" spans="1:12" x14ac:dyDescent="0.2">
      <c r="E20" s="2"/>
      <c r="F20" s="2"/>
      <c r="H20" s="3"/>
    </row>
    <row r="21" spans="1:12" x14ac:dyDescent="0.2">
      <c r="E21" s="2"/>
      <c r="F21" s="2"/>
      <c r="H21" s="3"/>
    </row>
    <row r="22" spans="1:12" x14ac:dyDescent="0.2">
      <c r="E22" s="2"/>
      <c r="F22" s="2"/>
      <c r="H22" s="3"/>
    </row>
    <row r="23" spans="1:12" ht="24" x14ac:dyDescent="0.3">
      <c r="A23" s="4" t="s">
        <v>1</v>
      </c>
      <c r="E23" s="2"/>
      <c r="F23" s="2"/>
      <c r="H23" s="3"/>
    </row>
    <row r="24" spans="1:12" x14ac:dyDescent="0.2">
      <c r="E24" s="2"/>
      <c r="F24" s="2"/>
      <c r="H24" s="3"/>
    </row>
    <row r="25" spans="1:12" s="5" customFormat="1" x14ac:dyDescent="0.2">
      <c r="A25" s="16" t="s">
        <v>8</v>
      </c>
      <c r="B25" s="5" t="s">
        <v>7</v>
      </c>
      <c r="C25" s="5" t="s">
        <v>2</v>
      </c>
      <c r="D25" s="5" t="s">
        <v>17</v>
      </c>
      <c r="E25" s="5" t="s">
        <v>18</v>
      </c>
      <c r="F25" s="5" t="s">
        <v>19</v>
      </c>
      <c r="G25" s="5" t="s">
        <v>20</v>
      </c>
      <c r="H25" s="5" t="s">
        <v>22</v>
      </c>
      <c r="I25" s="5" t="s">
        <v>16</v>
      </c>
      <c r="J25" s="5" t="s">
        <v>3</v>
      </c>
      <c r="K25" s="5" t="s">
        <v>4</v>
      </c>
    </row>
    <row r="26" spans="1:12" x14ac:dyDescent="0.2">
      <c r="A26" s="1" t="s">
        <v>9</v>
      </c>
      <c r="B26" s="1" t="s">
        <v>24</v>
      </c>
      <c r="C26" s="1">
        <v>0</v>
      </c>
      <c r="D26" s="1">
        <f>COUNT(0,0,0,0,0,0,0,0,0,0,0,0,0,0,0,0,0,0,0,0,0,0,0,0)</f>
        <v>24</v>
      </c>
      <c r="E26" s="17">
        <f>AVERAGE(0,0,0,0,0,0,0,0,0,0,0,0,0,0,0,0,0,0,0,0,0,0,0,0)</f>
        <v>0</v>
      </c>
      <c r="F26" s="17">
        <f>STDEV(0,0,0,0,0,0,0,0,0,0,0,0,0,0,0,0,0,0,0,0,0,0,0,0)</f>
        <v>0</v>
      </c>
      <c r="G26" s="1">
        <v>0</v>
      </c>
      <c r="H26" s="18">
        <f>G26/D26</f>
        <v>0</v>
      </c>
      <c r="I26" s="1">
        <v>0</v>
      </c>
      <c r="J26" s="1" t="s">
        <v>9</v>
      </c>
      <c r="K26" s="1" t="s">
        <v>15</v>
      </c>
    </row>
    <row r="27" spans="1:12" x14ac:dyDescent="0.2">
      <c r="A27" s="1" t="s">
        <v>9</v>
      </c>
      <c r="B27" s="1" t="s">
        <v>25</v>
      </c>
      <c r="C27" s="1">
        <v>0</v>
      </c>
      <c r="D27" s="1">
        <f>COUNT(0,0,0,0,0,0,0,0,0,0,0,0,0,0,0,0,0,0,0,0,0,0,0,0,0,0,0,0,0,0,0,0,0)</f>
        <v>33</v>
      </c>
      <c r="E27" s="17">
        <f>AVERAGE(0,0,0,0,0,0,0,0,0,0,0,0,0,0,0,0,0,0,0,0,0,0,0,0,0,0,0,0,0,0,0,0,0)</f>
        <v>0</v>
      </c>
      <c r="F27" s="17">
        <f>STDEV(0,0,0,0,0,0,0,0,0,0,0,0,0,0,0,0,0,0,0,0,0,0,0,0,0,0,0,0,0,0,0,0,0)</f>
        <v>0</v>
      </c>
      <c r="G27" s="1">
        <v>0</v>
      </c>
      <c r="H27" s="18">
        <f>G27/D27</f>
        <v>0</v>
      </c>
      <c r="I27" s="1">
        <v>0</v>
      </c>
      <c r="J27" s="1" t="s">
        <v>9</v>
      </c>
      <c r="K27" s="1" t="s">
        <v>15</v>
      </c>
    </row>
    <row r="28" spans="1:12" x14ac:dyDescent="0.2">
      <c r="A28" s="1" t="s">
        <v>9</v>
      </c>
      <c r="B28" s="1" t="s">
        <v>26</v>
      </c>
      <c r="C28" s="1">
        <v>0</v>
      </c>
      <c r="D28" s="1">
        <f>COUNT(0,0,0,0,0,0,0,0,0,0,0,0,0,0)</f>
        <v>14</v>
      </c>
      <c r="E28" s="17">
        <f>AVERAGE(0,0,0,0,0,0,0,0,0,0,0,0,0,0)</f>
        <v>0</v>
      </c>
      <c r="F28" s="17">
        <f>STDEV(0,0,0,0,0,0,0,0,0,0,0,0,0,0)</f>
        <v>0</v>
      </c>
      <c r="G28" s="1">
        <v>0</v>
      </c>
      <c r="H28" s="18">
        <f>G28/D28</f>
        <v>0</v>
      </c>
      <c r="I28" s="1">
        <v>0</v>
      </c>
      <c r="J28" s="1" t="s">
        <v>9</v>
      </c>
      <c r="K28" s="1" t="s">
        <v>15</v>
      </c>
    </row>
    <row r="29" spans="1:12" x14ac:dyDescent="0.2">
      <c r="A29" s="1" t="s">
        <v>9</v>
      </c>
      <c r="B29" s="1" t="s">
        <v>27</v>
      </c>
      <c r="C29" s="1">
        <v>0</v>
      </c>
      <c r="D29" s="1">
        <f>COUNT(0,0,0,0,0,0,0,0,0,0,0)</f>
        <v>11</v>
      </c>
      <c r="E29" s="17">
        <f>AVERAGE(0,0,0,0,0,0,0,0,0,0,0)</f>
        <v>0</v>
      </c>
      <c r="F29" s="17">
        <f>STDEV(0,0,0,0,0,0,0,0,0,0,0)</f>
        <v>0</v>
      </c>
      <c r="G29" s="1">
        <v>0</v>
      </c>
      <c r="H29" s="18">
        <f>G29/D29</f>
        <v>0</v>
      </c>
      <c r="I29" s="1">
        <v>0</v>
      </c>
      <c r="J29" s="1" t="s">
        <v>9</v>
      </c>
      <c r="K29" s="1" t="s">
        <v>15</v>
      </c>
    </row>
    <row r="30" spans="1:12" x14ac:dyDescent="0.2">
      <c r="A30" s="1" t="s">
        <v>9</v>
      </c>
      <c r="B30" s="1" t="s">
        <v>28</v>
      </c>
      <c r="C30" s="1">
        <v>0</v>
      </c>
      <c r="D30" s="1">
        <f>COUNT(0,0,0,0,0,0,0,0,0,0,0,0,0,0,0,0,0,0,0,0,0,0,0,0,0,0)</f>
        <v>26</v>
      </c>
      <c r="E30" s="17">
        <f>AVERAGE(0,0,0,0,0,0,0,0,0,0,0,0,0,0,0,0,0,0,0,0,0,0,0,0,0,0)</f>
        <v>0</v>
      </c>
      <c r="F30" s="17">
        <f>STDEV(0,0,0,0,0,0,0,0,0,0,0,0,0,0,0,0,0,0,0,0,0,0,0,0,0,0)</f>
        <v>0</v>
      </c>
      <c r="G30" s="1">
        <v>0</v>
      </c>
      <c r="H30" s="18">
        <f>G30/D30</f>
        <v>0</v>
      </c>
      <c r="I30" s="1">
        <v>0</v>
      </c>
      <c r="J30" s="1" t="s">
        <v>9</v>
      </c>
      <c r="K30" s="1" t="s">
        <v>15</v>
      </c>
    </row>
    <row r="31" spans="1:12" x14ac:dyDescent="0.2">
      <c r="A31" s="1" t="s">
        <v>9</v>
      </c>
      <c r="B31" s="1" t="s">
        <v>29</v>
      </c>
      <c r="C31" s="1">
        <v>0</v>
      </c>
      <c r="D31" s="1">
        <f>COUNT(0,0,0,0,0,0,0,0,0,0,0,0,0,0,0,0,0,0,0,0,0,0,0,0,0,0,0,0,0,0,0,0,0,0,0,0,0,0,0,0,0,0,0,0,0,0,0,0)</f>
        <v>48</v>
      </c>
      <c r="E31" s="17">
        <f>AVERAGE(0,0,0,0,0,0,0,0,0,0,0,0,0,0,0,0,0,0,0,0,0,0,0,0,0,0,0,0,0,0,0,0,0,0,0,0,0,0,0,0,0,0,0,0,0,0,0,0)</f>
        <v>0</v>
      </c>
      <c r="F31" s="17">
        <f>STDEV(0,0,0,0,0,0,0,0,0,0,0,0,0,0,0,0,0,0,0,0,0,0,0,0,0,0,0,0,0,0,0,0,0,0,0,0,0,0,0,0,0,0,0,0,0,0,0,0)</f>
        <v>0</v>
      </c>
      <c r="G31" s="1">
        <v>0</v>
      </c>
      <c r="H31" s="18">
        <f>G31/D31</f>
        <v>0</v>
      </c>
      <c r="I31" s="1">
        <v>0</v>
      </c>
      <c r="J31" s="1" t="s">
        <v>9</v>
      </c>
      <c r="K31" s="1" t="s">
        <v>15</v>
      </c>
    </row>
    <row r="32" spans="1:12" x14ac:dyDescent="0.2">
      <c r="A32" s="1">
        <v>2</v>
      </c>
      <c r="B32" s="1" t="s">
        <v>30</v>
      </c>
      <c r="C32" s="1">
        <v>50</v>
      </c>
      <c r="D32" s="1">
        <f>COUNT(1,1,1,1,4,2,3,2,4,3,4,4,3,4,4,2,0,0,1,3,1,1,3,2,2)</f>
        <v>25</v>
      </c>
      <c r="E32" s="17">
        <f>AVERAGE(1,1,1,1,4,2,3,2,4,3,4,4,3,4,4,2,0,0,1,3,1,1,3,2,2)</f>
        <v>2.2400000000000002</v>
      </c>
      <c r="F32" s="17">
        <f>STDEV(1,1,1,1,4,2,3,2,4,3,4,4,3,4,4,2,0,0,1,3,1,1,3,2,2)</f>
        <v>1.3316656236958786</v>
      </c>
      <c r="G32" s="1">
        <v>16</v>
      </c>
      <c r="H32" s="18">
        <f>G32/D32</f>
        <v>0.64</v>
      </c>
      <c r="I32" s="1">
        <v>1</v>
      </c>
      <c r="J32" s="1" t="s">
        <v>48</v>
      </c>
      <c r="K32" s="1" t="s">
        <v>15</v>
      </c>
    </row>
    <row r="33" spans="1:11" x14ac:dyDescent="0.2">
      <c r="A33" s="1">
        <v>2</v>
      </c>
      <c r="B33" s="1" t="s">
        <v>31</v>
      </c>
      <c r="C33" s="1">
        <v>60</v>
      </c>
      <c r="D33" s="1">
        <f>COUNT(4,4,4,4,4,3,3,4,4,4,4,4,4,4,4,3,2,4,,2,1,3,4,4,4,1,2,4,4,3,1,1,2,3)</f>
        <v>34</v>
      </c>
      <c r="E33" s="17">
        <f>AVERAGE(4,4,4,4,4,3,3,4,4,4,4,4,4,4,4,3,2,4,,2,1,3,4,4,4,1,2,4,4,3,1,1,2,3)</f>
        <v>3.1176470588235294</v>
      </c>
      <c r="F33" s="17">
        <f>STDEV(4,4,4,4,4,3,3,4,4,4,4,4,4,4,4,3,2,4,,2,1,3,4,4,4,1,2,4,4,3,1,1,2,3)</f>
        <v>1.2001188295294289</v>
      </c>
      <c r="G33" s="1">
        <v>15</v>
      </c>
      <c r="H33" s="18">
        <f>G33/D33</f>
        <v>0.44117647058823528</v>
      </c>
      <c r="I33" s="1">
        <v>1</v>
      </c>
      <c r="J33" s="1" t="s">
        <v>9</v>
      </c>
      <c r="K33" s="1" t="s">
        <v>15</v>
      </c>
    </row>
    <row r="34" spans="1:11" x14ac:dyDescent="0.2">
      <c r="A34" s="1">
        <v>2</v>
      </c>
      <c r="B34" s="1" t="s">
        <v>32</v>
      </c>
      <c r="C34" s="1">
        <v>60</v>
      </c>
      <c r="D34" s="1">
        <f>COUNT(3,2,3,4,4,3,3,4,4,3,2,2,4,4,4,4,3,4,1,3,3,4,4,0,1,0,0,0,0,4,4,4,4,4)</f>
        <v>34</v>
      </c>
      <c r="E34" s="17">
        <f>AVERAGE(3,2,3,4,4,3,3,4,4,3,2,2,4,4,4,4,3,4,1,3,3,4,4,0,1,0,0,0,0,4,4,4,4,4)</f>
        <v>2.8235294117647061</v>
      </c>
      <c r="F34" s="17">
        <f>STDEV(3,2,3,4,4,3,3,4,4,3,2,2,4,4,4,4,3,4,1,3,3,4,4,0,1,0,0,0,0,4,4,4,4,4)</f>
        <v>1.4661966513127955</v>
      </c>
      <c r="G34" s="1">
        <v>9</v>
      </c>
      <c r="H34" s="18">
        <f>G34/D34</f>
        <v>0.26470588235294118</v>
      </c>
      <c r="I34" s="1">
        <v>1</v>
      </c>
      <c r="J34" s="1" t="s">
        <v>15</v>
      </c>
      <c r="K34" s="1" t="s">
        <v>15</v>
      </c>
    </row>
    <row r="35" spans="1:11" x14ac:dyDescent="0.2">
      <c r="A35" s="1">
        <v>2</v>
      </c>
      <c r="B35" s="1" t="s">
        <v>33</v>
      </c>
      <c r="C35" s="1">
        <v>25</v>
      </c>
      <c r="D35" s="1">
        <f>COUNT(4,2,2,1,1,2,2,4,4,2,3,2,3,3,4,1,4,4,4,1,4,3,4,1,2,3,2,1,2,3)</f>
        <v>30</v>
      </c>
      <c r="E35" s="17">
        <f>AVERAGE(4,2,2,1,1,2,2,4,4,2,3,2,3,3,4,1,4,4,4,1,4,3,4,1,2,3,2,1,2,3)</f>
        <v>2.6</v>
      </c>
      <c r="F35" s="17">
        <f>STDEV(4,2,2,1,1,2,2,4,4,2,3,2,3,3,4,1,4,4,4,1,4,3,4,1,2,3,2,1,2,3)</f>
        <v>1.132589343358684</v>
      </c>
      <c r="G35" s="1">
        <v>3</v>
      </c>
      <c r="H35" s="18">
        <f>G35/D35</f>
        <v>0.1</v>
      </c>
      <c r="I35" s="1">
        <v>1</v>
      </c>
      <c r="J35" s="1" t="s">
        <v>9</v>
      </c>
      <c r="K35" s="1" t="s">
        <v>15</v>
      </c>
    </row>
    <row r="36" spans="1:11" x14ac:dyDescent="0.2">
      <c r="A36" s="1">
        <v>2</v>
      </c>
      <c r="B36" s="1" t="s">
        <v>34</v>
      </c>
      <c r="C36" s="1">
        <v>30</v>
      </c>
      <c r="D36" s="1">
        <f>COUNT(2,4,1,3,3,4,4,3,2,2,4,1,1,2,4,4,3,3,3,3,4,4,1,2,1,1,3,4,4,4)</f>
        <v>30</v>
      </c>
      <c r="E36" s="17">
        <f>AVERAGE(2,4,1,3,3,4,4,3,2,2,4,1,1,2,4,4,3,3,3,3,4,4,1,2,1,1,3,4,4,4)</f>
        <v>2.8</v>
      </c>
      <c r="F36" s="17">
        <f>STDEV(2,4,1,3,3,4,4,3,2,2,4,1,1,2,4,4,3,3,3,3,4,4,1,2,1,1,3,4,4,4)</f>
        <v>1.156689688067962</v>
      </c>
      <c r="G36" s="1">
        <v>10</v>
      </c>
      <c r="H36" s="18">
        <f>G36/D36</f>
        <v>0.33333333333333331</v>
      </c>
      <c r="I36" s="1">
        <v>1</v>
      </c>
      <c r="J36" s="1" t="s">
        <v>15</v>
      </c>
      <c r="K36" s="1" t="s">
        <v>15</v>
      </c>
    </row>
    <row r="37" spans="1:11" x14ac:dyDescent="0.2">
      <c r="A37" s="1">
        <v>2</v>
      </c>
      <c r="B37" s="1" t="s">
        <v>35</v>
      </c>
      <c r="C37" s="1">
        <v>60</v>
      </c>
      <c r="D37" s="1">
        <f>COUNT(3,2,3,4,1,2,4,0,1,1,2,3,3,4,4,3,0,1,4,4,1,2,4,4,4,3,1,3,1,1,1,2,1,1,1,2,2,3,2,4)</f>
        <v>40</v>
      </c>
      <c r="E37" s="17">
        <f>AVERAGE(3,2,3,4,1,2,4,0,1,1,2,3,3,4,4,3,0,1,4,4,1,2,4,4,4,3,1,3,1,1,1,2,1,1,1,2,2,3,2,4)</f>
        <v>2.2999999999999998</v>
      </c>
      <c r="F37" s="17">
        <f>STDEV(3,2,3,4,1,2,4,0,1,1,2,3,3,4,4,3,0,1,4,4,1,2,4,4,4,3,1,3,1,1,1,2,1,1,1,2,2,3,2,4)</f>
        <v>1.2850221987506876</v>
      </c>
      <c r="G37" s="1">
        <v>14</v>
      </c>
      <c r="H37" s="18">
        <f>G37/D37</f>
        <v>0.35</v>
      </c>
      <c r="I37" s="1">
        <v>1</v>
      </c>
      <c r="J37" s="1" t="s">
        <v>9</v>
      </c>
      <c r="K37" s="1" t="s">
        <v>15</v>
      </c>
    </row>
    <row r="38" spans="1:11" x14ac:dyDescent="0.2">
      <c r="A38" s="1">
        <v>4</v>
      </c>
      <c r="B38" s="1" t="s">
        <v>36</v>
      </c>
      <c r="C38" s="1">
        <v>25</v>
      </c>
      <c r="D38" s="1">
        <f>COUNT(0,0,1,0,0,0,0,0,0,0,0,1,0,1,0,0,0,0,0,0,0,1,0,0,0,0)</f>
        <v>26</v>
      </c>
      <c r="E38" s="17">
        <f>AVERAGE(0,0,1,0,0,0,0,0,0,0,0,1,0,1,0,0,0,0,0,0,0,1,0,0,0,0)</f>
        <v>0.15384615384615385</v>
      </c>
      <c r="F38" s="17">
        <f>STDEV(0,0,1,0,0,0,0,0,0,0,0,1,0,1,0,0,0,0,0,0,0,1,0,0,0,0)</f>
        <v>0.36794648440311994</v>
      </c>
      <c r="G38" s="1">
        <v>0</v>
      </c>
      <c r="H38" s="18">
        <f>G38/D38</f>
        <v>0</v>
      </c>
      <c r="I38" s="1">
        <v>0</v>
      </c>
      <c r="J38" s="1" t="s">
        <v>15</v>
      </c>
      <c r="K38" s="1" t="s">
        <v>15</v>
      </c>
    </row>
    <row r="39" spans="1:11" x14ac:dyDescent="0.2">
      <c r="A39" s="1">
        <v>4</v>
      </c>
      <c r="B39" s="1" t="s">
        <v>37</v>
      </c>
      <c r="C39" s="1">
        <v>5</v>
      </c>
      <c r="D39" s="1">
        <f>COUNT(0,0,0,0,0,0,0,0,0,0,0,0,0,0,0,0,0,0,0,0,0,0,0,0,0,0,0,0,0,0,0,0,0,0,0,0,0,0,0,0,0,0,0,0,0,0)</f>
        <v>46</v>
      </c>
      <c r="E39" s="17">
        <f>AVERAGE(0,0,0,0,0,0,0,0,0,0,0,0,0,0,0,0,0,0,0,0,0,0,0,0,0,0,0,0,0,0,0,0,0,0,0,0,0,0,0,0,0,0,0,0,0,0)</f>
        <v>0</v>
      </c>
      <c r="F39" s="17">
        <f>STDEV(0,0,0,0,0,0,0,0,0,0,0,0,0,0,0,0,0,0,0,0,0,0,0,0,0,0,0,0,0,0,0,0,0,0,0,0,0,0,0,0,0,0,0,0,0,0)</f>
        <v>0</v>
      </c>
      <c r="G39" s="1">
        <v>0</v>
      </c>
      <c r="H39" s="18">
        <f>G39/D39</f>
        <v>0</v>
      </c>
      <c r="I39" s="1">
        <v>0</v>
      </c>
      <c r="J39" s="1" t="s">
        <v>9</v>
      </c>
      <c r="K39" s="1" t="s">
        <v>15</v>
      </c>
    </row>
    <row r="40" spans="1:11" x14ac:dyDescent="0.2">
      <c r="A40" s="1">
        <v>4</v>
      </c>
      <c r="B40" s="1" t="s">
        <v>38</v>
      </c>
      <c r="C40" s="1">
        <v>15</v>
      </c>
      <c r="D40" s="1">
        <f>COUNT(0,0,0,0,0,0,0,0,0,0,0,0,0,0,0,0,0,0,0,0,0,0)</f>
        <v>22</v>
      </c>
      <c r="E40" s="17">
        <f>AVERAGE(0,0,0,0,0,0,0,0,0,0,0,0,0,0,0,0,0,0,0,0,0,0)</f>
        <v>0</v>
      </c>
      <c r="F40" s="17">
        <f>STDEV(0,0,0,0,0,0,0,0,0,0,0,0,0,0,0,0,0,0,0,0,0,0)</f>
        <v>0</v>
      </c>
      <c r="G40" s="1">
        <v>0</v>
      </c>
      <c r="H40" s="18">
        <f>G40/D40</f>
        <v>0</v>
      </c>
      <c r="I40" s="1">
        <v>0</v>
      </c>
      <c r="J40" s="1" t="s">
        <v>9</v>
      </c>
      <c r="K40" s="1" t="s">
        <v>15</v>
      </c>
    </row>
    <row r="41" spans="1:11" x14ac:dyDescent="0.2">
      <c r="A41" s="1">
        <v>4</v>
      </c>
      <c r="B41" s="1" t="s">
        <v>39</v>
      </c>
      <c r="C41" s="1">
        <v>20</v>
      </c>
      <c r="D41" s="1">
        <f>COUNT(0,0,0,0,0,0,0,0,0,0,0,0,0,1,0,0,0)</f>
        <v>17</v>
      </c>
      <c r="E41" s="17">
        <f>AVERAGE(0,0,0,0,0,0,0,0,0,0,0,0,0,1,0,0,0)</f>
        <v>5.8823529411764705E-2</v>
      </c>
      <c r="F41" s="17">
        <f>STDEV(0,0,0,0,0,0,0,0,0,0,0,0,0,1,0,0,0)</f>
        <v>0.24253562503633297</v>
      </c>
      <c r="G41" s="1">
        <v>0</v>
      </c>
      <c r="H41" s="18">
        <f>G41/D41</f>
        <v>0</v>
      </c>
      <c r="I41" s="1">
        <v>0</v>
      </c>
      <c r="J41" s="1" t="s">
        <v>9</v>
      </c>
      <c r="K41" s="1" t="s">
        <v>15</v>
      </c>
    </row>
    <row r="42" spans="1:11" x14ac:dyDescent="0.2">
      <c r="A42" s="1">
        <v>4</v>
      </c>
      <c r="B42" s="1" t="s">
        <v>40</v>
      </c>
      <c r="C42" s="1">
        <v>30</v>
      </c>
      <c r="D42" s="1">
        <f>COUNT(0,0,0,0,0,0,0,0,0,0,0,0,0,0,0,0,0,0,0,0,0,1,1,1)</f>
        <v>24</v>
      </c>
      <c r="E42" s="17">
        <f>AVERAGE(0,0,0,0,0,0,0,0,0,0,0,0,0,0,0,0,0,0,0,0,0,1,1,1)</f>
        <v>0.125</v>
      </c>
      <c r="F42" s="17">
        <f>STDEV(0,0,0,0,0,0,0,0,0,0,0,0,0,0,0,0,0,0,0,0,0,1,1,1)</f>
        <v>0.33783196234608809</v>
      </c>
      <c r="G42" s="1">
        <v>0</v>
      </c>
      <c r="H42" s="18">
        <f>G42/D42</f>
        <v>0</v>
      </c>
      <c r="I42" s="1">
        <v>0</v>
      </c>
      <c r="J42" s="1" t="s">
        <v>15</v>
      </c>
      <c r="K42" s="1" t="s">
        <v>15</v>
      </c>
    </row>
    <row r="43" spans="1:11" x14ac:dyDescent="0.2">
      <c r="A43" s="1">
        <v>4</v>
      </c>
      <c r="B43" s="1" t="s">
        <v>41</v>
      </c>
      <c r="C43" s="1">
        <v>15</v>
      </c>
      <c r="D43" s="1">
        <f>COUNT(0,0,0,0,0,0,0,0,0,0,0,0,0,0,0,0,0,0,0,0,1,1)</f>
        <v>22</v>
      </c>
      <c r="E43" s="17">
        <f>AVERAGE(0,0,0,0,0,0,0,0,0,0,0,0,0,0,0,0,0,0,0,0,1,1)</f>
        <v>9.0909090909090912E-2</v>
      </c>
      <c r="F43" s="17">
        <f>STDEV(0,0,0,0,0,0,0,0,0,0,0,0,0,0,0,0,0,0,0,0,1,1)</f>
        <v>0.29424494316824984</v>
      </c>
      <c r="G43" s="1">
        <v>0</v>
      </c>
      <c r="H43" s="18">
        <f>G43/D43</f>
        <v>0</v>
      </c>
      <c r="I43" s="1">
        <v>0</v>
      </c>
      <c r="J43" s="1" t="s">
        <v>15</v>
      </c>
      <c r="K43" s="1" t="s">
        <v>15</v>
      </c>
    </row>
    <row r="44" spans="1:11" x14ac:dyDescent="0.2">
      <c r="A44" s="1">
        <v>7</v>
      </c>
      <c r="B44" s="1" t="s">
        <v>42</v>
      </c>
      <c r="C44" s="1" t="s">
        <v>49</v>
      </c>
      <c r="D44" s="1">
        <f>COUNT(0,0,0,0,0,0,0,0,0,0,0,0,0,0,0,0,0,0,0,0,0,0,0,0,0,0,0)</f>
        <v>27</v>
      </c>
      <c r="E44" s="17">
        <f>AVERAGE(0,0,0,0,0,0,0,0,0,0,0,0,0,0,0,0,0,0,0,0,0,0,0,0,0,0,0)</f>
        <v>0</v>
      </c>
      <c r="F44" s="17">
        <f>STDEV(0,0,0,0,0,0,0,0,0,0,0,0,0,0,0,0,0,0,0,0,0,0,0,0,0,0,0)</f>
        <v>0</v>
      </c>
      <c r="G44" s="1">
        <v>0</v>
      </c>
      <c r="H44" s="18">
        <f>G44/D44</f>
        <v>0</v>
      </c>
      <c r="I44" s="1">
        <v>0</v>
      </c>
      <c r="J44" s="1" t="s">
        <v>15</v>
      </c>
      <c r="K44" s="1" t="s">
        <v>15</v>
      </c>
    </row>
    <row r="45" spans="1:11" x14ac:dyDescent="0.2">
      <c r="A45" s="1">
        <v>7</v>
      </c>
      <c r="B45" s="1" t="s">
        <v>43</v>
      </c>
      <c r="C45" s="1" t="s">
        <v>49</v>
      </c>
      <c r="D45" s="1">
        <f>COUNT(0,0,0,0,0,0,0,0,0,0,0,0,0,0,0,0,0,0,0,0,0,0,0,0,0,0,0,0,0,0,0,0,0,0,0,0,0)</f>
        <v>37</v>
      </c>
      <c r="E45" s="17">
        <f>AVERAGE(0,0,0,0,0,0,0,0,0,0,0,0,0,0,0,0,0,0,0,0,0,0,0,0,0,0,0,0,0,0,0,0,0,0,0,0,0)</f>
        <v>0</v>
      </c>
      <c r="F45" s="17">
        <f>STDEV(0,0,0,0,0,0,0,0,0,0,0,0,0,0,0,0,0,0,0,0,0,0,0,0,0,0,0,0,0,0,0,0,0,0,0,0,0)</f>
        <v>0</v>
      </c>
      <c r="G45" s="1">
        <v>0</v>
      </c>
      <c r="H45" s="18">
        <f>G45/D45</f>
        <v>0</v>
      </c>
      <c r="I45" s="1">
        <v>0</v>
      </c>
      <c r="J45" s="1" t="s">
        <v>9</v>
      </c>
      <c r="K45" s="1" t="s">
        <v>15</v>
      </c>
    </row>
    <row r="46" spans="1:11" x14ac:dyDescent="0.2">
      <c r="A46" s="1">
        <v>7</v>
      </c>
      <c r="B46" s="1" t="s">
        <v>44</v>
      </c>
      <c r="C46" s="1" t="s">
        <v>49</v>
      </c>
      <c r="D46" s="1">
        <f>COUNT(0,0,0,0,0,0,0,0,0,0,0,0,0,0,0,0,0,0,0,0,0,0,0,0,0,0,0,0,0,0,0,0,0,0,0,0,0,0,0,0,0,0,0,0,0,0,0,0,0,0,0,0,0)</f>
        <v>53</v>
      </c>
      <c r="E46" s="17">
        <f>AVERAGE(0,0,0,0,0,0,0,0,0,0,0,0,0,0,0,0,0,0,0,0,0,0,0,0,0,0,0,0,0,0,0,0,0,0,0,0,0,0,0,0,0,0,0,0,0,0,0,0,0,0,0,0,0)</f>
        <v>0</v>
      </c>
      <c r="F46" s="17">
        <f>STDEV(0,0,0,0,0,0,0,0,0,0,0,0,0,0,0,0,0,0,0,0,0,0,0,0,0,0,0,0,0,0,0,0,0,0,0,0,0,0,0,0,0,0,0,0,0,0,0,0,0,0,0,0,0)</f>
        <v>0</v>
      </c>
      <c r="G46" s="1">
        <v>0</v>
      </c>
      <c r="H46" s="18">
        <f>G46/D46</f>
        <v>0</v>
      </c>
      <c r="I46" s="1">
        <v>0</v>
      </c>
      <c r="J46" s="1" t="s">
        <v>15</v>
      </c>
      <c r="K46" s="1" t="s">
        <v>15</v>
      </c>
    </row>
    <row r="47" spans="1:11" x14ac:dyDescent="0.2">
      <c r="A47" s="1">
        <v>7</v>
      </c>
      <c r="B47" s="1" t="s">
        <v>45</v>
      </c>
      <c r="C47" s="1" t="s">
        <v>49</v>
      </c>
      <c r="D47" s="1">
        <f>COUNT(0,0,0,0,0,0,0,0,0,0,0,0,0,0,0,0,0,0,0,0,0,0,0,0,0,0,0)</f>
        <v>27</v>
      </c>
      <c r="E47" s="17">
        <f>AVERAGE(0,0,0,0,0,0,0,0,0,0,0,0,0,0,0,0,0,0,0,0,0,0,0,0,0,0,0)</f>
        <v>0</v>
      </c>
      <c r="F47" s="17">
        <f>STDEV(0,0,0,0,0,0,0,0,0,0,0,0,0,0,0,0,0,0,0,0,0,0,0,0,0,0,0)</f>
        <v>0</v>
      </c>
      <c r="G47" s="1">
        <v>0</v>
      </c>
      <c r="H47" s="18">
        <f>G47/D47</f>
        <v>0</v>
      </c>
      <c r="I47" s="1">
        <v>0</v>
      </c>
      <c r="J47" s="1" t="s">
        <v>9</v>
      </c>
      <c r="K47" s="1" t="s">
        <v>15</v>
      </c>
    </row>
    <row r="48" spans="1:11" x14ac:dyDescent="0.2">
      <c r="A48" s="1">
        <v>7</v>
      </c>
      <c r="B48" s="1" t="s">
        <v>46</v>
      </c>
      <c r="C48" s="1" t="s">
        <v>50</v>
      </c>
      <c r="D48" s="1">
        <f>COUNT(0,0,0,0,0,0,0,0,0,0,0,0,0,0,0,0,0,0,0,0,0,0,0,0,0,0,0,0)</f>
        <v>28</v>
      </c>
      <c r="E48" s="17">
        <f>AVERAGE(0,0,0,0,0,0,0,0,0,0,0,0,0,0,0,0,0,0,0,0,0,0,0,0,0,0,0,0)</f>
        <v>0</v>
      </c>
      <c r="F48" s="17">
        <f>STDEV(0,0,0,0,0,0,0,0,0,0,0,0,0,0,0,0,0,0,0,0,0,0,0,0,0,0,0,0)</f>
        <v>0</v>
      </c>
      <c r="G48" s="1">
        <v>0</v>
      </c>
      <c r="H48" s="18">
        <v>0</v>
      </c>
      <c r="I48" s="1">
        <v>0</v>
      </c>
      <c r="J48" s="1" t="s">
        <v>9</v>
      </c>
      <c r="K48" s="1" t="s">
        <v>15</v>
      </c>
    </row>
    <row r="49" spans="1:11" x14ac:dyDescent="0.2">
      <c r="A49" s="1">
        <v>7</v>
      </c>
      <c r="B49" s="1" t="s">
        <v>47</v>
      </c>
      <c r="C49" s="1" t="s">
        <v>49</v>
      </c>
      <c r="D49" s="1">
        <f>COUNT(0,0,0,0,0,0,0,0,0)</f>
        <v>9</v>
      </c>
      <c r="E49" s="17">
        <f>AVERAGE(0,0,0,0,0,0,0,0,0)</f>
        <v>0</v>
      </c>
      <c r="F49" s="17">
        <f>STDEV(0,0,0,0,0,0,0,0,0)</f>
        <v>0</v>
      </c>
      <c r="G49" s="1">
        <v>0</v>
      </c>
      <c r="H49" s="18">
        <f>G49/D49</f>
        <v>0</v>
      </c>
      <c r="I49" s="1">
        <v>0</v>
      </c>
      <c r="J49" s="1" t="s">
        <v>15</v>
      </c>
      <c r="K49" s="1" t="s">
        <v>15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7"/>
  <sheetViews>
    <sheetView topLeftCell="A7" workbookViewId="0">
      <selection activeCell="E35" sqref="E35"/>
    </sheetView>
  </sheetViews>
  <sheetFormatPr baseColWidth="10" defaultColWidth="8.83203125" defaultRowHeight="15" x14ac:dyDescent="0.2"/>
  <cols>
    <col min="1" max="1" width="14.5" customWidth="1"/>
    <col min="2" max="2" width="16.5" customWidth="1"/>
    <col min="3" max="3" width="23.83203125" customWidth="1"/>
    <col min="4" max="4" width="27.1640625" customWidth="1"/>
    <col min="5" max="5" width="32.1640625" customWidth="1"/>
    <col min="6" max="8" width="26.5" customWidth="1"/>
    <col min="9" max="9" width="9" customWidth="1"/>
  </cols>
  <sheetData>
    <row r="1" spans="1:19" ht="24" x14ac:dyDescent="0.3">
      <c r="A1" s="4" t="s">
        <v>23</v>
      </c>
    </row>
    <row r="2" spans="1:19" ht="24" x14ac:dyDescent="0.3">
      <c r="A2" s="4"/>
    </row>
    <row r="3" spans="1:19" ht="24" x14ac:dyDescent="0.3">
      <c r="A3" s="4" t="s">
        <v>0</v>
      </c>
    </row>
    <row r="5" spans="1:19" s="5" customFormat="1" ht="16" thickBot="1" x14ac:dyDescent="0.25">
      <c r="A5" s="5" t="s">
        <v>8</v>
      </c>
      <c r="B5" s="5" t="s">
        <v>7</v>
      </c>
      <c r="C5" s="5" t="s">
        <v>2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22</v>
      </c>
      <c r="I5" s="5" t="s">
        <v>16</v>
      </c>
      <c r="J5" s="5" t="s">
        <v>3</v>
      </c>
      <c r="K5" s="5" t="s">
        <v>4</v>
      </c>
      <c r="L5" s="5" t="s">
        <v>5</v>
      </c>
      <c r="N5" s="6"/>
      <c r="O5" s="6"/>
      <c r="P5" s="6"/>
      <c r="Q5" s="6"/>
      <c r="R5" s="6"/>
      <c r="S5" s="6"/>
    </row>
    <row r="6" spans="1:19" x14ac:dyDescent="0.2">
      <c r="A6" s="1" t="s">
        <v>9</v>
      </c>
      <c r="B6" s="1" t="s">
        <v>6</v>
      </c>
      <c r="C6" s="1">
        <v>0</v>
      </c>
      <c r="D6" s="1">
        <f>COUNT(0,0,0,0,0,0,0,0,0,0,0,0,0,0,0,0,0,0,0,0,0)</f>
        <v>21</v>
      </c>
      <c r="E6" s="17">
        <f>AVERAGE(0,0,0,0,0,0,0,0,0,0,0,0,0,0,0,0,0,0,0,0,0)</f>
        <v>0</v>
      </c>
      <c r="F6" s="17">
        <f>STDEV(0,0,0,0,0,0,0,0,0,0,0,0,0,0,0,0,0,0,0,0,0)</f>
        <v>0</v>
      </c>
      <c r="G6" s="1">
        <v>0</v>
      </c>
      <c r="H6" s="18">
        <f>G6/D6</f>
        <v>0</v>
      </c>
      <c r="I6" s="1">
        <v>0</v>
      </c>
      <c r="J6" s="1" t="s">
        <v>9</v>
      </c>
      <c r="K6" s="1" t="s">
        <v>15</v>
      </c>
      <c r="L6" s="1" t="s">
        <v>15</v>
      </c>
      <c r="N6" s="15" t="s">
        <v>21</v>
      </c>
      <c r="O6" s="7"/>
      <c r="P6" s="7"/>
      <c r="Q6" s="7"/>
      <c r="R6" s="7"/>
      <c r="S6" s="8"/>
    </row>
    <row r="7" spans="1:19" x14ac:dyDescent="0.2">
      <c r="A7" s="1">
        <v>2</v>
      </c>
      <c r="B7" s="1">
        <v>1.2</v>
      </c>
      <c r="C7" s="1">
        <v>60</v>
      </c>
      <c r="D7" s="1">
        <f>COUNT(4,3,3,4,4,4,4,4,3,4,4,4,4,4,3,2)</f>
        <v>16</v>
      </c>
      <c r="E7" s="17">
        <f>AVERAGE(4,3,3,4,4,4,4,4,3,4,4,4,4,4,3,2)</f>
        <v>3.625</v>
      </c>
      <c r="F7" s="17">
        <f>STDEV(4,3,3,4,4,4,4,4,3,4,4,4,4,4,3,2)</f>
        <v>0.61913918736689033</v>
      </c>
      <c r="G7" s="1">
        <v>3</v>
      </c>
      <c r="H7" s="18">
        <f t="shared" ref="H7:H15" si="0">G7/D7</f>
        <v>0.1875</v>
      </c>
      <c r="I7" s="1">
        <v>1</v>
      </c>
      <c r="J7" s="1" t="s">
        <v>48</v>
      </c>
      <c r="K7" s="1" t="s">
        <v>48</v>
      </c>
      <c r="L7" s="1" t="s">
        <v>15</v>
      </c>
      <c r="N7" s="9" t="s">
        <v>10</v>
      </c>
      <c r="O7" s="10"/>
      <c r="P7" s="10"/>
      <c r="Q7" s="10"/>
      <c r="R7" s="10"/>
      <c r="S7" s="11"/>
    </row>
    <row r="8" spans="1:19" x14ac:dyDescent="0.2">
      <c r="A8" s="1">
        <v>2</v>
      </c>
      <c r="B8" s="1">
        <v>2.2000000000000002</v>
      </c>
      <c r="C8" s="1">
        <v>35</v>
      </c>
      <c r="D8" s="1">
        <f>COUNT(3,4,4,4,4,4,4,0,0,0,0,0,4,4,3,4,4,4)</f>
        <v>18</v>
      </c>
      <c r="E8" s="17">
        <f>AVERAGE(3,4,4,4,4,4,4,0,0,0,0,0,4,4,3,4,4,4)</f>
        <v>2.7777777777777777</v>
      </c>
      <c r="F8" s="17">
        <f>STDEV(3,4,4,4,4,4,4,0,0,0,0,0,4,4,3,4,4,4)</f>
        <v>1.8005082797253327</v>
      </c>
      <c r="G8" s="1">
        <v>3</v>
      </c>
      <c r="H8" s="18">
        <f t="shared" si="0"/>
        <v>0.16666666666666666</v>
      </c>
      <c r="I8" s="1">
        <v>1</v>
      </c>
      <c r="J8" s="1" t="s">
        <v>9</v>
      </c>
      <c r="K8" s="1" t="s">
        <v>15</v>
      </c>
      <c r="L8" s="1" t="s">
        <v>15</v>
      </c>
      <c r="N8" s="9" t="s">
        <v>11</v>
      </c>
      <c r="O8" s="10"/>
      <c r="P8" s="10"/>
      <c r="Q8" s="10"/>
      <c r="R8" s="10"/>
      <c r="S8" s="11"/>
    </row>
    <row r="9" spans="1:19" x14ac:dyDescent="0.2">
      <c r="A9" s="1">
        <v>2</v>
      </c>
      <c r="B9" s="1">
        <v>3.2</v>
      </c>
      <c r="C9" s="1">
        <v>35</v>
      </c>
      <c r="D9" s="1">
        <f>COUNT(0,0,0,4,0,1,2,0,0,0,0,0,4)</f>
        <v>13</v>
      </c>
      <c r="E9" s="17">
        <f>AVERAGE(0,0,0,4,0,1,2,0,0,0,0,0,4)</f>
        <v>0.84615384615384615</v>
      </c>
      <c r="F9" s="17">
        <f>STDEV(0,0,0,4,0,1,2,0,0,0,0,0,4)</f>
        <v>1.5191090506255001</v>
      </c>
      <c r="G9" s="1">
        <v>1</v>
      </c>
      <c r="H9" s="18">
        <f t="shared" si="0"/>
        <v>7.6923076923076927E-2</v>
      </c>
      <c r="I9" s="1">
        <v>0</v>
      </c>
      <c r="J9" s="1" t="s">
        <v>9</v>
      </c>
      <c r="K9" s="1" t="s">
        <v>15</v>
      </c>
      <c r="L9" s="1" t="s">
        <v>15</v>
      </c>
      <c r="N9" s="9" t="s">
        <v>12</v>
      </c>
      <c r="O9" s="10"/>
      <c r="P9" s="10"/>
      <c r="Q9" s="10"/>
      <c r="R9" s="10"/>
      <c r="S9" s="11"/>
    </row>
    <row r="10" spans="1:19" x14ac:dyDescent="0.2">
      <c r="A10" s="1">
        <v>4</v>
      </c>
      <c r="B10" s="1">
        <v>1.4</v>
      </c>
      <c r="C10" s="1">
        <v>30</v>
      </c>
      <c r="D10" s="1">
        <f>COUNT(0,0,0,0,0,0,0,0,0,0,0,0,0,0,0,0)</f>
        <v>16</v>
      </c>
      <c r="E10" s="17">
        <f>AVERAGE(0,0,0,0,0,0,0,0,0,0,0,0,0,0,0,0)</f>
        <v>0</v>
      </c>
      <c r="F10" s="17">
        <f>STDEV(0,0,0,0,0,0,0,0,0,0,0,0,0,0,0,0)</f>
        <v>0</v>
      </c>
      <c r="G10" s="1">
        <v>0</v>
      </c>
      <c r="H10" s="18">
        <f t="shared" si="0"/>
        <v>0</v>
      </c>
      <c r="I10" s="1">
        <v>0</v>
      </c>
      <c r="J10" s="1" t="s">
        <v>9</v>
      </c>
      <c r="K10" s="1" t="s">
        <v>15</v>
      </c>
      <c r="L10" s="1" t="s">
        <v>15</v>
      </c>
      <c r="N10" s="9" t="s">
        <v>13</v>
      </c>
      <c r="O10" s="10"/>
      <c r="P10" s="10"/>
      <c r="Q10" s="10"/>
      <c r="R10" s="10"/>
      <c r="S10" s="11"/>
    </row>
    <row r="11" spans="1:19" ht="16" thickBot="1" x14ac:dyDescent="0.25">
      <c r="A11" s="1">
        <v>4</v>
      </c>
      <c r="B11" s="1">
        <v>2.4</v>
      </c>
      <c r="C11" s="1">
        <v>25</v>
      </c>
      <c r="D11" s="1">
        <f>COUNT(0,0,0,0,0,0,0,0,0,0,0,0)</f>
        <v>12</v>
      </c>
      <c r="E11" s="17">
        <f>AVERAGE(0,0,0,0,0,0,0,0,0,0,0,0)</f>
        <v>0</v>
      </c>
      <c r="F11" s="17">
        <f>STDEV(0,0,0,0,0,0,0,0,0,0,0,0)</f>
        <v>0</v>
      </c>
      <c r="G11" s="1">
        <v>1</v>
      </c>
      <c r="H11" s="18">
        <f t="shared" si="0"/>
        <v>8.3333333333333329E-2</v>
      </c>
      <c r="I11" s="1">
        <v>0</v>
      </c>
      <c r="J11" s="1" t="s">
        <v>9</v>
      </c>
      <c r="K11" s="1" t="s">
        <v>15</v>
      </c>
      <c r="L11" s="1" t="s">
        <v>15</v>
      </c>
      <c r="N11" s="12" t="s">
        <v>14</v>
      </c>
      <c r="O11" s="13"/>
      <c r="P11" s="13"/>
      <c r="Q11" s="13"/>
      <c r="R11" s="13"/>
      <c r="S11" s="14"/>
    </row>
    <row r="12" spans="1:19" x14ac:dyDescent="0.2">
      <c r="A12" s="1">
        <v>4</v>
      </c>
      <c r="B12" s="1">
        <v>3.4</v>
      </c>
      <c r="C12" s="1">
        <v>25</v>
      </c>
      <c r="D12" s="1">
        <f>COUNT(0,0,0,0,0,0,0,0,0,0,0,0,0,0,0,0)</f>
        <v>16</v>
      </c>
      <c r="E12" s="17">
        <f>AVERAGE(0,0,0,0,0,0,0,0,0,0,0,0,0,0,0,0)</f>
        <v>0</v>
      </c>
      <c r="F12" s="17">
        <f>STDEV(0,0,0,0,0,0,0,0,0,0,0,0,0,0,0,0)</f>
        <v>0</v>
      </c>
      <c r="G12" s="1">
        <v>0</v>
      </c>
      <c r="H12" s="18">
        <f t="shared" si="0"/>
        <v>0</v>
      </c>
      <c r="I12" s="1">
        <v>0</v>
      </c>
      <c r="J12" s="1" t="s">
        <v>9</v>
      </c>
      <c r="K12" s="1" t="s">
        <v>15</v>
      </c>
      <c r="L12" s="1" t="s">
        <v>15</v>
      </c>
    </row>
    <row r="13" spans="1:19" x14ac:dyDescent="0.2">
      <c r="A13" s="1">
        <v>6</v>
      </c>
      <c r="B13" s="1">
        <v>1.6</v>
      </c>
      <c r="C13" s="1">
        <v>10</v>
      </c>
      <c r="D13" s="1">
        <f>COUNT(0,0,0,0,0,0,0,0,0,0,0,0,0,0,0,0,0,0)</f>
        <v>18</v>
      </c>
      <c r="E13" s="17">
        <f>AVERAGE(0,0,0,0,0,0,0,0,0,0,0,0,0,0,0,0,0,0)</f>
        <v>0</v>
      </c>
      <c r="F13" s="17">
        <f>STDEV(0,0,0,0,0,0,0,0,0,0,0,0,0,0,0,0,0,0)</f>
        <v>0</v>
      </c>
      <c r="G13" s="1">
        <v>0</v>
      </c>
      <c r="H13" s="18">
        <f t="shared" si="0"/>
        <v>0</v>
      </c>
      <c r="I13" s="1">
        <v>0</v>
      </c>
      <c r="J13" s="1" t="s">
        <v>9</v>
      </c>
      <c r="K13" s="1" t="s">
        <v>15</v>
      </c>
      <c r="L13" s="1" t="s">
        <v>15</v>
      </c>
    </row>
    <row r="14" spans="1:19" x14ac:dyDescent="0.2">
      <c r="A14" s="1">
        <v>6</v>
      </c>
      <c r="B14" s="1">
        <v>2.6</v>
      </c>
      <c r="C14" s="1">
        <v>20</v>
      </c>
      <c r="D14" s="1">
        <f>COUNT(0,0,0,0,0,0,0,0,0,0,0,0,0,0,0,0,0,0,0,0,0,0,0,0,0)</f>
        <v>25</v>
      </c>
      <c r="E14" s="17">
        <f>AVERAGE(0,0,0,0,0,0,0,0,0,0,0,0,0,0,0,0,0,0,0,0,0,0,0,0,0)</f>
        <v>0</v>
      </c>
      <c r="F14" s="17">
        <f>STDEV(0,0,0,0,0,0,0,0,0,0,0,0,0,0,0,0,0,0,0,0,0,0,0,0,0)</f>
        <v>0</v>
      </c>
      <c r="G14" s="1">
        <v>0</v>
      </c>
      <c r="H14" s="18">
        <f t="shared" si="0"/>
        <v>0</v>
      </c>
      <c r="I14" s="1">
        <v>0</v>
      </c>
      <c r="J14" s="1" t="s">
        <v>9</v>
      </c>
      <c r="K14" s="1" t="s">
        <v>15</v>
      </c>
      <c r="L14" s="1" t="s">
        <v>15</v>
      </c>
    </row>
    <row r="15" spans="1:19" x14ac:dyDescent="0.2">
      <c r="A15" s="1">
        <v>6</v>
      </c>
      <c r="B15" s="1">
        <v>3.6</v>
      </c>
      <c r="C15" s="1">
        <v>20</v>
      </c>
      <c r="D15" s="1">
        <f>COUNT(0,0,0,0,0,0,0,0,0,0,0,0,0,0,0,0,0,0,0,0,0)</f>
        <v>21</v>
      </c>
      <c r="E15" s="17">
        <f>AVERAGE(0,0,0,0,0,0,0,0,0,0,0,0,0,0,0,0,0,0,0,0,0)</f>
        <v>0</v>
      </c>
      <c r="F15" s="17">
        <f>STDEV(0,0,0,0,0,0,0,0,0,0,0,0,0,0,0,0,0,0,0,0,0)</f>
        <v>0</v>
      </c>
      <c r="G15" s="1">
        <v>0</v>
      </c>
      <c r="H15" s="18">
        <f t="shared" si="0"/>
        <v>0</v>
      </c>
      <c r="I15" s="1">
        <v>0</v>
      </c>
      <c r="J15" s="1" t="s">
        <v>9</v>
      </c>
      <c r="K15" s="1" t="s">
        <v>15</v>
      </c>
      <c r="L15" s="1" t="s">
        <v>15</v>
      </c>
    </row>
    <row r="16" spans="1:19" x14ac:dyDescent="0.2">
      <c r="E16" s="2"/>
      <c r="F16" s="2"/>
      <c r="H16" s="3"/>
    </row>
    <row r="17" spans="1:11" x14ac:dyDescent="0.2">
      <c r="E17" s="2"/>
      <c r="F17" s="2"/>
      <c r="H17" s="3"/>
    </row>
    <row r="18" spans="1:11" x14ac:dyDescent="0.2">
      <c r="E18" s="2"/>
      <c r="F18" s="2"/>
      <c r="H18" s="3"/>
    </row>
    <row r="19" spans="1:11" x14ac:dyDescent="0.2">
      <c r="E19" s="2"/>
      <c r="F19" s="2"/>
      <c r="H19" s="3"/>
    </row>
    <row r="20" spans="1:11" x14ac:dyDescent="0.2">
      <c r="E20" s="2"/>
      <c r="F20" s="2"/>
      <c r="H20" s="3"/>
    </row>
    <row r="21" spans="1:11" ht="24" x14ac:dyDescent="0.3">
      <c r="A21" s="4" t="s">
        <v>1</v>
      </c>
      <c r="E21" s="2"/>
      <c r="F21" s="2"/>
      <c r="H21" s="3"/>
    </row>
    <row r="22" spans="1:11" x14ac:dyDescent="0.2">
      <c r="E22" s="2"/>
      <c r="F22" s="2"/>
      <c r="H22" s="3"/>
    </row>
    <row r="23" spans="1:11" s="5" customFormat="1" x14ac:dyDescent="0.2">
      <c r="A23" s="16" t="s">
        <v>8</v>
      </c>
      <c r="B23" s="5" t="s">
        <v>7</v>
      </c>
      <c r="C23" s="5" t="s">
        <v>2</v>
      </c>
      <c r="D23" s="5" t="s">
        <v>17</v>
      </c>
      <c r="E23" s="5" t="s">
        <v>18</v>
      </c>
      <c r="F23" s="5" t="s">
        <v>19</v>
      </c>
      <c r="G23" s="5" t="s">
        <v>20</v>
      </c>
      <c r="H23" s="5" t="s">
        <v>22</v>
      </c>
      <c r="I23" s="5" t="s">
        <v>16</v>
      </c>
      <c r="J23" s="5" t="s">
        <v>3</v>
      </c>
      <c r="K23" s="5" t="s">
        <v>4</v>
      </c>
    </row>
    <row r="24" spans="1:11" x14ac:dyDescent="0.2">
      <c r="A24" s="1" t="s">
        <v>9</v>
      </c>
      <c r="B24" s="1" t="s">
        <v>24</v>
      </c>
      <c r="C24" s="1">
        <v>0</v>
      </c>
      <c r="D24" s="1">
        <f>COUNT(0,0,0,0,0,0,0,0,0,0,0,0,0,0,0,0,0,0,0,0,0,0,0,0)</f>
        <v>24</v>
      </c>
      <c r="E24" s="17">
        <f>AVERAGE(0,0,0,0,0,0,0,0,0,0,0,0,0,0,0,0,0,0,0,0,0,0,0,0)</f>
        <v>0</v>
      </c>
      <c r="F24" s="17">
        <f>STDEV(0,0,0,0,0,0,0,0,0,0,0,0,0,0,0,0,0,0,0,0,0,0,0,0)</f>
        <v>0</v>
      </c>
      <c r="G24" s="1">
        <v>0</v>
      </c>
      <c r="H24" s="18">
        <f>G24/D24</f>
        <v>0</v>
      </c>
      <c r="I24" s="1">
        <v>0</v>
      </c>
      <c r="J24" s="1" t="s">
        <v>9</v>
      </c>
      <c r="K24" s="1" t="s">
        <v>15</v>
      </c>
    </row>
    <row r="25" spans="1:11" x14ac:dyDescent="0.2">
      <c r="A25" s="1" t="s">
        <v>9</v>
      </c>
      <c r="B25" s="1" t="s">
        <v>25</v>
      </c>
      <c r="C25" s="1">
        <v>0</v>
      </c>
      <c r="D25" s="1">
        <f>COUNT(0,0,0,0,0,0,0,0,0,0,0,0,0,0,0,0,0,0,0,0,0,0,0,0,0,0,0,0,0,0,0,0,0)</f>
        <v>33</v>
      </c>
      <c r="E25" s="17">
        <f>AVERAGE(0,0,0,0,0,0,0,0,0,0,0,0,0,0,0,0,0,0,0,0,0,0,0,0,0,0,0,0,0,0,0,0,0)</f>
        <v>0</v>
      </c>
      <c r="F25" s="17">
        <f>STDEV(0,0,0,0,0,0,0,0,0,0,0,0,0,0,0,0,0,0,0,0,0,0,0,0,0,0,0,0,0,0,0,0,0)</f>
        <v>0</v>
      </c>
      <c r="G25" s="1">
        <v>0</v>
      </c>
      <c r="H25" s="18">
        <f t="shared" ref="H25:H47" si="1">G25/D25</f>
        <v>0</v>
      </c>
      <c r="I25" s="1">
        <v>0</v>
      </c>
      <c r="J25" s="1" t="s">
        <v>9</v>
      </c>
      <c r="K25" s="1" t="s">
        <v>15</v>
      </c>
    </row>
    <row r="26" spans="1:11" x14ac:dyDescent="0.2">
      <c r="A26" s="1" t="s">
        <v>9</v>
      </c>
      <c r="B26" s="1" t="s">
        <v>26</v>
      </c>
      <c r="C26" s="1">
        <v>0</v>
      </c>
      <c r="D26" s="1">
        <f>COUNT(0,0,0,0,0,0,0,0,0,0,0,0,0,0)</f>
        <v>14</v>
      </c>
      <c r="E26" s="17">
        <f>AVERAGE(0,0,0,0,0,0,0,0,0,0,0,0,0,0)</f>
        <v>0</v>
      </c>
      <c r="F26" s="17">
        <f>STDEV(0,0,0,0,0,0,0,0,0,0,0,0,0,0)</f>
        <v>0</v>
      </c>
      <c r="G26" s="1">
        <v>0</v>
      </c>
      <c r="H26" s="18">
        <f t="shared" si="1"/>
        <v>0</v>
      </c>
      <c r="I26" s="1">
        <v>0</v>
      </c>
      <c r="J26" s="1" t="s">
        <v>9</v>
      </c>
      <c r="K26" s="1" t="s">
        <v>15</v>
      </c>
    </row>
    <row r="27" spans="1:11" x14ac:dyDescent="0.2">
      <c r="A27" s="1" t="s">
        <v>9</v>
      </c>
      <c r="B27" s="1" t="s">
        <v>27</v>
      </c>
      <c r="C27" s="1">
        <v>0</v>
      </c>
      <c r="D27" s="1">
        <f>COUNT(0,0,0,0,0,0,0,0,0,0,0)</f>
        <v>11</v>
      </c>
      <c r="E27" s="17">
        <f>AVERAGE(0,0,0,0,0,0,0,0,0,0,0)</f>
        <v>0</v>
      </c>
      <c r="F27" s="17">
        <f>STDEV(0,0,0,0,0,0,0,0,0,0,0)</f>
        <v>0</v>
      </c>
      <c r="G27" s="1">
        <v>0</v>
      </c>
      <c r="H27" s="18">
        <f t="shared" si="1"/>
        <v>0</v>
      </c>
      <c r="I27" s="1">
        <v>0</v>
      </c>
      <c r="J27" s="1" t="s">
        <v>9</v>
      </c>
      <c r="K27" s="1" t="s">
        <v>15</v>
      </c>
    </row>
    <row r="28" spans="1:11" x14ac:dyDescent="0.2">
      <c r="A28" s="1" t="s">
        <v>9</v>
      </c>
      <c r="B28" s="1" t="s">
        <v>28</v>
      </c>
      <c r="C28" s="1">
        <v>0</v>
      </c>
      <c r="D28" s="1">
        <f>COUNT(0,0,0,0,0,0,0,0,0,0,0,0,0,0,0,0,0,0,0,0,0,0,0,0,0,0)</f>
        <v>26</v>
      </c>
      <c r="E28" s="17">
        <f>AVERAGE(0,0,0,0,0,0,0,0,0,0,0,0,0,0,0,0,0,0,0,0,0,0,0,0,0,0)</f>
        <v>0</v>
      </c>
      <c r="F28" s="17">
        <f>STDEV(0,0,0,0,0,0,0,0,0,0,0,0,0,0,0,0,0,0,0,0,0,0,0,0,0,0)</f>
        <v>0</v>
      </c>
      <c r="G28" s="1">
        <v>0</v>
      </c>
      <c r="H28" s="18">
        <f t="shared" si="1"/>
        <v>0</v>
      </c>
      <c r="I28" s="1">
        <v>0</v>
      </c>
      <c r="J28" s="1" t="s">
        <v>9</v>
      </c>
      <c r="K28" s="1" t="s">
        <v>15</v>
      </c>
    </row>
    <row r="29" spans="1:11" x14ac:dyDescent="0.2">
      <c r="A29" s="1" t="s">
        <v>9</v>
      </c>
      <c r="B29" s="1" t="s">
        <v>29</v>
      </c>
      <c r="C29" s="1">
        <v>0</v>
      </c>
      <c r="D29" s="1">
        <f>COUNT(0,0,0,0,0,0,0,0,0,0,0,0,0,0,0,0,0,0,0,0,0,0,0,0,0,0,0,0,0,0,0,0,0,0,0,0,0,0,0,0,0,0,0,0,0,0,0,0)</f>
        <v>48</v>
      </c>
      <c r="E29" s="17">
        <f>AVERAGE(0,0,0,0,0,0,0,0,0,0,0,0,0,0,0,0,0,0,0,0,0,0,0,0,0,0,0,0,0,0,0,0,0,0,0,0,0,0,0,0,0,0,0,0,0,0,0,0)</f>
        <v>0</v>
      </c>
      <c r="F29" s="17">
        <f>STDEV(0,0,0,0,0,0,0,0,0,0,0,0,0,0,0,0,0,0,0,0,0,0,0,0,0,0,0,0,0,0,0,0,0,0,0,0,0,0,0,0,0,0,0,0,0,0,0,0)</f>
        <v>0</v>
      </c>
      <c r="G29" s="1">
        <v>0</v>
      </c>
      <c r="H29" s="18">
        <f t="shared" si="1"/>
        <v>0</v>
      </c>
      <c r="I29" s="1">
        <v>0</v>
      </c>
      <c r="J29" s="1" t="s">
        <v>9</v>
      </c>
      <c r="K29" s="1" t="s">
        <v>15</v>
      </c>
    </row>
    <row r="30" spans="1:11" x14ac:dyDescent="0.2">
      <c r="A30" s="1">
        <v>2</v>
      </c>
      <c r="B30" s="1" t="s">
        <v>30</v>
      </c>
      <c r="C30" s="1">
        <v>50</v>
      </c>
      <c r="D30" s="1">
        <f>COUNT(1,1,1,1,4,2,3,2,4,3,4,4,3,4,4,2,0,0,1,3,1,1,3,2,2)</f>
        <v>25</v>
      </c>
      <c r="E30" s="17">
        <f>AVERAGE(1,1,1,1,4,2,3,2,4,3,4,4,3,4,4,2,0,0,1,3,1,1,3,2,2)</f>
        <v>2.2400000000000002</v>
      </c>
      <c r="F30" s="17">
        <f>STDEV(1,1,1,1,4,2,3,2,4,3,4,4,3,4,4,2,0,0,1,3,1,1,3,2,2)</f>
        <v>1.3316656236958786</v>
      </c>
      <c r="G30" s="1">
        <v>16</v>
      </c>
      <c r="H30" s="18">
        <f t="shared" si="1"/>
        <v>0.64</v>
      </c>
      <c r="I30" s="1">
        <v>1</v>
      </c>
      <c r="J30" s="1" t="s">
        <v>48</v>
      </c>
      <c r="K30" s="1" t="s">
        <v>15</v>
      </c>
    </row>
    <row r="31" spans="1:11" x14ac:dyDescent="0.2">
      <c r="A31" s="1">
        <v>2</v>
      </c>
      <c r="B31" s="1" t="s">
        <v>31</v>
      </c>
      <c r="C31" s="1">
        <v>60</v>
      </c>
      <c r="D31" s="1">
        <f>COUNT(4,4,4,4,4,3,3,4,4,4,4,4,4,4,4,3,2,4,,2,1,3,4,4,4,1,2,4,4,3,1,1,2,3)</f>
        <v>34</v>
      </c>
      <c r="E31" s="17">
        <f>AVERAGE(4,4,4,4,4,3,3,4,4,4,4,4,4,4,4,3,2,4,,2,1,3,4,4,4,1,2,4,4,3,1,1,2,3)</f>
        <v>3.1176470588235294</v>
      </c>
      <c r="F31" s="17">
        <f>STDEV(4,4,4,4,4,3,3,4,4,4,4,4,4,4,4,3,2,4,,2,1,3,4,4,4,1,2,4,4,3,1,1,2,3)</f>
        <v>1.2001188295294289</v>
      </c>
      <c r="G31" s="1">
        <v>15</v>
      </c>
      <c r="H31" s="18">
        <f t="shared" si="1"/>
        <v>0.44117647058823528</v>
      </c>
      <c r="I31" s="1">
        <v>1</v>
      </c>
      <c r="J31" s="1" t="s">
        <v>9</v>
      </c>
      <c r="K31" s="1" t="s">
        <v>15</v>
      </c>
    </row>
    <row r="32" spans="1:11" x14ac:dyDescent="0.2">
      <c r="A32" s="1">
        <v>2</v>
      </c>
      <c r="B32" s="1" t="s">
        <v>32</v>
      </c>
      <c r="C32" s="1">
        <v>60</v>
      </c>
      <c r="D32" s="1">
        <f>COUNT(3,2,3,4,4,3,3,4,4,3,2,2,4,4,4,4,3,4,1,3,3,4,4,0,1,0,0,0,0,4,4,4,4,4)</f>
        <v>34</v>
      </c>
      <c r="E32" s="17">
        <f>AVERAGE(3,2,3,4,4,3,3,4,4,3,2,2,4,4,4,4,3,4,1,3,3,4,4,0,1,0,0,0,0,4,4,4,4,4)</f>
        <v>2.8235294117647061</v>
      </c>
      <c r="F32" s="17">
        <f>STDEV(3,2,3,4,4,3,3,4,4,3,2,2,4,4,4,4,3,4,1,3,3,4,4,0,1,0,0,0,0,4,4,4,4,4)</f>
        <v>1.4661966513127955</v>
      </c>
      <c r="G32" s="1">
        <v>9</v>
      </c>
      <c r="H32" s="18">
        <f t="shared" si="1"/>
        <v>0.26470588235294118</v>
      </c>
      <c r="I32" s="1">
        <v>1</v>
      </c>
      <c r="J32" s="1" t="s">
        <v>15</v>
      </c>
      <c r="K32" s="1" t="s">
        <v>15</v>
      </c>
    </row>
    <row r="33" spans="1:11" x14ac:dyDescent="0.2">
      <c r="A33" s="1">
        <v>2</v>
      </c>
      <c r="B33" s="1" t="s">
        <v>33</v>
      </c>
      <c r="C33" s="1">
        <v>25</v>
      </c>
      <c r="D33" s="1">
        <f>COUNT(4,2,2,1,1,2,2,4,4,2,3,2,3,3,4,1,4,4,4,1,4,3,4,1,2,3,2,1,2,3)</f>
        <v>30</v>
      </c>
      <c r="E33" s="17">
        <f>AVERAGE(4,2,2,1,1,2,2,4,4,2,3,2,3,3,4,1,4,4,4,1,4,3,4,1,2,3,2,1,2,3)</f>
        <v>2.6</v>
      </c>
      <c r="F33" s="17">
        <f>STDEV(4,2,2,1,1,2,2,4,4,2,3,2,3,3,4,1,4,4,4,1,4,3,4,1,2,3,2,1,2,3)</f>
        <v>1.132589343358684</v>
      </c>
      <c r="G33" s="1">
        <v>3</v>
      </c>
      <c r="H33" s="18">
        <f t="shared" si="1"/>
        <v>0.1</v>
      </c>
      <c r="I33" s="1">
        <v>1</v>
      </c>
      <c r="J33" s="1" t="s">
        <v>9</v>
      </c>
      <c r="K33" s="1" t="s">
        <v>15</v>
      </c>
    </row>
    <row r="34" spans="1:11" x14ac:dyDescent="0.2">
      <c r="A34" s="1">
        <v>2</v>
      </c>
      <c r="B34" s="1" t="s">
        <v>34</v>
      </c>
      <c r="C34" s="1">
        <v>30</v>
      </c>
      <c r="D34" s="1">
        <f>COUNT(2,4,1,3,3,4,4,3,2,2,4,1,1,2,4,4,3,3,3,3,4,4,1,2,1,1,3,4,4,4)</f>
        <v>30</v>
      </c>
      <c r="E34" s="17">
        <f>AVERAGE(2,4,1,3,3,4,4,3,2,2,4,1,1,2,4,4,3,3,3,3,4,4,1,2,1,1,3,4,4,4)</f>
        <v>2.8</v>
      </c>
      <c r="F34" s="17">
        <f>STDEV(2,4,1,3,3,4,4,3,2,2,4,1,1,2,4,4,3,3,3,3,4,4,1,2,1,1,3,4,4,4)</f>
        <v>1.156689688067962</v>
      </c>
      <c r="G34" s="1">
        <v>10</v>
      </c>
      <c r="H34" s="18">
        <f t="shared" si="1"/>
        <v>0.33333333333333331</v>
      </c>
      <c r="I34" s="1">
        <v>1</v>
      </c>
      <c r="J34" s="1" t="s">
        <v>15</v>
      </c>
      <c r="K34" s="1" t="s">
        <v>15</v>
      </c>
    </row>
    <row r="35" spans="1:11" x14ac:dyDescent="0.2">
      <c r="A35" s="1">
        <v>2</v>
      </c>
      <c r="B35" s="1" t="s">
        <v>35</v>
      </c>
      <c r="C35" s="1">
        <v>60</v>
      </c>
      <c r="D35" s="1">
        <f>COUNT(3,2,3,4,1,2,4,0,1,1,2,3,3,4,4,3,0,1,4,4,1,2,4,4,4,3,1,3,1,1,1,2,1,1,1,2,2,3,2,4)</f>
        <v>40</v>
      </c>
      <c r="E35" s="17">
        <f>AVERAGE(3,2,3,4,1,2,4,0,1,1,2,3,3,4,4,3,0,1,4,4,1,2,4,4,4,3,1,3,1,1,1,2,1,1,1,2,2,3,2,4)</f>
        <v>2.2999999999999998</v>
      </c>
      <c r="F35" s="17">
        <f>STDEV(3,2,3,4,1,2,4,0,1,1,2,3,3,4,4,3,0,1,4,4,1,2,4,4,4,3,1,3,1,1,1,2,1,1,1,2,2,3,2,4)</f>
        <v>1.2850221987506876</v>
      </c>
      <c r="G35" s="1">
        <v>14</v>
      </c>
      <c r="H35" s="18">
        <f t="shared" si="1"/>
        <v>0.35</v>
      </c>
      <c r="I35" s="1">
        <v>1</v>
      </c>
      <c r="J35" s="1" t="s">
        <v>9</v>
      </c>
      <c r="K35" s="1" t="s">
        <v>15</v>
      </c>
    </row>
    <row r="36" spans="1:11" x14ac:dyDescent="0.2">
      <c r="A36" s="1">
        <v>4</v>
      </c>
      <c r="B36" s="1" t="s">
        <v>36</v>
      </c>
      <c r="C36" s="1">
        <v>25</v>
      </c>
      <c r="D36" s="1">
        <f>COUNT(0,0,1,0,0,0,0,0,0,0,0,1,0,1,0,0,0,0,0,0,0,1,0,0,0,0)</f>
        <v>26</v>
      </c>
      <c r="E36" s="17">
        <f>AVERAGE(0,0,1,0,0,0,0,0,0,0,0,1,0,1,0,0,0,0,0,0,0,1,0,0,0,0)</f>
        <v>0.15384615384615385</v>
      </c>
      <c r="F36" s="17">
        <f>STDEV(0,0,1,0,0,0,0,0,0,0,0,1,0,1,0,0,0,0,0,0,0,1,0,0,0,0)</f>
        <v>0.36794648440311994</v>
      </c>
      <c r="G36" s="1">
        <v>0</v>
      </c>
      <c r="H36" s="18">
        <f t="shared" si="1"/>
        <v>0</v>
      </c>
      <c r="I36" s="1">
        <v>0</v>
      </c>
      <c r="J36" s="1" t="s">
        <v>15</v>
      </c>
      <c r="K36" s="1" t="s">
        <v>15</v>
      </c>
    </row>
    <row r="37" spans="1:11" x14ac:dyDescent="0.2">
      <c r="A37" s="1">
        <v>4</v>
      </c>
      <c r="B37" s="1" t="s">
        <v>37</v>
      </c>
      <c r="C37" s="1">
        <v>5</v>
      </c>
      <c r="D37" s="1">
        <f>COUNT(0,0,0,0,0,0,0,0,0,0,0,0,0,0,0,0,0,0,0,0,0,0,0,0,0,0,0,0,0,0,0,0,0,0,0,0,0,0,0,0,0,0,0,0,0,0)</f>
        <v>46</v>
      </c>
      <c r="E37" s="17">
        <f>AVERAGE(0,0,0,0,0,0,0,0,0,0,0,0,0,0,0,0,0,0,0,0,0,0,0,0,0,0,0,0,0,0,0,0,0,0,0,0,0,0,0,0,0,0,0,0,0,0)</f>
        <v>0</v>
      </c>
      <c r="F37" s="17">
        <f>STDEV(0,0,0,0,0,0,0,0,0,0,0,0,0,0,0,0,0,0,0,0,0,0,0,0,0,0,0,0,0,0,0,0,0,0,0,0,0,0,0,0,0,0,0,0,0,0)</f>
        <v>0</v>
      </c>
      <c r="G37" s="1">
        <v>0</v>
      </c>
      <c r="H37" s="18">
        <f t="shared" si="1"/>
        <v>0</v>
      </c>
      <c r="I37" s="1">
        <v>0</v>
      </c>
      <c r="J37" s="1" t="s">
        <v>9</v>
      </c>
      <c r="K37" s="1" t="s">
        <v>15</v>
      </c>
    </row>
    <row r="38" spans="1:11" x14ac:dyDescent="0.2">
      <c r="A38" s="1">
        <v>4</v>
      </c>
      <c r="B38" s="1" t="s">
        <v>38</v>
      </c>
      <c r="C38" s="1">
        <v>15</v>
      </c>
      <c r="D38" s="1">
        <f>COUNT(0,0,0,0,0,0,0,0,0,0,0,0,0,0,0,0,0,0,0,0,0,0)</f>
        <v>22</v>
      </c>
      <c r="E38" s="17">
        <f>AVERAGE(0,0,0,0,0,0,0,0,0,0,0,0,0,0,0,0,0,0,0,0,0,0)</f>
        <v>0</v>
      </c>
      <c r="F38" s="17">
        <f>STDEV(0,0,0,0,0,0,0,0,0,0,0,0,0,0,0,0,0,0,0,0,0,0)</f>
        <v>0</v>
      </c>
      <c r="G38" s="1">
        <v>0</v>
      </c>
      <c r="H38" s="18">
        <f t="shared" si="1"/>
        <v>0</v>
      </c>
      <c r="I38" s="1">
        <v>0</v>
      </c>
      <c r="J38" s="1" t="s">
        <v>9</v>
      </c>
      <c r="K38" s="1" t="s">
        <v>15</v>
      </c>
    </row>
    <row r="39" spans="1:11" x14ac:dyDescent="0.2">
      <c r="A39" s="1">
        <v>4</v>
      </c>
      <c r="B39" s="1" t="s">
        <v>39</v>
      </c>
      <c r="C39" s="1">
        <v>20</v>
      </c>
      <c r="D39" s="1">
        <f>COUNT(0,0,0,0,0,0,0,0,0,0,0,0,0,1,0,0,0)</f>
        <v>17</v>
      </c>
      <c r="E39" s="17">
        <f>AVERAGE(0,0,0,0,0,0,0,0,0,0,0,0,0,1,0,0,0)</f>
        <v>5.8823529411764705E-2</v>
      </c>
      <c r="F39" s="17">
        <f>STDEV(0,0,0,0,0,0,0,0,0,0,0,0,0,1,0,0,0)</f>
        <v>0.24253562503633297</v>
      </c>
      <c r="G39" s="1">
        <v>0</v>
      </c>
      <c r="H39" s="18">
        <f t="shared" si="1"/>
        <v>0</v>
      </c>
      <c r="I39" s="1">
        <v>0</v>
      </c>
      <c r="J39" s="1" t="s">
        <v>9</v>
      </c>
      <c r="K39" s="1" t="s">
        <v>15</v>
      </c>
    </row>
    <row r="40" spans="1:11" x14ac:dyDescent="0.2">
      <c r="A40" s="1">
        <v>4</v>
      </c>
      <c r="B40" s="1" t="s">
        <v>40</v>
      </c>
      <c r="C40" s="1">
        <v>30</v>
      </c>
      <c r="D40" s="1">
        <f>COUNT(0,0,0,0,0,0,0,0,0,0,0,0,0,0,0,0,0,0,0,0,0,1,1,1)</f>
        <v>24</v>
      </c>
      <c r="E40" s="17">
        <f>AVERAGE(0,0,0,0,0,0,0,0,0,0,0,0,0,0,0,0,0,0,0,0,0,1,1,1)</f>
        <v>0.125</v>
      </c>
      <c r="F40" s="17">
        <f>STDEV(0,0,0,0,0,0,0,0,0,0,0,0,0,0,0,0,0,0,0,0,0,1,1,1)</f>
        <v>0.33783196234608809</v>
      </c>
      <c r="G40" s="1">
        <v>0</v>
      </c>
      <c r="H40" s="18">
        <f t="shared" si="1"/>
        <v>0</v>
      </c>
      <c r="I40" s="1">
        <v>0</v>
      </c>
      <c r="J40" s="1" t="s">
        <v>15</v>
      </c>
      <c r="K40" s="1" t="s">
        <v>15</v>
      </c>
    </row>
    <row r="41" spans="1:11" x14ac:dyDescent="0.2">
      <c r="A41" s="1">
        <v>4</v>
      </c>
      <c r="B41" s="1" t="s">
        <v>41</v>
      </c>
      <c r="C41" s="1">
        <v>15</v>
      </c>
      <c r="D41" s="1">
        <f>COUNT(0,0,0,0,0,0,0,0,0,0,0,0,0,0,0,0,0,0,0,0,1,1)</f>
        <v>22</v>
      </c>
      <c r="E41" s="17">
        <f>AVERAGE(0,0,0,0,0,0,0,0,0,0,0,0,0,0,0,0,0,0,0,0,1,1)</f>
        <v>9.0909090909090912E-2</v>
      </c>
      <c r="F41" s="17">
        <f>STDEV(0,0,0,0,0,0,0,0,0,0,0,0,0,0,0,0,0,0,0,0,1,1)</f>
        <v>0.29424494316824984</v>
      </c>
      <c r="G41" s="1">
        <v>0</v>
      </c>
      <c r="H41" s="18">
        <f t="shared" si="1"/>
        <v>0</v>
      </c>
      <c r="I41" s="1">
        <v>0</v>
      </c>
      <c r="J41" s="1" t="s">
        <v>15</v>
      </c>
      <c r="K41" s="1" t="s">
        <v>15</v>
      </c>
    </row>
    <row r="42" spans="1:11" x14ac:dyDescent="0.2">
      <c r="A42" s="1">
        <v>7</v>
      </c>
      <c r="B42" s="1" t="s">
        <v>42</v>
      </c>
      <c r="C42" s="1" t="s">
        <v>49</v>
      </c>
      <c r="D42" s="1">
        <f>COUNT(0,0,0,0,0,0,0,0,0,0,0,0,0,0,0,0,0,0,0,0,0,0,0,0,0,0,0)</f>
        <v>27</v>
      </c>
      <c r="E42" s="17">
        <f>AVERAGE(0,0,0,0,0,0,0,0,0,0,0,0,0,0,0,0,0,0,0,0,0,0,0,0,0,0,0)</f>
        <v>0</v>
      </c>
      <c r="F42" s="17">
        <f>STDEV(0,0,0,0,0,0,0,0,0,0,0,0,0,0,0,0,0,0,0,0,0,0,0,0,0,0,0)</f>
        <v>0</v>
      </c>
      <c r="G42" s="1">
        <v>0</v>
      </c>
      <c r="H42" s="18">
        <f t="shared" si="1"/>
        <v>0</v>
      </c>
      <c r="I42" s="1">
        <v>0</v>
      </c>
      <c r="J42" s="1" t="s">
        <v>15</v>
      </c>
      <c r="K42" s="1" t="s">
        <v>15</v>
      </c>
    </row>
    <row r="43" spans="1:11" x14ac:dyDescent="0.2">
      <c r="A43" s="1">
        <v>7</v>
      </c>
      <c r="B43" s="1" t="s">
        <v>43</v>
      </c>
      <c r="C43" s="1" t="s">
        <v>49</v>
      </c>
      <c r="D43" s="1">
        <f>COUNT(0,0,0,0,0,0,0,0,0,0,0,0,0,0,0,0,0,0,0,0,0,0,0,0,0,0,0,0,0,0,0,0,0,0,0,0,0)</f>
        <v>37</v>
      </c>
      <c r="E43" s="17">
        <f>AVERAGE(0,0,0,0,0,0,0,0,0,0,0,0,0,0,0,0,0,0,0,0,0,0,0,0,0,0,0,0,0,0,0,0,0,0,0,0,0)</f>
        <v>0</v>
      </c>
      <c r="F43" s="17">
        <f>STDEV(0,0,0,0,0,0,0,0,0,0,0,0,0,0,0,0,0,0,0,0,0,0,0,0,0,0,0,0,0,0,0,0,0,0,0,0,0)</f>
        <v>0</v>
      </c>
      <c r="G43" s="1">
        <v>0</v>
      </c>
      <c r="H43" s="18">
        <f t="shared" si="1"/>
        <v>0</v>
      </c>
      <c r="I43" s="1">
        <v>0</v>
      </c>
      <c r="J43" s="1" t="s">
        <v>9</v>
      </c>
      <c r="K43" s="1" t="s">
        <v>15</v>
      </c>
    </row>
    <row r="44" spans="1:11" x14ac:dyDescent="0.2">
      <c r="A44" s="1">
        <v>7</v>
      </c>
      <c r="B44" s="1" t="s">
        <v>44</v>
      </c>
      <c r="C44" s="1" t="s">
        <v>49</v>
      </c>
      <c r="D44" s="1">
        <f>COUNT(0,0,0,0,0,0,0,0,0,0,0,0,0,0,0,0,0,0,0,0,0,0,0,0,0,0,0,0,0,0,0,0,0,0,0,0,0,0,0,0,0,0,0,0,0,0,0,0,0,0,0,0,0)</f>
        <v>53</v>
      </c>
      <c r="E44" s="17">
        <f>AVERAGE(0,0,0,0,0,0,0,0,0,0,0,0,0,0,0,0,0,0,0,0,0,0,0,0,0,0,0,0,0,0,0,0,0,0,0,0,0,0,0,0,0,0,0,0,0,0,0,0,0,0,0,0,0)</f>
        <v>0</v>
      </c>
      <c r="F44" s="17">
        <f>STDEV(0,0,0,0,0,0,0,0,0,0,0,0,0,0,0,0,0,0,0,0,0,0,0,0,0,0,0,0,0,0,0,0,0,0,0,0,0,0,0,0,0,0,0,0,0,0,0,0,0,0,0,0,0)</f>
        <v>0</v>
      </c>
      <c r="G44" s="1">
        <v>0</v>
      </c>
      <c r="H44" s="18">
        <f t="shared" si="1"/>
        <v>0</v>
      </c>
      <c r="I44" s="1">
        <v>0</v>
      </c>
      <c r="J44" s="1" t="s">
        <v>15</v>
      </c>
      <c r="K44" s="1" t="s">
        <v>15</v>
      </c>
    </row>
    <row r="45" spans="1:11" x14ac:dyDescent="0.2">
      <c r="A45" s="1">
        <v>7</v>
      </c>
      <c r="B45" s="1" t="s">
        <v>45</v>
      </c>
      <c r="C45" s="1" t="s">
        <v>49</v>
      </c>
      <c r="D45" s="1">
        <f>COUNT(0,0,0,0,0,0,0,0,0,0,0,0,0,0,0,0,0,0,0,0,0,0,0,0,0,0,0)</f>
        <v>27</v>
      </c>
      <c r="E45" s="17">
        <f>AVERAGE(0,0,0,0,0,0,0,0,0,0,0,0,0,0,0,0,0,0,0,0,0,0,0,0,0,0,0)</f>
        <v>0</v>
      </c>
      <c r="F45" s="17">
        <f>STDEV(0,0,0,0,0,0,0,0,0,0,0,0,0,0,0,0,0,0,0,0,0,0,0,0,0,0,0)</f>
        <v>0</v>
      </c>
      <c r="G45" s="1">
        <v>0</v>
      </c>
      <c r="H45" s="18">
        <f t="shared" si="1"/>
        <v>0</v>
      </c>
      <c r="I45" s="1">
        <v>0</v>
      </c>
      <c r="J45" s="1" t="s">
        <v>9</v>
      </c>
      <c r="K45" s="1" t="s">
        <v>15</v>
      </c>
    </row>
    <row r="46" spans="1:11" x14ac:dyDescent="0.2">
      <c r="A46" s="1">
        <v>7</v>
      </c>
      <c r="B46" s="1" t="s">
        <v>46</v>
      </c>
      <c r="C46" s="1" t="s">
        <v>50</v>
      </c>
      <c r="D46" s="1">
        <f>COUNT(0,0,0,0,0,0,0,0,0,0,0,0,0,0,0,0,0,0,0,0,0,0,0,0,0,0,0,0)</f>
        <v>28</v>
      </c>
      <c r="E46" s="17">
        <f>AVERAGE(0,0,0,0,0,0,0,0,0,0,0,0,0,0,0,0,0,0,0,0,0,0,0,0,0,0,0,0)</f>
        <v>0</v>
      </c>
      <c r="F46" s="17">
        <f>STDEV(0,0,0,0,0,0,0,0,0,0,0,0,0,0,0,0,0,0,0,0,0,0,0,0,0,0,0,0)</f>
        <v>0</v>
      </c>
      <c r="G46" s="1">
        <v>0</v>
      </c>
      <c r="H46" s="18">
        <v>0</v>
      </c>
      <c r="I46" s="1">
        <v>0</v>
      </c>
      <c r="J46" s="1" t="s">
        <v>9</v>
      </c>
      <c r="K46" s="1" t="s">
        <v>15</v>
      </c>
    </row>
    <row r="47" spans="1:11" x14ac:dyDescent="0.2">
      <c r="A47" s="1">
        <v>7</v>
      </c>
      <c r="B47" s="1" t="s">
        <v>47</v>
      </c>
      <c r="C47" s="1" t="s">
        <v>49</v>
      </c>
      <c r="D47" s="1">
        <f>COUNT(0,0,0,0,0,0,0,0,0)</f>
        <v>9</v>
      </c>
      <c r="E47" s="17">
        <f>AVERAGE(0,0,0,0,0,0,0,0,0)</f>
        <v>0</v>
      </c>
      <c r="F47" s="17">
        <f>STDEV(0,0,0,0,0,0,0,0,0)</f>
        <v>0</v>
      </c>
      <c r="G47" s="1">
        <v>0</v>
      </c>
      <c r="H47" s="18">
        <f t="shared" si="1"/>
        <v>0</v>
      </c>
      <c r="I47" s="1">
        <v>0</v>
      </c>
      <c r="J47" s="1" t="s">
        <v>15</v>
      </c>
      <c r="K47" s="1" t="s">
        <v>15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7"/>
  <sheetViews>
    <sheetView workbookViewId="0">
      <selection activeCell="J27" sqref="J27"/>
    </sheetView>
  </sheetViews>
  <sheetFormatPr baseColWidth="10" defaultColWidth="8.83203125" defaultRowHeight="15" x14ac:dyDescent="0.2"/>
  <cols>
    <col min="1" max="1" width="14.5" customWidth="1"/>
    <col min="2" max="2" width="16.5" customWidth="1"/>
    <col min="3" max="3" width="23.83203125" customWidth="1"/>
    <col min="4" max="4" width="27.1640625" customWidth="1"/>
    <col min="5" max="5" width="32.1640625" customWidth="1"/>
    <col min="6" max="8" width="26.5" customWidth="1"/>
    <col min="9" max="9" width="9" customWidth="1"/>
    <col min="10" max="10" width="17" customWidth="1"/>
    <col min="11" max="11" width="14.5" customWidth="1"/>
    <col min="12" max="12" width="15.83203125" customWidth="1"/>
  </cols>
  <sheetData>
    <row r="1" spans="1:11" ht="24" x14ac:dyDescent="0.3">
      <c r="A1" s="4" t="s">
        <v>23</v>
      </c>
    </row>
    <row r="2" spans="1:11" ht="24" x14ac:dyDescent="0.3">
      <c r="A2" s="4"/>
    </row>
    <row r="3" spans="1:11" ht="24" x14ac:dyDescent="0.3">
      <c r="A3" s="4" t="s">
        <v>57</v>
      </c>
      <c r="E3" s="2"/>
      <c r="F3" s="2"/>
      <c r="H3" s="3"/>
    </row>
    <row r="4" spans="1:11" x14ac:dyDescent="0.2">
      <c r="E4" s="2"/>
      <c r="F4" s="2"/>
      <c r="H4" s="3"/>
    </row>
    <row r="5" spans="1:11" s="5" customFormat="1" x14ac:dyDescent="0.2">
      <c r="A5" s="16" t="s">
        <v>8</v>
      </c>
      <c r="B5" s="5" t="s">
        <v>7</v>
      </c>
      <c r="C5" s="5" t="s">
        <v>2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22</v>
      </c>
      <c r="I5" s="5" t="s">
        <v>16</v>
      </c>
      <c r="J5" s="5" t="s">
        <v>3</v>
      </c>
      <c r="K5" s="5" t="s">
        <v>4</v>
      </c>
    </row>
    <row r="6" spans="1:11" x14ac:dyDescent="0.2">
      <c r="A6" s="1" t="s">
        <v>9</v>
      </c>
      <c r="B6" s="1" t="s">
        <v>24</v>
      </c>
      <c r="C6" s="1">
        <v>0</v>
      </c>
      <c r="D6" s="1">
        <f>COUNT(0,0,0,0,0,0,0,0,0,0,0,0,0,0,0,0,0,0,0,0,0,0,0,0,0,0,0,0,0,0,0,0,0,0,0,0,0,0,0,0,0,0,0,0,0)</f>
        <v>45</v>
      </c>
      <c r="E6" s="17">
        <f>AVERAGE(0,0,0,0,0,0,0,0,0,0,0,0,0,0,0,0,0,0,0,0,0,0,0,0,0,0,0,0,0,0,0,0,0,0,0,0,0,0,0,0,0,0,0,0,0)</f>
        <v>0</v>
      </c>
      <c r="F6" s="17">
        <f>STDEV(0,0,0,0,0,0,0,0,0,0,0,0,0,0,0,0,0,0,0,0,0,0,0,0,0,0,0,0,0,0,0,0,0,0,0,0,0,0,0,0,0,0,0,0,0)</f>
        <v>0</v>
      </c>
      <c r="G6" s="1">
        <v>0</v>
      </c>
      <c r="H6" s="18">
        <f>G6/D6</f>
        <v>0</v>
      </c>
      <c r="I6" s="1">
        <v>0</v>
      </c>
      <c r="J6" s="1" t="s">
        <v>15</v>
      </c>
      <c r="K6" s="1" t="s">
        <v>15</v>
      </c>
    </row>
    <row r="7" spans="1:11" x14ac:dyDescent="0.2">
      <c r="A7" s="1" t="s">
        <v>9</v>
      </c>
      <c r="B7" s="1" t="s">
        <v>25</v>
      </c>
      <c r="C7" s="1">
        <v>0</v>
      </c>
      <c r="D7" s="1">
        <f>COUNT(0,0,0,0,0,0,0,0,0,0,0,0,0,0,0,0,0,0,0,0,0,0,0,0,0,0,0,0)</f>
        <v>28</v>
      </c>
      <c r="E7" s="17">
        <f>AVERAGE(0,0,0,0,0,0,0,0,0,0,0,0,0,0,0,0,0,0,0,0,0,0,0,0,0,0,0,0)</f>
        <v>0</v>
      </c>
      <c r="F7" s="17">
        <f>STDEV(0,0,0,0,0,0,0,0,0,0,0,0,0,0,0,0,0,0,0,0,0,0,0,0,0,0,0,0)</f>
        <v>0</v>
      </c>
      <c r="G7" s="1">
        <v>0</v>
      </c>
      <c r="H7" s="18">
        <f t="shared" ref="H7:H27" si="0">G7/D7</f>
        <v>0</v>
      </c>
      <c r="I7" s="1">
        <v>0</v>
      </c>
      <c r="J7" s="1" t="s">
        <v>15</v>
      </c>
      <c r="K7" s="1" t="s">
        <v>15</v>
      </c>
    </row>
    <row r="8" spans="1:11" x14ac:dyDescent="0.2">
      <c r="A8" s="1" t="s">
        <v>9</v>
      </c>
      <c r="B8" s="1" t="s">
        <v>26</v>
      </c>
      <c r="C8" s="1">
        <v>0</v>
      </c>
      <c r="D8" s="1">
        <f>COUNT(0,0,0,0,0,0,0,0,0,0,0,0,0,0,0,0,0,0,0,0,0,0,0,0,0,0,0,0,0,0,0,0,0,0,0,0,0,0,0,0,0,0,0,0)</f>
        <v>44</v>
      </c>
      <c r="E8" s="17">
        <f>AVERAGE(0,0,0,0,0,0,0,0,0,0,0,0,0,0,0,0,0,0,0,0,0,0,0,0,0,0,0,0,0,0,0,0,0,0,0,0,0,0,0,0,0,0,0,0)</f>
        <v>0</v>
      </c>
      <c r="F8" s="17">
        <f>STDEV(0,0,0,0,0,0,0,0,0,0,0,0,0,0,0,0,0,0,0,0,0,0,0,0,0,0,0,0,0,0,0,0,0,0,0,0,0,0,0,0,0,0,0,0)</f>
        <v>0</v>
      </c>
      <c r="G8" s="1">
        <v>0</v>
      </c>
      <c r="H8" s="18">
        <f t="shared" si="0"/>
        <v>0</v>
      </c>
      <c r="I8" s="1">
        <v>0</v>
      </c>
      <c r="J8" s="1" t="s">
        <v>15</v>
      </c>
      <c r="K8" s="20" t="s">
        <v>58</v>
      </c>
    </row>
    <row r="9" spans="1:11" x14ac:dyDescent="0.2">
      <c r="A9" s="1" t="s">
        <v>9</v>
      </c>
      <c r="B9" s="1" t="s">
        <v>27</v>
      </c>
      <c r="C9" s="1">
        <v>0</v>
      </c>
      <c r="D9" s="1">
        <f>COUNT(0,0,0,0,0,0,0,0,0,0,0,0,0,0,0,0,0,0,0,0,0,0,0,0,0,0,0,0,0,0,0,0,0,0,0,0,0,0,0,0,0)</f>
        <v>41</v>
      </c>
      <c r="E9" s="17">
        <f>AVERAGE(0,0,0,0,0,0,0,0,0,0,0,0,0,0,0,0,0,0,0,0,0,0,0,0,0,0,0,0,0,0,0,0,0,0,0,0,0,0,0,0,0)</f>
        <v>0</v>
      </c>
      <c r="F9" s="17">
        <f>STDEV(0,0,0,0,0,0,0,0,0,0,0,0,0,0,0,0,0,0,0,0,0,0,0,0,0,0,0,0,0,0,0,0,0,0,0,0,0,0,0,0,0)</f>
        <v>0</v>
      </c>
      <c r="G9" s="1">
        <v>0</v>
      </c>
      <c r="H9" s="18">
        <f t="shared" si="0"/>
        <v>0</v>
      </c>
      <c r="I9" s="1">
        <v>0</v>
      </c>
      <c r="J9" s="1" t="s">
        <v>15</v>
      </c>
      <c r="K9" s="20" t="s">
        <v>58</v>
      </c>
    </row>
    <row r="10" spans="1:11" x14ac:dyDescent="0.2">
      <c r="A10" s="1" t="s">
        <v>9</v>
      </c>
      <c r="B10" s="1" t="s">
        <v>28</v>
      </c>
      <c r="C10" s="1">
        <v>0</v>
      </c>
      <c r="D10" s="1">
        <f>COUNT(0,0,0,0,0,0,0,0,0,0,0,0,0,0,0,0,0,0,0,0,0,0,0,0)</f>
        <v>24</v>
      </c>
      <c r="E10" s="17">
        <f>AVERAGE(0,0,0,0,0,0,0,0,0,0,0,0,0,0,0,0,0,0,0,0,0,0,0,0)</f>
        <v>0</v>
      </c>
      <c r="F10" s="17">
        <f>STDEV(0,0,0,0,0,0,0,0,0,0,0,0,0,0,0,0,0,0,0,0,0,0,0,0)</f>
        <v>0</v>
      </c>
      <c r="G10" s="1">
        <v>0</v>
      </c>
      <c r="H10" s="18">
        <f t="shared" si="0"/>
        <v>0</v>
      </c>
      <c r="I10" s="1">
        <v>0</v>
      </c>
      <c r="J10" s="1" t="s">
        <v>15</v>
      </c>
      <c r="K10" s="1" t="s">
        <v>15</v>
      </c>
    </row>
    <row r="11" spans="1:11" x14ac:dyDescent="0.2">
      <c r="A11" s="1" t="s">
        <v>9</v>
      </c>
      <c r="B11" s="1" t="s">
        <v>29</v>
      </c>
      <c r="C11" s="1">
        <v>0</v>
      </c>
      <c r="D11" s="1">
        <f>COUNT(0,0,0,0,0,0,0,0,0,0,0,0,0,0,0,0,0,0,0,0,0,0,0,0,0,0,0,0,0,0,0,0,0,0,0,0,0,0,0,0)</f>
        <v>40</v>
      </c>
      <c r="E11" s="17">
        <f>AVERAGE(0,0,0,0,0,0,0,0,0,0,0,0,0,0,0,0,0,0,0,0,0,0,0,0,0,0,0,0,0,0,0,0,0,0,0,0,0,0,0,0)</f>
        <v>0</v>
      </c>
      <c r="F11" s="17">
        <f>STDEV(0,0,0,0,0,0,0,0,0,0,0,0,0,0,0,0,0,0,0,0,0,0,0,0,0,0,0,0,0,0,0,0,0,0,0,0,0,0,0,0)</f>
        <v>0</v>
      </c>
      <c r="G11" s="1">
        <v>0</v>
      </c>
      <c r="H11" s="18">
        <f t="shared" si="0"/>
        <v>0</v>
      </c>
      <c r="I11" s="1">
        <v>0</v>
      </c>
      <c r="J11" s="1" t="s">
        <v>9</v>
      </c>
      <c r="K11" s="20" t="s">
        <v>58</v>
      </c>
    </row>
    <row r="12" spans="1:11" x14ac:dyDescent="0.2">
      <c r="A12" s="1">
        <v>2</v>
      </c>
      <c r="B12" s="1" t="s">
        <v>30</v>
      </c>
      <c r="C12" s="1">
        <v>80</v>
      </c>
      <c r="D12" s="1">
        <f>COUNT(4,4,3,4,2,3,2,1,4,2,4,4,4,3,4,4,2,1,1,1,1,1,2,4,4,3,4,4,4,4,3,4,2,4,4,4,4,4,2)</f>
        <v>39</v>
      </c>
      <c r="E12" s="17">
        <f>AVERAGE(4,4,3,4,2,3,2,1,4,2,4,4,4,3,4,4,2,1,1,1,1,1,2,4,4,3,4,4,4,4,3,4,2,4,4,4,4,4,2)</f>
        <v>3.0512820512820511</v>
      </c>
      <c r="F12" s="17">
        <f>STDEV(4,4,3,4,2,3,2,1,4,2,4,4,4,3,4,4,2,1,1,1,1,1,2,4,4,3,4,4,4,4,3,4,2,4,4,4,4,4,2)</f>
        <v>1.1686410900276205</v>
      </c>
      <c r="G12" s="1">
        <v>14</v>
      </c>
      <c r="H12" s="18">
        <f>G12/D12</f>
        <v>0.35897435897435898</v>
      </c>
      <c r="I12" s="1">
        <v>1</v>
      </c>
      <c r="J12" s="1" t="s">
        <v>15</v>
      </c>
      <c r="K12" s="1" t="s">
        <v>15</v>
      </c>
    </row>
    <row r="13" spans="1:11" x14ac:dyDescent="0.2">
      <c r="A13" s="1">
        <v>2</v>
      </c>
      <c r="B13" s="1" t="s">
        <v>31</v>
      </c>
      <c r="C13" s="1">
        <v>60</v>
      </c>
      <c r="D13" s="1">
        <f>COUNT(2,2,3,3,4,4,1,0,3,3,4,1,2,4,3,1,1,4,4,1,0,1,1,0,4,4,4,3,2,4,1,4,3,4,4,3,4)</f>
        <v>37</v>
      </c>
      <c r="E13" s="17">
        <f>AVERAGE(2,2,3,3,4,4,1,0,3,3,4,1,2,4,3,1,1,4,4,1,0,1,1,0,4,4,4,3,2,4,1,4,3,4,4,3,4)</f>
        <v>2.5945945945945947</v>
      </c>
      <c r="F13" s="17">
        <f>STDEV(2,2,3,3,4,4,1,0,3,3,4,1,2,4,3,1,1,4,4,1,0,1,1,0,4,4,4,3,2,4,1,4,3,4,4,3,4)</f>
        <v>1.4035561869657978</v>
      </c>
      <c r="G13" s="1">
        <v>8</v>
      </c>
      <c r="H13" s="18">
        <f t="shared" si="0"/>
        <v>0.21621621621621623</v>
      </c>
      <c r="I13" s="1">
        <v>2</v>
      </c>
      <c r="J13" s="1" t="s">
        <v>15</v>
      </c>
      <c r="K13" s="1" t="s">
        <v>15</v>
      </c>
    </row>
    <row r="14" spans="1:11" x14ac:dyDescent="0.2">
      <c r="A14" s="1">
        <v>2</v>
      </c>
      <c r="B14" s="1" t="s">
        <v>32</v>
      </c>
      <c r="C14" s="1">
        <v>60</v>
      </c>
      <c r="D14" s="1">
        <f>COUNT(3,1,1,1,1,2,4,1,4,3,1,1,1,3,1,2,2,4,2,3,4,3,2,2,4,4,4,4,4,4,4,1)</f>
        <v>32</v>
      </c>
      <c r="E14" s="17">
        <f>AVERAGE(3,1,1,1,1,2,4,1,4,3,1,1,1,3,1,2,2,4,2,3,4,3,2,2,4,4,4,4,4,4,4,1)</f>
        <v>2.53125</v>
      </c>
      <c r="F14" s="17">
        <f>STDEV(3,1,1,1,1,2,4,1,4,3,1,1,1,3,1,2,2,4,2,3,4,3,2,2,4,4,4,4,4,4,4,1)</f>
        <v>1.2696043325738624</v>
      </c>
      <c r="G14" s="1">
        <v>8</v>
      </c>
      <c r="H14" s="18">
        <f t="shared" si="0"/>
        <v>0.25</v>
      </c>
      <c r="I14" s="1">
        <v>1</v>
      </c>
      <c r="J14" s="1" t="s">
        <v>15</v>
      </c>
      <c r="K14" s="1" t="s">
        <v>15</v>
      </c>
    </row>
    <row r="15" spans="1:11" x14ac:dyDescent="0.2">
      <c r="A15" s="1">
        <v>2</v>
      </c>
      <c r="B15" s="1" t="s">
        <v>33</v>
      </c>
      <c r="C15" s="1">
        <v>60</v>
      </c>
      <c r="D15" s="1">
        <f>COUNT(1,4,3,2,3,3,4,4,4,1,1,4,4,4,4,4,2,1,1,1,1,0,4,4,4,4,0,4,4,3,4,4,2)</f>
        <v>33</v>
      </c>
      <c r="E15" s="17">
        <f>AVERAGE(1,4,3,2,3,3,4,4,4,1,1,4,4,4,4,4,2,1,1,1,1,0,4,4,4,4,0,4,4,3,4,4,)</f>
        <v>2.7575757575757578</v>
      </c>
      <c r="F15" s="17">
        <f>STDEV(1,4,3,2,3,3,4,4,4,1,1,4,4,4,4,4,2,1,1,1,1,0,4,4,4,4,0,4,4,3,4,4,)</f>
        <v>1.500631180335108</v>
      </c>
      <c r="G15" s="1">
        <v>5</v>
      </c>
      <c r="H15" s="18">
        <f t="shared" si="0"/>
        <v>0.15151515151515152</v>
      </c>
      <c r="I15" s="1">
        <v>1</v>
      </c>
      <c r="J15" s="21" t="s">
        <v>9</v>
      </c>
      <c r="K15" s="1" t="s">
        <v>15</v>
      </c>
    </row>
    <row r="16" spans="1:11" x14ac:dyDescent="0.2">
      <c r="A16" s="1">
        <v>2</v>
      </c>
      <c r="B16" s="1" t="s">
        <v>34</v>
      </c>
      <c r="C16" s="1">
        <v>20</v>
      </c>
      <c r="D16" s="1">
        <f>COUNT(3,2,1,1,0,0,0,0,1,0,0,0,1,2,2,1,2,2,1,3,3,1,0,0,0,0,1,1,0,0,0,0,1,1,0,0,0,0,0,1,1,1,1,1)</f>
        <v>44</v>
      </c>
      <c r="E16" s="17">
        <f>AVERAGE(3,2,1,1,0,0,0,0,1,0,0,0,1,2,2,1,2,2,1,3,3,1,0,0,0,0,1,1,0,0,0,0,1,1,0,0,0,0,0,1,1,1,1,1)</f>
        <v>0.79545454545454541</v>
      </c>
      <c r="F16" s="17">
        <f>STDEV(3,2,1,1,0,0,0,0,1,0,0,0,1,2,2,1,2,2,1,3,3,1,0,0,0,0,1,1,0,0,0,0,1,1,0,0,0,0,0,1,1,1,1,1)</f>
        <v>0.90424182437863521</v>
      </c>
      <c r="G16" s="1">
        <v>8</v>
      </c>
      <c r="H16" s="18">
        <f t="shared" si="0"/>
        <v>0.18181818181818182</v>
      </c>
      <c r="I16" s="1">
        <v>0</v>
      </c>
      <c r="J16" s="1" t="s">
        <v>15</v>
      </c>
      <c r="K16" s="1" t="s">
        <v>15</v>
      </c>
    </row>
    <row r="17" spans="1:12" x14ac:dyDescent="0.2">
      <c r="A17" s="1">
        <v>2</v>
      </c>
      <c r="B17" s="1" t="s">
        <v>35</v>
      </c>
      <c r="C17" s="1">
        <v>10</v>
      </c>
      <c r="D17" s="1">
        <f>COUNT(0,0,0,0,0,0,0,0,0,0,0,0,0,0,0,0,0,0,4,3,1,2,0,0,0,0,0,0,0,0,0,0,0,0,0,0,0,0,0,0,0,0,0,0,0)</f>
        <v>45</v>
      </c>
      <c r="E17" s="17">
        <f>AVERAGE(0,0,0,0,0,0,0,0,0,0,0,0,0,0,0,0,0,0,4,3,1,2,0,0,0,0,0,0,0,0,0,0,0,0,0,0,0,0,0,0,0,0,0,0,0)</f>
        <v>0.22222222222222221</v>
      </c>
      <c r="F17" s="17">
        <f>STDEV(0,0,0,0,0,0,0,0,0,0,0,0,0,0,0,0,0,0,4,3,1,2,0,0,0,0,0,0,0,0,0,0,0,0,0,0,0,0,0,0,0,0,0,0,0)</f>
        <v>0.79455215770466026</v>
      </c>
      <c r="G17" s="1">
        <v>2</v>
      </c>
      <c r="H17" s="18">
        <f t="shared" si="0"/>
        <v>4.4444444444444446E-2</v>
      </c>
      <c r="I17" s="1">
        <v>1</v>
      </c>
      <c r="J17" s="1" t="s">
        <v>15</v>
      </c>
      <c r="K17" s="20" t="s">
        <v>58</v>
      </c>
    </row>
    <row r="18" spans="1:12" x14ac:dyDescent="0.2">
      <c r="A18" s="1">
        <v>4</v>
      </c>
      <c r="B18" s="1" t="s">
        <v>36</v>
      </c>
      <c r="C18" s="1">
        <v>50</v>
      </c>
      <c r="D18" s="1">
        <f>COUNT(1,4,2,1,1,0,2,1,0,0,0,0,0,0,0,1,1,1,1,1,0,0,0,0,1,0,1,1,1,1,1,1,1,1,1,0,1,1,1,1)</f>
        <v>40</v>
      </c>
      <c r="E18" s="17">
        <f>AVERAGE(1,4,2,1,1,0,2,1,0,0,0,0,0,0,0,1,1,1,1,1,0,0,0,0,1,0,1,1,1,1,1,1,1,1,1,0,1,1,1,1)</f>
        <v>0.77500000000000002</v>
      </c>
      <c r="F18" s="17">
        <f>STDEV(1,4,2,1,1,0,2,1,0,0,0,0,0,0,0,1,1,1,1,1,0,0,0,0,1,0,1,1,1,1,1,1,1,1,1,0,1,1,1,1)</f>
        <v>0.76753017146074731</v>
      </c>
      <c r="G18" s="1">
        <v>1</v>
      </c>
      <c r="H18" s="18">
        <f t="shared" si="0"/>
        <v>2.5000000000000001E-2</v>
      </c>
      <c r="I18" s="1">
        <v>0</v>
      </c>
      <c r="J18" s="1" t="s">
        <v>15</v>
      </c>
      <c r="K18" s="1" t="s">
        <v>52</v>
      </c>
    </row>
    <row r="19" spans="1:12" x14ac:dyDescent="0.2">
      <c r="A19" s="1">
        <v>4</v>
      </c>
      <c r="B19" s="1" t="s">
        <v>37</v>
      </c>
      <c r="C19" s="1">
        <v>40</v>
      </c>
      <c r="D19" s="1">
        <f>COUNT(0,0,0,0,0,0,1,0,0,0,0,0,0,0,0,0,0,1,1,0,0,0,0,0,0,0,0,0,0,0,0,0,0,0)</f>
        <v>34</v>
      </c>
      <c r="E19" s="17">
        <f>AVERAGE(0,0,0,0,0,0,1,0,0,0,0,0,0,0,0,0,0,1,1,0,0,0,0,0,0,0,0,0,0,0,0,0,0,0)</f>
        <v>8.8235294117647065E-2</v>
      </c>
      <c r="F19" s="17">
        <f>STDEV(0,0,0,0,0,0,1,0,0,0,0,0,0,0,0,0,0,1,1,0,0,0,0,0,0,0,0,0,0,0,0,0,0,0)</f>
        <v>0.28790224128123659</v>
      </c>
      <c r="G19" s="1">
        <v>0</v>
      </c>
      <c r="H19" s="18">
        <f t="shared" si="0"/>
        <v>0</v>
      </c>
      <c r="I19" s="1">
        <v>0</v>
      </c>
      <c r="J19" s="20" t="s">
        <v>59</v>
      </c>
      <c r="K19" s="20" t="s">
        <v>58</v>
      </c>
    </row>
    <row r="20" spans="1:12" x14ac:dyDescent="0.2">
      <c r="A20" s="1">
        <v>4</v>
      </c>
      <c r="B20" s="1" t="s">
        <v>38</v>
      </c>
      <c r="C20" s="1">
        <v>60</v>
      </c>
      <c r="D20" s="1">
        <f>COUNT(0,0,2,1,1,1,2,1,2,2,1,1,1,0,0,1,2,2,1,0,0,0,0,1,0,1,1,2,1,2,2,1,0,0,1,1,2,1,1,1,2,1,2,2,3,3,2,3,2,2)</f>
        <v>50</v>
      </c>
      <c r="E20" s="17">
        <f>AVERAGE(0,0,2,1,1,1,2,1,2,2,1,1,1,0,0,1,2,2,1,0,0,0,0,1,0,1,1,2,1,2,2,1,0,0,1,1,2,1,1,1,2,1,2,2,3,3,2,3,2,2)</f>
        <v>1.22</v>
      </c>
      <c r="F20" s="17">
        <f>STDEV(0,0,2,1,1,1,2,1,2,2,1,1,1,0,0,1,2,2,1,0,0,0,0,1,0,1,1,2,1,2,2,1,0,0,1,1,2,1,1,1,2,1,2,2,3,3,2,3,2,2)</f>
        <v>0.86402003000213945</v>
      </c>
      <c r="G20" s="1">
        <v>4</v>
      </c>
      <c r="H20" s="18">
        <f t="shared" si="0"/>
        <v>0.08</v>
      </c>
      <c r="I20" s="1">
        <v>1</v>
      </c>
      <c r="J20" s="1" t="s">
        <v>9</v>
      </c>
      <c r="K20" s="20" t="s">
        <v>58</v>
      </c>
    </row>
    <row r="21" spans="1:12" x14ac:dyDescent="0.2">
      <c r="A21" s="1">
        <v>4</v>
      </c>
      <c r="B21" s="1" t="s">
        <v>39</v>
      </c>
      <c r="C21" s="1">
        <v>80</v>
      </c>
      <c r="D21" s="1">
        <f>COUNT(3,3,3,1,2,2,3,1,2,1,2,3,2,2,2,1,1,2,2,4,3,3,1,2,1,3,2,1,2,4,2,1,3,3,3,1,2)</f>
        <v>37</v>
      </c>
      <c r="E21" s="17">
        <f>AVERAGE(3,3,3,1,2,2,3,1,2,1,2,3,2,2,2,1,1,2,2,4,3,3,1,2,1,3,2,1,2,4,2,1,3,3,3,1,2)</f>
        <v>2.1351351351351351</v>
      </c>
      <c r="F21" s="17">
        <f>STDEV(3,3,3,1,2,2,3,1,2,1,2,3,2,2,2,1,1,2,2,4,3,3,1,2,1,3,2,1,2,4,2,1,3,3,3,1,2)</f>
        <v>0.88701002631694459</v>
      </c>
      <c r="G21" s="1">
        <v>6</v>
      </c>
      <c r="H21" s="18">
        <f t="shared" si="0"/>
        <v>0.16216216216216217</v>
      </c>
      <c r="I21" s="1">
        <v>2</v>
      </c>
      <c r="J21" s="1" t="s">
        <v>15</v>
      </c>
      <c r="K21" s="20" t="s">
        <v>58</v>
      </c>
    </row>
    <row r="22" spans="1:12" x14ac:dyDescent="0.2">
      <c r="A22" s="1">
        <v>4</v>
      </c>
      <c r="B22" s="1" t="s">
        <v>40</v>
      </c>
      <c r="C22" s="1">
        <v>70</v>
      </c>
      <c r="D22" s="1">
        <f>COUNT(2,1,1,1,1,2,2,3,1,2,4,3,2,2,2,2,3,2,2,3,1,1,3,3,3,4,3,1,1,2,1,2,3,1,3,2,2,3,3,4,4,2,1,3,2,1,1,2,1,1,3,1)</f>
        <v>52</v>
      </c>
      <c r="E22" s="17">
        <f>AVERAGE(2,1,1,1,1,2,2,3,1,2,4,3,2,2,2,2,3,2,2,3,1,1,3,3,3,4,3,1,1,2,1,2,3,1,3,2,2,3,3,4,4,2,1,3,2,1,1,2,1,1,3,1)</f>
        <v>2.0961538461538463</v>
      </c>
      <c r="F22" s="17">
        <f>STDEV(2,1,1,1,1,2,2,3,1,2,4,3,2,2,2,2,3,2,2,3,1,1,3,3,3,4,3,1,1,2,1,2,3,1,3,2,2,3,3,4,4,2,1,3,2,1,1,2,1,1,3,1)</f>
        <v>0.9550611392936259</v>
      </c>
      <c r="G22" s="1">
        <v>8</v>
      </c>
      <c r="H22" s="18">
        <f t="shared" si="0"/>
        <v>0.15384615384615385</v>
      </c>
      <c r="I22" s="1">
        <v>2</v>
      </c>
      <c r="J22" s="1" t="s">
        <v>9</v>
      </c>
      <c r="K22" s="1" t="s">
        <v>15</v>
      </c>
    </row>
    <row r="23" spans="1:12" x14ac:dyDescent="0.2">
      <c r="A23" s="1">
        <v>4</v>
      </c>
      <c r="B23" s="1" t="s">
        <v>41</v>
      </c>
      <c r="C23" s="1">
        <v>60</v>
      </c>
      <c r="D23" s="1">
        <f>COUNT(0,0,0,0,0,0,3,0,0,0,0,0,0,0,0,0,0,0,0,0,0,0,0,3,2,0,0,0,0,3,0,0,0,4,2,2,3,1,2,2,1,2,3,2,2,3,4,2,3,2,2,2)</f>
        <v>52</v>
      </c>
      <c r="E23" s="17">
        <f>AVERAGE(0,0,0,0,0,0,3,0,0,0,0,0,0,0,0,0,0,0,0,0,0,0,0,3,2,0,0,0,0,3,0,0,0,4,2,2,3,1,2,2,1,2,3,2,2,3,4,2,3,2,2,2)</f>
        <v>1.0576923076923077</v>
      </c>
      <c r="F23" s="17">
        <f>STDEV(0,0,0,0,0,0,3,0,0,0,0,0,0,0,0,0,0,0,0,0,0,0,0,3,2,0,0,0,0,3,0,0,0,4,2,2,3,1,2,2,1,2,3,2,2,3,4,2,3,2,2,2)</f>
        <v>1.3047945002117405</v>
      </c>
      <c r="G23" s="1">
        <v>7</v>
      </c>
      <c r="H23" s="18">
        <f t="shared" si="0"/>
        <v>0.13461538461538461</v>
      </c>
      <c r="I23" s="1">
        <v>0</v>
      </c>
      <c r="J23" s="20" t="s">
        <v>60</v>
      </c>
      <c r="K23" s="20" t="s">
        <v>60</v>
      </c>
    </row>
    <row r="24" spans="1:12" x14ac:dyDescent="0.2">
      <c r="A24" s="1">
        <v>7</v>
      </c>
      <c r="B24" s="1" t="s">
        <v>43</v>
      </c>
      <c r="C24" s="1">
        <v>45</v>
      </c>
      <c r="D24" s="1">
        <f>COUNT(2,1,1,2,1,1,1,2,1,2,1,1,2,1,1,1,0,1,1,2,1,1,1,1,2)</f>
        <v>25</v>
      </c>
      <c r="E24" s="17">
        <f>AVERAGE(2,1,1,2,1,1,1,2,1,2,1,1,2,1,1,1,0,1,1,2,1,1,1,1,2)</f>
        <v>1.24</v>
      </c>
      <c r="F24" s="17">
        <f>STDEV(2,1,1,2,1,1,1,2,1,2,1,1,2,1,1,1,0,1,1,2,1,1,1,1,2)</f>
        <v>0.52281290471193753</v>
      </c>
      <c r="G24" s="1">
        <v>0</v>
      </c>
      <c r="H24" s="18">
        <f t="shared" si="0"/>
        <v>0</v>
      </c>
      <c r="I24" s="1">
        <v>1</v>
      </c>
      <c r="J24" s="20" t="s">
        <v>58</v>
      </c>
      <c r="K24" s="20" t="s">
        <v>58</v>
      </c>
      <c r="L24" s="1"/>
    </row>
    <row r="25" spans="1:12" x14ac:dyDescent="0.2">
      <c r="A25" s="1">
        <v>7</v>
      </c>
      <c r="B25" s="1" t="s">
        <v>44</v>
      </c>
      <c r="C25" s="1">
        <v>20</v>
      </c>
      <c r="D25" s="1">
        <f>COUNT(0,0,1,0,1,0,1,1,1,0,1,0,1,1,0,1,0,0,0,0,1,1,0,0,0,0,1,1,1,1,0,0,1,1,1,1,0,1,0,0,1,0,0,0,0)</f>
        <v>45</v>
      </c>
      <c r="E25" s="17">
        <f>AVERAGE(0,0,1,0,1,0,1,1,1,0,1,0,1,1,0,1,0,0,0,0,1,1,0,0,0,0,1,1,1,1,0,0,1,1,1,1,0,1,0,0,1,0,0,0,0)</f>
        <v>0.46666666666666667</v>
      </c>
      <c r="F25" s="17">
        <f>STDEV(0,0,1,0,1,0,1,1,1,0,1,0,1,1,0,1,0,0,0,0,1,1,0,0,0,0,1,1,1,1,0,0,1,1,1,1,0,1,0,0,1,0,0,0,0)</f>
        <v>0.50452497910951299</v>
      </c>
      <c r="G25" s="1">
        <v>0</v>
      </c>
      <c r="H25" s="18">
        <f t="shared" si="0"/>
        <v>0</v>
      </c>
      <c r="I25" s="1">
        <v>0</v>
      </c>
      <c r="J25" s="1" t="s">
        <v>9</v>
      </c>
      <c r="K25" s="20" t="s">
        <v>58</v>
      </c>
    </row>
    <row r="26" spans="1:12" x14ac:dyDescent="0.2">
      <c r="A26" s="1">
        <v>7</v>
      </c>
      <c r="B26" s="1" t="s">
        <v>46</v>
      </c>
      <c r="C26" s="1">
        <v>10</v>
      </c>
      <c r="D26" s="1">
        <f>COUNT(1,1,1,1,0,2,1,1,1,1,1,0,0,0,0,1,1,0,0,1,1,0,0)</f>
        <v>23</v>
      </c>
      <c r="E26" s="17">
        <f>AVERAGE(1,1,1,1,0,2,1,1,1,1,1,0,0,0,0,1,1,0,0,1,1,0,0)</f>
        <v>0.65217391304347827</v>
      </c>
      <c r="F26" s="17">
        <f>STDEV(1,1,1,1,0,2,1,1,1,1,1,0,0,0,0,1,1,0,0,1,1,0,0)</f>
        <v>0.57276805175107259</v>
      </c>
      <c r="G26" s="1">
        <v>1</v>
      </c>
      <c r="H26" s="18">
        <f t="shared" si="0"/>
        <v>4.3478260869565216E-2</v>
      </c>
      <c r="I26" s="1">
        <v>0</v>
      </c>
      <c r="J26" s="1" t="s">
        <v>9</v>
      </c>
      <c r="K26" s="20" t="s">
        <v>58</v>
      </c>
    </row>
    <row r="27" spans="1:12" x14ac:dyDescent="0.2">
      <c r="A27" s="1">
        <v>7</v>
      </c>
      <c r="B27" s="1" t="s">
        <v>47</v>
      </c>
      <c r="C27" s="1">
        <v>30</v>
      </c>
      <c r="D27" s="1">
        <f>COUNT(0,2,1,0,0,0,1,1,0,1,0,0,0,1,0,1,1,0,0,0,0,1,1,1,1,0,1,0,0,0,1,0,1,1,1,1,1,0)</f>
        <v>38</v>
      </c>
      <c r="E27" s="17">
        <f>AVERAGE(0,2,1,0,0,0,1,1,0,1,0,0,0,1,0,1,1,0,0,0,0,1,1,1,1,0,1,0,0,0,1,0,1,1,1,1,1,0)</f>
        <v>0.52631578947368418</v>
      </c>
      <c r="F27" s="17">
        <f>STDEV(0,2,1,0,0,0,1,1,0,1,0,0,0,1,0,1,1,0,0,0,0,1,1,1,1,0,1,0,0,0,1,0,1,1,1,1,1,0)</f>
        <v>0.55686584852859122</v>
      </c>
      <c r="G27" s="1">
        <v>1</v>
      </c>
      <c r="H27" s="18">
        <f t="shared" si="0"/>
        <v>2.6315789473684209E-2</v>
      </c>
      <c r="I27" s="1">
        <v>0</v>
      </c>
      <c r="J27" s="20" t="s">
        <v>58</v>
      </c>
      <c r="K27" s="20" t="s">
        <v>58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1"/>
  <sheetViews>
    <sheetView tabSelected="1" workbookViewId="0">
      <selection activeCell="F38" sqref="F38"/>
    </sheetView>
  </sheetViews>
  <sheetFormatPr baseColWidth="10" defaultColWidth="8.83203125" defaultRowHeight="15" x14ac:dyDescent="0.2"/>
  <cols>
    <col min="1" max="1" width="14.5" customWidth="1"/>
    <col min="2" max="2" width="16.5" customWidth="1"/>
    <col min="3" max="3" width="23.83203125" customWidth="1"/>
    <col min="4" max="4" width="27.1640625" customWidth="1"/>
    <col min="5" max="5" width="32.1640625" customWidth="1"/>
    <col min="6" max="8" width="26.5" customWidth="1"/>
    <col min="9" max="9" width="9" customWidth="1"/>
    <col min="10" max="10" width="17" customWidth="1"/>
    <col min="11" max="11" width="14.5" customWidth="1"/>
    <col min="13" max="13" width="15.83203125" customWidth="1"/>
  </cols>
  <sheetData>
    <row r="1" spans="1:12" ht="24" x14ac:dyDescent="0.3">
      <c r="A1" s="4" t="s">
        <v>23</v>
      </c>
    </row>
    <row r="2" spans="1:12" ht="24" x14ac:dyDescent="0.3">
      <c r="A2" s="4"/>
    </row>
    <row r="3" spans="1:12" ht="24" x14ac:dyDescent="0.3">
      <c r="A3" s="4" t="s">
        <v>51</v>
      </c>
      <c r="E3" s="2"/>
      <c r="F3" s="2"/>
      <c r="H3" s="3"/>
    </row>
    <row r="4" spans="1:12" x14ac:dyDescent="0.2">
      <c r="E4" s="2"/>
      <c r="F4" s="2"/>
      <c r="H4" s="3"/>
    </row>
    <row r="5" spans="1:12" s="5" customFormat="1" x14ac:dyDescent="0.2">
      <c r="A5" s="16" t="s">
        <v>8</v>
      </c>
      <c r="B5" s="5" t="s">
        <v>7</v>
      </c>
      <c r="C5" s="5" t="s">
        <v>2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22</v>
      </c>
      <c r="I5" s="5" t="s">
        <v>16</v>
      </c>
      <c r="J5" s="5" t="s">
        <v>3</v>
      </c>
      <c r="K5" s="5" t="s">
        <v>4</v>
      </c>
      <c r="L5" s="5" t="s">
        <v>5</v>
      </c>
    </row>
    <row r="6" spans="1:12" x14ac:dyDescent="0.2">
      <c r="A6" s="1" t="s">
        <v>9</v>
      </c>
      <c r="B6" s="1" t="s">
        <v>24</v>
      </c>
      <c r="C6" s="1">
        <v>0</v>
      </c>
      <c r="D6" s="1">
        <f>COUNT(0,0,0,0,0,0,0,0,0,0,0,0,0,0,0,0,0,0,0,0,0,0,0,0,0,0,0,0,0,0,0,0,0,0,0,0)</f>
        <v>36</v>
      </c>
      <c r="E6" s="17">
        <f>AVERAGE(0,0,0,0,0,0,0,0,0,0,0,0,0,0,0,0,0,0,0,0,0,0,0,0,0,0,0,0,0,0,0,0,0,0,0,0)</f>
        <v>0</v>
      </c>
      <c r="F6" s="17">
        <f>STDEV(0,0,0,0,0,0,0,0,0,0,0,0,0,0,0,0,0,0,0,0,0,0,0,0)</f>
        <v>0</v>
      </c>
      <c r="G6" s="1">
        <v>0</v>
      </c>
      <c r="H6" s="18">
        <f>G6/D6</f>
        <v>0</v>
      </c>
      <c r="I6" s="1">
        <v>0</v>
      </c>
      <c r="J6" s="1" t="s">
        <v>15</v>
      </c>
      <c r="K6" s="1" t="s">
        <v>15</v>
      </c>
      <c r="L6" t="s">
        <v>15</v>
      </c>
    </row>
    <row r="7" spans="1:12" x14ac:dyDescent="0.2">
      <c r="A7" s="1" t="s">
        <v>9</v>
      </c>
      <c r="B7" s="1" t="s">
        <v>25</v>
      </c>
      <c r="C7" s="1">
        <v>0</v>
      </c>
      <c r="D7" s="1">
        <f>COUNT(0,0,0,0,0,0,0,0,0,0,0,0,0,0,0,0,0,0,0,0,0,0,0,0,0,0)</f>
        <v>26</v>
      </c>
      <c r="E7" s="17">
        <f>AVERAGE(0,0,0,0,0,0,0,0,0,0,0,0,0,0,0,0,0,0,0,0,0,0,0,0,0,0)</f>
        <v>0</v>
      </c>
      <c r="F7" s="17">
        <f>STDEV(0,0,0,0,0,0,0,0,0,0,0,0,0,0,0,0,0,0,0,0,0,0,0,0,0,0)</f>
        <v>0</v>
      </c>
      <c r="G7" s="1">
        <v>0</v>
      </c>
      <c r="H7" s="18">
        <f t="shared" ref="H7:H31" si="0">G7/D7</f>
        <v>0</v>
      </c>
      <c r="I7" s="1">
        <v>0</v>
      </c>
      <c r="J7" s="1" t="s">
        <v>15</v>
      </c>
      <c r="K7" s="1" t="s">
        <v>15</v>
      </c>
      <c r="L7" t="s">
        <v>15</v>
      </c>
    </row>
    <row r="8" spans="1:12" x14ac:dyDescent="0.2">
      <c r="A8" s="1" t="s">
        <v>9</v>
      </c>
      <c r="B8" s="1" t="s">
        <v>26</v>
      </c>
      <c r="C8" s="1">
        <v>0</v>
      </c>
      <c r="D8" s="1">
        <f>COUNT(0,0,0,0,0,0,0,0,0,0,0,0,0,0,0,0,0,0,0,0,0,0,0,0,0,0,0,0,0,0,0,0,0,0,0)</f>
        <v>35</v>
      </c>
      <c r="E8" s="17">
        <f>AVERAGE(0,0,0,0,0,0,0,0,0,0,0,0,0,0,0,0,0,0,0,0,0,0,0,0,0,0,0,0,0,0,0,0,0,0,0)</f>
        <v>0</v>
      </c>
      <c r="F8" s="17">
        <f>STDEV(0,0,0,0,0,0,0,0,0,0,0,0,0,0,0,0,0,0,0,0,0,0,0,0,0,0,0,0,0,0,0,0,0,0,0)</f>
        <v>0</v>
      </c>
      <c r="G8" s="1">
        <v>0</v>
      </c>
      <c r="H8" s="18">
        <f t="shared" si="0"/>
        <v>0</v>
      </c>
      <c r="I8" s="1">
        <v>0</v>
      </c>
      <c r="J8" s="1" t="s">
        <v>15</v>
      </c>
      <c r="K8" s="1" t="s">
        <v>15</v>
      </c>
      <c r="L8" t="s">
        <v>15</v>
      </c>
    </row>
    <row r="9" spans="1:12" x14ac:dyDescent="0.2">
      <c r="A9" s="1" t="s">
        <v>9</v>
      </c>
      <c r="B9" s="1" t="s">
        <v>27</v>
      </c>
      <c r="C9" s="1">
        <v>0</v>
      </c>
      <c r="D9" s="1">
        <f>COUNT(0,0,0,0,0,0,0,0,0,0,0,0,0,0,0,0,0,0,0,0,0,0,0,0,0,0,0,0,0,0,0)</f>
        <v>31</v>
      </c>
      <c r="E9" s="17">
        <f>AVERAGE(0,0,0,0,0,0,0,0,0,0,0,0,0,0,0,0,0,0,0,0,0,0,0,0,0,0,0,0,0,0,0)</f>
        <v>0</v>
      </c>
      <c r="F9" s="17">
        <f>STDEV(0,0,0,0,0,0,0,0,0,0,0,0,0,0,0,0,0,0,0,0,0,0,0,0,0,0,0,0,0,0,0)</f>
        <v>0</v>
      </c>
      <c r="G9" s="1">
        <v>0</v>
      </c>
      <c r="H9" s="18">
        <f t="shared" si="0"/>
        <v>0</v>
      </c>
      <c r="I9" s="1">
        <v>0</v>
      </c>
      <c r="J9" s="1" t="s">
        <v>15</v>
      </c>
      <c r="K9" s="1" t="s">
        <v>52</v>
      </c>
      <c r="L9" t="s">
        <v>52</v>
      </c>
    </row>
    <row r="10" spans="1:12" x14ac:dyDescent="0.2">
      <c r="A10" s="1" t="s">
        <v>9</v>
      </c>
      <c r="B10" s="1" t="s">
        <v>28</v>
      </c>
      <c r="C10" s="1">
        <v>0</v>
      </c>
      <c r="D10" s="1">
        <f>COUNT(0,0,0,0,0,0,0,0,0,0,0,0,0,0,0,0,0,0,0,0,0,0,0,0,0,0,0,0,0,0,0,0)</f>
        <v>32</v>
      </c>
      <c r="E10" s="17">
        <f>AVERAGE(0,0,0,0,0,0,0,0,0,0,0,0,0,0,0,0,0,0,0,0,0,0,0,0,0,0,0,0,0,0,0,0)</f>
        <v>0</v>
      </c>
      <c r="F10" s="17">
        <f>STDEV(0,0,0,0,0,0,0,0,0,0,0,0,0,0,0,0,0,0,0,0,0,0,0,0,0,0,0,0,0,0,0,0)</f>
        <v>0</v>
      </c>
      <c r="G10" s="1">
        <v>0</v>
      </c>
      <c r="H10" s="18">
        <f t="shared" si="0"/>
        <v>0</v>
      </c>
      <c r="I10" s="1">
        <v>0</v>
      </c>
      <c r="J10" s="1" t="s">
        <v>15</v>
      </c>
      <c r="K10" s="1" t="s">
        <v>15</v>
      </c>
      <c r="L10" t="s">
        <v>15</v>
      </c>
    </row>
    <row r="11" spans="1:12" x14ac:dyDescent="0.2">
      <c r="A11" s="1" t="s">
        <v>9</v>
      </c>
      <c r="B11" s="1" t="s">
        <v>29</v>
      </c>
      <c r="C11" s="1">
        <v>0</v>
      </c>
      <c r="D11" s="1">
        <f>COUNT(0,0,0,0,0,0,0,0,0,0,0,0,0,0,0,0,0,0,0,0,0,0,0,0,0,0,0,0,0,0,0,0,0,0,0,0,0,0,0,0,0,0,0,0,0,0,0,0,0,0,0,0,0,0,0,0,0,0,0)</f>
        <v>59</v>
      </c>
      <c r="E11" s="17">
        <f>AVERAGE(0,0,0,0,0,0,0,0,0,0,0,0,0,0,0,0,0,0,0,0,0,0,0,0,0,0,0,0,0,0,0,0,0,0,0,0,0,0,0,0,0,0,0,0,0,0,0,0,0,0,0,0,0,0,0,0,0,0,0)</f>
        <v>0</v>
      </c>
      <c r="F11" s="17">
        <f>STDEV(0,0,0,0,0,0,0,0,0,0,0,0,0,0,0,0,0,0,0,0,0,0,0,0,0,0,0,0,0,0,0,0,0,0,0,0,0,0,0,0,0,0,0,0,0,0,0,0,0,0,0,0,0,0,0,0,0,0,0)</f>
        <v>0</v>
      </c>
      <c r="G11" s="1">
        <v>0</v>
      </c>
      <c r="H11" s="18">
        <f t="shared" si="0"/>
        <v>0</v>
      </c>
      <c r="I11" s="1">
        <v>0</v>
      </c>
      <c r="J11" s="1" t="s">
        <v>15</v>
      </c>
      <c r="K11" s="1" t="s">
        <v>15</v>
      </c>
      <c r="L11" t="s">
        <v>15</v>
      </c>
    </row>
    <row r="12" spans="1:12" x14ac:dyDescent="0.2">
      <c r="A12" s="1">
        <v>2</v>
      </c>
      <c r="B12" s="1" t="s">
        <v>30</v>
      </c>
      <c r="C12" s="1">
        <v>80</v>
      </c>
      <c r="D12" s="1">
        <f>COUNT(3,3,4,4,3,4,2,1,4,4,4,4,4,4,4,4,4,3,4,4,3,4,4,4,4,4,4,2,4,4,2,2,4,4,4,4,1,4,4,3,1,4,2,1,3,1,3,3,4,4,4,4,4,4,2,4,4)</f>
        <v>57</v>
      </c>
      <c r="E12" s="17">
        <f>AVERAGE(3,3,4,4,3,4,2,1,4,4,4,4,4,4,4,4,4,3,4,4,3,4,4,4,4,4,4,2,4,4,2,2,4,4,4,4,1,4,4,3,1,4,2,1,3,1,3,3,4,4,4,4,4,4,2,4,4)</f>
        <v>3.3684210526315788</v>
      </c>
      <c r="F12" s="17">
        <f>STDEV(3,3,4,4,3,4,2,1,4,4,4,4,4,4,4,4,4,3,4,4,3,4,4,4,4,4,4,2,4,4,2,2,4,4,4,4,1,4,4,3,1,4,2,1,3,1,3,3,4,4,4,4,4,4,2,4,4)</f>
        <v>0.99339926779878318</v>
      </c>
      <c r="G12" s="1">
        <v>22</v>
      </c>
      <c r="H12" s="18">
        <f>G12/D12</f>
        <v>0.38596491228070173</v>
      </c>
      <c r="I12" s="1">
        <v>2</v>
      </c>
      <c r="J12" s="1" t="s">
        <v>9</v>
      </c>
      <c r="K12" s="1" t="s">
        <v>15</v>
      </c>
      <c r="L12" t="s">
        <v>15</v>
      </c>
    </row>
    <row r="13" spans="1:12" x14ac:dyDescent="0.2">
      <c r="A13" s="1">
        <v>2</v>
      </c>
      <c r="B13" s="1" t="s">
        <v>31</v>
      </c>
      <c r="C13" s="1">
        <v>80</v>
      </c>
      <c r="D13" s="1">
        <f>COUNT(4,4,4,4,2,4,3,2,1,1,3,4,2,4,1,2,2,3,1,2,2,1,4,4,4,3,4,1,1,2,2,4,4,4,3,3,0,3,3,4,1,3,2,3,4,3,4,4,3,3,3,4,3,2,4,2,4,4)</f>
        <v>58</v>
      </c>
      <c r="E13" s="17">
        <f>AVERAGE(4,4,4,4,2,4,3,2,1,1,3,4,2,4,1,2,2,3,1,2,2,1,4,4,4,3,4,1,1,2,2,4,4,4,3,3,0,3,3,4,1,3,2,3,4,3,4,4,3,3,3,4,3,2,4,2,4,4)</f>
        <v>2.8448275862068964</v>
      </c>
      <c r="F13" s="17">
        <f>STDEV(4,4,4,4,2,4,3,2,1,1,3,4,2,4,1,2,2,3,1,2,2,1,4,4,4,3,4,1,1,2,2,4,4,4,3,3,0,3,3,4,1,3,2,3,4,3,4,4,3,3,3,4,3,2,4,2,4,4)</f>
        <v>1.1363487872318052</v>
      </c>
      <c r="G13" s="1">
        <v>24</v>
      </c>
      <c r="H13" s="18">
        <f t="shared" si="0"/>
        <v>0.41379310344827586</v>
      </c>
      <c r="I13" s="1">
        <v>1</v>
      </c>
      <c r="J13" s="1" t="s">
        <v>15</v>
      </c>
      <c r="K13" s="1" t="s">
        <v>15</v>
      </c>
      <c r="L13" t="s">
        <v>15</v>
      </c>
    </row>
    <row r="14" spans="1:12" x14ac:dyDescent="0.2">
      <c r="A14" s="1">
        <v>2</v>
      </c>
      <c r="B14" s="1" t="s">
        <v>32</v>
      </c>
      <c r="C14" s="1">
        <v>85</v>
      </c>
      <c r="D14" s="1">
        <f>COUNT(4,4,4,4,4,3,4,4,4,2,2,3,4,4,4,4,4,4,4,4,3,4,4,2,4,4,4,4,3,4,4,3,3,3,4)</f>
        <v>35</v>
      </c>
      <c r="E14" s="17">
        <f>AVERAGE(4,4,4,4,4,3,4,4,4,2,2,3,4,4,4,4,4,4,4,4,3,4,4,2,4,4,4,4,3,4,4,3,3,3,4)</f>
        <v>3.6285714285714286</v>
      </c>
      <c r="F14" s="17">
        <f>STDEV(4,4,4,4,4,3,4,4,4,2,2,3,4,4,4,4,4,4,4,4,3,4,4,2,4,4,4,4,3,4,4,3,3,3,4)</f>
        <v>0.64560570218135138</v>
      </c>
      <c r="G14" s="1">
        <v>4</v>
      </c>
      <c r="H14" s="18">
        <f t="shared" si="0"/>
        <v>0.11428571428571428</v>
      </c>
      <c r="I14" s="1">
        <v>1</v>
      </c>
      <c r="J14" s="1" t="s">
        <v>15</v>
      </c>
      <c r="K14" s="1" t="s">
        <v>15</v>
      </c>
      <c r="L14" t="s">
        <v>15</v>
      </c>
    </row>
    <row r="15" spans="1:12" x14ac:dyDescent="0.2">
      <c r="A15" s="1">
        <v>2</v>
      </c>
      <c r="B15" s="1" t="s">
        <v>33</v>
      </c>
      <c r="C15" s="1">
        <v>45</v>
      </c>
      <c r="D15" s="1">
        <f>COUNT(0,2,1,3,0,0,3,2,1,0,3,3,3,2,0,0,0,1,1,1,0,0,3,0,0,0,0,0,3,4,3,4,3,1,0,0,0,0,2,1,3,2,1,0,0,0,0,0)</f>
        <v>48</v>
      </c>
      <c r="E15" s="17">
        <f>AVERAGE(0,2,1,3,0,0,3,2,1,0,3,3,3,2,0,0,0,1,1,1,0,0,3,0,0,0,0,0,3,4,3,4,3,1,0,0,0,0,2,1,3,2,1,0,0,0,0,0)</f>
        <v>1.1666666666666667</v>
      </c>
      <c r="F15" s="17">
        <f>STDEV(0,2,1,3,0,0,3,2,1,0,3,3,3,2,0,0,0,1,1,1,0,0,3,0,0,0,0,0,3,4,3,4,3,1,0,0,0,0,2,1,3,2,1,0,0,0,0,0)</f>
        <v>1.3421693036708566</v>
      </c>
      <c r="G15" s="1">
        <v>7</v>
      </c>
      <c r="H15" s="18">
        <f t="shared" si="0"/>
        <v>0.14583333333333334</v>
      </c>
      <c r="I15" s="1">
        <v>1</v>
      </c>
      <c r="J15" s="19" t="s">
        <v>53</v>
      </c>
      <c r="K15" s="1" t="s">
        <v>15</v>
      </c>
      <c r="L15" t="s">
        <v>15</v>
      </c>
    </row>
    <row r="16" spans="1:12" x14ac:dyDescent="0.2">
      <c r="A16" s="1">
        <v>2</v>
      </c>
      <c r="B16" s="1" t="s">
        <v>34</v>
      </c>
      <c r="C16" s="1">
        <v>35</v>
      </c>
      <c r="D16" s="1">
        <f>COUNT(4,2,0,2,2,2,1,1,1,2,0,0,1,4,0,0,2,3,3,3,1,2,3,2,0,0,0,0,0,1,1,1,0,0,1,0,2,1,0,2,2,0,4,0)</f>
        <v>44</v>
      </c>
      <c r="E16" s="17">
        <f>AVERAGE(4,2,0,2,2,2,1,1,1,2,0,0,1,4,0,0,2,3,3,3,1,2,3,2,0,0,0,0,0,1,1,1,0,0,1,0,2,1,0,2,2,0,4,0)</f>
        <v>1.2727272727272727</v>
      </c>
      <c r="F16" s="17">
        <f>STDEV(4,2,0,2,2,2,1,1,1,2,0,0,1,4,0,0,2,3,3,3,1,2,3,2,0,0,0,0,0,1,1,1,0,0,1,0,2,1,0,2,2,0,4,0)</f>
        <v>1.2457114594355843</v>
      </c>
      <c r="G16" s="1">
        <v>5</v>
      </c>
      <c r="H16" s="18">
        <f t="shared" si="0"/>
        <v>0.11363636363636363</v>
      </c>
      <c r="I16" s="1">
        <v>1</v>
      </c>
      <c r="J16" s="1" t="s">
        <v>15</v>
      </c>
      <c r="K16" s="1" t="s">
        <v>15</v>
      </c>
      <c r="L16" t="s">
        <v>15</v>
      </c>
    </row>
    <row r="17" spans="1:13" x14ac:dyDescent="0.2">
      <c r="A17" s="1">
        <v>2</v>
      </c>
      <c r="B17" s="1" t="s">
        <v>35</v>
      </c>
      <c r="C17" s="1">
        <v>55</v>
      </c>
      <c r="D17" s="1">
        <f>COUNT(2,4,2,0,0,0,0,1,2,1,2,3,3,1,4,2,2,4,1,0,2,2,4,2,2,2,4,4,1,1,0,0,1,1,0,2,3,3,4,3,1,4,1,2,4,2,4,2,3,4,4,0,0,2,0)</f>
        <v>55</v>
      </c>
      <c r="E17" s="17">
        <f>AVERAGE(2,4,2,0,0,0,0,1,2,1,2,3,3,1,4,2,2,4,1,0,2,2,4,2,2,2,4,4,1,1,0,0,1,1,0,2,3,3,4,3,1,4,1,2,4,2,4,2,3,4,4,0,0,2,0)</f>
        <v>1.9636363636363636</v>
      </c>
      <c r="F17" s="17">
        <f>STDEV(2,4,2,0,0,0,0,1,2,1,2,3,3,1,4,2,2,4,1,0,2,2,4,2,2,2,4,4,1,1,0,0,1,1,0,2,3,3,4,3,1,4,1,2,4,2,4,2,3,4,4,0,0,2,0)</f>
        <v>1.4137373160008186</v>
      </c>
      <c r="G17" s="1">
        <v>16</v>
      </c>
      <c r="H17" s="18">
        <f t="shared" si="0"/>
        <v>0.29090909090909089</v>
      </c>
      <c r="I17" s="1">
        <v>1</v>
      </c>
      <c r="J17" s="1" t="s">
        <v>9</v>
      </c>
      <c r="K17" s="1" t="s">
        <v>15</v>
      </c>
      <c r="L17" t="s">
        <v>15</v>
      </c>
    </row>
    <row r="18" spans="1:13" x14ac:dyDescent="0.2">
      <c r="A18" s="1">
        <v>4</v>
      </c>
      <c r="B18" s="1" t="s">
        <v>36</v>
      </c>
      <c r="C18" s="1">
        <v>70</v>
      </c>
      <c r="D18" s="1">
        <f>COUNT(0,1,0,1,0,1,2,1,1,1,2,1,1,2,1,0,1,1,2,1,3,2,1,1,1,2,1,1,1,1,0,2,0,0,0,1,1,1,1,1,1,1,1,0)</f>
        <v>44</v>
      </c>
      <c r="E18" s="17">
        <f>AVERAGE(0,1,0,1,0,1,2,1,1,1,2,1,1,2,1,0,1,1,2,1,3,2,1,1,1,2,1,1,1,1,0,2,0,0,0,1,1,1,1,1,1,1,1,0)</f>
        <v>1</v>
      </c>
      <c r="F18" s="17">
        <f>STDEV(0,1,0,1,0,1,2,1,1,1,2,1,1,2,1,0,1,1,2,1,3,2,1,1,1,2,1,1,1,1,0,2,0,0,0,1,1,1,1,1,1,1,1,0)</f>
        <v>0.6819943394704735</v>
      </c>
      <c r="G18" s="1">
        <v>11</v>
      </c>
      <c r="H18" s="18">
        <f t="shared" si="0"/>
        <v>0.25</v>
      </c>
      <c r="I18" s="1">
        <v>0</v>
      </c>
      <c r="J18" s="1" t="s">
        <v>15</v>
      </c>
      <c r="K18" s="1" t="s">
        <v>52</v>
      </c>
      <c r="L18" t="s">
        <v>15</v>
      </c>
    </row>
    <row r="19" spans="1:13" x14ac:dyDescent="0.2">
      <c r="A19" s="1">
        <v>4</v>
      </c>
      <c r="B19" s="1" t="s">
        <v>37</v>
      </c>
      <c r="C19" s="1">
        <v>45</v>
      </c>
      <c r="D19" s="1">
        <f>COUNT(1,1,0,1,0,0,0,1,0,1,1,0,1,0,0,0,0,0,0,1,1,0,0,0,0,1,0,0,0,1,1,1,1,0,0,0,0,0,0,0)</f>
        <v>40</v>
      </c>
      <c r="E19" s="17">
        <f>AVERAGE(1,1,0,1,0,0,0,1,0,1,1,0,1,0,0,0,0,0,0,1,1,0,0,0,0,1,0,0,0,1,1,1,1,0,0,0,0,0,0,0)</f>
        <v>0.35</v>
      </c>
      <c r="F19" s="17">
        <f>STDEV(1,1,0,1,0,0,0,1,0,1,1,0,1,0,0,0,0,0,0,1,1,0,0,0,0,1,0,0,0,1,1,1,1,0,0,0,0,0,0,0)</f>
        <v>0.48304589153964794</v>
      </c>
      <c r="G19" s="1">
        <v>2</v>
      </c>
      <c r="H19" s="18">
        <f t="shared" si="0"/>
        <v>0.05</v>
      </c>
      <c r="I19" s="1">
        <v>0</v>
      </c>
      <c r="J19" s="1" t="s">
        <v>15</v>
      </c>
      <c r="K19" s="1" t="s">
        <v>15</v>
      </c>
      <c r="L19" t="s">
        <v>15</v>
      </c>
    </row>
    <row r="20" spans="1:13" x14ac:dyDescent="0.2">
      <c r="A20" s="1">
        <v>4</v>
      </c>
      <c r="B20" s="1" t="s">
        <v>38</v>
      </c>
      <c r="C20" s="1">
        <v>80</v>
      </c>
      <c r="D20" s="1">
        <f>COUNT(2,1,1,1,1,2,1,1,2,1,1,1,1,1,1,1,1,1,1,1,1,1,1,1,1,1,1,1,1,1,2,1,1,1,1,1,1)</f>
        <v>37</v>
      </c>
      <c r="E20" s="17">
        <f>AVERAGE(2,1,1,1,1,2,1,1,2,1,1,1,1,1,1,1,1,1,1,1,1,1,1,1,1,1,1,1,1,1,2,1,1,1,1,1,1)</f>
        <v>1.1081081081081081</v>
      </c>
      <c r="F20" s="17">
        <f>STDEV(2,1,1,1,1,2,1,1,2,1,1,1,1,1,1,1,1,1,1,1,1,1,1,1,1,1,1,1,1,1,2,1,1,1,1,1,1)</f>
        <v>0.31480009386767827</v>
      </c>
      <c r="G20" s="1">
        <v>9</v>
      </c>
      <c r="H20" s="18">
        <f t="shared" si="0"/>
        <v>0.24324324324324326</v>
      </c>
      <c r="I20" s="1">
        <v>0</v>
      </c>
      <c r="J20" s="1" t="s">
        <v>9</v>
      </c>
      <c r="K20" s="1" t="s">
        <v>15</v>
      </c>
      <c r="L20" t="s">
        <v>15</v>
      </c>
    </row>
    <row r="21" spans="1:13" x14ac:dyDescent="0.2">
      <c r="A21" s="1">
        <v>4</v>
      </c>
      <c r="B21" s="1" t="s">
        <v>39</v>
      </c>
      <c r="C21" s="1">
        <v>5</v>
      </c>
      <c r="D21" s="1">
        <f>COUNT(0,0,0,1,0,0,0,0,1,0,1,0,1,1,0,0,0,0,0,1,0,0,0,0,1,0,1,0,1,0,0,1,2,1,0,1,1,1,2,1,0,0,0,0,0,0,1)</f>
        <v>47</v>
      </c>
      <c r="E21" s="17">
        <f>AVERAGE(0,0,0,1,0,0,0,0,1,0,1,0,1,1,0,0,0,0,0,1,0,0,0,0,1,0,1,0,1,0,0,1,2,1,0,1,1,1,2,1,0,0,0,0,0,0,1)</f>
        <v>0.42553191489361702</v>
      </c>
      <c r="F21" s="17">
        <f>STDEV(0,0,0,1,0,0,0,0,1,0,1,0,1,1,0,0,0,0,0,1,0,0,0,0,1,0,1,0,1,0,0,1,2,1,0,1,1,1,2,1,0,0,0,0,0,0,1)</f>
        <v>0.58028032397633433</v>
      </c>
      <c r="G21" s="1">
        <v>1</v>
      </c>
      <c r="H21" s="18">
        <f t="shared" si="0"/>
        <v>2.1276595744680851E-2</v>
      </c>
      <c r="I21" s="1">
        <v>0</v>
      </c>
      <c r="J21" s="1" t="s">
        <v>15</v>
      </c>
      <c r="K21" s="1" t="s">
        <v>15</v>
      </c>
      <c r="L21" t="s">
        <v>15</v>
      </c>
    </row>
    <row r="22" spans="1:13" x14ac:dyDescent="0.2">
      <c r="A22" s="1">
        <v>4</v>
      </c>
      <c r="B22" s="1" t="s">
        <v>40</v>
      </c>
      <c r="C22" s="1">
        <v>20</v>
      </c>
      <c r="D22" s="1">
        <f>COUNT(1,0,1,1,0,1,1,0,0,0,0,1,0,0,0,0,1,0,0,0,1,1,0,1,0,0,0,0,0,0,0,0,0,0,0,0,1,0,1,0,1,1,0,1,1)</f>
        <v>45</v>
      </c>
      <c r="E22" s="17">
        <f>AVERAGE(1,0,1,1,0,1,1,0,0,0,0,1,0,0,0,0,1,0,0,0,1,1,0,1,0,0,0,0,0,0,0,0,0,0,0,0,1,0,1,0,1,1,0,1,1)</f>
        <v>0.35555555555555557</v>
      </c>
      <c r="F22" s="17">
        <f>STDEV(1,0,1,1,0,1,1,0,0,0,0,1,0,0,0,0,1,0,0,0,1,1,0,1,0,0,0,0,0,0,0,0,0,0,0,0,1,0,1,0,1,1,0,1,1)</f>
        <v>0.48409031630826321</v>
      </c>
      <c r="G22" s="1">
        <v>1</v>
      </c>
      <c r="H22" s="18">
        <f t="shared" si="0"/>
        <v>2.2222222222222223E-2</v>
      </c>
      <c r="I22" s="1">
        <v>0</v>
      </c>
      <c r="J22" s="1" t="s">
        <v>15</v>
      </c>
      <c r="K22" s="1" t="s">
        <v>15</v>
      </c>
      <c r="L22" t="s">
        <v>15</v>
      </c>
    </row>
    <row r="23" spans="1:13" x14ac:dyDescent="0.2">
      <c r="A23" s="1">
        <v>4</v>
      </c>
      <c r="B23" s="1" t="s">
        <v>41</v>
      </c>
      <c r="C23" s="1">
        <v>30</v>
      </c>
      <c r="D23" s="1">
        <f>COUNT(0,1,0,1,1,0,0,1,1,0,1,1,0,1,1,1,1,1,1,0,1,0,1,1,1,0,1,0,1,0,1,1,1,1,1,0,1,1)</f>
        <v>38</v>
      </c>
      <c r="E23" s="17">
        <f>AVERAGE(0,1,0,1,1,0,0,1,1,0,1,1,0,1,1,1,1,1,1,0,1,0,1,1,1,0,1,0,1,0,1,1,1,1,1,0,1,1)</f>
        <v>0.68421052631578949</v>
      </c>
      <c r="F23" s="17">
        <f>STDEV(0,1,0,1,1,0,0,1,1,0,1,1,0,1,1,1,1,1,1,0,1,0,1,1,1,0,1,0,1,0,1,1,1,1,1,0,1,1)</f>
        <v>0.47106912087607561</v>
      </c>
      <c r="G23" s="1">
        <v>7</v>
      </c>
      <c r="H23" s="18">
        <f t="shared" si="0"/>
        <v>0.18421052631578946</v>
      </c>
      <c r="I23" s="1">
        <v>0</v>
      </c>
      <c r="J23" s="1" t="s">
        <v>15</v>
      </c>
      <c r="K23" s="1" t="s">
        <v>15</v>
      </c>
      <c r="L23" t="s">
        <v>15</v>
      </c>
    </row>
    <row r="24" spans="1:13" x14ac:dyDescent="0.2">
      <c r="A24" s="1">
        <v>7</v>
      </c>
      <c r="B24" s="1" t="s">
        <v>42</v>
      </c>
      <c r="C24" s="1">
        <v>20</v>
      </c>
      <c r="D24" s="1">
        <f>COUNT(3,3,2,1,1,0,0,1,0,0,0,0,0,0,0,0,0,0,0,0,0,0,0,0,0,0,0,0,0,1,0,1,0,0,2,1,2,0,1,1,1,1,1,1,3,0,1,0,0,0)</f>
        <v>50</v>
      </c>
      <c r="E24" s="17">
        <f>AVERAGE(3,3,2,1,1,0,0,1,0,0,0,0,0,0,0,0,0,0,0,0,0,0,0,0,0,0,0,0,0,1,0,1,0,0,2,1,2,0,1,1,1,1,1,1,3,0,1,0,0,0)</f>
        <v>0.56000000000000005</v>
      </c>
      <c r="F24" s="17">
        <f>STDEV(3,3,2,1,1,0,0,1,0,0,0,0,0,0,0,0,0,0,0,0,0,0,0,0,0,0,0,0,0,1,0,1,0,0,2,1,2,0,1,1,1,1,1,1,3,0,1,0,0,0)</f>
        <v>0.86094395276110647</v>
      </c>
      <c r="G24" s="1">
        <v>3</v>
      </c>
      <c r="H24" s="18">
        <f t="shared" si="0"/>
        <v>0.06</v>
      </c>
      <c r="I24" s="1">
        <v>0</v>
      </c>
      <c r="J24" s="1" t="s">
        <v>15</v>
      </c>
      <c r="K24" s="1" t="s">
        <v>15</v>
      </c>
      <c r="L24" t="s">
        <v>15</v>
      </c>
      <c r="M24" s="1" t="s">
        <v>54</v>
      </c>
    </row>
    <row r="25" spans="1:13" x14ac:dyDescent="0.2">
      <c r="A25" s="1">
        <v>7</v>
      </c>
      <c r="B25" s="1" t="s">
        <v>43</v>
      </c>
      <c r="C25" s="1" t="s">
        <v>49</v>
      </c>
      <c r="D25" s="1">
        <f>COUNT(0,1,0,0,0,0,0,0,0,0,0,0,0,0,0,0,0,0,0,0,1)</f>
        <v>21</v>
      </c>
      <c r="E25" s="17">
        <f>AVERAGE(0,1,0,0,0,0,0,0,0,0,0,0,0,0,0,0,0,0,0,0,1)</f>
        <v>9.5238095238095233E-2</v>
      </c>
      <c r="F25" s="17">
        <f>STDEV(0,1,0,0,0,0,0,0,0,0,0,0,0,0,0,0,0,0,0,0,1)</f>
        <v>0.30079260375911915</v>
      </c>
      <c r="G25" s="1">
        <v>0</v>
      </c>
      <c r="H25" s="18">
        <f t="shared" si="0"/>
        <v>0</v>
      </c>
      <c r="I25" s="1">
        <v>0</v>
      </c>
      <c r="J25" s="1" t="s">
        <v>15</v>
      </c>
      <c r="K25" s="1" t="s">
        <v>15</v>
      </c>
      <c r="L25" t="s">
        <v>15</v>
      </c>
    </row>
    <row r="26" spans="1:13" x14ac:dyDescent="0.2">
      <c r="A26" s="1">
        <v>7</v>
      </c>
      <c r="B26" s="1" t="s">
        <v>45</v>
      </c>
      <c r="C26" s="1" t="s">
        <v>49</v>
      </c>
      <c r="D26" s="1">
        <f>COUNT(0,0,0,0,0,0,0,0,0,0,0,0,0,0,0,0,0,0,0,0,0,0,0,0,0,0,0,0,0,0,0,0,0,0,0,0)</f>
        <v>36</v>
      </c>
      <c r="E26" s="17">
        <f>AVERAGE(0,0,0,0,0,0,0,0,0,0,0,0,0,0,0,0,0,0,0,0,0,0,0,0,0,0,0,0,0,0,0,0,0,0,0,0)</f>
        <v>0</v>
      </c>
      <c r="F26" s="17">
        <f>STDEV(0,0,0,0,0,0,0,0,0,0,0,0,0,0,0,0,0,0,0,0,0,0,0,0,0,0,0,0,0,0,0,0,0,0,0,0)</f>
        <v>0</v>
      </c>
      <c r="G26" s="1">
        <v>0</v>
      </c>
      <c r="H26" s="18">
        <f t="shared" si="0"/>
        <v>0</v>
      </c>
      <c r="I26" s="1">
        <v>0</v>
      </c>
      <c r="J26" s="1" t="s">
        <v>15</v>
      </c>
      <c r="K26" s="1" t="s">
        <v>15</v>
      </c>
      <c r="L26" t="s">
        <v>15</v>
      </c>
    </row>
    <row r="27" spans="1:13" x14ac:dyDescent="0.2">
      <c r="A27" s="1">
        <v>7</v>
      </c>
      <c r="B27" s="1" t="s">
        <v>46</v>
      </c>
      <c r="C27" s="1">
        <v>10</v>
      </c>
      <c r="D27" s="1">
        <f>COUNT(0,0,0,0,0,1,1,1,0,0,0,0,0,0,1,1,1,1,0,0,0,0,0,0,0,0,0,0,1,0,0,0,0,0,0,0,1,0,1,0,0,1,0,0,0)</f>
        <v>45</v>
      </c>
      <c r="E27" s="17">
        <f>AVERAGE(0,0,0,0,0,1,1,1,0,0,0,0,0,0,1,1,1,1,0,0,0,0,0,0,0,0,0,0,1,0,0,0,0,0,0,0,1,0,1,0,0,1,0,0,0)</f>
        <v>0.24444444444444444</v>
      </c>
      <c r="F27" s="17">
        <f>STDEV(0,0,0,0,0,1,1,1,0,0,0,0,0,0,1,1,1,1,0,0,0,0,0,0,0,0,0,0,1,0,0,0,0,0,0,0,1,0,1,0,0,1,0,0,0)</f>
        <v>0.43461349368017654</v>
      </c>
      <c r="G27" s="1">
        <v>2</v>
      </c>
      <c r="H27" s="18">
        <f t="shared" si="0"/>
        <v>4.4444444444444446E-2</v>
      </c>
      <c r="I27" s="1">
        <v>0</v>
      </c>
      <c r="J27" s="1" t="s">
        <v>9</v>
      </c>
      <c r="K27" s="1" t="s">
        <v>15</v>
      </c>
      <c r="L27" t="s">
        <v>15</v>
      </c>
    </row>
    <row r="28" spans="1:13" x14ac:dyDescent="0.2">
      <c r="A28" s="1">
        <v>7</v>
      </c>
      <c r="B28" s="1" t="s">
        <v>47</v>
      </c>
      <c r="C28" s="1">
        <v>15</v>
      </c>
      <c r="D28" s="1">
        <f>COUNT(0,0,0,0,0,0,0,0,0,0,0,0,0,0,0,0,0,0,0,0,0,0,0,0,0,0,0,0,0,0,0,0,0,0,0,0,0,0,0,0,1,1,1,1,1,1,1)</f>
        <v>47</v>
      </c>
      <c r="E28" s="17">
        <f>AVERAGE(0,0,0,0,0,0,0,0,0,0,0,0,0,0,0,0,0,0,0,0,0,0,0,0,0,0,0,0,0,0,0,0,0,0,0,0,0,0,0,0,1,1,1,1,1,1,1)</f>
        <v>0.14893617021276595</v>
      </c>
      <c r="F28" s="17">
        <f>STDEV(0,0,0,0,0,0,0,0,0,0,0,0,0,0,0,0,0,0,0,0,0,0,0,0,0,0,0,0,0,0,0,0,0,0,0,0,0,0,0,0,1,1,1,1,1,1,1)</f>
        <v>0.35987457985872262</v>
      </c>
      <c r="G28" s="1">
        <v>0</v>
      </c>
      <c r="H28" s="18">
        <f t="shared" si="0"/>
        <v>0</v>
      </c>
      <c r="I28" s="1">
        <v>0</v>
      </c>
      <c r="J28" s="1" t="s">
        <v>15</v>
      </c>
      <c r="K28" s="1" t="s">
        <v>15</v>
      </c>
      <c r="L28" t="s">
        <v>15</v>
      </c>
    </row>
    <row r="29" spans="1:13" x14ac:dyDescent="0.2">
      <c r="H29" s="18"/>
      <c r="I29" s="1"/>
      <c r="J29" s="1"/>
      <c r="K29" s="1"/>
    </row>
    <row r="30" spans="1:13" x14ac:dyDescent="0.2">
      <c r="A30" s="1">
        <v>5</v>
      </c>
      <c r="B30" s="1" t="s">
        <v>56</v>
      </c>
      <c r="C30" s="1">
        <v>45</v>
      </c>
      <c r="D30" s="1">
        <f>COUNT(1,1,1,1,1,1,1,1,2,1,1,1,1,1,1,1,1,1,1,1,1,1,1,0,1,1)</f>
        <v>26</v>
      </c>
      <c r="E30" s="17">
        <f>AVERAGE(1,1,1,1,1,1,1,1,2,1,1,1,1,1,1,1,1,1,1,1,1,1,1,0,1,1)</f>
        <v>1</v>
      </c>
      <c r="F30" s="17">
        <f>STDEV(1,1,1,1,1,1,1,1,2,1,1,1,1,1,1,1,1,1,1,1,1,1,1,0,1,1)</f>
        <v>0.28284271247461901</v>
      </c>
      <c r="G30" s="1">
        <v>8</v>
      </c>
      <c r="H30" s="18">
        <f t="shared" si="0"/>
        <v>0.30769230769230771</v>
      </c>
      <c r="I30" s="1">
        <v>0</v>
      </c>
      <c r="J30" s="1" t="s">
        <v>15</v>
      </c>
      <c r="K30" s="1" t="s">
        <v>15</v>
      </c>
      <c r="L30" t="s">
        <v>15</v>
      </c>
    </row>
    <row r="31" spans="1:13" x14ac:dyDescent="0.2">
      <c r="A31" s="1">
        <v>6</v>
      </c>
      <c r="B31" s="1" t="s">
        <v>55</v>
      </c>
      <c r="C31" s="1">
        <v>35</v>
      </c>
      <c r="D31" s="1">
        <f>COUNT(1,1,1,1,0,0,0,1,1,1,1,1,1,1,0,1,1,0,1,0,0,0,1,1,2,1,1,0,0,0,0,1,0,0)</f>
        <v>34</v>
      </c>
      <c r="E31" s="17">
        <f>AVERAGE(1,1,1,1,0,0,0,1,1,1,1,1,1,1,0,1,1,0,1,0,0,0,1,1,2,1,1,0,0,0,0,1,0,0)</f>
        <v>0.61764705882352944</v>
      </c>
      <c r="F31" s="17">
        <f>STDEV(1,1,1,1,0,0,0,1,1,1,1,1,1,1,0,1,1,0,1,0,0,0,1,1,2,1,1,0,0,0,0,1,0,0)</f>
        <v>0.55129082037292343</v>
      </c>
      <c r="G31" s="1">
        <v>4</v>
      </c>
      <c r="H31" s="18">
        <f t="shared" si="0"/>
        <v>0.11764705882352941</v>
      </c>
      <c r="I31" s="1">
        <v>0</v>
      </c>
      <c r="J31" s="1" t="s">
        <v>15</v>
      </c>
      <c r="K31" s="1" t="s">
        <v>15</v>
      </c>
      <c r="L31" t="s">
        <v>15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ISH for 10 wk MA10</vt:lpstr>
      <vt:lpstr>ISH for 10wk R2G</vt:lpstr>
      <vt:lpstr>ISH for 20wk R2G</vt:lpstr>
      <vt:lpstr>ISH for 2yr R2G</vt:lpstr>
    </vt:vector>
  </TitlesOfParts>
  <Company>University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Shreeram Akilesh</dc:creator>
  <cp:lastModifiedBy>Microsoft Office User</cp:lastModifiedBy>
  <dcterms:created xsi:type="dcterms:W3CDTF">2022-02-01T17:20:24Z</dcterms:created>
  <dcterms:modified xsi:type="dcterms:W3CDTF">2022-11-08T18:43:59Z</dcterms:modified>
</cp:coreProperties>
</file>