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427"/>
  <workbookPr/>
  <mc:AlternateContent xmlns:mc="http://schemas.openxmlformats.org/markup-compatibility/2006">
    <mc:Choice Requires="x15">
      <x15ac:absPath xmlns:x15ac="http://schemas.microsoft.com/office/spreadsheetml/2010/11/ac" url="E:\study\小论文\投稿\总环0818\"/>
    </mc:Choice>
  </mc:AlternateContent>
  <xr:revisionPtr revIDLastSave="0" documentId="13_ncr:1_{72A9EBA0-9CCC-43C6-AA7A-C7FC769D3D8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data" sheetId="1" r:id="rId1"/>
    <sheet name="result" sheetId="2" r:id="rId2"/>
  </sheets>
  <definedNames>
    <definedName name="_xlnm._FilterDatabase" localSheetId="0" hidden="1">data!$C$1:$C$178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C192" i="2" l="1"/>
  <c r="V191" i="2"/>
  <c r="U191" i="2"/>
  <c r="T191" i="2"/>
  <c r="M191" i="2"/>
  <c r="V190" i="2"/>
  <c r="U190" i="2"/>
  <c r="T190" i="2"/>
  <c r="M190" i="2"/>
  <c r="V189" i="2"/>
  <c r="U189" i="2"/>
  <c r="T189" i="2"/>
  <c r="M189" i="2"/>
  <c r="V188" i="2"/>
  <c r="U188" i="2"/>
  <c r="T188" i="2"/>
  <c r="M188" i="2"/>
  <c r="V187" i="2"/>
  <c r="U187" i="2"/>
  <c r="T187" i="2"/>
  <c r="M187" i="2"/>
  <c r="V186" i="2"/>
  <c r="U186" i="2"/>
  <c r="T186" i="2"/>
  <c r="M186" i="2"/>
  <c r="V185" i="2"/>
  <c r="U185" i="2"/>
  <c r="T185" i="2"/>
  <c r="M185" i="2"/>
  <c r="V184" i="2"/>
  <c r="U184" i="2"/>
  <c r="T184" i="2"/>
  <c r="M184" i="2"/>
  <c r="V183" i="2"/>
  <c r="U183" i="2"/>
  <c r="T183" i="2"/>
  <c r="M183" i="2"/>
  <c r="C180" i="2"/>
  <c r="V179" i="2"/>
  <c r="U179" i="2"/>
  <c r="T179" i="2"/>
  <c r="M179" i="2"/>
  <c r="V178" i="2"/>
  <c r="U178" i="2"/>
  <c r="T178" i="2"/>
  <c r="M178" i="2"/>
  <c r="V177" i="2"/>
  <c r="U177" i="2"/>
  <c r="T177" i="2"/>
  <c r="M177" i="2"/>
  <c r="V176" i="2"/>
  <c r="U176" i="2"/>
  <c r="T176" i="2"/>
  <c r="M176" i="2"/>
  <c r="V175" i="2"/>
  <c r="U175" i="2"/>
  <c r="T175" i="2"/>
  <c r="M175" i="2"/>
  <c r="V174" i="2"/>
  <c r="U174" i="2"/>
  <c r="T174" i="2"/>
  <c r="M174" i="2"/>
  <c r="V173" i="2"/>
  <c r="U173" i="2"/>
  <c r="T173" i="2"/>
  <c r="M173" i="2"/>
  <c r="V172" i="2"/>
  <c r="U172" i="2"/>
  <c r="T172" i="2"/>
  <c r="M172" i="2"/>
  <c r="V171" i="2"/>
  <c r="U171" i="2"/>
  <c r="T171" i="2"/>
  <c r="M171" i="2"/>
  <c r="C168" i="2"/>
  <c r="V167" i="2"/>
  <c r="U167" i="2"/>
  <c r="T167" i="2"/>
  <c r="M167" i="2"/>
  <c r="V166" i="2"/>
  <c r="U166" i="2"/>
  <c r="T166" i="2"/>
  <c r="M166" i="2"/>
  <c r="V165" i="2"/>
  <c r="U165" i="2"/>
  <c r="T165" i="2"/>
  <c r="M165" i="2"/>
  <c r="V164" i="2"/>
  <c r="U164" i="2"/>
  <c r="T164" i="2"/>
  <c r="M164" i="2"/>
  <c r="V163" i="2"/>
  <c r="U163" i="2"/>
  <c r="T163" i="2"/>
  <c r="M163" i="2"/>
  <c r="V162" i="2"/>
  <c r="U162" i="2"/>
  <c r="T162" i="2"/>
  <c r="M162" i="2"/>
  <c r="V161" i="2"/>
  <c r="U161" i="2"/>
  <c r="T161" i="2"/>
  <c r="M161" i="2"/>
  <c r="V160" i="2"/>
  <c r="U160" i="2"/>
  <c r="T160" i="2"/>
  <c r="M160" i="2"/>
  <c r="V159" i="2"/>
  <c r="U159" i="2"/>
  <c r="T159" i="2"/>
  <c r="M159" i="2"/>
  <c r="C156" i="2"/>
  <c r="V155" i="2"/>
  <c r="U155" i="2"/>
  <c r="T155" i="2"/>
  <c r="M155" i="2"/>
  <c r="V154" i="2"/>
  <c r="U154" i="2"/>
  <c r="T154" i="2"/>
  <c r="M154" i="2"/>
  <c r="V153" i="2"/>
  <c r="U153" i="2"/>
  <c r="T153" i="2"/>
  <c r="M153" i="2"/>
  <c r="V152" i="2"/>
  <c r="U152" i="2"/>
  <c r="T152" i="2"/>
  <c r="M152" i="2"/>
  <c r="V151" i="2"/>
  <c r="U151" i="2"/>
  <c r="T151" i="2"/>
  <c r="M151" i="2"/>
  <c r="V150" i="2"/>
  <c r="U150" i="2"/>
  <c r="T150" i="2"/>
  <c r="M150" i="2"/>
  <c r="V149" i="2"/>
  <c r="U149" i="2"/>
  <c r="T149" i="2"/>
  <c r="M149" i="2"/>
  <c r="V148" i="2"/>
  <c r="U148" i="2"/>
  <c r="T148" i="2"/>
  <c r="M148" i="2"/>
  <c r="V147" i="2"/>
  <c r="U147" i="2"/>
  <c r="T147" i="2"/>
  <c r="M147" i="2"/>
  <c r="C144" i="2"/>
  <c r="V143" i="2"/>
  <c r="U143" i="2"/>
  <c r="T143" i="2"/>
  <c r="M143" i="2"/>
  <c r="V142" i="2"/>
  <c r="U142" i="2"/>
  <c r="T142" i="2"/>
  <c r="M142" i="2"/>
  <c r="V141" i="2"/>
  <c r="U141" i="2"/>
  <c r="T141" i="2"/>
  <c r="M141" i="2"/>
  <c r="V140" i="2"/>
  <c r="U140" i="2"/>
  <c r="T140" i="2"/>
  <c r="M140" i="2"/>
  <c r="V139" i="2"/>
  <c r="U139" i="2"/>
  <c r="T139" i="2"/>
  <c r="M139" i="2"/>
  <c r="V138" i="2"/>
  <c r="U138" i="2"/>
  <c r="T138" i="2"/>
  <c r="M138" i="2"/>
  <c r="V137" i="2"/>
  <c r="U137" i="2"/>
  <c r="T137" i="2"/>
  <c r="M137" i="2"/>
  <c r="V136" i="2"/>
  <c r="U136" i="2"/>
  <c r="T136" i="2"/>
  <c r="M136" i="2"/>
  <c r="V135" i="2"/>
  <c r="U135" i="2"/>
  <c r="T135" i="2"/>
  <c r="M135" i="2"/>
  <c r="C132" i="2"/>
  <c r="V131" i="2"/>
  <c r="U131" i="2"/>
  <c r="T131" i="2"/>
  <c r="M131" i="2"/>
  <c r="V130" i="2"/>
  <c r="U130" i="2"/>
  <c r="T130" i="2"/>
  <c r="M130" i="2"/>
  <c r="V129" i="2"/>
  <c r="U129" i="2"/>
  <c r="T129" i="2"/>
  <c r="M129" i="2"/>
  <c r="V128" i="2"/>
  <c r="U128" i="2"/>
  <c r="T128" i="2"/>
  <c r="M128" i="2"/>
  <c r="V127" i="2"/>
  <c r="U127" i="2"/>
  <c r="T127" i="2"/>
  <c r="M127" i="2"/>
  <c r="V126" i="2"/>
  <c r="U126" i="2"/>
  <c r="T126" i="2"/>
  <c r="M126" i="2"/>
  <c r="V125" i="2"/>
  <c r="U125" i="2"/>
  <c r="T125" i="2"/>
  <c r="M125" i="2"/>
  <c r="V124" i="2"/>
  <c r="U124" i="2"/>
  <c r="T124" i="2"/>
  <c r="M124" i="2"/>
  <c r="V123" i="2"/>
  <c r="U123" i="2"/>
  <c r="T123" i="2"/>
  <c r="M123" i="2"/>
  <c r="C120" i="2"/>
  <c r="V119" i="2"/>
  <c r="U119" i="2"/>
  <c r="T119" i="2"/>
  <c r="M119" i="2"/>
  <c r="V118" i="2"/>
  <c r="U118" i="2"/>
  <c r="T118" i="2"/>
  <c r="M118" i="2"/>
  <c r="V117" i="2"/>
  <c r="U117" i="2"/>
  <c r="T117" i="2"/>
  <c r="M117" i="2"/>
  <c r="V116" i="2"/>
  <c r="U116" i="2"/>
  <c r="T116" i="2"/>
  <c r="M116" i="2"/>
  <c r="V115" i="2"/>
  <c r="U115" i="2"/>
  <c r="T115" i="2"/>
  <c r="M115" i="2"/>
  <c r="V114" i="2"/>
  <c r="U114" i="2"/>
  <c r="T114" i="2"/>
  <c r="M114" i="2"/>
  <c r="V113" i="2"/>
  <c r="U113" i="2"/>
  <c r="T113" i="2"/>
  <c r="M113" i="2"/>
  <c r="V112" i="2"/>
  <c r="U112" i="2"/>
  <c r="T112" i="2"/>
  <c r="M112" i="2"/>
  <c r="V111" i="2"/>
  <c r="U111" i="2"/>
  <c r="T111" i="2"/>
  <c r="M111" i="2"/>
  <c r="C108" i="2"/>
  <c r="V107" i="2"/>
  <c r="U107" i="2"/>
  <c r="T107" i="2"/>
  <c r="M107" i="2"/>
  <c r="V106" i="2"/>
  <c r="U106" i="2"/>
  <c r="T106" i="2"/>
  <c r="M106" i="2"/>
  <c r="V105" i="2"/>
  <c r="U105" i="2"/>
  <c r="T105" i="2"/>
  <c r="M105" i="2"/>
  <c r="V104" i="2"/>
  <c r="U104" i="2"/>
  <c r="T104" i="2"/>
  <c r="M104" i="2"/>
  <c r="V103" i="2"/>
  <c r="U103" i="2"/>
  <c r="T103" i="2"/>
  <c r="M103" i="2"/>
  <c r="V102" i="2"/>
  <c r="U102" i="2"/>
  <c r="T102" i="2"/>
  <c r="M102" i="2"/>
  <c r="V101" i="2"/>
  <c r="U101" i="2"/>
  <c r="T101" i="2"/>
  <c r="M101" i="2"/>
  <c r="V100" i="2"/>
  <c r="U100" i="2"/>
  <c r="T100" i="2"/>
  <c r="M100" i="2"/>
  <c r="V99" i="2"/>
  <c r="U99" i="2"/>
  <c r="T99" i="2"/>
  <c r="M99" i="2"/>
  <c r="C96" i="2"/>
  <c r="V95" i="2"/>
  <c r="U95" i="2"/>
  <c r="T95" i="2"/>
  <c r="M95" i="2"/>
  <c r="V94" i="2"/>
  <c r="U94" i="2"/>
  <c r="T94" i="2"/>
  <c r="M94" i="2"/>
  <c r="V93" i="2"/>
  <c r="U93" i="2"/>
  <c r="T93" i="2"/>
  <c r="M93" i="2"/>
  <c r="V92" i="2"/>
  <c r="U92" i="2"/>
  <c r="T92" i="2"/>
  <c r="M92" i="2"/>
  <c r="V91" i="2"/>
  <c r="U91" i="2"/>
  <c r="T91" i="2"/>
  <c r="M91" i="2"/>
  <c r="V90" i="2"/>
  <c r="U90" i="2"/>
  <c r="T90" i="2"/>
  <c r="M90" i="2"/>
  <c r="V89" i="2"/>
  <c r="U89" i="2"/>
  <c r="T89" i="2"/>
  <c r="M89" i="2"/>
  <c r="V88" i="2"/>
  <c r="U88" i="2"/>
  <c r="T88" i="2"/>
  <c r="M88" i="2"/>
  <c r="V87" i="2"/>
  <c r="U87" i="2"/>
  <c r="T87" i="2"/>
  <c r="M87" i="2"/>
  <c r="C84" i="2"/>
  <c r="V83" i="2"/>
  <c r="U83" i="2"/>
  <c r="T83" i="2"/>
  <c r="M83" i="2"/>
  <c r="V82" i="2"/>
  <c r="U82" i="2"/>
  <c r="T82" i="2"/>
  <c r="M82" i="2"/>
  <c r="V81" i="2"/>
  <c r="U81" i="2"/>
  <c r="T81" i="2"/>
  <c r="M81" i="2"/>
  <c r="V80" i="2"/>
  <c r="U80" i="2"/>
  <c r="T80" i="2"/>
  <c r="M80" i="2"/>
  <c r="V79" i="2"/>
  <c r="U79" i="2"/>
  <c r="T79" i="2"/>
  <c r="M79" i="2"/>
  <c r="V78" i="2"/>
  <c r="U78" i="2"/>
  <c r="T78" i="2"/>
  <c r="M78" i="2"/>
  <c r="V77" i="2"/>
  <c r="U77" i="2"/>
  <c r="T77" i="2"/>
  <c r="M77" i="2"/>
  <c r="V76" i="2"/>
  <c r="U76" i="2"/>
  <c r="T76" i="2"/>
  <c r="M76" i="2"/>
  <c r="V75" i="2"/>
  <c r="U75" i="2"/>
  <c r="T75" i="2"/>
  <c r="M75" i="2"/>
  <c r="C72" i="2"/>
  <c r="V71" i="2"/>
  <c r="U71" i="2"/>
  <c r="T71" i="2"/>
  <c r="M71" i="2"/>
  <c r="V70" i="2"/>
  <c r="U70" i="2"/>
  <c r="T70" i="2"/>
  <c r="M70" i="2"/>
  <c r="V69" i="2"/>
  <c r="U69" i="2"/>
  <c r="T69" i="2"/>
  <c r="M69" i="2"/>
  <c r="V68" i="2"/>
  <c r="U68" i="2"/>
  <c r="T68" i="2"/>
  <c r="M68" i="2"/>
  <c r="V67" i="2"/>
  <c r="U67" i="2"/>
  <c r="T67" i="2"/>
  <c r="M67" i="2"/>
  <c r="V66" i="2"/>
  <c r="U66" i="2"/>
  <c r="T66" i="2"/>
  <c r="M66" i="2"/>
  <c r="V65" i="2"/>
  <c r="U65" i="2"/>
  <c r="T65" i="2"/>
  <c r="M65" i="2"/>
  <c r="V64" i="2"/>
  <c r="U64" i="2"/>
  <c r="T64" i="2"/>
  <c r="M64" i="2"/>
  <c r="V63" i="2"/>
  <c r="U63" i="2"/>
  <c r="T63" i="2"/>
  <c r="M63" i="2"/>
  <c r="C60" i="2"/>
  <c r="V59" i="2"/>
  <c r="U59" i="2"/>
  <c r="T59" i="2"/>
  <c r="M59" i="2"/>
  <c r="V58" i="2"/>
  <c r="U58" i="2"/>
  <c r="T58" i="2"/>
  <c r="M58" i="2"/>
  <c r="V57" i="2"/>
  <c r="U57" i="2"/>
  <c r="T57" i="2"/>
  <c r="M57" i="2"/>
  <c r="V56" i="2"/>
  <c r="U56" i="2"/>
  <c r="T56" i="2"/>
  <c r="M56" i="2"/>
  <c r="V55" i="2"/>
  <c r="U55" i="2"/>
  <c r="T55" i="2"/>
  <c r="M55" i="2"/>
  <c r="V54" i="2"/>
  <c r="U54" i="2"/>
  <c r="T54" i="2"/>
  <c r="M54" i="2"/>
  <c r="V53" i="2"/>
  <c r="U53" i="2"/>
  <c r="T53" i="2"/>
  <c r="M53" i="2"/>
  <c r="V52" i="2"/>
  <c r="U52" i="2"/>
  <c r="T52" i="2"/>
  <c r="M52" i="2"/>
  <c r="V51" i="2"/>
  <c r="U51" i="2"/>
  <c r="T51" i="2"/>
  <c r="M51" i="2"/>
  <c r="C48" i="2"/>
  <c r="V47" i="2"/>
  <c r="U47" i="2"/>
  <c r="T47" i="2"/>
  <c r="M47" i="2"/>
  <c r="V46" i="2"/>
  <c r="U46" i="2"/>
  <c r="T46" i="2"/>
  <c r="M46" i="2"/>
  <c r="V45" i="2"/>
  <c r="U45" i="2"/>
  <c r="T45" i="2"/>
  <c r="M45" i="2"/>
  <c r="V44" i="2"/>
  <c r="U44" i="2"/>
  <c r="T44" i="2"/>
  <c r="M44" i="2"/>
  <c r="V43" i="2"/>
  <c r="U43" i="2"/>
  <c r="T43" i="2"/>
  <c r="M43" i="2"/>
  <c r="V42" i="2"/>
  <c r="U42" i="2"/>
  <c r="T42" i="2"/>
  <c r="M42" i="2"/>
  <c r="V41" i="2"/>
  <c r="U41" i="2"/>
  <c r="T41" i="2"/>
  <c r="M41" i="2"/>
  <c r="V40" i="2"/>
  <c r="U40" i="2"/>
  <c r="T40" i="2"/>
  <c r="M40" i="2"/>
  <c r="V39" i="2"/>
  <c r="U39" i="2"/>
  <c r="T39" i="2"/>
  <c r="M39" i="2"/>
  <c r="C36" i="2"/>
  <c r="V35" i="2"/>
  <c r="U35" i="2"/>
  <c r="T35" i="2"/>
  <c r="M35" i="2"/>
  <c r="V34" i="2"/>
  <c r="U34" i="2"/>
  <c r="T34" i="2"/>
  <c r="M34" i="2"/>
  <c r="V33" i="2"/>
  <c r="U33" i="2"/>
  <c r="T33" i="2"/>
  <c r="M33" i="2"/>
  <c r="V32" i="2"/>
  <c r="U32" i="2"/>
  <c r="T32" i="2"/>
  <c r="M32" i="2"/>
  <c r="V31" i="2"/>
  <c r="U31" i="2"/>
  <c r="T31" i="2"/>
  <c r="M31" i="2"/>
  <c r="V30" i="2"/>
  <c r="U30" i="2"/>
  <c r="T30" i="2"/>
  <c r="M30" i="2"/>
  <c r="V29" i="2"/>
  <c r="U29" i="2"/>
  <c r="T29" i="2"/>
  <c r="M29" i="2"/>
  <c r="V28" i="2"/>
  <c r="U28" i="2"/>
  <c r="T28" i="2"/>
  <c r="M28" i="2"/>
  <c r="V27" i="2"/>
  <c r="U27" i="2"/>
  <c r="T27" i="2"/>
  <c r="M27" i="2"/>
  <c r="C24" i="2"/>
  <c r="V23" i="2"/>
  <c r="U23" i="2"/>
  <c r="T23" i="2"/>
  <c r="M23" i="2"/>
  <c r="V22" i="2"/>
  <c r="U22" i="2"/>
  <c r="T22" i="2"/>
  <c r="M22" i="2"/>
  <c r="V21" i="2"/>
  <c r="U21" i="2"/>
  <c r="T21" i="2"/>
  <c r="M21" i="2"/>
  <c r="V20" i="2"/>
  <c r="U20" i="2"/>
  <c r="T20" i="2"/>
  <c r="M20" i="2"/>
  <c r="V19" i="2"/>
  <c r="U19" i="2"/>
  <c r="T19" i="2"/>
  <c r="M19" i="2"/>
  <c r="V18" i="2"/>
  <c r="U18" i="2"/>
  <c r="T18" i="2"/>
  <c r="M18" i="2"/>
  <c r="V17" i="2"/>
  <c r="U17" i="2"/>
  <c r="T17" i="2"/>
  <c r="M17" i="2"/>
  <c r="V16" i="2"/>
  <c r="U16" i="2"/>
  <c r="T16" i="2"/>
  <c r="M16" i="2"/>
  <c r="V15" i="2"/>
  <c r="U15" i="2"/>
  <c r="T15" i="2"/>
  <c r="M15" i="2"/>
  <c r="C12" i="2"/>
  <c r="K192" i="2" s="1"/>
  <c r="K193" i="2" s="1"/>
  <c r="V11" i="2"/>
  <c r="U11" i="2"/>
  <c r="T11" i="2"/>
  <c r="M11" i="2"/>
  <c r="V10" i="2"/>
  <c r="U10" i="2"/>
  <c r="T10" i="2"/>
  <c r="M10" i="2"/>
  <c r="V9" i="2"/>
  <c r="U9" i="2"/>
  <c r="T9" i="2"/>
  <c r="M9" i="2"/>
  <c r="V8" i="2"/>
  <c r="U8" i="2"/>
  <c r="T8" i="2"/>
  <c r="M8" i="2"/>
  <c r="V7" i="2"/>
  <c r="U7" i="2"/>
  <c r="T7" i="2"/>
  <c r="M7" i="2"/>
  <c r="V6" i="2"/>
  <c r="U6" i="2"/>
  <c r="T6" i="2"/>
  <c r="M6" i="2"/>
  <c r="V5" i="2"/>
  <c r="U5" i="2"/>
  <c r="T5" i="2"/>
  <c r="M5" i="2"/>
  <c r="V4" i="2"/>
  <c r="U4" i="2"/>
  <c r="T4" i="2"/>
  <c r="M4" i="2"/>
  <c r="V3" i="2"/>
  <c r="U3" i="2"/>
  <c r="T3" i="2"/>
  <c r="M3" i="2"/>
  <c r="D36" i="2" l="1"/>
  <c r="D37" i="2" s="1"/>
  <c r="L48" i="2"/>
  <c r="M48" i="2" s="1"/>
  <c r="N43" i="2" s="1"/>
  <c r="Q60" i="2"/>
  <c r="Q61" i="2" s="1"/>
  <c r="D24" i="2"/>
  <c r="D25" i="2" s="1"/>
  <c r="R12" i="2"/>
  <c r="R13" i="2" s="1"/>
  <c r="E12" i="2"/>
  <c r="E13" i="2" s="1"/>
  <c r="Q36" i="2"/>
  <c r="Q37" i="2" s="1"/>
  <c r="J72" i="2"/>
  <c r="J73" i="2" s="1"/>
  <c r="L12" i="2"/>
  <c r="M12" i="2" s="1"/>
  <c r="R36" i="2"/>
  <c r="R37" i="2" s="1"/>
  <c r="D48" i="2"/>
  <c r="D49" i="2" s="1"/>
  <c r="Q72" i="2"/>
  <c r="Q73" i="2" s="1"/>
  <c r="D84" i="2"/>
  <c r="D85" i="2" s="1"/>
  <c r="J12" i="2"/>
  <c r="J13" i="2" s="1"/>
  <c r="K12" i="2"/>
  <c r="K13" i="2" s="1"/>
  <c r="O12" i="2"/>
  <c r="O13" i="2" s="1"/>
  <c r="H48" i="2"/>
  <c r="H49" i="2" s="1"/>
  <c r="E84" i="2"/>
  <c r="E85" i="2" s="1"/>
  <c r="H84" i="2"/>
  <c r="H85" i="2" s="1"/>
  <c r="E24" i="2"/>
  <c r="E25" i="2" s="1"/>
  <c r="O48" i="2"/>
  <c r="O49" i="2" s="1"/>
  <c r="O84" i="2"/>
  <c r="O85" i="2" s="1"/>
  <c r="D96" i="2"/>
  <c r="D97" i="2" s="1"/>
  <c r="G24" i="2"/>
  <c r="G25" i="2" s="1"/>
  <c r="Q48" i="2"/>
  <c r="Q49" i="2" s="1"/>
  <c r="E60" i="2"/>
  <c r="E61" i="2" s="1"/>
  <c r="E96" i="2"/>
  <c r="E97" i="2" s="1"/>
  <c r="J24" i="2"/>
  <c r="J25" i="2" s="1"/>
  <c r="J60" i="2"/>
  <c r="J61" i="2" s="1"/>
  <c r="L96" i="2"/>
  <c r="M96" i="2" s="1"/>
  <c r="O24" i="2"/>
  <c r="O25" i="2" s="1"/>
  <c r="K60" i="2"/>
  <c r="K61" i="2" s="1"/>
  <c r="R96" i="2"/>
  <c r="R97" i="2" s="1"/>
  <c r="D108" i="2"/>
  <c r="D109" i="2" s="1"/>
  <c r="L60" i="2"/>
  <c r="M60" i="2" s="1"/>
  <c r="N59" i="2" s="1"/>
  <c r="L108" i="2"/>
  <c r="M108" i="2" s="1"/>
  <c r="N99" i="2" s="1"/>
  <c r="H120" i="2"/>
  <c r="H121" i="2" s="1"/>
  <c r="J120" i="2"/>
  <c r="J121" i="2" s="1"/>
  <c r="H12" i="2"/>
  <c r="H13" i="2" s="1"/>
  <c r="G36" i="2"/>
  <c r="G37" i="2" s="1"/>
  <c r="G72" i="2"/>
  <c r="G73" i="2" s="1"/>
  <c r="O120" i="2"/>
  <c r="O121" i="2" s="1"/>
  <c r="H132" i="2"/>
  <c r="H133" i="2" s="1"/>
  <c r="H144" i="2"/>
  <c r="H145" i="2" s="1"/>
  <c r="K36" i="2"/>
  <c r="K37" i="2" s="1"/>
  <c r="H72" i="2"/>
  <c r="H73" i="2" s="1"/>
  <c r="O144" i="2"/>
  <c r="O145" i="2" s="1"/>
  <c r="G180" i="2"/>
  <c r="G181" i="2" s="1"/>
  <c r="R48" i="2"/>
  <c r="R49" i="2" s="1"/>
  <c r="O60" i="2"/>
  <c r="O61" i="2" s="1"/>
  <c r="K72" i="2"/>
  <c r="K73" i="2" s="1"/>
  <c r="J84" i="2"/>
  <c r="J85" i="2" s="1"/>
  <c r="H96" i="2"/>
  <c r="H97" i="2" s="1"/>
  <c r="E108" i="2"/>
  <c r="E109" i="2" s="1"/>
  <c r="L72" i="2"/>
  <c r="M72" i="2" s="1"/>
  <c r="K84" i="2"/>
  <c r="K85" i="2" s="1"/>
  <c r="J96" i="2"/>
  <c r="J97" i="2" s="1"/>
  <c r="H108" i="2"/>
  <c r="H109" i="2" s="1"/>
  <c r="Q12" i="2"/>
  <c r="Q13" i="2" s="1"/>
  <c r="H24" i="2"/>
  <c r="H25" i="2" s="1"/>
  <c r="E36" i="2"/>
  <c r="E37" i="2" s="1"/>
  <c r="R60" i="2"/>
  <c r="R61" i="2" s="1"/>
  <c r="O72" i="2"/>
  <c r="O73" i="2" s="1"/>
  <c r="L84" i="2"/>
  <c r="M84" i="2" s="1"/>
  <c r="K96" i="2"/>
  <c r="K97" i="2" s="1"/>
  <c r="J108" i="2"/>
  <c r="J109" i="2" s="1"/>
  <c r="H156" i="2"/>
  <c r="H157" i="2" s="1"/>
  <c r="S12" i="2"/>
  <c r="K24" i="2"/>
  <c r="K25" i="2" s="1"/>
  <c r="H36" i="2"/>
  <c r="H37" i="2" s="1"/>
  <c r="E48" i="2"/>
  <c r="E49" i="2" s="1"/>
  <c r="R72" i="2"/>
  <c r="R73" i="2" s="1"/>
  <c r="Q84" i="2"/>
  <c r="Q85" i="2" s="1"/>
  <c r="O96" i="2"/>
  <c r="O97" i="2" s="1"/>
  <c r="O108" i="2"/>
  <c r="O109" i="2" s="1"/>
  <c r="J132" i="2"/>
  <c r="J133" i="2" s="1"/>
  <c r="D12" i="2"/>
  <c r="D13" i="2" s="1"/>
  <c r="L24" i="2"/>
  <c r="M24" i="2" s="1"/>
  <c r="N19" i="2" s="1"/>
  <c r="J36" i="2"/>
  <c r="J37" i="2" s="1"/>
  <c r="G48" i="2"/>
  <c r="G49" i="2" s="1"/>
  <c r="D60" i="2"/>
  <c r="D61" i="2" s="1"/>
  <c r="R84" i="2"/>
  <c r="R85" i="2" s="1"/>
  <c r="Q96" i="2"/>
  <c r="Q97" i="2" s="1"/>
  <c r="R108" i="2"/>
  <c r="R109" i="2" s="1"/>
  <c r="O132" i="2"/>
  <c r="O133" i="2" s="1"/>
  <c r="G168" i="2"/>
  <c r="G169" i="2" s="1"/>
  <c r="F12" i="2"/>
  <c r="F13" i="2" s="1"/>
  <c r="Q24" i="2"/>
  <c r="Q25" i="2" s="1"/>
  <c r="L36" i="2"/>
  <c r="M36" i="2" s="1"/>
  <c r="N35" i="2" s="1"/>
  <c r="J48" i="2"/>
  <c r="J49" i="2" s="1"/>
  <c r="G60" i="2"/>
  <c r="G61" i="2" s="1"/>
  <c r="D72" i="2"/>
  <c r="D73" i="2" s="1"/>
  <c r="G192" i="2"/>
  <c r="G193" i="2" s="1"/>
  <c r="G12" i="2"/>
  <c r="G13" i="2" s="1"/>
  <c r="R24" i="2"/>
  <c r="R25" i="2" s="1"/>
  <c r="O36" i="2"/>
  <c r="O37" i="2" s="1"/>
  <c r="K48" i="2"/>
  <c r="K49" i="2" s="1"/>
  <c r="H60" i="2"/>
  <c r="H61" i="2" s="1"/>
  <c r="E72" i="2"/>
  <c r="E73" i="2" s="1"/>
  <c r="L168" i="2"/>
  <c r="L180" i="2"/>
  <c r="L192" i="2"/>
  <c r="P12" i="2"/>
  <c r="P13" i="2" s="1"/>
  <c r="P24" i="2"/>
  <c r="P25" i="2" s="1"/>
  <c r="P36" i="2"/>
  <c r="P37" i="2" s="1"/>
  <c r="P48" i="2"/>
  <c r="P49" i="2" s="1"/>
  <c r="P60" i="2"/>
  <c r="P61" i="2" s="1"/>
  <c r="P72" i="2"/>
  <c r="P73" i="2" s="1"/>
  <c r="P84" i="2"/>
  <c r="P85" i="2" s="1"/>
  <c r="P96" i="2"/>
  <c r="P97" i="2" s="1"/>
  <c r="P108" i="2"/>
  <c r="P109" i="2" s="1"/>
  <c r="P120" i="2"/>
  <c r="P121" i="2" s="1"/>
  <c r="P132" i="2"/>
  <c r="P133" i="2" s="1"/>
  <c r="P144" i="2"/>
  <c r="P145" i="2" s="1"/>
  <c r="O156" i="2"/>
  <c r="O157" i="2" s="1"/>
  <c r="O168" i="2"/>
  <c r="O169" i="2" s="1"/>
  <c r="O180" i="2"/>
  <c r="O181" i="2" s="1"/>
  <c r="O192" i="2"/>
  <c r="O193" i="2" s="1"/>
  <c r="Q108" i="2"/>
  <c r="Q109" i="2" s="1"/>
  <c r="D120" i="2"/>
  <c r="D121" i="2" s="1"/>
  <c r="Q120" i="2"/>
  <c r="Q121" i="2" s="1"/>
  <c r="D132" i="2"/>
  <c r="D133" i="2" s="1"/>
  <c r="Q132" i="2"/>
  <c r="Q133" i="2" s="1"/>
  <c r="D144" i="2"/>
  <c r="D145" i="2" s="1"/>
  <c r="Q144" i="2"/>
  <c r="Q145" i="2" s="1"/>
  <c r="D156" i="2"/>
  <c r="D157" i="2" s="1"/>
  <c r="P156" i="2"/>
  <c r="P157" i="2" s="1"/>
  <c r="P168" i="2"/>
  <c r="P169" i="2" s="1"/>
  <c r="P180" i="2"/>
  <c r="P181" i="2" s="1"/>
  <c r="P192" i="2"/>
  <c r="P193" i="2" s="1"/>
  <c r="E120" i="2"/>
  <c r="E121" i="2" s="1"/>
  <c r="R120" i="2"/>
  <c r="R121" i="2" s="1"/>
  <c r="E132" i="2"/>
  <c r="E133" i="2" s="1"/>
  <c r="R132" i="2"/>
  <c r="R133" i="2" s="1"/>
  <c r="E144" i="2"/>
  <c r="E145" i="2" s="1"/>
  <c r="R144" i="2"/>
  <c r="R145" i="2" s="1"/>
  <c r="E156" i="2"/>
  <c r="E157" i="2" s="1"/>
  <c r="Q156" i="2"/>
  <c r="Q157" i="2" s="1"/>
  <c r="D168" i="2"/>
  <c r="D169" i="2" s="1"/>
  <c r="Q168" i="2"/>
  <c r="Q169" i="2" s="1"/>
  <c r="D180" i="2"/>
  <c r="D181" i="2" s="1"/>
  <c r="Q180" i="2"/>
  <c r="Q181" i="2" s="1"/>
  <c r="D192" i="2"/>
  <c r="D193" i="2" s="1"/>
  <c r="Q192" i="2"/>
  <c r="Q193" i="2" s="1"/>
  <c r="F24" i="2"/>
  <c r="F25" i="2" s="1"/>
  <c r="S24" i="2"/>
  <c r="F36" i="2"/>
  <c r="F37" i="2" s="1"/>
  <c r="S36" i="2"/>
  <c r="F48" i="2"/>
  <c r="F49" i="2" s="1"/>
  <c r="S48" i="2"/>
  <c r="F60" i="2"/>
  <c r="F61" i="2" s="1"/>
  <c r="S60" i="2"/>
  <c r="F72" i="2"/>
  <c r="F73" i="2" s="1"/>
  <c r="S72" i="2"/>
  <c r="F84" i="2"/>
  <c r="F85" i="2" s="1"/>
  <c r="S84" i="2"/>
  <c r="V84" i="2" s="1"/>
  <c r="F96" i="2"/>
  <c r="F97" i="2" s="1"/>
  <c r="S96" i="2"/>
  <c r="F108" i="2"/>
  <c r="F109" i="2" s="1"/>
  <c r="S108" i="2"/>
  <c r="F120" i="2"/>
  <c r="F121" i="2" s="1"/>
  <c r="S120" i="2"/>
  <c r="F132" i="2"/>
  <c r="F133" i="2" s="1"/>
  <c r="S132" i="2"/>
  <c r="F144" i="2"/>
  <c r="F145" i="2" s="1"/>
  <c r="S144" i="2"/>
  <c r="F156" i="2"/>
  <c r="F157" i="2" s="1"/>
  <c r="R156" i="2"/>
  <c r="R157" i="2" s="1"/>
  <c r="E168" i="2"/>
  <c r="E169" i="2" s="1"/>
  <c r="R168" i="2"/>
  <c r="R169" i="2" s="1"/>
  <c r="E180" i="2"/>
  <c r="E181" i="2" s="1"/>
  <c r="R180" i="2"/>
  <c r="R181" i="2" s="1"/>
  <c r="E192" i="2"/>
  <c r="E193" i="2" s="1"/>
  <c r="R192" i="2"/>
  <c r="R193" i="2" s="1"/>
  <c r="G84" i="2"/>
  <c r="G85" i="2" s="1"/>
  <c r="G96" i="2"/>
  <c r="G97" i="2" s="1"/>
  <c r="G108" i="2"/>
  <c r="G109" i="2" s="1"/>
  <c r="G120" i="2"/>
  <c r="G121" i="2" s="1"/>
  <c r="G132" i="2"/>
  <c r="G133" i="2" s="1"/>
  <c r="G144" i="2"/>
  <c r="G145" i="2" s="1"/>
  <c r="G156" i="2"/>
  <c r="G157" i="2" s="1"/>
  <c r="S156" i="2"/>
  <c r="F168" i="2"/>
  <c r="F169" i="2" s="1"/>
  <c r="S168" i="2"/>
  <c r="F180" i="2"/>
  <c r="F181" i="2" s="1"/>
  <c r="S180" i="2"/>
  <c r="T180" i="2" s="1"/>
  <c r="F192" i="2"/>
  <c r="F193" i="2" s="1"/>
  <c r="S192" i="2"/>
  <c r="I12" i="2"/>
  <c r="I13" i="2" s="1"/>
  <c r="I24" i="2"/>
  <c r="I25" i="2" s="1"/>
  <c r="I36" i="2"/>
  <c r="I37" i="2" s="1"/>
  <c r="I48" i="2"/>
  <c r="I49" i="2" s="1"/>
  <c r="I60" i="2"/>
  <c r="I61" i="2" s="1"/>
  <c r="I72" i="2"/>
  <c r="I73" i="2" s="1"/>
  <c r="I84" i="2"/>
  <c r="I85" i="2" s="1"/>
  <c r="I96" i="2"/>
  <c r="I97" i="2" s="1"/>
  <c r="I108" i="2"/>
  <c r="I109" i="2" s="1"/>
  <c r="I120" i="2"/>
  <c r="I121" i="2" s="1"/>
  <c r="I132" i="2"/>
  <c r="I133" i="2" s="1"/>
  <c r="I144" i="2"/>
  <c r="I145" i="2" s="1"/>
  <c r="I156" i="2"/>
  <c r="I157" i="2" s="1"/>
  <c r="H168" i="2"/>
  <c r="H169" i="2" s="1"/>
  <c r="H180" i="2"/>
  <c r="H181" i="2" s="1"/>
  <c r="H192" i="2"/>
  <c r="H193" i="2" s="1"/>
  <c r="J144" i="2"/>
  <c r="J145" i="2" s="1"/>
  <c r="J156" i="2"/>
  <c r="J157" i="2" s="1"/>
  <c r="I168" i="2"/>
  <c r="I169" i="2" s="1"/>
  <c r="I180" i="2"/>
  <c r="I181" i="2" s="1"/>
  <c r="I192" i="2"/>
  <c r="I193" i="2" s="1"/>
  <c r="K108" i="2"/>
  <c r="K109" i="2" s="1"/>
  <c r="K120" i="2"/>
  <c r="K121" i="2" s="1"/>
  <c r="K132" i="2"/>
  <c r="K133" i="2" s="1"/>
  <c r="K144" i="2"/>
  <c r="K145" i="2" s="1"/>
  <c r="K156" i="2"/>
  <c r="K157" i="2" s="1"/>
  <c r="J168" i="2"/>
  <c r="J169" i="2" s="1"/>
  <c r="J180" i="2"/>
  <c r="J181" i="2" s="1"/>
  <c r="J192" i="2"/>
  <c r="J193" i="2" s="1"/>
  <c r="L120" i="2"/>
  <c r="L132" i="2"/>
  <c r="L144" i="2"/>
  <c r="L156" i="2"/>
  <c r="K168" i="2"/>
  <c r="K169" i="2" s="1"/>
  <c r="K180" i="2"/>
  <c r="K181" i="2" s="1"/>
  <c r="V48" i="2" l="1"/>
  <c r="N3" i="2"/>
  <c r="N8" i="2"/>
  <c r="T132" i="2"/>
  <c r="N77" i="2"/>
  <c r="N75" i="2"/>
  <c r="N83" i="2"/>
  <c r="N53" i="2"/>
  <c r="T144" i="2"/>
  <c r="T192" i="2"/>
  <c r="V60" i="2"/>
  <c r="N107" i="2"/>
  <c r="N65" i="2"/>
  <c r="N71" i="2"/>
  <c r="N63" i="2"/>
  <c r="V12" i="2"/>
  <c r="N5" i="2"/>
  <c r="T12" i="2"/>
  <c r="N11" i="2"/>
  <c r="U12" i="2"/>
  <c r="V72" i="2"/>
  <c r="N6" i="2"/>
  <c r="N9" i="2"/>
  <c r="N10" i="2"/>
  <c r="N4" i="2"/>
  <c r="N39" i="2"/>
  <c r="N28" i="2"/>
  <c r="N30" i="2"/>
  <c r="N33" i="2"/>
  <c r="N34" i="2"/>
  <c r="N32" i="2"/>
  <c r="U60" i="2"/>
  <c r="T60" i="2"/>
  <c r="N20" i="2"/>
  <c r="N16" i="2"/>
  <c r="N21" i="2"/>
  <c r="N22" i="2"/>
  <c r="N18" i="2"/>
  <c r="T120" i="2"/>
  <c r="U48" i="2"/>
  <c r="T48" i="2"/>
  <c r="V192" i="2"/>
  <c r="U192" i="2"/>
  <c r="M192" i="2"/>
  <c r="N23" i="2"/>
  <c r="N7" i="2"/>
  <c r="T168" i="2"/>
  <c r="V180" i="2"/>
  <c r="U180" i="2"/>
  <c r="M180" i="2"/>
  <c r="N29" i="2"/>
  <c r="T156" i="2"/>
  <c r="N104" i="2"/>
  <c r="N102" i="2"/>
  <c r="N105" i="2"/>
  <c r="N103" i="2"/>
  <c r="N100" i="2"/>
  <c r="N106" i="2"/>
  <c r="T96" i="2"/>
  <c r="U96" i="2"/>
  <c r="T24" i="2"/>
  <c r="U24" i="2"/>
  <c r="N92" i="2"/>
  <c r="N90" i="2"/>
  <c r="N88" i="2"/>
  <c r="N93" i="2"/>
  <c r="N91" i="2"/>
  <c r="N94" i="2"/>
  <c r="N101" i="2"/>
  <c r="N15" i="2"/>
  <c r="T108" i="2"/>
  <c r="U108" i="2"/>
  <c r="N41" i="2"/>
  <c r="V156" i="2"/>
  <c r="U156" i="2"/>
  <c r="M156" i="2"/>
  <c r="V96" i="2"/>
  <c r="V24" i="2"/>
  <c r="N80" i="2"/>
  <c r="N78" i="2"/>
  <c r="N81" i="2"/>
  <c r="N79" i="2"/>
  <c r="N82" i="2"/>
  <c r="N76" i="2"/>
  <c r="N47" i="2"/>
  <c r="T36" i="2"/>
  <c r="U36" i="2"/>
  <c r="V168" i="2"/>
  <c r="U168" i="2"/>
  <c r="M168" i="2"/>
  <c r="V108" i="2"/>
  <c r="V36" i="2"/>
  <c r="N27" i="2"/>
  <c r="V144" i="2"/>
  <c r="U144" i="2"/>
  <c r="M144" i="2"/>
  <c r="V132" i="2"/>
  <c r="U132" i="2"/>
  <c r="M132" i="2"/>
  <c r="U120" i="2"/>
  <c r="V120" i="2"/>
  <c r="M120" i="2"/>
  <c r="T84" i="2"/>
  <c r="U84" i="2"/>
  <c r="N68" i="2"/>
  <c r="N66" i="2"/>
  <c r="N69" i="2"/>
  <c r="N67" i="2"/>
  <c r="N70" i="2"/>
  <c r="N64" i="2"/>
  <c r="N95" i="2"/>
  <c r="N17" i="2"/>
  <c r="T72" i="2"/>
  <c r="U72" i="2"/>
  <c r="N44" i="2"/>
  <c r="N42" i="2"/>
  <c r="N45" i="2"/>
  <c r="N40" i="2"/>
  <c r="N46" i="2"/>
  <c r="N31" i="2"/>
  <c r="N56" i="2"/>
  <c r="N54" i="2"/>
  <c r="N57" i="2"/>
  <c r="N55" i="2"/>
  <c r="N58" i="2"/>
  <c r="N52" i="2"/>
  <c r="N51" i="2"/>
  <c r="N89" i="2"/>
  <c r="N87" i="2"/>
  <c r="N116" i="2" l="1"/>
  <c r="N114" i="2"/>
  <c r="N117" i="2"/>
  <c r="N115" i="2"/>
  <c r="N118" i="2"/>
  <c r="N112" i="2"/>
  <c r="N111" i="2"/>
  <c r="N119" i="2"/>
  <c r="N113" i="2"/>
  <c r="N152" i="2"/>
  <c r="N150" i="2"/>
  <c r="N153" i="2"/>
  <c r="N148" i="2"/>
  <c r="N156" i="2"/>
  <c r="N154" i="2"/>
  <c r="N147" i="2"/>
  <c r="N151" i="2"/>
  <c r="N149" i="2"/>
  <c r="N155" i="2"/>
  <c r="N140" i="2"/>
  <c r="N138" i="2"/>
  <c r="N136" i="2"/>
  <c r="N141" i="2"/>
  <c r="N142" i="2"/>
  <c r="N143" i="2"/>
  <c r="N139" i="2"/>
  <c r="N135" i="2"/>
  <c r="N137" i="2"/>
  <c r="N191" i="2"/>
  <c r="N189" i="2"/>
  <c r="N185" i="2"/>
  <c r="N183" i="2"/>
  <c r="N187" i="2"/>
  <c r="N190" i="2"/>
  <c r="N184" i="2"/>
  <c r="N188" i="2"/>
  <c r="N186" i="2"/>
  <c r="N128" i="2"/>
  <c r="N124" i="2"/>
  <c r="N126" i="2"/>
  <c r="N129" i="2"/>
  <c r="N127" i="2"/>
  <c r="N130" i="2"/>
  <c r="N131" i="2"/>
  <c r="N125" i="2"/>
  <c r="N123" i="2"/>
  <c r="N167" i="2"/>
  <c r="N165" i="2"/>
  <c r="N161" i="2"/>
  <c r="N159" i="2"/>
  <c r="N162" i="2"/>
  <c r="N160" i="2"/>
  <c r="N163" i="2"/>
  <c r="N164" i="2"/>
  <c r="N166" i="2"/>
  <c r="N179" i="2"/>
  <c r="N177" i="2"/>
  <c r="N173" i="2"/>
  <c r="N171" i="2"/>
  <c r="N176" i="2"/>
  <c r="N175" i="2"/>
  <c r="N174" i="2"/>
  <c r="N178" i="2"/>
  <c r="N172" i="2"/>
  <c r="F5" i="1" l="1"/>
  <c r="F6" i="1"/>
  <c r="F7" i="1"/>
  <c r="F8" i="1"/>
  <c r="F9" i="1"/>
  <c r="F10" i="1"/>
  <c r="F11" i="1"/>
  <c r="F12" i="1"/>
  <c r="F14" i="1"/>
  <c r="F15" i="1"/>
  <c r="F16" i="1"/>
  <c r="F17" i="1"/>
  <c r="F18" i="1"/>
  <c r="F19" i="1"/>
  <c r="F20" i="1"/>
  <c r="F21" i="1"/>
  <c r="F22" i="1"/>
  <c r="F24" i="1"/>
  <c r="F25" i="1"/>
  <c r="F26" i="1"/>
  <c r="F27" i="1"/>
  <c r="F28" i="1"/>
  <c r="F29" i="1"/>
  <c r="F30" i="1"/>
  <c r="F31" i="1"/>
  <c r="F32" i="1"/>
  <c r="F34" i="1"/>
  <c r="F35" i="1"/>
  <c r="F36" i="1"/>
  <c r="F37" i="1"/>
  <c r="F38" i="1"/>
  <c r="F39" i="1"/>
  <c r="F40" i="1"/>
  <c r="F41" i="1"/>
  <c r="F42" i="1"/>
  <c r="F44" i="1"/>
  <c r="F45" i="1"/>
  <c r="F46" i="1"/>
  <c r="F47" i="1"/>
  <c r="F48" i="1"/>
  <c r="F49" i="1"/>
  <c r="F50" i="1"/>
  <c r="F51" i="1"/>
  <c r="F52" i="1"/>
  <c r="F54" i="1"/>
  <c r="F55" i="1"/>
  <c r="F56" i="1"/>
  <c r="F57" i="1"/>
  <c r="F58" i="1"/>
  <c r="F59" i="1"/>
  <c r="F60" i="1"/>
  <c r="F61" i="1"/>
  <c r="F62" i="1"/>
  <c r="F64" i="1"/>
  <c r="F65" i="1"/>
  <c r="F66" i="1"/>
  <c r="F67" i="1"/>
  <c r="F68" i="1"/>
  <c r="F69" i="1"/>
  <c r="F70" i="1"/>
  <c r="F71" i="1"/>
  <c r="F72" i="1"/>
  <c r="F74" i="1"/>
  <c r="F75" i="1"/>
  <c r="F76" i="1"/>
  <c r="F77" i="1"/>
  <c r="F78" i="1"/>
  <c r="F79" i="1"/>
  <c r="F80" i="1"/>
  <c r="F81" i="1"/>
  <c r="F82" i="1"/>
  <c r="F84" i="1"/>
  <c r="F85" i="1"/>
  <c r="F86" i="1"/>
  <c r="F87" i="1"/>
  <c r="F88" i="1"/>
  <c r="F89" i="1"/>
  <c r="F90" i="1"/>
  <c r="F91" i="1"/>
  <c r="F92" i="1"/>
  <c r="F94" i="1"/>
  <c r="F95" i="1"/>
  <c r="F96" i="1"/>
  <c r="F97" i="1"/>
  <c r="F98" i="1"/>
  <c r="F99" i="1"/>
  <c r="F100" i="1"/>
  <c r="F101" i="1"/>
  <c r="F102" i="1"/>
  <c r="F104" i="1"/>
  <c r="F105" i="1"/>
  <c r="F106" i="1"/>
  <c r="F107" i="1"/>
  <c r="F108" i="1"/>
  <c r="F109" i="1"/>
  <c r="F110" i="1"/>
  <c r="F111" i="1"/>
  <c r="F112" i="1"/>
  <c r="F114" i="1"/>
  <c r="F115" i="1"/>
  <c r="F116" i="1"/>
  <c r="F117" i="1"/>
  <c r="F118" i="1"/>
  <c r="F119" i="1"/>
  <c r="F120" i="1"/>
  <c r="F121" i="1"/>
  <c r="F122" i="1"/>
  <c r="F124" i="1"/>
  <c r="F125" i="1"/>
  <c r="F126" i="1"/>
  <c r="F127" i="1"/>
  <c r="F128" i="1"/>
  <c r="F129" i="1"/>
  <c r="F130" i="1"/>
  <c r="F131" i="1"/>
  <c r="F132" i="1"/>
  <c r="F134" i="1"/>
  <c r="F135" i="1"/>
  <c r="F136" i="1"/>
  <c r="F137" i="1"/>
  <c r="F138" i="1"/>
  <c r="F139" i="1"/>
  <c r="F140" i="1"/>
  <c r="F141" i="1"/>
  <c r="F142" i="1"/>
  <c r="F144" i="1"/>
  <c r="F145" i="1"/>
  <c r="F146" i="1"/>
  <c r="F147" i="1"/>
  <c r="F148" i="1"/>
  <c r="F149" i="1"/>
  <c r="F150" i="1"/>
  <c r="F151" i="1"/>
  <c r="F152" i="1"/>
  <c r="F154" i="1"/>
  <c r="F155" i="1"/>
  <c r="F156" i="1"/>
  <c r="F157" i="1"/>
  <c r="F158" i="1"/>
  <c r="F159" i="1"/>
  <c r="F160" i="1"/>
  <c r="F161" i="1"/>
  <c r="F162" i="1"/>
  <c r="F4" i="1"/>
  <c r="M159" i="1"/>
  <c r="L159" i="1"/>
  <c r="K159" i="1"/>
  <c r="J159" i="1"/>
  <c r="M158" i="1"/>
  <c r="L158" i="1"/>
  <c r="K158" i="1"/>
  <c r="J158" i="1"/>
  <c r="M149" i="1"/>
  <c r="L149" i="1"/>
  <c r="K149" i="1"/>
  <c r="J149" i="1"/>
  <c r="M148" i="1"/>
  <c r="L148" i="1"/>
  <c r="K148" i="1"/>
  <c r="J148" i="1"/>
  <c r="M139" i="1"/>
  <c r="L139" i="1"/>
  <c r="K139" i="1"/>
  <c r="J139" i="1"/>
  <c r="M138" i="1"/>
  <c r="L138" i="1"/>
  <c r="K138" i="1"/>
  <c r="J138" i="1"/>
  <c r="M119" i="1"/>
  <c r="L119" i="1"/>
  <c r="K119" i="1"/>
  <c r="J119" i="1"/>
  <c r="M109" i="1"/>
  <c r="L109" i="1"/>
  <c r="K109" i="1"/>
  <c r="J109" i="1"/>
  <c r="M79" i="1"/>
  <c r="L79" i="1"/>
  <c r="K79" i="1"/>
  <c r="J79" i="1"/>
  <c r="L69" i="1"/>
  <c r="K69" i="1"/>
  <c r="J69" i="1"/>
  <c r="J59" i="1"/>
  <c r="K49" i="1"/>
  <c r="J49" i="1"/>
  <c r="J19" i="1"/>
  <c r="I162" i="1"/>
  <c r="I160" i="1"/>
  <c r="H159" i="1"/>
  <c r="G159" i="1"/>
  <c r="H158" i="1"/>
  <c r="G158" i="1"/>
  <c r="I156" i="1"/>
  <c r="I154" i="1"/>
  <c r="I152" i="1"/>
  <c r="I150" i="1"/>
  <c r="H149" i="1"/>
  <c r="G149" i="1"/>
  <c r="H148" i="1"/>
  <c r="G148" i="1"/>
  <c r="I146" i="1"/>
  <c r="I144" i="1"/>
  <c r="I142" i="1"/>
  <c r="I140" i="1"/>
  <c r="H139" i="1"/>
  <c r="G139" i="1"/>
  <c r="H138" i="1"/>
  <c r="G138" i="1"/>
  <c r="I136" i="1"/>
  <c r="I134" i="1"/>
  <c r="I122" i="1"/>
  <c r="I120" i="1"/>
  <c r="H119" i="1"/>
  <c r="G119" i="1"/>
  <c r="I119" i="1" s="1"/>
  <c r="I118" i="1"/>
  <c r="I114" i="1"/>
  <c r="I112" i="1"/>
  <c r="I110" i="1"/>
  <c r="H109" i="1"/>
  <c r="G109" i="1"/>
  <c r="I108" i="1"/>
  <c r="I104" i="1"/>
  <c r="I102" i="1"/>
  <c r="I100" i="1"/>
  <c r="I99" i="1"/>
  <c r="I98" i="1"/>
  <c r="I94" i="1"/>
  <c r="I92" i="1"/>
  <c r="I90" i="1"/>
  <c r="I89" i="1"/>
  <c r="I88" i="1"/>
  <c r="I87" i="1"/>
  <c r="I84" i="1"/>
  <c r="I82" i="1"/>
  <c r="H79" i="1"/>
  <c r="G79" i="1"/>
  <c r="I76" i="1"/>
  <c r="I74" i="1"/>
  <c r="I72" i="1"/>
  <c r="H69" i="1"/>
  <c r="G69" i="1"/>
  <c r="I66" i="1"/>
  <c r="I64" i="1"/>
  <c r="I62" i="1"/>
  <c r="H59" i="1"/>
  <c r="I59" i="1" s="1"/>
  <c r="I56" i="1"/>
  <c r="I54" i="1"/>
  <c r="I52" i="1"/>
  <c r="H49" i="1"/>
  <c r="G49" i="1"/>
  <c r="I49" i="1" s="1"/>
  <c r="I46" i="1"/>
  <c r="I44" i="1"/>
  <c r="I42" i="1"/>
  <c r="I39" i="1"/>
  <c r="I34" i="1"/>
  <c r="I32" i="1"/>
  <c r="I29" i="1"/>
  <c r="I24" i="1"/>
  <c r="I22" i="1"/>
  <c r="H19" i="1"/>
  <c r="G19" i="1"/>
  <c r="I14" i="1"/>
  <c r="I12" i="1"/>
  <c r="I9" i="1"/>
  <c r="I4" i="1"/>
  <c r="I158" i="1" l="1"/>
  <c r="I69" i="1"/>
  <c r="I138" i="1"/>
  <c r="I79" i="1"/>
  <c r="I148" i="1"/>
  <c r="I149" i="1"/>
  <c r="I139" i="1"/>
  <c r="I159" i="1"/>
  <c r="I109" i="1"/>
  <c r="I19" i="1"/>
</calcChain>
</file>

<file path=xl/sharedStrings.xml><?xml version="1.0" encoding="utf-8"?>
<sst xmlns="http://schemas.openxmlformats.org/spreadsheetml/2006/main" count="389" uniqueCount="64">
  <si>
    <t>Year</t>
    <phoneticPr fontId="2" type="noConversion"/>
  </si>
  <si>
    <t>Province/Region</t>
    <phoneticPr fontId="2" type="noConversion"/>
  </si>
  <si>
    <t>Basin</t>
    <phoneticPr fontId="2" type="noConversion"/>
  </si>
  <si>
    <t>the YRB</t>
    <phoneticPr fontId="1" type="noConversion"/>
  </si>
  <si>
    <t>In-basin</t>
    <phoneticPr fontId="2" type="noConversion"/>
  </si>
  <si>
    <t>The whole province</t>
    <phoneticPr fontId="1" type="noConversion"/>
  </si>
  <si>
    <t>Conversion ratio</t>
    <phoneticPr fontId="1" type="noConversion"/>
  </si>
  <si>
    <t>Farmland irrigation water consumption</t>
  </si>
  <si>
    <t>Water consumption of agriculture, forestry, animal husbandry, and fishery</t>
  </si>
  <si>
    <t>Total</t>
    <phoneticPr fontId="1" type="noConversion"/>
  </si>
  <si>
    <t>Surface water resources</t>
    <phoneticPr fontId="1" type="noConversion"/>
  </si>
  <si>
    <t>Groundwater resources</t>
    <phoneticPr fontId="1" type="noConversion"/>
  </si>
  <si>
    <t>Real groundwater resources</t>
    <phoneticPr fontId="1" type="noConversion"/>
  </si>
  <si>
    <t>Groundwater and surface water double counting volume</t>
    <phoneticPr fontId="1" type="noConversion"/>
  </si>
  <si>
    <t xml:space="preserve">Converted precipitation by province  </t>
    <phoneticPr fontId="1" type="noConversion"/>
  </si>
  <si>
    <t>Amount of waste water discharge (ten thousand t)</t>
    <phoneticPr fontId="1" type="noConversion"/>
  </si>
  <si>
    <t>WEF(After conversion by area)</t>
    <phoneticPr fontId="1" type="noConversion"/>
  </si>
  <si>
    <t>In-basin /10000</t>
    <phoneticPr fontId="2" type="noConversion"/>
  </si>
  <si>
    <t>The whole province /10000</t>
    <phoneticPr fontId="1" type="noConversion"/>
  </si>
  <si>
    <t>Resident population(After conversion by Year 2015(statistical data))</t>
    <phoneticPr fontId="2" type="noConversion"/>
  </si>
  <si>
    <t>Qinghai</t>
    <phoneticPr fontId="2" type="noConversion"/>
  </si>
  <si>
    <t>Sichuan</t>
    <phoneticPr fontId="2" type="noConversion"/>
  </si>
  <si>
    <t>Gansu</t>
    <phoneticPr fontId="2" type="noConversion"/>
  </si>
  <si>
    <t>Ningxia</t>
    <phoneticPr fontId="2" type="noConversion"/>
  </si>
  <si>
    <t>Inner Mongolia</t>
    <phoneticPr fontId="2" type="noConversion"/>
  </si>
  <si>
    <t>Shaanxi</t>
    <phoneticPr fontId="2" type="noConversion"/>
  </si>
  <si>
    <t>Shanxi</t>
    <phoneticPr fontId="2" type="noConversion"/>
  </si>
  <si>
    <t>Henan</t>
    <phoneticPr fontId="2" type="noConversion"/>
  </si>
  <si>
    <t>Shandong</t>
    <phoneticPr fontId="2" type="noConversion"/>
  </si>
  <si>
    <t>Agricultural water</t>
    <phoneticPr fontId="1" type="noConversion"/>
  </si>
  <si>
    <t>Industrial water</t>
    <phoneticPr fontId="1" type="noConversion"/>
  </si>
  <si>
    <t>Urban public water</t>
    <phoneticPr fontId="1" type="noConversion"/>
  </si>
  <si>
    <t>Domestic water</t>
    <phoneticPr fontId="1" type="noConversion"/>
  </si>
  <si>
    <t>Eco-environment water</t>
    <phoneticPr fontId="1" type="noConversion"/>
  </si>
  <si>
    <t>Surface water chemical energy</t>
    <phoneticPr fontId="1" type="noConversion"/>
  </si>
  <si>
    <t>Groundwater chemical energy</t>
    <phoneticPr fontId="1" type="noConversion"/>
  </si>
  <si>
    <t>Rainwater potential energy</t>
    <phoneticPr fontId="1" type="noConversion"/>
  </si>
  <si>
    <t>Resident population /10000</t>
    <phoneticPr fontId="1" type="noConversion"/>
  </si>
  <si>
    <t>Total(sej/cap)</t>
    <phoneticPr fontId="8" type="noConversion"/>
  </si>
  <si>
    <t>the Emergy of WEF (sej/cap)</t>
    <phoneticPr fontId="8" type="noConversion"/>
  </si>
  <si>
    <t>Aquatic product</t>
    <phoneticPr fontId="8" type="noConversion"/>
  </si>
  <si>
    <t>Water pollution</t>
    <phoneticPr fontId="8" type="noConversion"/>
  </si>
  <si>
    <t>Total</t>
    <phoneticPr fontId="8" type="noConversion"/>
  </si>
  <si>
    <t>the Emergy of WEC (sej/cap)</t>
    <phoneticPr fontId="8" type="noConversion"/>
  </si>
  <si>
    <t>Province/Region</t>
    <phoneticPr fontId="1" type="noConversion"/>
  </si>
  <si>
    <t>the YRB</t>
    <phoneticPr fontId="8" type="noConversion"/>
  </si>
  <si>
    <t>Percentage</t>
    <phoneticPr fontId="1" type="noConversion"/>
  </si>
  <si>
    <r>
      <t>Area(km</t>
    </r>
    <r>
      <rPr>
        <vertAlign val="superscript"/>
        <sz val="11"/>
        <color theme="1"/>
        <rFont val="Times New Roman"/>
        <family val="1"/>
      </rPr>
      <t>2</t>
    </r>
    <r>
      <rPr>
        <sz val="11"/>
        <color theme="1"/>
        <rFont val="Times New Roman"/>
        <family val="1"/>
      </rPr>
      <t>)</t>
    </r>
    <phoneticPr fontId="1" type="noConversion"/>
  </si>
  <si>
    <r>
      <t>WEC(After conversion by area,billion m</t>
    </r>
    <r>
      <rPr>
        <vertAlign val="superscript"/>
        <sz val="11"/>
        <color theme="1"/>
        <rFont val="Times New Roman"/>
        <family val="1"/>
      </rPr>
      <t>3</t>
    </r>
    <r>
      <rPr>
        <sz val="11"/>
        <color theme="1"/>
        <rFont val="Times New Roman"/>
        <family val="1"/>
      </rPr>
      <t>)</t>
    </r>
    <phoneticPr fontId="2" type="noConversion"/>
  </si>
  <si>
    <r>
      <t>Agricultural water consumption(billion m</t>
    </r>
    <r>
      <rPr>
        <vertAlign val="superscript"/>
        <sz val="11"/>
        <color theme="1"/>
        <rFont val="Times New Roman"/>
        <family val="1"/>
      </rPr>
      <t>3</t>
    </r>
    <r>
      <rPr>
        <sz val="11"/>
        <color theme="1"/>
        <rFont val="Times New Roman"/>
        <family val="1"/>
      </rPr>
      <t>)</t>
    </r>
    <phoneticPr fontId="1" type="noConversion"/>
  </si>
  <si>
    <r>
      <t>Urban public water consumption(billion m</t>
    </r>
    <r>
      <rPr>
        <vertAlign val="superscript"/>
        <sz val="11"/>
        <color theme="1"/>
        <rFont val="Times New Roman"/>
        <family val="1"/>
      </rPr>
      <t>3</t>
    </r>
    <r>
      <rPr>
        <sz val="11"/>
        <color theme="1"/>
        <rFont val="Times New Roman"/>
        <family val="1"/>
      </rPr>
      <t>)</t>
    </r>
    <phoneticPr fontId="1" type="noConversion"/>
  </si>
  <si>
    <r>
      <t>per capita WEF (hm</t>
    </r>
    <r>
      <rPr>
        <b/>
        <vertAlign val="superscript"/>
        <sz val="11"/>
        <color theme="1"/>
        <rFont val="Times New Roman"/>
        <family val="1"/>
      </rPr>
      <t>2</t>
    </r>
    <r>
      <rPr>
        <b/>
        <sz val="11"/>
        <color theme="1"/>
        <rFont val="Times New Roman"/>
        <family val="1"/>
      </rPr>
      <t>/cap)</t>
    </r>
    <phoneticPr fontId="8" type="noConversion"/>
  </si>
  <si>
    <r>
      <t>per capita WEC (hm</t>
    </r>
    <r>
      <rPr>
        <b/>
        <vertAlign val="superscript"/>
        <sz val="11"/>
        <color theme="1"/>
        <rFont val="Times New Roman"/>
        <family val="1"/>
      </rPr>
      <t>2</t>
    </r>
    <r>
      <rPr>
        <b/>
        <sz val="11"/>
        <color theme="1"/>
        <rFont val="Times New Roman"/>
        <family val="1"/>
      </rPr>
      <t>/cap)</t>
    </r>
    <phoneticPr fontId="8" type="noConversion"/>
  </si>
  <si>
    <r>
      <t>WES/WED(hm</t>
    </r>
    <r>
      <rPr>
        <vertAlign val="superscript"/>
        <sz val="11"/>
        <color theme="1"/>
        <rFont val="Times New Roman"/>
        <family val="1"/>
      </rPr>
      <t>2</t>
    </r>
    <r>
      <rPr>
        <sz val="11"/>
        <color theme="1"/>
        <rFont val="Times New Roman"/>
        <family val="1"/>
      </rPr>
      <t>/cap)</t>
    </r>
    <phoneticPr fontId="8" type="noConversion"/>
  </si>
  <si>
    <r>
      <t>per capita WEF/WEC in the YRB (hm</t>
    </r>
    <r>
      <rPr>
        <b/>
        <vertAlign val="superscript"/>
        <sz val="11"/>
        <color theme="1"/>
        <rFont val="Times New Roman"/>
        <family val="1"/>
      </rPr>
      <t>2</t>
    </r>
    <r>
      <rPr>
        <b/>
        <sz val="11"/>
        <color theme="1"/>
        <rFont val="Times New Roman"/>
        <family val="1"/>
      </rPr>
      <t>/cap)</t>
    </r>
    <phoneticPr fontId="8" type="noConversion"/>
  </si>
  <si>
    <r>
      <t>emergy density in the YRB (sej/hm</t>
    </r>
    <r>
      <rPr>
        <vertAlign val="superscript"/>
        <sz val="11"/>
        <color theme="1"/>
        <rFont val="Times New Roman"/>
        <family val="1"/>
      </rPr>
      <t>2</t>
    </r>
    <r>
      <rPr>
        <sz val="11"/>
        <color theme="1"/>
        <rFont val="Times New Roman"/>
        <family val="1"/>
      </rPr>
      <t>)</t>
    </r>
    <phoneticPr fontId="1" type="noConversion"/>
  </si>
  <si>
    <r>
      <t>emergy density of water resources (sej/hm</t>
    </r>
    <r>
      <rPr>
        <vertAlign val="superscript"/>
        <sz val="11"/>
        <color theme="1"/>
        <rFont val="Times New Roman"/>
        <family val="1"/>
      </rPr>
      <t>2</t>
    </r>
    <r>
      <rPr>
        <sz val="11"/>
        <color theme="1"/>
        <rFont val="Times New Roman"/>
        <family val="1"/>
      </rPr>
      <t>)</t>
    </r>
    <phoneticPr fontId="1" type="noConversion"/>
  </si>
  <si>
    <r>
      <t>total WEF  (hm</t>
    </r>
    <r>
      <rPr>
        <b/>
        <vertAlign val="superscript"/>
        <sz val="11"/>
        <color theme="1"/>
        <rFont val="Times New Roman"/>
        <family val="1"/>
      </rPr>
      <t>2</t>
    </r>
    <r>
      <rPr>
        <b/>
        <sz val="11"/>
        <color theme="1"/>
        <rFont val="Times New Roman"/>
        <family val="1"/>
      </rPr>
      <t>*10</t>
    </r>
    <r>
      <rPr>
        <b/>
        <vertAlign val="superscript"/>
        <sz val="11"/>
        <color theme="1"/>
        <rFont val="Times New Roman"/>
        <family val="1"/>
      </rPr>
      <t>4</t>
    </r>
    <r>
      <rPr>
        <b/>
        <sz val="11"/>
        <color theme="1"/>
        <rFont val="Times New Roman"/>
        <family val="1"/>
      </rPr>
      <t>)</t>
    </r>
    <phoneticPr fontId="8" type="noConversion"/>
  </si>
  <si>
    <r>
      <t>WEF</t>
    </r>
    <r>
      <rPr>
        <vertAlign val="subscript"/>
        <sz val="11"/>
        <color theme="1"/>
        <rFont val="Times New Roman"/>
        <family val="1"/>
      </rPr>
      <t>depth</t>
    </r>
    <phoneticPr fontId="8" type="noConversion"/>
  </si>
  <si>
    <r>
      <t>WEF</t>
    </r>
    <r>
      <rPr>
        <vertAlign val="subscript"/>
        <sz val="11"/>
        <color theme="1"/>
        <rFont val="Times New Roman"/>
        <family val="1"/>
      </rPr>
      <t>size</t>
    </r>
    <r>
      <rPr>
        <sz val="11"/>
        <color theme="1"/>
        <rFont val="Times New Roman"/>
        <family val="1"/>
      </rPr>
      <t xml:space="preserve"> (hm</t>
    </r>
    <r>
      <rPr>
        <vertAlign val="superscript"/>
        <sz val="11"/>
        <color theme="1"/>
        <rFont val="Times New Roman"/>
        <family val="1"/>
      </rPr>
      <t>2</t>
    </r>
    <r>
      <rPr>
        <sz val="11"/>
        <color theme="1"/>
        <rFont val="Times New Roman"/>
        <family val="1"/>
      </rPr>
      <t>/cap)</t>
    </r>
    <phoneticPr fontId="8" type="noConversion"/>
  </si>
  <si>
    <r>
      <t>Industrial water consumption (billion m</t>
    </r>
    <r>
      <rPr>
        <vertAlign val="superscript"/>
        <sz val="11"/>
        <color theme="1"/>
        <rFont val="Times New Roman"/>
        <family val="1"/>
      </rPr>
      <t>3</t>
    </r>
    <r>
      <rPr>
        <sz val="11"/>
        <color theme="1"/>
        <rFont val="Times New Roman"/>
        <family val="1"/>
      </rPr>
      <t>)</t>
    </r>
    <phoneticPr fontId="1" type="noConversion"/>
  </si>
  <si>
    <r>
      <t>Domestic water consumption (billion m</t>
    </r>
    <r>
      <rPr>
        <vertAlign val="superscript"/>
        <sz val="11"/>
        <color theme="1"/>
        <rFont val="Times New Roman"/>
        <family val="1"/>
      </rPr>
      <t>3</t>
    </r>
    <r>
      <rPr>
        <sz val="11"/>
        <color theme="1"/>
        <rFont val="Times New Roman"/>
        <family val="1"/>
      </rPr>
      <t>)</t>
    </r>
    <phoneticPr fontId="1" type="noConversion"/>
  </si>
  <si>
    <r>
      <t>Eco-environment water consumption (billion m</t>
    </r>
    <r>
      <rPr>
        <vertAlign val="superscript"/>
        <sz val="11"/>
        <color theme="1"/>
        <rFont val="Times New Roman"/>
        <family val="1"/>
      </rPr>
      <t>3</t>
    </r>
    <r>
      <rPr>
        <sz val="11"/>
        <color theme="1"/>
        <rFont val="Times New Roman"/>
        <family val="1"/>
      </rPr>
      <t>)</t>
    </r>
    <phoneticPr fontId="1" type="noConversion"/>
  </si>
  <si>
    <t>Production of aquatic products (t)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</si>
</sst>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176" formatCode="0.00_);[Red]\(0.00\)"/>
    <numFmt numFmtId="178" formatCode="0.000_);[Red]\(0.000\)"/>
    <numFmt numFmtId="179" formatCode="0_);[Red]\(0\)"/>
    <numFmt numFmtId="180" formatCode="0.000"/>
    <numFmt numFmtId="181" formatCode="0.0%"/>
    <numFmt numFmtId="182" formatCode="0.0000"/>
    <numFmt numFmtId="183" formatCode="0.0000_ "/>
    <numFmt numFmtId="184" formatCode="0.0000_);[Red]\(0.0000\)"/>
  </numFmts>
  <fonts count="17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name val="宋体"/>
      <family val="3"/>
      <charset val="134"/>
    </font>
    <font>
      <b/>
      <sz val="11"/>
      <name val="Times New Roman"/>
      <family val="1"/>
    </font>
    <font>
      <b/>
      <sz val="10"/>
      <name val="Times New Roman"/>
      <family val="1"/>
    </font>
    <font>
      <sz val="11"/>
      <color theme="1"/>
      <name val="Times New Roman"/>
      <family val="1"/>
    </font>
    <font>
      <sz val="11"/>
      <name val="Times New Roman"/>
      <family val="1"/>
    </font>
    <font>
      <sz val="11"/>
      <color theme="1"/>
      <name val="等线"/>
      <family val="2"/>
      <scheme val="minor"/>
    </font>
    <font>
      <sz val="9"/>
      <name val="等线"/>
      <family val="2"/>
      <charset val="134"/>
      <scheme val="minor"/>
    </font>
    <font>
      <vertAlign val="superscript"/>
      <sz val="11"/>
      <color theme="1"/>
      <name val="Times New Roman"/>
      <family val="1"/>
    </font>
    <font>
      <sz val="10"/>
      <color theme="1"/>
      <name val="Times New Roman"/>
      <family val="1"/>
    </font>
    <font>
      <b/>
      <sz val="11"/>
      <color theme="1"/>
      <name val="Times New Roman"/>
      <family val="1"/>
    </font>
    <font>
      <b/>
      <sz val="11"/>
      <color rgb="FF0070C0"/>
      <name val="Times New Roman"/>
      <family val="1"/>
    </font>
    <font>
      <b/>
      <vertAlign val="superscript"/>
      <sz val="11"/>
      <color theme="1"/>
      <name val="Times New Roman"/>
      <family val="1"/>
    </font>
    <font>
      <sz val="10"/>
      <name val="Times New Roman"/>
      <family val="1"/>
    </font>
    <font>
      <sz val="11"/>
      <color rgb="FFFF0000"/>
      <name val="Times New Roman"/>
      <family val="1"/>
    </font>
    <font>
      <vertAlign val="subscript"/>
      <sz val="11"/>
      <color theme="1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F0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9" fontId="7" fillId="0" borderId="0" applyFont="0" applyFill="0" applyBorder="0" applyAlignment="0" applyProtection="0">
      <alignment vertical="center"/>
    </xf>
  </cellStyleXfs>
  <cellXfs count="101">
    <xf numFmtId="0" fontId="0" fillId="0" borderId="0" xfId="0"/>
    <xf numFmtId="0" fontId="6" fillId="0" borderId="0" xfId="0" applyFont="1" applyAlignment="1">
      <alignment horizontal="center" vertical="center"/>
    </xf>
    <xf numFmtId="179" fontId="3" fillId="0" borderId="2" xfId="0" applyNumberFormat="1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179" fontId="4" fillId="0" borderId="0" xfId="0" applyNumberFormat="1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176" fontId="6" fillId="0" borderId="1" xfId="0" applyNumberFormat="1" applyFont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3" borderId="9" xfId="0" applyFont="1" applyFill="1" applyBorder="1" applyAlignment="1">
      <alignment horizontal="center" vertical="center" wrapText="1"/>
    </xf>
    <xf numFmtId="0" fontId="5" fillId="3" borderId="10" xfId="0" applyFont="1" applyFill="1" applyBorder="1" applyAlignment="1">
      <alignment horizontal="center" vertical="center" wrapText="1"/>
    </xf>
    <xf numFmtId="0" fontId="5" fillId="3" borderId="11" xfId="0" applyFont="1" applyFill="1" applyBorder="1" applyAlignment="1">
      <alignment horizontal="center" vertical="center" wrapText="1"/>
    </xf>
    <xf numFmtId="0" fontId="5" fillId="4" borderId="3" xfId="0" applyFont="1" applyFill="1" applyBorder="1" applyAlignment="1">
      <alignment horizontal="center" vertical="center" wrapText="1"/>
    </xf>
    <xf numFmtId="0" fontId="5" fillId="4" borderId="4" xfId="0" applyFont="1" applyFill="1" applyBorder="1" applyAlignment="1">
      <alignment horizontal="center" vertical="center" wrapText="1"/>
    </xf>
    <xf numFmtId="0" fontId="5" fillId="4" borderId="5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176" fontId="6" fillId="0" borderId="6" xfId="0" applyNumberFormat="1" applyFont="1" applyBorder="1" applyAlignment="1">
      <alignment horizontal="left" vertical="center" wrapText="1"/>
    </xf>
    <xf numFmtId="0" fontId="5" fillId="0" borderId="6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5" fillId="3" borderId="3" xfId="0" applyFont="1" applyFill="1" applyBorder="1" applyAlignment="1">
      <alignment horizontal="left" vertical="center" wrapText="1"/>
    </xf>
    <xf numFmtId="0" fontId="5" fillId="3" borderId="4" xfId="0" applyFont="1" applyFill="1" applyBorder="1" applyAlignment="1">
      <alignment horizontal="left" vertical="center" wrapText="1"/>
    </xf>
    <xf numFmtId="0" fontId="5" fillId="3" borderId="5" xfId="0" applyFont="1" applyFill="1" applyBorder="1" applyAlignment="1">
      <alignment horizontal="left" vertical="center" wrapText="1"/>
    </xf>
    <xf numFmtId="0" fontId="5" fillId="3" borderId="1" xfId="0" applyFont="1" applyFill="1" applyBorder="1" applyAlignment="1">
      <alignment horizontal="left" vertical="center" wrapText="1"/>
    </xf>
    <xf numFmtId="0" fontId="5" fillId="4" borderId="1" xfId="0" applyFont="1" applyFill="1" applyBorder="1" applyAlignment="1">
      <alignment horizontal="left" vertical="center" wrapText="1"/>
    </xf>
    <xf numFmtId="0" fontId="10" fillId="4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0" borderId="0" xfId="0" applyFont="1" applyAlignment="1">
      <alignment horizontal="left" vertical="center"/>
    </xf>
    <xf numFmtId="176" fontId="6" fillId="0" borderId="7" xfId="0" applyNumberFormat="1" applyFont="1" applyBorder="1" applyAlignment="1">
      <alignment horizontal="left" vertical="center" wrapText="1"/>
    </xf>
    <xf numFmtId="0" fontId="5" fillId="0" borderId="7" xfId="0" applyFont="1" applyBorder="1" applyAlignment="1">
      <alignment horizontal="left" vertical="center" wrapText="1"/>
    </xf>
    <xf numFmtId="178" fontId="5" fillId="3" borderId="5" xfId="0" applyNumberFormat="1" applyFont="1" applyFill="1" applyBorder="1" applyAlignment="1">
      <alignment horizontal="left" vertical="center" wrapText="1"/>
    </xf>
    <xf numFmtId="0" fontId="5" fillId="3" borderId="2" xfId="0" applyFont="1" applyFill="1" applyBorder="1" applyAlignment="1">
      <alignment horizontal="left" vertical="center" wrapText="1"/>
    </xf>
    <xf numFmtId="0" fontId="5" fillId="3" borderId="2" xfId="0" applyFont="1" applyFill="1" applyBorder="1" applyAlignment="1">
      <alignment horizontal="left" vertical="center"/>
    </xf>
    <xf numFmtId="0" fontId="5" fillId="3" borderId="7" xfId="0" applyFont="1" applyFill="1" applyBorder="1" applyAlignment="1">
      <alignment horizontal="left" vertical="center" wrapText="1"/>
    </xf>
    <xf numFmtId="0" fontId="5" fillId="4" borderId="7" xfId="0" applyFont="1" applyFill="1" applyBorder="1" applyAlignment="1">
      <alignment horizontal="left" vertical="center" wrapText="1"/>
    </xf>
    <xf numFmtId="0" fontId="10" fillId="4" borderId="7" xfId="0" applyFont="1" applyFill="1" applyBorder="1" applyAlignment="1">
      <alignment horizontal="left" vertical="center" wrapText="1"/>
    </xf>
    <xf numFmtId="0" fontId="5" fillId="2" borderId="7" xfId="0" applyFont="1" applyFill="1" applyBorder="1" applyAlignment="1">
      <alignment horizontal="left" vertical="center" wrapText="1"/>
    </xf>
    <xf numFmtId="178" fontId="5" fillId="0" borderId="2" xfId="0" applyNumberFormat="1" applyFont="1" applyBorder="1" applyAlignment="1">
      <alignment horizontal="left" vertical="center"/>
    </xf>
    <xf numFmtId="178" fontId="3" fillId="0" borderId="2" xfId="0" applyNumberFormat="1" applyFont="1" applyBorder="1" applyAlignment="1">
      <alignment horizontal="left" vertical="center"/>
    </xf>
    <xf numFmtId="0" fontId="11" fillId="0" borderId="2" xfId="0" applyFont="1" applyBorder="1" applyAlignment="1">
      <alignment horizontal="left" vertical="center"/>
    </xf>
    <xf numFmtId="178" fontId="6" fillId="0" borderId="2" xfId="0" applyNumberFormat="1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6" fillId="0" borderId="0" xfId="0" applyFont="1" applyBorder="1" applyAlignment="1">
      <alignment horizontal="left" vertical="center"/>
    </xf>
    <xf numFmtId="179" fontId="3" fillId="0" borderId="0" xfId="0" applyNumberFormat="1" applyFont="1" applyBorder="1" applyAlignment="1">
      <alignment horizontal="left" vertical="center"/>
    </xf>
    <xf numFmtId="0" fontId="5" fillId="0" borderId="0" xfId="0" applyFont="1" applyBorder="1" applyAlignment="1">
      <alignment horizontal="left" vertical="center"/>
    </xf>
    <xf numFmtId="11" fontId="10" fillId="0" borderId="8" xfId="0" applyNumberFormat="1" applyFont="1" applyBorder="1" applyAlignment="1">
      <alignment horizontal="left" vertical="center"/>
    </xf>
    <xf numFmtId="178" fontId="11" fillId="0" borderId="6" xfId="0" applyNumberFormat="1" applyFont="1" applyBorder="1" applyAlignment="1">
      <alignment horizontal="left" vertical="center"/>
    </xf>
    <xf numFmtId="178" fontId="12" fillId="0" borderId="6" xfId="0" applyNumberFormat="1" applyFont="1" applyBorder="1" applyAlignment="1">
      <alignment horizontal="left" vertical="center"/>
    </xf>
    <xf numFmtId="0" fontId="11" fillId="0" borderId="0" xfId="0" applyFont="1" applyAlignment="1">
      <alignment horizontal="left" vertical="center"/>
    </xf>
    <xf numFmtId="11" fontId="5" fillId="0" borderId="0" xfId="0" applyNumberFormat="1" applyFont="1" applyAlignment="1">
      <alignment horizontal="left" vertical="center"/>
    </xf>
    <xf numFmtId="176" fontId="5" fillId="0" borderId="0" xfId="0" applyNumberFormat="1" applyFont="1" applyAlignment="1">
      <alignment horizontal="left" vertical="center"/>
    </xf>
    <xf numFmtId="180" fontId="3" fillId="0" borderId="2" xfId="0" applyNumberFormat="1" applyFont="1" applyBorder="1" applyAlignment="1">
      <alignment horizontal="left" vertical="center"/>
    </xf>
    <xf numFmtId="178" fontId="6" fillId="0" borderId="0" xfId="0" applyNumberFormat="1" applyFont="1" applyAlignment="1">
      <alignment horizontal="left" vertical="center"/>
    </xf>
    <xf numFmtId="178" fontId="3" fillId="0" borderId="0" xfId="0" applyNumberFormat="1" applyFont="1" applyAlignment="1">
      <alignment horizontal="left" vertical="center"/>
    </xf>
    <xf numFmtId="178" fontId="4" fillId="0" borderId="0" xfId="0" applyNumberFormat="1" applyFont="1" applyAlignment="1">
      <alignment horizontal="left" vertical="center"/>
    </xf>
    <xf numFmtId="179" fontId="3" fillId="0" borderId="0" xfId="0" applyNumberFormat="1" applyFont="1" applyAlignment="1">
      <alignment horizontal="left" vertical="center"/>
    </xf>
    <xf numFmtId="0" fontId="6" fillId="0" borderId="6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 wrapText="1"/>
    </xf>
    <xf numFmtId="0" fontId="11" fillId="3" borderId="2" xfId="0" applyFont="1" applyFill="1" applyBorder="1" applyAlignment="1">
      <alignment horizontal="left" vertical="center" wrapText="1"/>
    </xf>
    <xf numFmtId="0" fontId="11" fillId="3" borderId="1" xfId="0" applyFont="1" applyFill="1" applyBorder="1" applyAlignment="1">
      <alignment horizontal="left" vertical="center" wrapText="1"/>
    </xf>
    <xf numFmtId="181" fontId="11" fillId="3" borderId="1" xfId="1" applyNumberFormat="1" applyFont="1" applyFill="1" applyBorder="1" applyAlignment="1">
      <alignment horizontal="left" vertical="center" wrapText="1"/>
    </xf>
    <xf numFmtId="0" fontId="5" fillId="4" borderId="2" xfId="0" applyFont="1" applyFill="1" applyBorder="1" applyAlignment="1">
      <alignment horizontal="center" vertical="center" wrapText="1"/>
    </xf>
    <xf numFmtId="0" fontId="11" fillId="4" borderId="2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5" fillId="3" borderId="1" xfId="0" applyFont="1" applyFill="1" applyBorder="1" applyAlignment="1">
      <alignment horizontal="left" vertical="center" wrapText="1"/>
    </xf>
    <xf numFmtId="0" fontId="11" fillId="3" borderId="7" xfId="0" applyFont="1" applyFill="1" applyBorder="1" applyAlignment="1">
      <alignment horizontal="left" vertical="center" wrapText="1"/>
    </xf>
    <xf numFmtId="181" fontId="11" fillId="3" borderId="7" xfId="1" applyNumberFormat="1" applyFont="1" applyFill="1" applyBorder="1" applyAlignment="1">
      <alignment horizontal="left" vertical="center" wrapText="1"/>
    </xf>
    <xf numFmtId="0" fontId="5" fillId="4" borderId="1" xfId="0" applyFont="1" applyFill="1" applyBorder="1" applyAlignment="1">
      <alignment horizontal="left" vertical="center" wrapText="1"/>
    </xf>
    <xf numFmtId="0" fontId="11" fillId="4" borderId="1" xfId="0" applyFont="1" applyFill="1" applyBorder="1" applyAlignment="1">
      <alignment horizontal="left" vertical="center" wrapText="1"/>
    </xf>
    <xf numFmtId="182" fontId="11" fillId="0" borderId="2" xfId="0" applyNumberFormat="1" applyFont="1" applyBorder="1" applyAlignment="1">
      <alignment horizontal="left" vertical="center" wrapText="1"/>
    </xf>
    <xf numFmtId="181" fontId="11" fillId="0" borderId="2" xfId="1" applyNumberFormat="1" applyFont="1" applyBorder="1" applyAlignment="1">
      <alignment horizontal="left" vertical="center" wrapText="1"/>
    </xf>
    <xf numFmtId="183" fontId="5" fillId="0" borderId="2" xfId="0" applyNumberFormat="1" applyFont="1" applyBorder="1" applyAlignment="1">
      <alignment horizontal="left" vertical="center" wrapText="1"/>
    </xf>
    <xf numFmtId="0" fontId="11" fillId="0" borderId="2" xfId="0" applyFont="1" applyBorder="1" applyAlignment="1">
      <alignment horizontal="left" vertical="center" wrapText="1"/>
    </xf>
    <xf numFmtId="11" fontId="5" fillId="0" borderId="2" xfId="0" applyNumberFormat="1" applyFont="1" applyBorder="1" applyAlignment="1">
      <alignment horizontal="left" vertical="center" wrapText="1"/>
    </xf>
    <xf numFmtId="184" fontId="11" fillId="0" borderId="2" xfId="0" applyNumberFormat="1" applyFont="1" applyBorder="1" applyAlignment="1">
      <alignment horizontal="left" vertical="center" wrapText="1"/>
    </xf>
    <xf numFmtId="182" fontId="11" fillId="0" borderId="0" xfId="0" applyNumberFormat="1" applyFont="1" applyAlignment="1">
      <alignment horizontal="left" vertical="center" wrapText="1"/>
    </xf>
    <xf numFmtId="181" fontId="11" fillId="0" borderId="0" xfId="1" applyNumberFormat="1" applyFont="1" applyAlignment="1">
      <alignment horizontal="left" vertical="center" wrapText="1"/>
    </xf>
    <xf numFmtId="183" fontId="5" fillId="0" borderId="0" xfId="0" applyNumberFormat="1" applyFont="1" applyAlignment="1">
      <alignment horizontal="left" vertical="center" wrapText="1"/>
    </xf>
    <xf numFmtId="176" fontId="10" fillId="0" borderId="2" xfId="0" applyNumberFormat="1" applyFont="1" applyBorder="1" applyAlignment="1">
      <alignment horizontal="left" vertical="center"/>
    </xf>
    <xf numFmtId="176" fontId="14" fillId="0" borderId="2" xfId="0" applyNumberFormat="1" applyFont="1" applyBorder="1" applyAlignment="1">
      <alignment horizontal="left" vertical="center"/>
    </xf>
    <xf numFmtId="0" fontId="11" fillId="0" borderId="0" xfId="0" applyFont="1" applyAlignment="1">
      <alignment horizontal="left" vertical="center" wrapText="1"/>
    </xf>
    <xf numFmtId="11" fontId="15" fillId="5" borderId="2" xfId="0" applyNumberFormat="1" applyFont="1" applyFill="1" applyBorder="1" applyAlignment="1">
      <alignment horizontal="left" vertical="center" wrapText="1"/>
    </xf>
    <xf numFmtId="11" fontId="15" fillId="5" borderId="2" xfId="0" applyNumberFormat="1" applyFont="1" applyFill="1" applyBorder="1" applyAlignment="1">
      <alignment horizontal="left" vertical="center"/>
    </xf>
    <xf numFmtId="180" fontId="5" fillId="0" borderId="2" xfId="0" applyNumberFormat="1" applyFont="1" applyBorder="1" applyAlignment="1">
      <alignment horizontal="left" vertical="center" wrapText="1"/>
    </xf>
    <xf numFmtId="180" fontId="5" fillId="0" borderId="0" xfId="0" applyNumberFormat="1" applyFont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176" fontId="6" fillId="0" borderId="1" xfId="0" applyNumberFormat="1" applyFont="1" applyBorder="1" applyAlignment="1">
      <alignment horizontal="center" vertical="center" wrapText="1"/>
    </xf>
    <xf numFmtId="176" fontId="6" fillId="0" borderId="6" xfId="0" applyNumberFormat="1" applyFont="1" applyBorder="1" applyAlignment="1">
      <alignment horizontal="center" vertical="center" wrapText="1"/>
    </xf>
    <xf numFmtId="176" fontId="6" fillId="0" borderId="7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</cellXfs>
  <cellStyles count="2">
    <cellStyle name="百分比" xfId="1" builtinId="5"/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162"/>
  <sheetViews>
    <sheetView tabSelected="1" workbookViewId="0">
      <selection activeCell="H7" sqref="H7"/>
    </sheetView>
  </sheetViews>
  <sheetFormatPr defaultRowHeight="13.8" x14ac:dyDescent="0.25"/>
  <cols>
    <col min="1" max="2" width="8.88671875" style="96"/>
    <col min="3" max="3" width="15.88671875" style="29" customWidth="1"/>
    <col min="4" max="5" width="8.88671875" style="29"/>
    <col min="6" max="6" width="8.88671875" style="29" customWidth="1"/>
    <col min="7" max="7" width="12.6640625" style="29" customWidth="1"/>
    <col min="8" max="8" width="23.109375" style="29" customWidth="1"/>
    <col min="9" max="9" width="8.88671875" style="29"/>
    <col min="10" max="10" width="12.109375" style="29" customWidth="1"/>
    <col min="11" max="11" width="11.44140625" style="29" customWidth="1"/>
    <col min="12" max="12" width="11.33203125" style="29" customWidth="1"/>
    <col min="13" max="13" width="11.109375" style="29" customWidth="1"/>
    <col min="14" max="14" width="10.33203125" style="29" customWidth="1"/>
    <col min="15" max="15" width="12.21875" style="29" customWidth="1"/>
    <col min="16" max="16" width="11.5546875" style="29" customWidth="1"/>
    <col min="17" max="17" width="10.5546875" style="29" customWidth="1"/>
    <col min="18" max="18" width="12.6640625" style="29" customWidth="1"/>
    <col min="19" max="19" width="13.21875" style="29" customWidth="1"/>
    <col min="20" max="20" width="12.33203125" style="29" customWidth="1"/>
    <col min="21" max="21" width="8.88671875" style="29" customWidth="1"/>
    <col min="22" max="22" width="11.44140625" style="29" customWidth="1"/>
    <col min="23" max="23" width="16.88671875" style="29" customWidth="1"/>
    <col min="24" max="16384" width="8.88671875" style="29"/>
  </cols>
  <sheetData>
    <row r="1" spans="1:23" s="18" customFormat="1" ht="46.2" customHeight="1" x14ac:dyDescent="0.25">
      <c r="A1" s="90" t="s">
        <v>2</v>
      </c>
      <c r="B1" s="90" t="s">
        <v>0</v>
      </c>
      <c r="C1" s="7" t="s">
        <v>1</v>
      </c>
      <c r="D1" s="8" t="s">
        <v>47</v>
      </c>
      <c r="E1" s="8"/>
      <c r="F1" s="8"/>
      <c r="G1" s="9" t="s">
        <v>16</v>
      </c>
      <c r="H1" s="10"/>
      <c r="I1" s="10"/>
      <c r="J1" s="10"/>
      <c r="K1" s="10"/>
      <c r="L1" s="10"/>
      <c r="M1" s="10"/>
      <c r="N1" s="10"/>
      <c r="O1" s="11"/>
      <c r="P1" s="12" t="s">
        <v>48</v>
      </c>
      <c r="Q1" s="13"/>
      <c r="R1" s="13"/>
      <c r="S1" s="13"/>
      <c r="T1" s="14"/>
      <c r="U1" s="15" t="s">
        <v>19</v>
      </c>
      <c r="V1" s="16"/>
      <c r="W1" s="17"/>
    </row>
    <row r="2" spans="1:23" ht="40.200000000000003" customHeight="1" x14ac:dyDescent="0.25">
      <c r="A2" s="91"/>
      <c r="B2" s="91"/>
      <c r="C2" s="19"/>
      <c r="D2" s="7" t="s">
        <v>4</v>
      </c>
      <c r="E2" s="20" t="s">
        <v>5</v>
      </c>
      <c r="F2" s="21" t="s">
        <v>6</v>
      </c>
      <c r="G2" s="22" t="s">
        <v>49</v>
      </c>
      <c r="H2" s="23"/>
      <c r="I2" s="24"/>
      <c r="J2" s="25" t="s">
        <v>60</v>
      </c>
      <c r="K2" s="25" t="s">
        <v>50</v>
      </c>
      <c r="L2" s="25" t="s">
        <v>61</v>
      </c>
      <c r="M2" s="25" t="s">
        <v>62</v>
      </c>
      <c r="N2" s="25" t="s">
        <v>63</v>
      </c>
      <c r="O2" s="25" t="s">
        <v>15</v>
      </c>
      <c r="P2" s="26" t="s">
        <v>10</v>
      </c>
      <c r="Q2" s="26" t="s">
        <v>11</v>
      </c>
      <c r="R2" s="26" t="s">
        <v>12</v>
      </c>
      <c r="S2" s="27" t="s">
        <v>13</v>
      </c>
      <c r="T2" s="26" t="s">
        <v>14</v>
      </c>
      <c r="U2" s="28" t="s">
        <v>17</v>
      </c>
      <c r="V2" s="28" t="s">
        <v>18</v>
      </c>
      <c r="W2" s="28" t="s">
        <v>6</v>
      </c>
    </row>
    <row r="3" spans="1:23" ht="50.4" customHeight="1" x14ac:dyDescent="0.25">
      <c r="A3" s="92"/>
      <c r="B3" s="92"/>
      <c r="C3" s="30"/>
      <c r="D3" s="30"/>
      <c r="E3" s="31"/>
      <c r="F3" s="31"/>
      <c r="G3" s="32" t="s">
        <v>7</v>
      </c>
      <c r="H3" s="33" t="s">
        <v>8</v>
      </c>
      <c r="I3" s="34" t="s">
        <v>9</v>
      </c>
      <c r="J3" s="35"/>
      <c r="K3" s="35"/>
      <c r="L3" s="35"/>
      <c r="M3" s="35"/>
      <c r="N3" s="35"/>
      <c r="O3" s="35"/>
      <c r="P3" s="36"/>
      <c r="Q3" s="36"/>
      <c r="R3" s="36"/>
      <c r="S3" s="37"/>
      <c r="T3" s="36"/>
      <c r="U3" s="38"/>
      <c r="V3" s="38"/>
      <c r="W3" s="38"/>
    </row>
    <row r="4" spans="1:23" x14ac:dyDescent="0.25">
      <c r="A4" s="93" t="s">
        <v>3</v>
      </c>
      <c r="B4" s="93">
        <v>2003</v>
      </c>
      <c r="C4" s="4" t="s">
        <v>20</v>
      </c>
      <c r="D4" s="2">
        <v>152250</v>
      </c>
      <c r="E4" s="3">
        <v>722300</v>
      </c>
      <c r="F4" s="3">
        <f>D4/E4</f>
        <v>0.21078499238543541</v>
      </c>
      <c r="G4" s="39">
        <v>12.63</v>
      </c>
      <c r="H4" s="39">
        <v>1.88</v>
      </c>
      <c r="I4" s="40">
        <f>SUM(G4:H4)</f>
        <v>14.510000000000002</v>
      </c>
      <c r="J4" s="40">
        <v>2.58</v>
      </c>
      <c r="K4" s="40">
        <v>0.38009999999999999</v>
      </c>
      <c r="L4" s="40">
        <v>1.2784</v>
      </c>
      <c r="M4" s="40">
        <v>0.1027</v>
      </c>
      <c r="N4" s="41">
        <v>274.02049010106606</v>
      </c>
      <c r="O4" s="41">
        <v>2988</v>
      </c>
      <c r="P4" s="41">
        <v>191.67</v>
      </c>
      <c r="Q4" s="3"/>
      <c r="R4" s="41">
        <v>1.3400000000000034</v>
      </c>
      <c r="S4" s="3">
        <v>-1.34</v>
      </c>
      <c r="T4" s="41">
        <v>704.5</v>
      </c>
      <c r="U4" s="41">
        <v>434.41081632653061</v>
      </c>
      <c r="V4" s="3">
        <v>534</v>
      </c>
      <c r="W4" s="3">
        <v>0.81350340136054422</v>
      </c>
    </row>
    <row r="5" spans="1:23" x14ac:dyDescent="0.25">
      <c r="A5" s="94"/>
      <c r="B5" s="94"/>
      <c r="C5" s="4" t="s">
        <v>21</v>
      </c>
      <c r="D5" s="2">
        <v>16960</v>
      </c>
      <c r="E5" s="3">
        <v>486000</v>
      </c>
      <c r="F5" s="3">
        <f t="shared" ref="F5:F62" si="0">D5/E5</f>
        <v>3.4897119341563788E-2</v>
      </c>
      <c r="G5" s="39"/>
      <c r="H5" s="39"/>
      <c r="I5" s="40">
        <v>0.2032998161719041</v>
      </c>
      <c r="J5" s="40">
        <v>3.7720183828095888E-2</v>
      </c>
      <c r="K5" s="40">
        <v>6.6744000000000039E-3</v>
      </c>
      <c r="L5" s="40">
        <v>3.4525599999999997E-2</v>
      </c>
      <c r="M5" s="40">
        <v>0</v>
      </c>
      <c r="N5" s="41">
        <v>26661.399176954736</v>
      </c>
      <c r="O5" s="41">
        <v>8243</v>
      </c>
      <c r="P5" s="41">
        <v>83.05</v>
      </c>
      <c r="Q5" s="3">
        <v>19.989999999999998</v>
      </c>
      <c r="R5" s="41">
        <v>0</v>
      </c>
      <c r="S5" s="3"/>
      <c r="T5" s="41">
        <v>141.26</v>
      </c>
      <c r="U5" s="41">
        <v>10.856172043010753</v>
      </c>
      <c r="V5" s="3">
        <v>84.7</v>
      </c>
      <c r="W5" s="3">
        <v>0.12817204301075269</v>
      </c>
    </row>
    <row r="6" spans="1:23" x14ac:dyDescent="0.25">
      <c r="A6" s="94"/>
      <c r="B6" s="94"/>
      <c r="C6" s="4" t="s">
        <v>22</v>
      </c>
      <c r="D6" s="2">
        <v>143240</v>
      </c>
      <c r="E6" s="3">
        <v>425800</v>
      </c>
      <c r="F6" s="3">
        <f t="shared" si="0"/>
        <v>0.33640206669798028</v>
      </c>
      <c r="G6" s="42"/>
      <c r="H6" s="42"/>
      <c r="I6" s="40">
        <v>26.515499999999999</v>
      </c>
      <c r="J6" s="40">
        <v>12.8224</v>
      </c>
      <c r="K6" s="40">
        <v>1.1222000000000001</v>
      </c>
      <c r="L6" s="40">
        <v>4.1848999999999998</v>
      </c>
      <c r="M6" s="40">
        <v>0.1479</v>
      </c>
      <c r="N6" s="41">
        <v>4810.5495537811184</v>
      </c>
      <c r="O6" s="41">
        <v>16020</v>
      </c>
      <c r="P6" s="41">
        <v>122.49</v>
      </c>
      <c r="Q6" s="3">
        <v>4.3273000000000001</v>
      </c>
      <c r="R6" s="41">
        <v>4.3273000000000081</v>
      </c>
      <c r="S6" s="3"/>
      <c r="T6" s="41">
        <v>855.50599999999997</v>
      </c>
      <c r="U6" s="41">
        <v>1771.5561368561034</v>
      </c>
      <c r="V6" s="3">
        <v>2537</v>
      </c>
      <c r="W6" s="3">
        <v>0.69828779537095131</v>
      </c>
    </row>
    <row r="7" spans="1:23" x14ac:dyDescent="0.25">
      <c r="A7" s="94"/>
      <c r="B7" s="94"/>
      <c r="C7" s="4" t="s">
        <v>23</v>
      </c>
      <c r="D7" s="2">
        <v>51393</v>
      </c>
      <c r="E7" s="4">
        <v>66400</v>
      </c>
      <c r="F7" s="3">
        <f t="shared" si="0"/>
        <v>0.77399096385542165</v>
      </c>
      <c r="G7" s="3">
        <v>50.28</v>
      </c>
      <c r="H7" s="3">
        <v>8.4599999999999991</v>
      </c>
      <c r="I7" s="43">
        <v>58.74</v>
      </c>
      <c r="J7" s="43">
        <v>5.35</v>
      </c>
      <c r="K7" s="43">
        <v>0.31</v>
      </c>
      <c r="L7" s="43">
        <v>1.25</v>
      </c>
      <c r="M7" s="43">
        <v>0.43999999999999995</v>
      </c>
      <c r="N7" s="41">
        <v>39009.144578313251</v>
      </c>
      <c r="O7" s="41">
        <v>17510</v>
      </c>
      <c r="P7" s="41">
        <v>10.005000000000001</v>
      </c>
      <c r="Q7" s="3">
        <v>25.428999999999998</v>
      </c>
      <c r="R7" s="41">
        <v>2.2449999999999992</v>
      </c>
      <c r="S7" s="3">
        <v>23.184000000000001</v>
      </c>
      <c r="T7" s="41">
        <v>173.80500000000001</v>
      </c>
      <c r="U7" s="41">
        <v>579.88712574850285</v>
      </c>
      <c r="V7" s="3">
        <v>580</v>
      </c>
      <c r="W7" s="3">
        <v>0.99980538922155671</v>
      </c>
    </row>
    <row r="8" spans="1:23" x14ac:dyDescent="0.25">
      <c r="A8" s="94"/>
      <c r="B8" s="94"/>
      <c r="C8" s="4" t="s">
        <v>24</v>
      </c>
      <c r="D8" s="2">
        <v>150962</v>
      </c>
      <c r="E8" s="3">
        <v>1183000</v>
      </c>
      <c r="F8" s="3">
        <f t="shared" si="0"/>
        <v>0.12760946745562129</v>
      </c>
      <c r="G8" s="39"/>
      <c r="H8" s="39"/>
      <c r="I8" s="40">
        <v>69.739999999999995</v>
      </c>
      <c r="J8" s="40">
        <v>5.72</v>
      </c>
      <c r="K8" s="40">
        <v>0.86</v>
      </c>
      <c r="L8" s="40">
        <v>2.1899999999999995</v>
      </c>
      <c r="M8" s="40">
        <v>0.3</v>
      </c>
      <c r="N8" s="41">
        <v>9289.9692307692294</v>
      </c>
      <c r="O8" s="41">
        <v>6258</v>
      </c>
      <c r="P8" s="41">
        <v>16.22</v>
      </c>
      <c r="Q8" s="3">
        <v>50.21</v>
      </c>
      <c r="R8" s="41">
        <v>35.93</v>
      </c>
      <c r="S8" s="3">
        <v>14.28</v>
      </c>
      <c r="T8" s="41">
        <v>456.70000000000005</v>
      </c>
      <c r="U8" s="41">
        <v>958.46693747510949</v>
      </c>
      <c r="V8" s="3">
        <v>2386</v>
      </c>
      <c r="W8" s="3">
        <v>0.40170450019912385</v>
      </c>
    </row>
    <row r="9" spans="1:23" x14ac:dyDescent="0.25">
      <c r="A9" s="94"/>
      <c r="B9" s="94"/>
      <c r="C9" s="4" t="s">
        <v>25</v>
      </c>
      <c r="D9" s="2">
        <v>133300.52000000002</v>
      </c>
      <c r="E9" s="4">
        <v>205600</v>
      </c>
      <c r="F9" s="3">
        <f t="shared" si="0"/>
        <v>0.64834883268482502</v>
      </c>
      <c r="G9" s="42">
        <v>27.11</v>
      </c>
      <c r="H9" s="42">
        <v>4.97</v>
      </c>
      <c r="I9" s="40">
        <f>SUM(G9:H9)</f>
        <v>32.08</v>
      </c>
      <c r="J9" s="40">
        <v>11.13</v>
      </c>
      <c r="K9" s="40">
        <v>1.38</v>
      </c>
      <c r="L9" s="40">
        <v>6.44</v>
      </c>
      <c r="M9" s="40">
        <v>0.08</v>
      </c>
      <c r="N9" s="41">
        <v>43244.867140077826</v>
      </c>
      <c r="O9" s="41">
        <v>47850</v>
      </c>
      <c r="P9" s="41">
        <v>128.75</v>
      </c>
      <c r="Q9" s="3"/>
      <c r="R9" s="41">
        <v>32.680000000000007</v>
      </c>
      <c r="S9" s="3">
        <v>-32.880000000000003</v>
      </c>
      <c r="T9" s="41">
        <v>927.90491972000029</v>
      </c>
      <c r="U9" s="41">
        <v>2885.1509639147916</v>
      </c>
      <c r="V9" s="3">
        <v>3672</v>
      </c>
      <c r="W9" s="3">
        <v>0.78571649344084737</v>
      </c>
    </row>
    <row r="10" spans="1:23" x14ac:dyDescent="0.25">
      <c r="A10" s="94"/>
      <c r="B10" s="94"/>
      <c r="C10" s="4" t="s">
        <v>26</v>
      </c>
      <c r="D10" s="2">
        <v>97138</v>
      </c>
      <c r="E10" s="4">
        <v>156700</v>
      </c>
      <c r="F10" s="3">
        <f t="shared" si="0"/>
        <v>0.61989789406509255</v>
      </c>
      <c r="G10" s="42">
        <v>20.310000000000002</v>
      </c>
      <c r="H10" s="42">
        <v>1.55</v>
      </c>
      <c r="I10" s="40">
        <v>21.860000000000003</v>
      </c>
      <c r="J10" s="40">
        <v>8.11</v>
      </c>
      <c r="K10" s="40">
        <v>1.32</v>
      </c>
      <c r="L10" s="40">
        <v>3.75</v>
      </c>
      <c r="M10" s="40">
        <v>0.22</v>
      </c>
      <c r="N10" s="41">
        <v>19278.824505424378</v>
      </c>
      <c r="O10" s="41">
        <v>54183</v>
      </c>
      <c r="P10" s="41">
        <v>53.62</v>
      </c>
      <c r="Q10" s="3"/>
      <c r="R10" s="41">
        <v>29.330000000000005</v>
      </c>
      <c r="S10" s="3"/>
      <c r="T10" s="41">
        <v>647.12</v>
      </c>
      <c r="U10" s="41">
        <v>2176.7663295209854</v>
      </c>
      <c r="V10" s="3">
        <v>3314</v>
      </c>
      <c r="W10" s="3">
        <v>0.65683956835274149</v>
      </c>
    </row>
    <row r="11" spans="1:23" x14ac:dyDescent="0.25">
      <c r="A11" s="94"/>
      <c r="B11" s="94"/>
      <c r="C11" s="4" t="s">
        <v>27</v>
      </c>
      <c r="D11" s="2">
        <v>36164</v>
      </c>
      <c r="E11" s="4">
        <v>167000</v>
      </c>
      <c r="F11" s="3">
        <f t="shared" si="0"/>
        <v>0.2165508982035928</v>
      </c>
      <c r="G11" s="42"/>
      <c r="H11" s="42"/>
      <c r="I11" s="40">
        <v>31.713999999999999</v>
      </c>
      <c r="J11" s="40">
        <v>8.76</v>
      </c>
      <c r="K11" s="40">
        <v>1.0639603</v>
      </c>
      <c r="L11" s="40">
        <v>4.0345538999999997</v>
      </c>
      <c r="M11" s="40">
        <v>1.7524858000000001</v>
      </c>
      <c r="N11" s="41">
        <v>84346.574850299396</v>
      </c>
      <c r="O11" s="41">
        <v>52464</v>
      </c>
      <c r="P11" s="41">
        <v>79.828999999999994</v>
      </c>
      <c r="Q11" s="3">
        <v>41.869</v>
      </c>
      <c r="R11" s="41">
        <v>25.158000000000001</v>
      </c>
      <c r="S11" s="3">
        <v>16.710999999999999</v>
      </c>
      <c r="T11" s="41">
        <v>353.82857600000006</v>
      </c>
      <c r="U11" s="41">
        <v>1826.8452812128273</v>
      </c>
      <c r="V11" s="3">
        <v>9667</v>
      </c>
      <c r="W11" s="3">
        <v>0.18897747814345994</v>
      </c>
    </row>
    <row r="12" spans="1:23" x14ac:dyDescent="0.25">
      <c r="A12" s="95"/>
      <c r="B12" s="95"/>
      <c r="C12" s="4" t="s">
        <v>28</v>
      </c>
      <c r="D12" s="2">
        <v>13633</v>
      </c>
      <c r="E12" s="4">
        <v>157900</v>
      </c>
      <c r="F12" s="3">
        <f t="shared" si="0"/>
        <v>8.6339455351488278E-2</v>
      </c>
      <c r="G12" s="42">
        <v>8.1428999999999991</v>
      </c>
      <c r="H12" s="42">
        <v>1.1751</v>
      </c>
      <c r="I12" s="40">
        <f>SUM(G12:H12)</f>
        <v>9.3179999999999996</v>
      </c>
      <c r="J12" s="40">
        <v>2.9297</v>
      </c>
      <c r="K12" s="40">
        <v>0.1565</v>
      </c>
      <c r="L12" s="40">
        <v>1.5086999999999999</v>
      </c>
      <c r="M12" s="40">
        <v>0.14019999999999999</v>
      </c>
      <c r="N12" s="41">
        <v>88126.682077264079</v>
      </c>
      <c r="O12" s="41">
        <v>20762</v>
      </c>
      <c r="P12" s="41">
        <v>35.1</v>
      </c>
      <c r="Q12" s="3"/>
      <c r="R12" s="41">
        <v>7.8999999999999986</v>
      </c>
      <c r="S12" s="3">
        <v>-7.9</v>
      </c>
      <c r="T12" s="41">
        <v>132</v>
      </c>
      <c r="U12" s="41">
        <v>793.45765633804376</v>
      </c>
      <c r="V12" s="3">
        <v>9125</v>
      </c>
      <c r="W12" s="3">
        <v>8.6954263708278773E-2</v>
      </c>
    </row>
    <row r="13" spans="1:23" x14ac:dyDescent="0.25">
      <c r="B13" s="97"/>
      <c r="C13" s="44"/>
      <c r="D13" s="45"/>
      <c r="E13" s="44"/>
      <c r="F13" s="46"/>
      <c r="G13" s="44"/>
      <c r="H13" s="47"/>
      <c r="I13" s="48"/>
      <c r="J13" s="49"/>
      <c r="K13" s="44"/>
      <c r="L13" s="44"/>
      <c r="M13" s="44"/>
      <c r="N13" s="50"/>
      <c r="O13" s="50"/>
      <c r="P13" s="50"/>
      <c r="R13" s="50"/>
      <c r="T13" s="50"/>
      <c r="U13" s="50"/>
    </row>
    <row r="14" spans="1:23" x14ac:dyDescent="0.25">
      <c r="A14" s="93" t="s">
        <v>3</v>
      </c>
      <c r="B14" s="93">
        <v>2004</v>
      </c>
      <c r="C14" s="4" t="s">
        <v>20</v>
      </c>
      <c r="D14" s="2">
        <v>152250</v>
      </c>
      <c r="E14" s="3">
        <v>722300</v>
      </c>
      <c r="F14" s="3">
        <f t="shared" si="0"/>
        <v>0.21078499238543541</v>
      </c>
      <c r="G14" s="39">
        <v>12.64</v>
      </c>
      <c r="H14" s="39">
        <v>1.8743000000000001</v>
      </c>
      <c r="I14" s="40">
        <f>SUM(G14:H14)</f>
        <v>14.5143</v>
      </c>
      <c r="J14" s="40">
        <v>3.0177999999999998</v>
      </c>
      <c r="K14" s="40">
        <v>0.39460000000000001</v>
      </c>
      <c r="L14" s="40">
        <v>1.2956000000000001</v>
      </c>
      <c r="M14" s="40">
        <v>0.1038</v>
      </c>
      <c r="N14" s="41">
        <v>316.17748857815309</v>
      </c>
      <c r="O14" s="41">
        <v>3011.4851862107157</v>
      </c>
      <c r="P14" s="41">
        <v>187.51</v>
      </c>
      <c r="Q14" s="3">
        <v>79.98</v>
      </c>
      <c r="R14" s="41">
        <v>1.3400000000000034</v>
      </c>
      <c r="S14" s="3">
        <v>-1.34</v>
      </c>
      <c r="T14" s="41">
        <v>682.1</v>
      </c>
      <c r="U14" s="41">
        <v>438.47833333333335</v>
      </c>
      <c r="V14" s="3">
        <v>539</v>
      </c>
      <c r="W14" s="3">
        <v>0.81350340136054422</v>
      </c>
    </row>
    <row r="15" spans="1:23" x14ac:dyDescent="0.25">
      <c r="A15" s="94"/>
      <c r="B15" s="94"/>
      <c r="C15" s="4" t="s">
        <v>21</v>
      </c>
      <c r="D15" s="2">
        <v>16960</v>
      </c>
      <c r="E15" s="3">
        <v>486000</v>
      </c>
      <c r="F15" s="3">
        <f t="shared" si="0"/>
        <v>3.4897119341563788E-2</v>
      </c>
      <c r="G15" s="39"/>
      <c r="H15" s="39"/>
      <c r="I15" s="40">
        <v>0.21025023723761022</v>
      </c>
      <c r="J15" s="40">
        <v>3.9009762762389766E-2</v>
      </c>
      <c r="K15" s="40">
        <v>6.6744000000000039E-3</v>
      </c>
      <c r="L15" s="40">
        <v>3.4525599999999997E-2</v>
      </c>
      <c r="M15" s="40">
        <v>0</v>
      </c>
      <c r="N15" s="41">
        <v>30053.399176954736</v>
      </c>
      <c r="O15" s="41">
        <v>8435.3316872427986</v>
      </c>
      <c r="P15" s="41">
        <v>79.17</v>
      </c>
      <c r="Q15" s="3">
        <v>19.399999999999999</v>
      </c>
      <c r="R15" s="41">
        <v>0</v>
      </c>
      <c r="S15" s="3"/>
      <c r="T15" s="41">
        <v>132.16999999999999</v>
      </c>
      <c r="U15" s="41">
        <v>10.881806451612904</v>
      </c>
      <c r="V15" s="3">
        <v>84.9</v>
      </c>
      <c r="W15" s="3">
        <v>0.12817204301075269</v>
      </c>
    </row>
    <row r="16" spans="1:23" x14ac:dyDescent="0.25">
      <c r="A16" s="94"/>
      <c r="B16" s="94"/>
      <c r="C16" s="4" t="s">
        <v>22</v>
      </c>
      <c r="D16" s="2">
        <v>143240</v>
      </c>
      <c r="E16" s="3">
        <v>425800</v>
      </c>
      <c r="F16" s="3">
        <f t="shared" si="0"/>
        <v>0.33640206669798028</v>
      </c>
      <c r="G16" s="42"/>
      <c r="H16" s="42"/>
      <c r="I16" s="40">
        <v>26.7197</v>
      </c>
      <c r="J16" s="40">
        <v>12.592700000000001</v>
      </c>
      <c r="K16" s="40">
        <v>1.1894</v>
      </c>
      <c r="L16" s="40">
        <v>4.3345000000000002</v>
      </c>
      <c r="M16" s="40">
        <v>0.1479</v>
      </c>
      <c r="N16" s="41">
        <v>4877.8299671207142</v>
      </c>
      <c r="O16" s="41">
        <v>15195.617754814468</v>
      </c>
      <c r="P16" s="41">
        <v>94.653999999999996</v>
      </c>
      <c r="Q16" s="3">
        <v>3.7008000000000001</v>
      </c>
      <c r="R16" s="41">
        <v>3.700800000000001</v>
      </c>
      <c r="S16" s="3"/>
      <c r="T16" s="41">
        <v>599.70600000000002</v>
      </c>
      <c r="U16" s="41">
        <v>1774.3492880375873</v>
      </c>
      <c r="V16" s="3">
        <v>2541</v>
      </c>
      <c r="W16" s="3">
        <v>0.69828779537095131</v>
      </c>
    </row>
    <row r="17" spans="1:23" x14ac:dyDescent="0.25">
      <c r="A17" s="94"/>
      <c r="B17" s="94"/>
      <c r="C17" s="4" t="s">
        <v>23</v>
      </c>
      <c r="D17" s="2">
        <v>51393</v>
      </c>
      <c r="E17" s="4">
        <v>66400</v>
      </c>
      <c r="F17" s="3">
        <f t="shared" si="0"/>
        <v>0.77399096385542165</v>
      </c>
      <c r="G17" s="3">
        <v>58.660000000000004</v>
      </c>
      <c r="H17" s="3">
        <v>10.26</v>
      </c>
      <c r="I17" s="43">
        <v>68.92</v>
      </c>
      <c r="J17" s="43">
        <v>3.42</v>
      </c>
      <c r="K17" s="43">
        <v>0.36</v>
      </c>
      <c r="L17" s="43">
        <v>1.23</v>
      </c>
      <c r="M17" s="43">
        <v>0.42000000000000004</v>
      </c>
      <c r="N17" s="41">
        <v>43730.489457831325</v>
      </c>
      <c r="O17" s="41">
        <v>18400.08718373494</v>
      </c>
      <c r="P17" s="41">
        <v>7.4980000000000002</v>
      </c>
      <c r="Q17" s="3">
        <v>24.959</v>
      </c>
      <c r="R17" s="41">
        <v>2.3619999999999992</v>
      </c>
      <c r="S17" s="3">
        <v>22.597000000000001</v>
      </c>
      <c r="T17" s="41">
        <v>124.97199999999999</v>
      </c>
      <c r="U17" s="41">
        <v>587.88556886227536</v>
      </c>
      <c r="V17" s="3">
        <v>588</v>
      </c>
      <c r="W17" s="3">
        <v>0.99980538922155671</v>
      </c>
    </row>
    <row r="18" spans="1:23" x14ac:dyDescent="0.25">
      <c r="A18" s="94"/>
      <c r="B18" s="94"/>
      <c r="C18" s="4" t="s">
        <v>24</v>
      </c>
      <c r="D18" s="2">
        <v>150962</v>
      </c>
      <c r="E18" s="3">
        <v>1183000</v>
      </c>
      <c r="F18" s="3">
        <f t="shared" si="0"/>
        <v>0.12760946745562129</v>
      </c>
      <c r="G18" s="39"/>
      <c r="H18" s="39"/>
      <c r="I18" s="40">
        <v>75.330000000000013</v>
      </c>
      <c r="J18" s="40">
        <v>5.5600000000000005</v>
      </c>
      <c r="K18" s="40">
        <v>0.9</v>
      </c>
      <c r="L18" s="40">
        <v>2.1999999999999997</v>
      </c>
      <c r="M18" s="40">
        <v>0.34</v>
      </c>
      <c r="N18" s="41">
        <v>9864.2118343195252</v>
      </c>
      <c r="O18" s="41">
        <v>6708.1744852071006</v>
      </c>
      <c r="P18" s="41">
        <v>14.479999999999999</v>
      </c>
      <c r="Q18" s="3"/>
      <c r="R18" s="41">
        <v>33.900000000000006</v>
      </c>
      <c r="S18" s="3"/>
      <c r="T18" s="41">
        <v>413.99999999999994</v>
      </c>
      <c r="U18" s="41">
        <v>961.27886897650342</v>
      </c>
      <c r="V18" s="3">
        <v>2393</v>
      </c>
      <c r="W18" s="3">
        <v>0.40170450019912385</v>
      </c>
    </row>
    <row r="19" spans="1:23" x14ac:dyDescent="0.25">
      <c r="A19" s="94"/>
      <c r="B19" s="94"/>
      <c r="C19" s="4" t="s">
        <v>25</v>
      </c>
      <c r="D19" s="2">
        <v>133300.52000000002</v>
      </c>
      <c r="E19" s="4">
        <v>205600</v>
      </c>
      <c r="F19" s="3">
        <f t="shared" si="0"/>
        <v>0.64834883268482502</v>
      </c>
      <c r="G19" s="42">
        <f>22.73+5.16</f>
        <v>27.89</v>
      </c>
      <c r="H19" s="42">
        <f>4.24+0.71</f>
        <v>4.95</v>
      </c>
      <c r="I19" s="40">
        <f>SUM(G19:H19)</f>
        <v>32.840000000000003</v>
      </c>
      <c r="J19" s="40">
        <f>9.8+0.95</f>
        <v>10.75</v>
      </c>
      <c r="K19" s="40">
        <v>1.77</v>
      </c>
      <c r="L19" s="40">
        <v>6.78</v>
      </c>
      <c r="M19" s="40">
        <v>0.62</v>
      </c>
      <c r="N19" s="41">
        <v>47783.308968871606</v>
      </c>
      <c r="O19" s="41">
        <v>49151.325005836581</v>
      </c>
      <c r="P19" s="41">
        <v>61.15</v>
      </c>
      <c r="Q19" s="3">
        <v>55.76</v>
      </c>
      <c r="R19" s="41">
        <v>17.79</v>
      </c>
      <c r="S19" s="3">
        <v>37.97</v>
      </c>
      <c r="T19" s="41">
        <v>607.38</v>
      </c>
      <c r="U19" s="41">
        <v>2892.2224123557594</v>
      </c>
      <c r="V19" s="3">
        <v>3681</v>
      </c>
      <c r="W19" s="3">
        <v>0.78571649344084737</v>
      </c>
    </row>
    <row r="20" spans="1:23" x14ac:dyDescent="0.25">
      <c r="A20" s="94"/>
      <c r="B20" s="94"/>
      <c r="C20" s="4" t="s">
        <v>26</v>
      </c>
      <c r="D20" s="2">
        <v>97138</v>
      </c>
      <c r="E20" s="4">
        <v>156700</v>
      </c>
      <c r="F20" s="3">
        <f t="shared" si="0"/>
        <v>0.61989789406509255</v>
      </c>
      <c r="G20" s="42">
        <v>20.369999999999997</v>
      </c>
      <c r="H20" s="42">
        <v>1.6999999999999997</v>
      </c>
      <c r="I20" s="40">
        <v>22.069999999999997</v>
      </c>
      <c r="J20" s="40">
        <v>7.5</v>
      </c>
      <c r="K20" s="40">
        <v>1.27</v>
      </c>
      <c r="L20" s="40">
        <v>3.87</v>
      </c>
      <c r="M20" s="40">
        <v>0.24000000000000002</v>
      </c>
      <c r="N20" s="41">
        <v>21944.385449904275</v>
      </c>
      <c r="O20" s="41">
        <v>58107.988793873643</v>
      </c>
      <c r="P20" s="41">
        <v>34.93</v>
      </c>
      <c r="Q20" s="3"/>
      <c r="R20" s="41">
        <v>21.939999999999998</v>
      </c>
      <c r="S20" s="3"/>
      <c r="T20" s="41">
        <v>469.42</v>
      </c>
      <c r="U20" s="41">
        <v>2190.5599604563927</v>
      </c>
      <c r="V20" s="3">
        <v>3335</v>
      </c>
      <c r="W20" s="3">
        <v>0.65683956835274149</v>
      </c>
    </row>
    <row r="21" spans="1:23" x14ac:dyDescent="0.25">
      <c r="A21" s="94"/>
      <c r="B21" s="94"/>
      <c r="C21" s="4" t="s">
        <v>27</v>
      </c>
      <c r="D21" s="2">
        <v>36164</v>
      </c>
      <c r="E21" s="4">
        <v>167000</v>
      </c>
      <c r="F21" s="3">
        <f t="shared" si="0"/>
        <v>0.2165508982035928</v>
      </c>
      <c r="G21" s="42"/>
      <c r="H21" s="42"/>
      <c r="I21" s="40">
        <v>31.143000000000001</v>
      </c>
      <c r="J21" s="40">
        <v>9.0640000000000001</v>
      </c>
      <c r="K21" s="40">
        <v>1.0297943000000001</v>
      </c>
      <c r="L21" s="40">
        <v>3.9049958999999999</v>
      </c>
      <c r="M21" s="40">
        <v>1.6962098000000003</v>
      </c>
      <c r="N21" s="41">
        <v>92467.233532934129</v>
      </c>
      <c r="O21" s="41">
        <v>54278.915736526942</v>
      </c>
      <c r="P21" s="41">
        <v>46.122</v>
      </c>
      <c r="Q21" s="3">
        <v>39.518999999999998</v>
      </c>
      <c r="R21" s="41">
        <v>19.427000000000007</v>
      </c>
      <c r="S21" s="3">
        <v>20.091999999999999</v>
      </c>
      <c r="T21" s="41">
        <v>244.14316400000004</v>
      </c>
      <c r="U21" s="41">
        <v>1836.2941551200004</v>
      </c>
      <c r="V21" s="3">
        <v>9717</v>
      </c>
      <c r="W21" s="3">
        <v>0.18897747814345994</v>
      </c>
    </row>
    <row r="22" spans="1:23" x14ac:dyDescent="0.25">
      <c r="A22" s="95"/>
      <c r="B22" s="95"/>
      <c r="C22" s="4" t="s">
        <v>28</v>
      </c>
      <c r="D22" s="2">
        <v>13633</v>
      </c>
      <c r="E22" s="4">
        <v>157900</v>
      </c>
      <c r="F22" s="3">
        <f t="shared" si="0"/>
        <v>8.6339455351488278E-2</v>
      </c>
      <c r="G22" s="42">
        <v>8.4</v>
      </c>
      <c r="H22" s="42">
        <v>0.96</v>
      </c>
      <c r="I22" s="40">
        <f>SUM(G22:H22)</f>
        <v>9.36</v>
      </c>
      <c r="J22" s="40">
        <v>2.77</v>
      </c>
      <c r="K22" s="40">
        <v>0.22</v>
      </c>
      <c r="L22" s="40">
        <v>1.62</v>
      </c>
      <c r="M22" s="40">
        <v>0.16</v>
      </c>
      <c r="N22" s="41">
        <v>91571.626345788463</v>
      </c>
      <c r="O22" s="41">
        <v>22794.824965167827</v>
      </c>
      <c r="P22" s="41">
        <v>38.996099999999998</v>
      </c>
      <c r="Q22" s="3"/>
      <c r="R22" s="41">
        <v>7.2338999999999984</v>
      </c>
      <c r="S22" s="3"/>
      <c r="T22" s="41">
        <v>128.304</v>
      </c>
      <c r="U22" s="41">
        <v>798.24014084199916</v>
      </c>
      <c r="V22" s="3">
        <v>9180</v>
      </c>
      <c r="W22" s="3">
        <v>8.6954263708278773E-2</v>
      </c>
    </row>
    <row r="23" spans="1:23" x14ac:dyDescent="0.25">
      <c r="B23" s="97"/>
      <c r="C23" s="44"/>
      <c r="D23" s="45"/>
      <c r="E23" s="44"/>
      <c r="F23" s="46"/>
      <c r="G23" s="44"/>
      <c r="H23" s="47"/>
      <c r="I23" s="51"/>
      <c r="J23" s="52"/>
      <c r="K23" s="44"/>
      <c r="L23" s="44"/>
      <c r="M23" s="44"/>
      <c r="N23" s="50"/>
      <c r="O23" s="50"/>
      <c r="P23" s="50"/>
      <c r="R23" s="50"/>
      <c r="T23" s="50"/>
      <c r="U23" s="50"/>
    </row>
    <row r="24" spans="1:23" x14ac:dyDescent="0.25">
      <c r="A24" s="93" t="s">
        <v>3</v>
      </c>
      <c r="B24" s="98">
        <v>2005</v>
      </c>
      <c r="C24" s="4" t="s">
        <v>20</v>
      </c>
      <c r="D24" s="2">
        <v>152250</v>
      </c>
      <c r="E24" s="3">
        <v>722300</v>
      </c>
      <c r="F24" s="3">
        <f t="shared" si="0"/>
        <v>0.21078499238543541</v>
      </c>
      <c r="G24" s="39">
        <v>12.357799999999999</v>
      </c>
      <c r="H24" s="39">
        <v>1.7673000000000001</v>
      </c>
      <c r="I24" s="40">
        <f>SUM(G24:H24)</f>
        <v>14.1251</v>
      </c>
      <c r="J24" s="40">
        <v>3.1395</v>
      </c>
      <c r="K24" s="40">
        <v>0.3967</v>
      </c>
      <c r="L24" s="40">
        <v>1.4007000000000001</v>
      </c>
      <c r="M24" s="40">
        <v>0.1048</v>
      </c>
      <c r="N24" s="41">
        <v>189.70649314689186</v>
      </c>
      <c r="O24" s="41">
        <v>4080.7974525820296</v>
      </c>
      <c r="P24" s="41">
        <v>264.94</v>
      </c>
      <c r="Q24" s="3">
        <v>115.83</v>
      </c>
      <c r="R24" s="41">
        <v>1.4300000000000068</v>
      </c>
      <c r="S24" s="3">
        <v>-1.43</v>
      </c>
      <c r="T24" s="41">
        <v>795.3</v>
      </c>
      <c r="U24" s="41">
        <v>441.73234693877549</v>
      </c>
      <c r="V24" s="3">
        <v>543</v>
      </c>
      <c r="W24" s="3">
        <v>0.81350340136054422</v>
      </c>
    </row>
    <row r="25" spans="1:23" x14ac:dyDescent="0.25">
      <c r="A25" s="94"/>
      <c r="B25" s="98"/>
      <c r="C25" s="4" t="s">
        <v>21</v>
      </c>
      <c r="D25" s="2">
        <v>16960</v>
      </c>
      <c r="E25" s="3">
        <v>486000</v>
      </c>
      <c r="F25" s="3">
        <f t="shared" si="0"/>
        <v>3.4897119341563788E-2</v>
      </c>
      <c r="G25" s="39"/>
      <c r="H25" s="39"/>
      <c r="I25" s="40">
        <v>0.21025023723761022</v>
      </c>
      <c r="J25" s="40">
        <v>3.9009762762389766E-2</v>
      </c>
      <c r="K25" s="40">
        <v>7.3418400000000023E-3</v>
      </c>
      <c r="L25" s="40">
        <v>3.7978159999999997E-2</v>
      </c>
      <c r="M25" s="40">
        <v>0</v>
      </c>
      <c r="N25" s="41">
        <v>34286.419753086418</v>
      </c>
      <c r="O25" s="41">
        <v>9130.8661728395073</v>
      </c>
      <c r="P25" s="41">
        <v>80.36</v>
      </c>
      <c r="Q25" s="3">
        <v>16.18</v>
      </c>
      <c r="R25" s="41">
        <v>0</v>
      </c>
      <c r="S25" s="3"/>
      <c r="T25" s="41">
        <v>144.66</v>
      </c>
      <c r="U25" s="41">
        <v>10.907440860215052</v>
      </c>
      <c r="V25" s="3">
        <v>85.1</v>
      </c>
      <c r="W25" s="3">
        <v>0.12817204301075269</v>
      </c>
    </row>
    <row r="26" spans="1:23" x14ac:dyDescent="0.25">
      <c r="A26" s="94"/>
      <c r="B26" s="98"/>
      <c r="C26" s="4" t="s">
        <v>22</v>
      </c>
      <c r="D26" s="2">
        <v>143240</v>
      </c>
      <c r="E26" s="3">
        <v>425800</v>
      </c>
      <c r="F26" s="3">
        <f t="shared" si="0"/>
        <v>0.33640206669798028</v>
      </c>
      <c r="G26" s="42"/>
      <c r="H26" s="42"/>
      <c r="I26" s="40">
        <v>27.415199999999999</v>
      </c>
      <c r="J26" s="40">
        <v>10.6014</v>
      </c>
      <c r="K26" s="40">
        <v>1.2458</v>
      </c>
      <c r="L26" s="40">
        <v>3.6547000000000001</v>
      </c>
      <c r="M26" s="40">
        <v>0.3987</v>
      </c>
      <c r="N26" s="41">
        <v>5281.5124471582903</v>
      </c>
      <c r="O26" s="41">
        <v>14710.189572569281</v>
      </c>
      <c r="P26" s="41">
        <v>139.97200000000001</v>
      </c>
      <c r="Q26" s="3">
        <v>3.8650000000000002</v>
      </c>
      <c r="R26" s="41">
        <v>1.4650000000000034</v>
      </c>
      <c r="S26" s="3"/>
      <c r="T26" s="41">
        <v>701.43499999999995</v>
      </c>
      <c r="U26" s="41">
        <v>1777.1424392190711</v>
      </c>
      <c r="V26" s="3">
        <v>2545</v>
      </c>
      <c r="W26" s="3">
        <v>0.69828779537095131</v>
      </c>
    </row>
    <row r="27" spans="1:23" x14ac:dyDescent="0.25">
      <c r="A27" s="94"/>
      <c r="B27" s="98"/>
      <c r="C27" s="4" t="s">
        <v>23</v>
      </c>
      <c r="D27" s="2">
        <v>51393</v>
      </c>
      <c r="E27" s="4">
        <v>66400</v>
      </c>
      <c r="F27" s="3">
        <f t="shared" si="0"/>
        <v>0.77399096385542165</v>
      </c>
      <c r="G27" s="3">
        <v>65.809999999999988</v>
      </c>
      <c r="H27" s="3">
        <v>6.87</v>
      </c>
      <c r="I27" s="43">
        <v>72.679999999999993</v>
      </c>
      <c r="J27" s="43">
        <v>5.46</v>
      </c>
      <c r="K27" s="43">
        <v>0.33</v>
      </c>
      <c r="L27" s="43">
        <v>1.22</v>
      </c>
      <c r="M27" s="43">
        <v>0.62</v>
      </c>
      <c r="N27" s="41">
        <v>45123.673192771079</v>
      </c>
      <c r="O27" s="41">
        <v>27722.034352409639</v>
      </c>
      <c r="P27" s="41">
        <v>6.875</v>
      </c>
      <c r="Q27" s="3">
        <v>24.172000000000001</v>
      </c>
      <c r="R27" s="41">
        <v>1.6560000000000006</v>
      </c>
      <c r="S27" s="3">
        <v>22.515999999999998</v>
      </c>
      <c r="T27" s="41">
        <v>102.96899999999999</v>
      </c>
      <c r="U27" s="41">
        <v>595.88401197604776</v>
      </c>
      <c r="V27" s="3">
        <v>596</v>
      </c>
      <c r="W27" s="3">
        <v>0.99980538922155671</v>
      </c>
    </row>
    <row r="28" spans="1:23" x14ac:dyDescent="0.25">
      <c r="A28" s="94"/>
      <c r="B28" s="98"/>
      <c r="C28" s="4" t="s">
        <v>24</v>
      </c>
      <c r="D28" s="2">
        <v>150962</v>
      </c>
      <c r="E28" s="3">
        <v>1183000</v>
      </c>
      <c r="F28" s="3">
        <f t="shared" si="0"/>
        <v>0.12760946745562129</v>
      </c>
      <c r="G28" s="39"/>
      <c r="H28" s="39"/>
      <c r="I28" s="40">
        <v>79.430000000000007</v>
      </c>
      <c r="J28" s="40">
        <v>6.8199999999999994</v>
      </c>
      <c r="K28" s="40">
        <v>0.91</v>
      </c>
      <c r="L28" s="40">
        <v>2.1999999999999997</v>
      </c>
      <c r="M28" s="40">
        <v>0.41000000000000003</v>
      </c>
      <c r="N28" s="41">
        <v>10540.542011834319</v>
      </c>
      <c r="O28" s="41">
        <v>7176.8840591715971</v>
      </c>
      <c r="P28" s="41">
        <v>8.16</v>
      </c>
      <c r="Q28" s="3"/>
      <c r="R28" s="41">
        <v>23.49</v>
      </c>
      <c r="S28" s="3"/>
      <c r="T28" s="41">
        <v>234.3</v>
      </c>
      <c r="U28" s="41">
        <v>965.29591397849458</v>
      </c>
      <c r="V28" s="3">
        <v>2403</v>
      </c>
      <c r="W28" s="3">
        <v>0.40170450019912385</v>
      </c>
    </row>
    <row r="29" spans="1:23" x14ac:dyDescent="0.25">
      <c r="A29" s="94"/>
      <c r="B29" s="98"/>
      <c r="C29" s="4" t="s">
        <v>25</v>
      </c>
      <c r="D29" s="2">
        <v>133300.52000000002</v>
      </c>
      <c r="E29" s="4">
        <v>205600</v>
      </c>
      <c r="F29" s="3">
        <f t="shared" si="0"/>
        <v>0.64834883268482502</v>
      </c>
      <c r="G29" s="42">
        <v>29.96</v>
      </c>
      <c r="H29" s="42">
        <v>4.75</v>
      </c>
      <c r="I29" s="40">
        <f>SUM(G29:H29)</f>
        <v>34.71</v>
      </c>
      <c r="J29" s="40">
        <v>10.85</v>
      </c>
      <c r="K29" s="40">
        <v>1.79</v>
      </c>
      <c r="L29" s="40">
        <v>6.98</v>
      </c>
      <c r="M29" s="40">
        <v>0.65</v>
      </c>
      <c r="N29" s="41">
        <v>47718.47408560312</v>
      </c>
      <c r="O29" s="41">
        <v>54051.545483268492</v>
      </c>
      <c r="P29" s="41">
        <v>83.75</v>
      </c>
      <c r="Q29" s="3">
        <v>63</v>
      </c>
      <c r="R29" s="41">
        <v>19.950000000000003</v>
      </c>
      <c r="S29" s="3">
        <v>43.04</v>
      </c>
      <c r="T29" s="41">
        <v>647.74</v>
      </c>
      <c r="U29" s="41">
        <v>2899.2938607967267</v>
      </c>
      <c r="V29" s="3">
        <v>3690</v>
      </c>
      <c r="W29" s="3">
        <v>0.78571649344084737</v>
      </c>
    </row>
    <row r="30" spans="1:23" x14ac:dyDescent="0.25">
      <c r="A30" s="94"/>
      <c r="B30" s="98"/>
      <c r="C30" s="4" t="s">
        <v>26</v>
      </c>
      <c r="D30" s="2">
        <v>97138</v>
      </c>
      <c r="E30" s="4">
        <v>156700</v>
      </c>
      <c r="F30" s="3">
        <f t="shared" si="0"/>
        <v>0.61989789406509255</v>
      </c>
      <c r="G30" s="42">
        <v>21.18</v>
      </c>
      <c r="H30" s="42">
        <v>1.6700000000000002</v>
      </c>
      <c r="I30" s="40">
        <v>22.85</v>
      </c>
      <c r="J30" s="40">
        <v>8.9400000000000013</v>
      </c>
      <c r="K30" s="40">
        <v>1.33</v>
      </c>
      <c r="L30" s="40">
        <v>3.89</v>
      </c>
      <c r="M30" s="40">
        <v>0.27</v>
      </c>
      <c r="N30" s="41">
        <v>23246.171027440971</v>
      </c>
      <c r="O30" s="41">
        <v>58949.810134014042</v>
      </c>
      <c r="P30" s="41">
        <v>30.29</v>
      </c>
      <c r="Q30" s="3"/>
      <c r="R30" s="41">
        <v>21.439999999999998</v>
      </c>
      <c r="S30" s="3"/>
      <c r="T30" s="41">
        <v>453.17</v>
      </c>
      <c r="U30" s="41">
        <v>2203.6967518234478</v>
      </c>
      <c r="V30" s="3">
        <v>3355</v>
      </c>
      <c r="W30" s="3">
        <v>0.65683956835274149</v>
      </c>
    </row>
    <row r="31" spans="1:23" x14ac:dyDescent="0.25">
      <c r="A31" s="94"/>
      <c r="B31" s="98"/>
      <c r="C31" s="4" t="s">
        <v>27</v>
      </c>
      <c r="D31" s="2">
        <v>36164</v>
      </c>
      <c r="E31" s="4">
        <v>167000</v>
      </c>
      <c r="F31" s="3">
        <f t="shared" si="0"/>
        <v>0.2165508982035928</v>
      </c>
      <c r="G31" s="42"/>
      <c r="H31" s="42"/>
      <c r="I31" s="40">
        <v>30.361000000000001</v>
      </c>
      <c r="J31" s="40">
        <v>10.773</v>
      </c>
      <c r="K31" s="40">
        <v>1.0148854999999999</v>
      </c>
      <c r="L31" s="40">
        <v>3.8484615</v>
      </c>
      <c r="M31" s="40">
        <v>1.6716530000000003</v>
      </c>
      <c r="N31" s="41">
        <v>111913.50419161675</v>
      </c>
      <c r="O31" s="41">
        <v>56858.470035928141</v>
      </c>
      <c r="P31" s="41">
        <v>52.503999999999998</v>
      </c>
      <c r="Q31" s="3">
        <v>36.020000000000003</v>
      </c>
      <c r="R31" s="41">
        <v>19.889000000000003</v>
      </c>
      <c r="S31" s="3">
        <v>16.131</v>
      </c>
      <c r="T31" s="41">
        <v>253.25649200000001</v>
      </c>
      <c r="U31" s="41">
        <v>1772.6087449856543</v>
      </c>
      <c r="V31" s="3">
        <v>9380</v>
      </c>
      <c r="W31" s="3">
        <v>0.18897747814345994</v>
      </c>
    </row>
    <row r="32" spans="1:23" x14ac:dyDescent="0.25">
      <c r="A32" s="95"/>
      <c r="B32" s="98"/>
      <c r="C32" s="4" t="s">
        <v>28</v>
      </c>
      <c r="D32" s="2">
        <v>13633</v>
      </c>
      <c r="E32" s="4">
        <v>157900</v>
      </c>
      <c r="F32" s="3">
        <f t="shared" si="0"/>
        <v>8.6339455351488278E-2</v>
      </c>
      <c r="G32" s="42">
        <v>8.85</v>
      </c>
      <c r="H32" s="42">
        <v>1.1200000000000001</v>
      </c>
      <c r="I32" s="40">
        <f>SUM(G32:H32)</f>
        <v>9.9699999999999989</v>
      </c>
      <c r="J32" s="40">
        <v>1.36</v>
      </c>
      <c r="K32" s="40">
        <v>0.22</v>
      </c>
      <c r="L32" s="40">
        <v>1.43</v>
      </c>
      <c r="M32" s="40">
        <v>0.18</v>
      </c>
      <c r="N32" s="41">
        <v>94999.302723242552</v>
      </c>
      <c r="O32" s="41">
        <v>24207.597473084228</v>
      </c>
      <c r="P32" s="41">
        <v>28.79</v>
      </c>
      <c r="Q32" s="3"/>
      <c r="R32" s="41">
        <v>7.8299999999999983</v>
      </c>
      <c r="S32" s="3">
        <v>-7.83</v>
      </c>
      <c r="T32" s="41">
        <v>114.36</v>
      </c>
      <c r="U32" s="41">
        <v>804.15303077416206</v>
      </c>
      <c r="V32" s="3">
        <v>9248</v>
      </c>
      <c r="W32" s="3">
        <v>8.6954263708278773E-2</v>
      </c>
    </row>
    <row r="33" spans="1:23" x14ac:dyDescent="0.25">
      <c r="B33" s="97"/>
      <c r="C33" s="44"/>
      <c r="D33" s="45"/>
      <c r="E33" s="44"/>
      <c r="F33" s="46"/>
      <c r="G33" s="44"/>
      <c r="H33" s="44"/>
      <c r="I33" s="44"/>
      <c r="J33" s="44"/>
      <c r="K33" s="44"/>
      <c r="L33" s="44"/>
      <c r="M33" s="44"/>
      <c r="N33" s="50"/>
      <c r="O33" s="50"/>
      <c r="P33" s="50"/>
      <c r="R33" s="50"/>
      <c r="T33" s="50"/>
      <c r="U33" s="50"/>
    </row>
    <row r="34" spans="1:23" x14ac:dyDescent="0.25">
      <c r="A34" s="93" t="s">
        <v>3</v>
      </c>
      <c r="B34" s="98">
        <v>2006</v>
      </c>
      <c r="C34" s="4" t="s">
        <v>20</v>
      </c>
      <c r="D34" s="2">
        <v>152250</v>
      </c>
      <c r="E34" s="3">
        <v>722300</v>
      </c>
      <c r="F34" s="3">
        <f t="shared" si="0"/>
        <v>0.21078499238543541</v>
      </c>
      <c r="G34" s="39">
        <v>12.7559</v>
      </c>
      <c r="H34" s="39">
        <v>1.8648</v>
      </c>
      <c r="I34" s="40">
        <f>SUM(G34:H34)</f>
        <v>14.620700000000001</v>
      </c>
      <c r="J34" s="40">
        <v>3.3416000000000001</v>
      </c>
      <c r="K34" s="40">
        <v>0.42930000000000001</v>
      </c>
      <c r="L34" s="40">
        <v>1.4126000000000001</v>
      </c>
      <c r="M34" s="40">
        <v>0.16289999999999999</v>
      </c>
      <c r="N34" s="41">
        <v>421.5699847708708</v>
      </c>
      <c r="O34" s="41">
        <v>3314.8047902533572</v>
      </c>
      <c r="P34" s="41">
        <v>174.74</v>
      </c>
      <c r="Q34" s="3">
        <v>84.49</v>
      </c>
      <c r="R34" s="41">
        <v>1.2299999999999898</v>
      </c>
      <c r="S34" s="3">
        <v>-1.23</v>
      </c>
      <c r="T34" s="41">
        <v>631.6</v>
      </c>
      <c r="U34" s="41">
        <v>445.79986394557824</v>
      </c>
      <c r="V34" s="3">
        <v>548</v>
      </c>
      <c r="W34" s="3">
        <v>0.81350340136054422</v>
      </c>
    </row>
    <row r="35" spans="1:23" x14ac:dyDescent="0.25">
      <c r="A35" s="94"/>
      <c r="B35" s="98"/>
      <c r="C35" s="4" t="s">
        <v>21</v>
      </c>
      <c r="D35" s="2">
        <v>16960</v>
      </c>
      <c r="E35" s="3">
        <v>486000</v>
      </c>
      <c r="F35" s="3">
        <f t="shared" si="0"/>
        <v>3.4897119341563788E-2</v>
      </c>
      <c r="G35" s="39"/>
      <c r="H35" s="39"/>
      <c r="I35" s="40">
        <v>0.18592376350763881</v>
      </c>
      <c r="J35" s="40">
        <v>3.4496236492361193E-2</v>
      </c>
      <c r="K35" s="40">
        <v>7.0081199999999996E-3</v>
      </c>
      <c r="L35" s="40">
        <v>3.6251879999999993E-2</v>
      </c>
      <c r="M35" s="40">
        <v>0</v>
      </c>
      <c r="N35" s="41">
        <v>37779.621399176955</v>
      </c>
      <c r="O35" s="41">
        <v>8182.7812345679022</v>
      </c>
      <c r="P35" s="41">
        <v>59.14</v>
      </c>
      <c r="Q35" s="3">
        <v>17.11</v>
      </c>
      <c r="R35" s="41">
        <v>0</v>
      </c>
      <c r="S35" s="3"/>
      <c r="T35" s="41">
        <v>126.23</v>
      </c>
      <c r="U35" s="41">
        <v>10.99716129032258</v>
      </c>
      <c r="V35" s="3">
        <v>85.8</v>
      </c>
      <c r="W35" s="3">
        <v>0.12817204301075269</v>
      </c>
    </row>
    <row r="36" spans="1:23" x14ac:dyDescent="0.25">
      <c r="A36" s="94"/>
      <c r="B36" s="98"/>
      <c r="C36" s="4" t="s">
        <v>22</v>
      </c>
      <c r="D36" s="2">
        <v>143240</v>
      </c>
      <c r="E36" s="3">
        <v>425800</v>
      </c>
      <c r="F36" s="3">
        <f t="shared" si="0"/>
        <v>0.33640206669798028</v>
      </c>
      <c r="G36" s="42"/>
      <c r="H36" s="42"/>
      <c r="I36" s="40">
        <v>27.157900000000001</v>
      </c>
      <c r="J36" s="40">
        <v>11.2356</v>
      </c>
      <c r="K36" s="40">
        <v>1.2895000000000001</v>
      </c>
      <c r="L36" s="40">
        <v>3.8506</v>
      </c>
      <c r="M36" s="40">
        <v>0.39140000000000003</v>
      </c>
      <c r="N36" s="41">
        <v>5550.6341005166751</v>
      </c>
      <c r="O36" s="41">
        <v>14214.332926256458</v>
      </c>
      <c r="P36" s="41">
        <v>92.186000000000007</v>
      </c>
      <c r="Q36" s="3">
        <v>3.9769999999999999</v>
      </c>
      <c r="R36" s="41">
        <v>3.9769999999999897</v>
      </c>
      <c r="S36" s="3"/>
      <c r="T36" s="41">
        <v>625.28499999999997</v>
      </c>
      <c r="U36" s="41">
        <v>1778.5390148098129</v>
      </c>
      <c r="V36" s="3">
        <v>2547</v>
      </c>
      <c r="W36" s="3">
        <v>0.69828779537095131</v>
      </c>
    </row>
    <row r="37" spans="1:23" x14ac:dyDescent="0.25">
      <c r="A37" s="94"/>
      <c r="B37" s="98"/>
      <c r="C37" s="4" t="s">
        <v>23</v>
      </c>
      <c r="D37" s="2">
        <v>51393</v>
      </c>
      <c r="E37" s="4">
        <v>66400</v>
      </c>
      <c r="F37" s="3">
        <f t="shared" si="0"/>
        <v>0.77399096385542165</v>
      </c>
      <c r="G37" s="3">
        <v>63.73</v>
      </c>
      <c r="H37" s="3">
        <v>8.0399999999999991</v>
      </c>
      <c r="I37" s="43">
        <v>71.77</v>
      </c>
      <c r="J37" s="43">
        <v>5.2</v>
      </c>
      <c r="K37" s="43">
        <v>0.52</v>
      </c>
      <c r="L37" s="43">
        <v>1.63</v>
      </c>
      <c r="M37" s="43">
        <v>0.69</v>
      </c>
      <c r="N37" s="41">
        <v>52166.990963855416</v>
      </c>
      <c r="O37" s="41">
        <v>19563.395602409637</v>
      </c>
      <c r="P37" s="41">
        <v>8.2309999999999999</v>
      </c>
      <c r="Q37" s="3">
        <v>24.86</v>
      </c>
      <c r="R37" s="41">
        <v>2.3740000000000006</v>
      </c>
      <c r="S37" s="3">
        <v>22.486000000000001</v>
      </c>
      <c r="T37" s="41">
        <v>128.74199999999999</v>
      </c>
      <c r="U37" s="41">
        <v>603.88245508982027</v>
      </c>
      <c r="V37" s="3">
        <v>604</v>
      </c>
      <c r="W37" s="3">
        <v>0.99980538922155671</v>
      </c>
    </row>
    <row r="38" spans="1:23" x14ac:dyDescent="0.25">
      <c r="A38" s="94"/>
      <c r="B38" s="98"/>
      <c r="C38" s="4" t="s">
        <v>24</v>
      </c>
      <c r="D38" s="2">
        <v>150962</v>
      </c>
      <c r="E38" s="3">
        <v>1183000</v>
      </c>
      <c r="F38" s="3">
        <f t="shared" si="0"/>
        <v>0.12760946745562129</v>
      </c>
      <c r="G38" s="39"/>
      <c r="H38" s="39"/>
      <c r="I38" s="40">
        <v>77.38</v>
      </c>
      <c r="J38" s="40">
        <v>8.9600000000000009</v>
      </c>
      <c r="K38" s="40">
        <v>0.88</v>
      </c>
      <c r="L38" s="40">
        <v>2.23</v>
      </c>
      <c r="M38" s="40">
        <v>0.38</v>
      </c>
      <c r="N38" s="41">
        <v>11038.218934911241</v>
      </c>
      <c r="O38" s="41">
        <v>7031.5368757396445</v>
      </c>
      <c r="P38" s="41">
        <v>13.87</v>
      </c>
      <c r="Q38" s="3"/>
      <c r="R38" s="41">
        <v>28.39</v>
      </c>
      <c r="S38" s="3"/>
      <c r="T38" s="41">
        <v>316.08</v>
      </c>
      <c r="U38" s="41">
        <v>970.11636798088409</v>
      </c>
      <c r="V38" s="3">
        <v>2415</v>
      </c>
      <c r="W38" s="3">
        <v>0.40170450019912385</v>
      </c>
    </row>
    <row r="39" spans="1:23" x14ac:dyDescent="0.25">
      <c r="A39" s="94"/>
      <c r="B39" s="98"/>
      <c r="C39" s="4" t="s">
        <v>25</v>
      </c>
      <c r="D39" s="2">
        <v>133300.52000000002</v>
      </c>
      <c r="E39" s="4">
        <v>205600</v>
      </c>
      <c r="F39" s="3">
        <f t="shared" si="0"/>
        <v>0.64834883268482502</v>
      </c>
      <c r="G39" s="42">
        <v>33.4</v>
      </c>
      <c r="H39" s="42">
        <v>5.27</v>
      </c>
      <c r="I39" s="40">
        <f>SUM(G39:H39)</f>
        <v>38.67</v>
      </c>
      <c r="J39" s="40">
        <v>11.45</v>
      </c>
      <c r="K39" s="40">
        <v>1.86</v>
      </c>
      <c r="L39" s="40">
        <v>7.07</v>
      </c>
      <c r="M39" s="40">
        <v>0.71</v>
      </c>
      <c r="N39" s="41">
        <v>51543.732198443591</v>
      </c>
      <c r="O39" s="41">
        <v>53296.867442023358</v>
      </c>
      <c r="P39" s="41">
        <v>63.64</v>
      </c>
      <c r="Q39" s="3">
        <v>56.33</v>
      </c>
      <c r="R39" s="41">
        <v>17.849999999999994</v>
      </c>
      <c r="S39" s="3">
        <v>38.46</v>
      </c>
      <c r="T39" s="41">
        <v>660.6</v>
      </c>
      <c r="U39" s="41">
        <v>2906.3653092376944</v>
      </c>
      <c r="V39" s="3">
        <v>3699</v>
      </c>
      <c r="W39" s="3">
        <v>0.78571649344084737</v>
      </c>
    </row>
    <row r="40" spans="1:23" x14ac:dyDescent="0.25">
      <c r="A40" s="94"/>
      <c r="B40" s="98"/>
      <c r="C40" s="4" t="s">
        <v>26</v>
      </c>
      <c r="D40" s="2">
        <v>97138</v>
      </c>
      <c r="E40" s="4">
        <v>156700</v>
      </c>
      <c r="F40" s="3">
        <f t="shared" si="0"/>
        <v>0.61989789406509255</v>
      </c>
      <c r="G40" s="42">
        <v>22.61</v>
      </c>
      <c r="H40" s="42">
        <v>1.8</v>
      </c>
      <c r="I40" s="40">
        <v>24.41</v>
      </c>
      <c r="J40" s="40">
        <v>9.379999999999999</v>
      </c>
      <c r="K40" s="40">
        <v>1.49</v>
      </c>
      <c r="L40" s="40">
        <v>4.8600000000000003</v>
      </c>
      <c r="M40" s="40">
        <v>0.28000000000000003</v>
      </c>
      <c r="N40" s="41">
        <v>27027.548181238035</v>
      </c>
      <c r="O40" s="41">
        <v>55258.938072750483</v>
      </c>
      <c r="P40" s="41">
        <v>32.229999999999997</v>
      </c>
      <c r="Q40" s="3"/>
      <c r="R40" s="41">
        <v>22.220000000000006</v>
      </c>
      <c r="S40" s="3"/>
      <c r="T40" s="41">
        <v>467.63</v>
      </c>
      <c r="U40" s="41">
        <v>2216.8335431905025</v>
      </c>
      <c r="V40" s="3">
        <v>3375</v>
      </c>
      <c r="W40" s="3">
        <v>0.65683956835274149</v>
      </c>
    </row>
    <row r="41" spans="1:23" x14ac:dyDescent="0.25">
      <c r="A41" s="94"/>
      <c r="B41" s="98"/>
      <c r="C41" s="4" t="s">
        <v>27</v>
      </c>
      <c r="D41" s="2">
        <v>36164</v>
      </c>
      <c r="E41" s="4">
        <v>167000</v>
      </c>
      <c r="F41" s="3">
        <f t="shared" si="0"/>
        <v>0.2165508982035928</v>
      </c>
      <c r="G41" s="42"/>
      <c r="H41" s="42"/>
      <c r="I41" s="40">
        <v>34.911999999999999</v>
      </c>
      <c r="J41" s="40">
        <v>11.755000000000001</v>
      </c>
      <c r="K41" s="40">
        <v>1.0287071999999999</v>
      </c>
      <c r="L41" s="40">
        <v>3.9008735999999997</v>
      </c>
      <c r="M41" s="40">
        <v>1.6944192</v>
      </c>
      <c r="N41" s="41">
        <v>133027.21676646706</v>
      </c>
      <c r="O41" s="41">
        <v>58227.937916167662</v>
      </c>
      <c r="P41" s="41">
        <v>35.808999999999997</v>
      </c>
      <c r="Q41" s="3">
        <v>35.064</v>
      </c>
      <c r="R41" s="41">
        <v>16.759</v>
      </c>
      <c r="S41" s="3">
        <v>18.305</v>
      </c>
      <c r="T41" s="41">
        <v>220.45574400000004</v>
      </c>
      <c r="U41" s="41">
        <v>1774.8764747233758</v>
      </c>
      <c r="V41" s="3">
        <v>9392</v>
      </c>
      <c r="W41" s="3">
        <v>0.18897747814345994</v>
      </c>
    </row>
    <row r="42" spans="1:23" x14ac:dyDescent="0.25">
      <c r="A42" s="95"/>
      <c r="B42" s="98"/>
      <c r="C42" s="4" t="s">
        <v>28</v>
      </c>
      <c r="D42" s="2">
        <v>13633</v>
      </c>
      <c r="E42" s="4">
        <v>157900</v>
      </c>
      <c r="F42" s="3">
        <f t="shared" si="0"/>
        <v>8.6339455351488278E-2</v>
      </c>
      <c r="G42" s="42">
        <v>9.85</v>
      </c>
      <c r="H42" s="42">
        <v>1.25</v>
      </c>
      <c r="I42" s="40">
        <f>SUM(G42:H42)</f>
        <v>11.1</v>
      </c>
      <c r="J42" s="40">
        <v>1.58</v>
      </c>
      <c r="K42" s="40">
        <v>0.24</v>
      </c>
      <c r="L42" s="40">
        <v>1.42</v>
      </c>
      <c r="M42" s="40">
        <v>0.2</v>
      </c>
      <c r="N42" s="41">
        <v>99290.373654211522</v>
      </c>
      <c r="O42" s="41">
        <v>25885.604787840402</v>
      </c>
      <c r="P42" s="41">
        <v>10.65</v>
      </c>
      <c r="Q42" s="3"/>
      <c r="R42" s="41">
        <v>6.8699999999999992</v>
      </c>
      <c r="S42" s="3"/>
      <c r="T42" s="41">
        <v>81.97</v>
      </c>
      <c r="U42" s="41">
        <v>809.45724086036705</v>
      </c>
      <c r="V42" s="3">
        <v>9309</v>
      </c>
      <c r="W42" s="3">
        <v>8.6954263708278773E-2</v>
      </c>
    </row>
    <row r="43" spans="1:23" x14ac:dyDescent="0.25">
      <c r="B43" s="97"/>
      <c r="C43" s="44"/>
      <c r="D43" s="45"/>
      <c r="E43" s="44"/>
      <c r="F43" s="46"/>
      <c r="G43" s="44"/>
      <c r="H43" s="44"/>
      <c r="I43" s="44"/>
      <c r="J43" s="44"/>
      <c r="K43" s="44"/>
      <c r="L43" s="44"/>
      <c r="M43" s="44"/>
      <c r="N43" s="50"/>
      <c r="O43" s="50"/>
      <c r="P43" s="50"/>
      <c r="R43" s="50">
        <v>0</v>
      </c>
      <c r="T43" s="50"/>
      <c r="U43" s="50"/>
    </row>
    <row r="44" spans="1:23" x14ac:dyDescent="0.25">
      <c r="A44" s="93" t="s">
        <v>3</v>
      </c>
      <c r="B44" s="98">
        <v>2007</v>
      </c>
      <c r="C44" s="4" t="s">
        <v>20</v>
      </c>
      <c r="D44" s="2">
        <v>152250</v>
      </c>
      <c r="E44" s="3">
        <v>722300</v>
      </c>
      <c r="F44" s="3">
        <f t="shared" si="0"/>
        <v>0.21078499238543541</v>
      </c>
      <c r="G44" s="39">
        <v>12.037599999999999</v>
      </c>
      <c r="H44" s="39">
        <v>1.8394999999999999</v>
      </c>
      <c r="I44" s="40">
        <f>SUM(G44:H44)</f>
        <v>13.877099999999999</v>
      </c>
      <c r="J44" s="40">
        <v>4.0730000000000004</v>
      </c>
      <c r="K44" s="40">
        <v>0.50049999999999994</v>
      </c>
      <c r="L44" s="40">
        <v>1.4165000000000001</v>
      </c>
      <c r="M44" s="40">
        <v>0.18060000000000001</v>
      </c>
      <c r="N44" s="41">
        <v>316.17748857815309</v>
      </c>
      <c r="O44" s="41">
        <v>4204.842312750935</v>
      </c>
      <c r="P44" s="41">
        <v>213.48</v>
      </c>
      <c r="Q44" s="3">
        <v>89.17</v>
      </c>
      <c r="R44" s="41">
        <v>1.3900000000000148</v>
      </c>
      <c r="S44" s="3">
        <v>-1.39</v>
      </c>
      <c r="T44" s="41">
        <v>772.9</v>
      </c>
      <c r="U44" s="41">
        <v>449.05387755102043</v>
      </c>
      <c r="V44" s="3">
        <v>552</v>
      </c>
      <c r="W44" s="3">
        <v>0.81350340136054422</v>
      </c>
    </row>
    <row r="45" spans="1:23" x14ac:dyDescent="0.25">
      <c r="A45" s="94"/>
      <c r="B45" s="98"/>
      <c r="C45" s="4" t="s">
        <v>21</v>
      </c>
      <c r="D45" s="2">
        <v>16960</v>
      </c>
      <c r="E45" s="3">
        <v>486000</v>
      </c>
      <c r="F45" s="3">
        <f t="shared" si="0"/>
        <v>3.4897119341563788E-2</v>
      </c>
      <c r="G45" s="39"/>
      <c r="H45" s="39"/>
      <c r="I45" s="40">
        <v>0.19287418457334493</v>
      </c>
      <c r="J45" s="40">
        <v>3.5785815426655071E-2</v>
      </c>
      <c r="K45" s="40">
        <v>6.6744000000000039E-3</v>
      </c>
      <c r="L45" s="40">
        <v>3.4525599999999997E-2</v>
      </c>
      <c r="M45" s="40">
        <v>0</v>
      </c>
      <c r="N45" s="41">
        <v>31773.827160493831</v>
      </c>
      <c r="O45" s="41">
        <v>8827.6374255144037</v>
      </c>
      <c r="P45" s="41">
        <v>67.473240000000004</v>
      </c>
      <c r="Q45" s="3">
        <v>19.372240000000001</v>
      </c>
      <c r="R45" s="41">
        <v>0</v>
      </c>
      <c r="S45" s="3"/>
      <c r="T45" s="41">
        <v>123.86</v>
      </c>
      <c r="U45" s="41">
        <v>11.202236559139786</v>
      </c>
      <c r="V45" s="3">
        <v>87.4</v>
      </c>
      <c r="W45" s="3">
        <v>0.12817204301075269</v>
      </c>
    </row>
    <row r="46" spans="1:23" x14ac:dyDescent="0.25">
      <c r="A46" s="94"/>
      <c r="B46" s="98"/>
      <c r="C46" s="4" t="s">
        <v>22</v>
      </c>
      <c r="D46" s="2">
        <v>143240</v>
      </c>
      <c r="E46" s="3">
        <v>425800</v>
      </c>
      <c r="F46" s="3">
        <f t="shared" si="0"/>
        <v>0.33640206669798028</v>
      </c>
      <c r="G46" s="42">
        <v>26.3432</v>
      </c>
      <c r="H46" s="42">
        <v>1.0077</v>
      </c>
      <c r="I46" s="40">
        <f>SUM(G46:H46)</f>
        <v>27.350899999999999</v>
      </c>
      <c r="J46" s="40">
        <v>9.7670999999999992</v>
      </c>
      <c r="K46" s="40">
        <v>1.3544</v>
      </c>
      <c r="L46" s="40">
        <v>3.7810000000000001</v>
      </c>
      <c r="M46" s="40">
        <v>1.1279999999999999</v>
      </c>
      <c r="N46" s="41">
        <v>3834.9835603569745</v>
      </c>
      <c r="O46" s="41">
        <v>14914.476455612963</v>
      </c>
      <c r="P46" s="41">
        <v>110.87</v>
      </c>
      <c r="Q46" s="3">
        <v>3.879</v>
      </c>
      <c r="R46" s="41">
        <v>3.8789999999999907</v>
      </c>
      <c r="S46" s="3"/>
      <c r="T46" s="41">
        <v>731.13199999999995</v>
      </c>
      <c r="U46" s="41">
        <v>1779.2373026051839</v>
      </c>
      <c r="V46" s="3">
        <v>2548</v>
      </c>
      <c r="W46" s="3">
        <v>0.69828779537095131</v>
      </c>
    </row>
    <row r="47" spans="1:23" x14ac:dyDescent="0.25">
      <c r="A47" s="94"/>
      <c r="B47" s="98"/>
      <c r="C47" s="4" t="s">
        <v>23</v>
      </c>
      <c r="D47" s="2">
        <v>51393</v>
      </c>
      <c r="E47" s="4">
        <v>66400</v>
      </c>
      <c r="F47" s="3">
        <f t="shared" si="0"/>
        <v>0.77399096385542165</v>
      </c>
      <c r="G47" s="3">
        <v>60.220000000000006</v>
      </c>
      <c r="H47" s="3">
        <v>7.35</v>
      </c>
      <c r="I47" s="43">
        <v>67.570000000000007</v>
      </c>
      <c r="J47" s="43">
        <v>4.9600000000000009</v>
      </c>
      <c r="K47" s="43">
        <v>0.54</v>
      </c>
      <c r="L47" s="43">
        <v>1.28</v>
      </c>
      <c r="M47" s="43">
        <v>0.9</v>
      </c>
      <c r="N47" s="41">
        <v>54488.963855421687</v>
      </c>
      <c r="O47" s="41">
        <v>28802.819854518068</v>
      </c>
      <c r="P47" s="41">
        <v>7.7679999999999998</v>
      </c>
      <c r="Q47" s="3">
        <v>23.323</v>
      </c>
      <c r="R47" s="41">
        <v>2.6179999999999994</v>
      </c>
      <c r="S47" s="3">
        <v>20.704999999999998</v>
      </c>
      <c r="T47" s="41">
        <v>154.93899999999999</v>
      </c>
      <c r="U47" s="41">
        <v>609.88128742514959</v>
      </c>
      <c r="V47" s="3">
        <v>610</v>
      </c>
      <c r="W47" s="3">
        <v>0.99980538922155671</v>
      </c>
    </row>
    <row r="48" spans="1:23" x14ac:dyDescent="0.25">
      <c r="A48" s="94"/>
      <c r="B48" s="98"/>
      <c r="C48" s="4" t="s">
        <v>24</v>
      </c>
      <c r="D48" s="2">
        <v>150962</v>
      </c>
      <c r="E48" s="3">
        <v>1183000</v>
      </c>
      <c r="F48" s="3">
        <f t="shared" si="0"/>
        <v>0.12760946745562129</v>
      </c>
      <c r="G48" s="39"/>
      <c r="H48" s="39"/>
      <c r="I48" s="40">
        <v>76.56</v>
      </c>
      <c r="J48" s="40">
        <v>9.6</v>
      </c>
      <c r="K48" s="40">
        <v>0.96000000000000008</v>
      </c>
      <c r="L48" s="40">
        <v>2.25</v>
      </c>
      <c r="M48" s="40">
        <v>0.32</v>
      </c>
      <c r="N48" s="41">
        <v>11944.246153846154</v>
      </c>
      <c r="O48" s="41">
        <v>7708.2792318343199</v>
      </c>
      <c r="P48" s="41">
        <v>17.760000000000002</v>
      </c>
      <c r="Q48" s="3"/>
      <c r="R48" s="41">
        <v>35.03</v>
      </c>
      <c r="S48" s="3"/>
      <c r="T48" s="41">
        <v>433.01</v>
      </c>
      <c r="U48" s="41">
        <v>975.74023098367184</v>
      </c>
      <c r="V48" s="3">
        <v>2429</v>
      </c>
      <c r="W48" s="3">
        <v>0.40170450019912385</v>
      </c>
    </row>
    <row r="49" spans="1:23" x14ac:dyDescent="0.25">
      <c r="A49" s="94"/>
      <c r="B49" s="98"/>
      <c r="C49" s="4" t="s">
        <v>25</v>
      </c>
      <c r="D49" s="2">
        <v>133300.52000000002</v>
      </c>
      <c r="E49" s="4">
        <v>205600</v>
      </c>
      <c r="F49" s="3">
        <f t="shared" si="0"/>
        <v>0.64834883268482502</v>
      </c>
      <c r="G49" s="42">
        <f>26.3+5.57</f>
        <v>31.87</v>
      </c>
      <c r="H49" s="42">
        <f>4.31+0.78</f>
        <v>5.09</v>
      </c>
      <c r="I49" s="40">
        <f>SUM(G49:H49)</f>
        <v>36.96</v>
      </c>
      <c r="J49" s="40">
        <f>8.31+1.71</f>
        <v>10.02</v>
      </c>
      <c r="K49" s="40">
        <f>1.86</f>
        <v>1.86</v>
      </c>
      <c r="L49" s="40">
        <v>7.13</v>
      </c>
      <c r="M49" s="40">
        <v>0.71</v>
      </c>
      <c r="N49" s="41">
        <v>32611.946284046699</v>
      </c>
      <c r="O49" s="41">
        <v>64412.263565385227</v>
      </c>
      <c r="P49" s="41">
        <v>75.41</v>
      </c>
      <c r="Q49" s="3">
        <v>70.64</v>
      </c>
      <c r="R49" s="41">
        <v>22.52000000000001</v>
      </c>
      <c r="S49" s="3">
        <v>48.13</v>
      </c>
      <c r="T49" s="41">
        <v>794.93</v>
      </c>
      <c r="U49" s="41">
        <v>2913.4367576786622</v>
      </c>
      <c r="V49" s="3">
        <v>3708</v>
      </c>
      <c r="W49" s="3">
        <v>0.78571649344084737</v>
      </c>
    </row>
    <row r="50" spans="1:23" x14ac:dyDescent="0.25">
      <c r="A50" s="94"/>
      <c r="B50" s="98"/>
      <c r="C50" s="4" t="s">
        <v>26</v>
      </c>
      <c r="D50" s="2">
        <v>97138</v>
      </c>
      <c r="E50" s="4">
        <v>156700</v>
      </c>
      <c r="F50" s="3">
        <f t="shared" si="0"/>
        <v>0.61989789406509255</v>
      </c>
      <c r="G50" s="42">
        <v>20.810000000000002</v>
      </c>
      <c r="H50" s="42">
        <v>1.6</v>
      </c>
      <c r="I50" s="40">
        <v>22.410000000000004</v>
      </c>
      <c r="J50" s="40">
        <v>7.63</v>
      </c>
      <c r="K50" s="40">
        <v>1.01</v>
      </c>
      <c r="L50" s="40">
        <v>3.49</v>
      </c>
      <c r="M50" s="40">
        <v>0.28999999999999998</v>
      </c>
      <c r="N50" s="41">
        <v>18348.97766432674</v>
      </c>
      <c r="O50" s="41">
        <v>64837.842092022976</v>
      </c>
      <c r="P50" s="41">
        <v>37.551000000000002</v>
      </c>
      <c r="Q50" s="3">
        <v>51.282600000000002</v>
      </c>
      <c r="R50" s="41">
        <v>25.189399999999999</v>
      </c>
      <c r="S50" s="3">
        <v>26.0931</v>
      </c>
      <c r="T50" s="41">
        <v>565.1</v>
      </c>
      <c r="U50" s="41">
        <v>2228.6566554208521</v>
      </c>
      <c r="V50" s="3">
        <v>3393</v>
      </c>
      <c r="W50" s="3">
        <v>0.65683956835274149</v>
      </c>
    </row>
    <row r="51" spans="1:23" x14ac:dyDescent="0.25">
      <c r="A51" s="94"/>
      <c r="B51" s="98"/>
      <c r="C51" s="4" t="s">
        <v>27</v>
      </c>
      <c r="D51" s="2">
        <v>36164</v>
      </c>
      <c r="E51" s="4">
        <v>167000</v>
      </c>
      <c r="F51" s="3">
        <f t="shared" si="0"/>
        <v>0.2165508982035928</v>
      </c>
      <c r="G51" s="42"/>
      <c r="H51" s="42"/>
      <c r="I51" s="40">
        <v>29.093</v>
      </c>
      <c r="J51" s="40">
        <v>12.653</v>
      </c>
      <c r="K51" s="40">
        <v>0.96876139999999999</v>
      </c>
      <c r="L51" s="53">
        <v>3.6735582</v>
      </c>
      <c r="M51" s="40">
        <v>1.5956804000000002</v>
      </c>
      <c r="N51" s="41">
        <v>98920.450299401185</v>
      </c>
      <c r="O51" s="41">
        <v>64200.257937485025</v>
      </c>
      <c r="P51" s="41">
        <v>33.183999999999997</v>
      </c>
      <c r="Q51" s="3">
        <v>31.413</v>
      </c>
      <c r="R51" s="41">
        <v>15.027000000000001</v>
      </c>
      <c r="S51" s="3">
        <v>16.388000000000002</v>
      </c>
      <c r="T51" s="41">
        <v>202.04826800000004</v>
      </c>
      <c r="U51" s="41">
        <v>1768.829195422785</v>
      </c>
      <c r="V51" s="3">
        <v>9360</v>
      </c>
      <c r="W51" s="3">
        <v>0.18897747814345994</v>
      </c>
    </row>
    <row r="52" spans="1:23" x14ac:dyDescent="0.25">
      <c r="A52" s="95"/>
      <c r="B52" s="98"/>
      <c r="C52" s="4" t="s">
        <v>28</v>
      </c>
      <c r="D52" s="2">
        <v>13633</v>
      </c>
      <c r="E52" s="4">
        <v>157900</v>
      </c>
      <c r="F52" s="3">
        <f t="shared" si="0"/>
        <v>8.6339455351488278E-2</v>
      </c>
      <c r="G52" s="42">
        <v>8.35</v>
      </c>
      <c r="H52" s="42">
        <v>2.0699999999999998</v>
      </c>
      <c r="I52" s="40">
        <f>SUM(G52:H52)</f>
        <v>10.42</v>
      </c>
      <c r="J52" s="40">
        <v>1.79</v>
      </c>
      <c r="K52" s="40">
        <v>0.31</v>
      </c>
      <c r="L52" s="40">
        <v>1.83</v>
      </c>
      <c r="M52" s="40">
        <v>0.22</v>
      </c>
      <c r="N52" s="41">
        <v>99022.72134262191</v>
      </c>
      <c r="O52" s="41">
        <v>28859.371336858767</v>
      </c>
      <c r="P52" s="41">
        <v>19.79</v>
      </c>
      <c r="Q52" s="3"/>
      <c r="R52" s="41">
        <v>6.52</v>
      </c>
      <c r="S52" s="3"/>
      <c r="T52" s="41">
        <v>101.8</v>
      </c>
      <c r="U52" s="41">
        <v>814.5005881554473</v>
      </c>
      <c r="V52" s="3">
        <v>9367</v>
      </c>
      <c r="W52" s="3">
        <v>8.6954263708278773E-2</v>
      </c>
    </row>
    <row r="53" spans="1:23" x14ac:dyDescent="0.25">
      <c r="B53" s="97"/>
      <c r="C53" s="44"/>
      <c r="D53" s="45"/>
      <c r="E53" s="44"/>
      <c r="F53" s="46"/>
      <c r="G53" s="44"/>
      <c r="H53" s="44"/>
      <c r="I53" s="44"/>
      <c r="J53" s="44"/>
      <c r="K53" s="44"/>
      <c r="L53" s="44"/>
      <c r="M53" s="44"/>
      <c r="N53" s="50"/>
      <c r="O53" s="50"/>
      <c r="P53" s="50"/>
      <c r="R53" s="50"/>
      <c r="T53" s="50"/>
      <c r="U53" s="50"/>
    </row>
    <row r="54" spans="1:23" x14ac:dyDescent="0.25">
      <c r="A54" s="93" t="s">
        <v>3</v>
      </c>
      <c r="B54" s="98">
        <v>2008</v>
      </c>
      <c r="C54" s="4" t="s">
        <v>20</v>
      </c>
      <c r="D54" s="2">
        <v>152250</v>
      </c>
      <c r="E54" s="3">
        <v>722300</v>
      </c>
      <c r="F54" s="3">
        <f t="shared" si="0"/>
        <v>0.21078499238543541</v>
      </c>
      <c r="G54" s="39">
        <v>11.517799999999999</v>
      </c>
      <c r="H54" s="39">
        <v>1.7231000000000001</v>
      </c>
      <c r="I54" s="40">
        <f>SUM(G54:H54)</f>
        <v>13.2409</v>
      </c>
      <c r="J54" s="40">
        <v>2.5825</v>
      </c>
      <c r="K54" s="40">
        <v>0.42609999999999998</v>
      </c>
      <c r="L54" s="40">
        <v>1.4359</v>
      </c>
      <c r="M54" s="40">
        <v>0.1343</v>
      </c>
      <c r="N54" s="41">
        <v>316.17748857815309</v>
      </c>
      <c r="O54" s="41">
        <v>4215.0674927315522</v>
      </c>
      <c r="P54" s="41">
        <v>193.95</v>
      </c>
      <c r="Q54" s="3">
        <v>84.17</v>
      </c>
      <c r="R54" s="41">
        <v>1.4300000000000068</v>
      </c>
      <c r="S54" s="3">
        <v>-1.43</v>
      </c>
      <c r="T54" s="41">
        <v>731.6</v>
      </c>
      <c r="U54" s="41">
        <v>450.68088435374148</v>
      </c>
      <c r="V54" s="3">
        <v>554</v>
      </c>
      <c r="W54" s="3">
        <v>0.81350340136054422</v>
      </c>
    </row>
    <row r="55" spans="1:23" x14ac:dyDescent="0.25">
      <c r="A55" s="94"/>
      <c r="B55" s="98"/>
      <c r="C55" s="4" t="s">
        <v>21</v>
      </c>
      <c r="D55" s="2">
        <v>16960</v>
      </c>
      <c r="E55" s="3">
        <v>486000</v>
      </c>
      <c r="F55" s="3">
        <f t="shared" si="0"/>
        <v>3.4897119341563788E-2</v>
      </c>
      <c r="G55" s="39"/>
      <c r="H55" s="39"/>
      <c r="I55" s="40">
        <v>0.21025023723761022</v>
      </c>
      <c r="J55" s="40">
        <v>3.9009762762389766E-2</v>
      </c>
      <c r="K55" s="40">
        <v>7.0081199999999996E-3</v>
      </c>
      <c r="L55" s="40">
        <v>3.6251879999999993E-2</v>
      </c>
      <c r="M55" s="40">
        <v>0</v>
      </c>
      <c r="N55" s="41">
        <v>33222.057613168727</v>
      </c>
      <c r="O55" s="41">
        <v>9155.0149794238696</v>
      </c>
      <c r="P55" s="41">
        <v>63.134880000000003</v>
      </c>
      <c r="Q55" s="3">
        <v>18.859299999999998</v>
      </c>
      <c r="R55" s="41">
        <v>0</v>
      </c>
      <c r="S55" s="3"/>
      <c r="T55" s="41">
        <v>122.75</v>
      </c>
      <c r="U55" s="41">
        <v>11.356043010752687</v>
      </c>
      <c r="V55" s="3">
        <v>88.6</v>
      </c>
      <c r="W55" s="3">
        <v>0.12817204301075269</v>
      </c>
    </row>
    <row r="56" spans="1:23" x14ac:dyDescent="0.25">
      <c r="A56" s="94"/>
      <c r="B56" s="98"/>
      <c r="C56" s="4" t="s">
        <v>22</v>
      </c>
      <c r="D56" s="2">
        <v>143240</v>
      </c>
      <c r="E56" s="3">
        <v>425800</v>
      </c>
      <c r="F56" s="3">
        <f t="shared" si="0"/>
        <v>0.33640206669798028</v>
      </c>
      <c r="G56" s="42">
        <v>26.076499999999999</v>
      </c>
      <c r="H56" s="42">
        <v>1.0403</v>
      </c>
      <c r="I56" s="40">
        <f>SUM(G56:H56)</f>
        <v>27.116799999999998</v>
      </c>
      <c r="J56" s="40">
        <v>9.6141000000000005</v>
      </c>
      <c r="K56" s="40">
        <v>1.446</v>
      </c>
      <c r="L56" s="40">
        <v>4.2539999999999996</v>
      </c>
      <c r="M56" s="40">
        <v>1.1613</v>
      </c>
      <c r="N56" s="41">
        <v>3969.5443870361673</v>
      </c>
      <c r="O56" s="41">
        <v>15969.006106153123</v>
      </c>
      <c r="P56" s="41">
        <v>89.227999999999994</v>
      </c>
      <c r="Q56" s="3">
        <v>35.598999999999997</v>
      </c>
      <c r="R56" s="41">
        <v>2.5700000000000074</v>
      </c>
      <c r="S56" s="3">
        <v>33.029000000000003</v>
      </c>
      <c r="T56" s="41">
        <v>651.20799999999997</v>
      </c>
      <c r="U56" s="41">
        <v>1781.3321659912967</v>
      </c>
      <c r="V56" s="3">
        <v>2551</v>
      </c>
      <c r="W56" s="3">
        <v>0.69828779537095131</v>
      </c>
    </row>
    <row r="57" spans="1:23" x14ac:dyDescent="0.25">
      <c r="A57" s="94"/>
      <c r="B57" s="98"/>
      <c r="C57" s="4" t="s">
        <v>23</v>
      </c>
      <c r="D57" s="2">
        <v>51393</v>
      </c>
      <c r="E57" s="4">
        <v>66400</v>
      </c>
      <c r="F57" s="3">
        <f t="shared" si="0"/>
        <v>0.77399096385542165</v>
      </c>
      <c r="G57" s="3">
        <v>61.49</v>
      </c>
      <c r="H57" s="3">
        <v>7.35</v>
      </c>
      <c r="I57" s="43">
        <v>68.84</v>
      </c>
      <c r="J57" s="43">
        <v>4.33</v>
      </c>
      <c r="K57" s="43">
        <v>0.41000000000000003</v>
      </c>
      <c r="L57" s="43">
        <v>1.42</v>
      </c>
      <c r="M57" s="43">
        <v>1.29</v>
      </c>
      <c r="N57" s="41">
        <v>58126.721385542165</v>
      </c>
      <c r="O57" s="41">
        <v>29371.409096385541</v>
      </c>
      <c r="P57" s="41">
        <v>6.5860000000000003</v>
      </c>
      <c r="Q57" s="3">
        <v>23.181000000000001</v>
      </c>
      <c r="R57" s="41">
        <v>2.6189999999999998</v>
      </c>
      <c r="S57" s="3">
        <v>20.562000000000001</v>
      </c>
      <c r="T57" s="41">
        <v>129.578</v>
      </c>
      <c r="U57" s="41">
        <v>617.87973053892199</v>
      </c>
      <c r="V57" s="3">
        <v>618</v>
      </c>
      <c r="W57" s="3">
        <v>0.99980538922155671</v>
      </c>
    </row>
    <row r="58" spans="1:23" x14ac:dyDescent="0.25">
      <c r="A58" s="94"/>
      <c r="B58" s="98"/>
      <c r="C58" s="4" t="s">
        <v>24</v>
      </c>
      <c r="D58" s="2">
        <v>150962</v>
      </c>
      <c r="E58" s="3">
        <v>1183000</v>
      </c>
      <c r="F58" s="3">
        <f t="shared" si="0"/>
        <v>0.12760946745562129</v>
      </c>
      <c r="G58" s="39"/>
      <c r="H58" s="39"/>
      <c r="I58" s="40">
        <v>72.33</v>
      </c>
      <c r="J58" s="40">
        <v>10.049999999999999</v>
      </c>
      <c r="K58" s="40">
        <v>0.95</v>
      </c>
      <c r="L58" s="40">
        <v>2.3199999999999998</v>
      </c>
      <c r="M58" s="40">
        <v>0.51</v>
      </c>
      <c r="N58" s="41">
        <v>12531.249704142012</v>
      </c>
      <c r="O58" s="41">
        <v>8986.386307692308</v>
      </c>
      <c r="P58" s="41">
        <v>17.059999999999999</v>
      </c>
      <c r="Q58" s="3"/>
      <c r="R58" s="41">
        <v>37.349999999999994</v>
      </c>
      <c r="S58" s="3"/>
      <c r="T58" s="41">
        <v>490.98</v>
      </c>
      <c r="U58" s="41">
        <v>981.7657984866587</v>
      </c>
      <c r="V58" s="3">
        <v>2444</v>
      </c>
      <c r="W58" s="3">
        <v>0.40170450019912385</v>
      </c>
    </row>
    <row r="59" spans="1:23" x14ac:dyDescent="0.25">
      <c r="A59" s="94"/>
      <c r="B59" s="98"/>
      <c r="C59" s="4" t="s">
        <v>25</v>
      </c>
      <c r="D59" s="2">
        <v>133300.52000000002</v>
      </c>
      <c r="E59" s="4">
        <v>205600</v>
      </c>
      <c r="F59" s="3">
        <f t="shared" si="0"/>
        <v>0.64834883268482502</v>
      </c>
      <c r="G59" s="42">
        <v>33.39</v>
      </c>
      <c r="H59" s="42">
        <f>4.54+0.88</f>
        <v>5.42</v>
      </c>
      <c r="I59" s="40">
        <f>SUM(G59:H59)</f>
        <v>38.81</v>
      </c>
      <c r="J59" s="40">
        <f>9.38+1.7</f>
        <v>11.08</v>
      </c>
      <c r="K59" s="40">
        <v>1.9</v>
      </c>
      <c r="L59" s="40">
        <v>7.49</v>
      </c>
      <c r="M59" s="40">
        <v>0.79</v>
      </c>
      <c r="N59" s="41">
        <v>33843.809066147864</v>
      </c>
      <c r="O59" s="41">
        <v>68000.770618482507</v>
      </c>
      <c r="P59" s="41">
        <v>60.22</v>
      </c>
      <c r="Q59" s="3">
        <v>50.26</v>
      </c>
      <c r="R59" s="41">
        <v>14.980000000000004</v>
      </c>
      <c r="S59" s="3">
        <v>35.28</v>
      </c>
      <c r="T59" s="41">
        <v>616.54999999999995</v>
      </c>
      <c r="U59" s="41">
        <v>2921.2939226130707</v>
      </c>
      <c r="V59" s="3">
        <v>3718</v>
      </c>
      <c r="W59" s="3">
        <v>0.78571649344084737</v>
      </c>
    </row>
    <row r="60" spans="1:23" x14ac:dyDescent="0.25">
      <c r="A60" s="94"/>
      <c r="B60" s="98"/>
      <c r="C60" s="4" t="s">
        <v>26</v>
      </c>
      <c r="D60" s="2">
        <v>97138</v>
      </c>
      <c r="E60" s="4">
        <v>156700</v>
      </c>
      <c r="F60" s="3">
        <f t="shared" si="0"/>
        <v>0.61989789406509255</v>
      </c>
      <c r="G60" s="42">
        <v>22.520000000000003</v>
      </c>
      <c r="H60" s="42">
        <v>1.6800000000000002</v>
      </c>
      <c r="I60" s="40">
        <v>24.200000000000003</v>
      </c>
      <c r="J60" s="40">
        <v>7.0710000000000006</v>
      </c>
      <c r="K60" s="40">
        <v>1.47</v>
      </c>
      <c r="L60" s="40">
        <v>5.04</v>
      </c>
      <c r="M60" s="40">
        <v>0.59000000000000008</v>
      </c>
      <c r="N60" s="41">
        <v>19030.865347798343</v>
      </c>
      <c r="O60" s="41">
        <v>66273.903752393104</v>
      </c>
      <c r="P60" s="41">
        <v>28.5105</v>
      </c>
      <c r="Q60" s="3">
        <v>46.872</v>
      </c>
      <c r="R60" s="41">
        <v>23.168100000000003</v>
      </c>
      <c r="S60" s="3">
        <v>23.703900000000001</v>
      </c>
      <c r="T60" s="41">
        <v>451.77</v>
      </c>
      <c r="U60" s="41">
        <v>2240.4797676512012</v>
      </c>
      <c r="V60" s="3">
        <v>3411</v>
      </c>
      <c r="W60" s="3">
        <v>0.65683956835274149</v>
      </c>
    </row>
    <row r="61" spans="1:23" x14ac:dyDescent="0.25">
      <c r="A61" s="94"/>
      <c r="B61" s="98"/>
      <c r="C61" s="4" t="s">
        <v>27</v>
      </c>
      <c r="D61" s="2">
        <v>36164</v>
      </c>
      <c r="E61" s="4">
        <v>167000</v>
      </c>
      <c r="F61" s="3">
        <f t="shared" si="0"/>
        <v>0.2165508982035928</v>
      </c>
      <c r="G61" s="42"/>
      <c r="H61" s="42"/>
      <c r="I61" s="40">
        <v>28.268000000000001</v>
      </c>
      <c r="J61" s="40">
        <v>13.44</v>
      </c>
      <c r="K61" s="40">
        <v>1.1277885999999999</v>
      </c>
      <c r="L61" s="40">
        <v>4.2765917999999994</v>
      </c>
      <c r="M61" s="40">
        <v>1.8576196</v>
      </c>
      <c r="N61" s="41">
        <v>109531.44431137724</v>
      </c>
      <c r="O61" s="41">
        <v>66956.021868263473</v>
      </c>
      <c r="P61" s="41">
        <v>25.33</v>
      </c>
      <c r="Q61" s="3">
        <v>31.861999999999998</v>
      </c>
      <c r="R61" s="41">
        <v>15.149999999999999</v>
      </c>
      <c r="S61" s="3">
        <v>16.712</v>
      </c>
      <c r="T61" s="41">
        <v>202.08443200000002</v>
      </c>
      <c r="U61" s="41">
        <v>1781.8686414146839</v>
      </c>
      <c r="V61" s="3">
        <v>9429</v>
      </c>
      <c r="W61" s="3">
        <v>0.18897747814345994</v>
      </c>
    </row>
    <row r="62" spans="1:23" x14ac:dyDescent="0.25">
      <c r="A62" s="95"/>
      <c r="B62" s="98"/>
      <c r="C62" s="4" t="s">
        <v>28</v>
      </c>
      <c r="D62" s="2">
        <v>13633</v>
      </c>
      <c r="E62" s="4">
        <v>157900</v>
      </c>
      <c r="F62" s="3">
        <f t="shared" si="0"/>
        <v>8.6339455351488278E-2</v>
      </c>
      <c r="G62" s="42">
        <v>8.15</v>
      </c>
      <c r="H62" s="42">
        <v>2.0499999999999998</v>
      </c>
      <c r="I62" s="40">
        <f>SUM(G62:H62)</f>
        <v>10.199999999999999</v>
      </c>
      <c r="J62" s="40">
        <v>2.16</v>
      </c>
      <c r="K62" s="40">
        <v>0.42</v>
      </c>
      <c r="L62" s="40">
        <v>1.77</v>
      </c>
      <c r="M62" s="40">
        <v>0.28000000000000003</v>
      </c>
      <c r="N62" s="41">
        <v>104323.96390120329</v>
      </c>
      <c r="O62" s="41">
        <v>30988.180259658009</v>
      </c>
      <c r="P62" s="41">
        <v>11.75</v>
      </c>
      <c r="Q62" s="3"/>
      <c r="R62" s="41">
        <v>6.23</v>
      </c>
      <c r="S62" s="3"/>
      <c r="T62" s="41">
        <v>86.62</v>
      </c>
      <c r="U62" s="41">
        <v>818.84830134086121</v>
      </c>
      <c r="V62" s="3">
        <v>9417</v>
      </c>
      <c r="W62" s="3">
        <v>8.6954263708278773E-2</v>
      </c>
    </row>
    <row r="63" spans="1:23" x14ac:dyDescent="0.25">
      <c r="B63" s="97"/>
      <c r="C63" s="44"/>
      <c r="D63" s="45"/>
      <c r="E63" s="44"/>
      <c r="F63" s="46"/>
      <c r="G63" s="44"/>
      <c r="H63" s="44"/>
      <c r="I63" s="44"/>
      <c r="J63" s="44"/>
      <c r="K63" s="44"/>
      <c r="L63" s="44"/>
      <c r="M63" s="44"/>
      <c r="N63" s="50"/>
      <c r="O63" s="50"/>
      <c r="P63" s="50"/>
      <c r="R63" s="50"/>
      <c r="T63" s="50"/>
      <c r="U63" s="50"/>
    </row>
    <row r="64" spans="1:23" x14ac:dyDescent="0.25">
      <c r="A64" s="93" t="s">
        <v>3</v>
      </c>
      <c r="B64" s="98">
        <v>2009</v>
      </c>
      <c r="C64" s="4" t="s">
        <v>20</v>
      </c>
      <c r="D64" s="2">
        <v>152250</v>
      </c>
      <c r="E64" s="3">
        <v>722300</v>
      </c>
      <c r="F64" s="3">
        <f t="shared" ref="F64:F121" si="1">D64/E64</f>
        <v>0.21078499238543541</v>
      </c>
      <c r="G64" s="39">
        <v>10.883800000000001</v>
      </c>
      <c r="H64" s="39">
        <v>1.7074</v>
      </c>
      <c r="I64" s="40">
        <f>SUM(G64:H64)</f>
        <v>12.591200000000001</v>
      </c>
      <c r="J64" s="40">
        <v>1.9919</v>
      </c>
      <c r="K64" s="40">
        <v>0.44429999999999997</v>
      </c>
      <c r="L64" s="40">
        <v>1.4534</v>
      </c>
      <c r="M64" s="40">
        <v>0.13569999999999999</v>
      </c>
      <c r="N64" s="41">
        <v>295.0989893396096</v>
      </c>
      <c r="O64" s="41">
        <v>4673.2993112280219</v>
      </c>
      <c r="P64" s="41">
        <v>261.94</v>
      </c>
      <c r="Q64" s="3">
        <v>113.17</v>
      </c>
      <c r="R64" s="41">
        <v>1.3999999999999773</v>
      </c>
      <c r="S64" s="3">
        <v>-1.4</v>
      </c>
      <c r="T64" s="41">
        <v>783.1</v>
      </c>
      <c r="U64" s="41">
        <v>453.12139455782312</v>
      </c>
      <c r="V64" s="3">
        <v>557</v>
      </c>
      <c r="W64" s="3">
        <v>0.81350340136054422</v>
      </c>
    </row>
    <row r="65" spans="1:23" x14ac:dyDescent="0.25">
      <c r="A65" s="94"/>
      <c r="B65" s="98"/>
      <c r="C65" s="4" t="s">
        <v>21</v>
      </c>
      <c r="D65" s="2">
        <v>16960</v>
      </c>
      <c r="E65" s="3">
        <v>486000</v>
      </c>
      <c r="F65" s="3">
        <f t="shared" si="1"/>
        <v>3.4897119341563788E-2</v>
      </c>
      <c r="G65" s="39"/>
      <c r="H65" s="39"/>
      <c r="I65" s="40">
        <v>0.17097999999999999</v>
      </c>
      <c r="J65" s="40">
        <v>2.8840000000000001E-2</v>
      </c>
      <c r="K65" s="40">
        <v>1.9689479999999995E-2</v>
      </c>
      <c r="L65" s="40">
        <v>0.10185051999999999</v>
      </c>
      <c r="M65" s="40">
        <v>0</v>
      </c>
      <c r="N65" s="41">
        <v>34942.485596707818</v>
      </c>
      <c r="O65" s="41">
        <v>9167.775111111112</v>
      </c>
      <c r="P65" s="41">
        <v>73.966359999999995</v>
      </c>
      <c r="Q65" s="3">
        <v>19.848099999999999</v>
      </c>
      <c r="R65" s="41">
        <v>0</v>
      </c>
      <c r="S65" s="3"/>
      <c r="T65" s="41">
        <v>134.77000000000001</v>
      </c>
      <c r="U65" s="41">
        <v>11.689290322580646</v>
      </c>
      <c r="V65" s="3">
        <v>91.2</v>
      </c>
      <c r="W65" s="3">
        <v>0.12817204301075269</v>
      </c>
    </row>
    <row r="66" spans="1:23" x14ac:dyDescent="0.25">
      <c r="A66" s="94"/>
      <c r="B66" s="98"/>
      <c r="C66" s="4" t="s">
        <v>22</v>
      </c>
      <c r="D66" s="2">
        <v>143240</v>
      </c>
      <c r="E66" s="3">
        <v>425800</v>
      </c>
      <c r="F66" s="3">
        <f t="shared" si="1"/>
        <v>0.33640206669798028</v>
      </c>
      <c r="G66" s="42">
        <v>25.6769</v>
      </c>
      <c r="H66" s="42">
        <v>1.3434999999999999</v>
      </c>
      <c r="I66" s="40">
        <f>SUM(G66:H66)</f>
        <v>27.020399999999999</v>
      </c>
      <c r="J66" s="40">
        <v>9.5121000000000002</v>
      </c>
      <c r="K66" s="40">
        <v>1.4101999999999999</v>
      </c>
      <c r="L66" s="40">
        <v>4.7182000000000004</v>
      </c>
      <c r="M66" s="40">
        <v>1.1501999999999999</v>
      </c>
      <c r="N66" s="41">
        <v>4003.1845937059652</v>
      </c>
      <c r="O66" s="41">
        <v>16574.58365054016</v>
      </c>
      <c r="P66" s="41">
        <v>92.004000000000005</v>
      </c>
      <c r="Q66" s="3">
        <v>36.685000000000002</v>
      </c>
      <c r="R66" s="41">
        <v>2.5759999999999934</v>
      </c>
      <c r="S66" s="3">
        <v>34.109000000000002</v>
      </c>
      <c r="T66" s="41">
        <v>579.98599999999999</v>
      </c>
      <c r="U66" s="41">
        <v>1784.1253171727806</v>
      </c>
      <c r="V66" s="3">
        <v>2555</v>
      </c>
      <c r="W66" s="3">
        <v>0.69828779537095131</v>
      </c>
    </row>
    <row r="67" spans="1:23" x14ac:dyDescent="0.25">
      <c r="A67" s="94"/>
      <c r="B67" s="98"/>
      <c r="C67" s="4" t="s">
        <v>23</v>
      </c>
      <c r="D67" s="2">
        <v>51393</v>
      </c>
      <c r="E67" s="4">
        <v>66400</v>
      </c>
      <c r="F67" s="3">
        <f t="shared" si="1"/>
        <v>0.77399096385542165</v>
      </c>
      <c r="G67" s="3">
        <v>58.580000000000005</v>
      </c>
      <c r="H67" s="3">
        <v>7.1499999999999995</v>
      </c>
      <c r="I67" s="43">
        <v>65.73</v>
      </c>
      <c r="J67" s="43">
        <v>5.08</v>
      </c>
      <c r="K67" s="43">
        <v>0.41000000000000003</v>
      </c>
      <c r="L67" s="43">
        <v>1.33</v>
      </c>
      <c r="M67" s="43">
        <v>1.56</v>
      </c>
      <c r="N67" s="41">
        <v>63312.46084337349</v>
      </c>
      <c r="O67" s="41">
        <v>31994.046517771083</v>
      </c>
      <c r="P67" s="41">
        <v>6.0209999999999999</v>
      </c>
      <c r="Q67" s="3">
        <v>22.07</v>
      </c>
      <c r="R67" s="41">
        <v>2.4010000000000007</v>
      </c>
      <c r="S67" s="3">
        <v>19.669</v>
      </c>
      <c r="T67" s="41">
        <v>121.813</v>
      </c>
      <c r="U67" s="41">
        <v>624.87836826347291</v>
      </c>
      <c r="V67" s="3">
        <v>625</v>
      </c>
      <c r="W67" s="3">
        <v>0.99980538922155671</v>
      </c>
    </row>
    <row r="68" spans="1:23" x14ac:dyDescent="0.25">
      <c r="A68" s="94"/>
      <c r="B68" s="98"/>
      <c r="C68" s="4" t="s">
        <v>24</v>
      </c>
      <c r="D68" s="2">
        <v>150962</v>
      </c>
      <c r="E68" s="3">
        <v>1183000</v>
      </c>
      <c r="F68" s="3">
        <f t="shared" si="1"/>
        <v>0.12760946745562129</v>
      </c>
      <c r="G68" s="39"/>
      <c r="H68" s="39"/>
      <c r="I68" s="40">
        <v>75.39</v>
      </c>
      <c r="J68" s="40">
        <v>9.14</v>
      </c>
      <c r="K68" s="40">
        <v>1.1000000000000001</v>
      </c>
      <c r="L68" s="40">
        <v>2.37</v>
      </c>
      <c r="M68" s="40">
        <v>0.66999999999999993</v>
      </c>
      <c r="N68" s="41">
        <v>13526.603550295857</v>
      </c>
      <c r="O68" s="41">
        <v>9335.2374132544373</v>
      </c>
      <c r="P68" s="41">
        <v>11.27</v>
      </c>
      <c r="Q68" s="3"/>
      <c r="R68" s="41">
        <v>19.36</v>
      </c>
      <c r="S68" s="3"/>
      <c r="T68" s="41">
        <v>324.70000000000005</v>
      </c>
      <c r="U68" s="41">
        <v>987.38966148944644</v>
      </c>
      <c r="V68" s="3">
        <v>2458</v>
      </c>
      <c r="W68" s="3">
        <v>0.40170450019912385</v>
      </c>
    </row>
    <row r="69" spans="1:23" x14ac:dyDescent="0.25">
      <c r="A69" s="94"/>
      <c r="B69" s="98"/>
      <c r="C69" s="4" t="s">
        <v>25</v>
      </c>
      <c r="D69" s="2">
        <v>133300.52000000002</v>
      </c>
      <c r="E69" s="4">
        <v>205600</v>
      </c>
      <c r="F69" s="3">
        <f t="shared" si="1"/>
        <v>0.64834883268482502</v>
      </c>
      <c r="G69" s="42">
        <f>27.64+5.16</f>
        <v>32.799999999999997</v>
      </c>
      <c r="H69" s="42">
        <f>4.61+0.87</f>
        <v>5.48</v>
      </c>
      <c r="I69" s="40">
        <f>SUM(G69:H69)</f>
        <v>38.28</v>
      </c>
      <c r="J69" s="40">
        <f>7.64+2</f>
        <v>9.64</v>
      </c>
      <c r="K69" s="40">
        <f>1.09+0.78</f>
        <v>1.87</v>
      </c>
      <c r="L69" s="40">
        <f>1.03+7.05</f>
        <v>8.08</v>
      </c>
      <c r="M69" s="40">
        <v>0.81</v>
      </c>
      <c r="N69" s="41">
        <v>36307.534630350201</v>
      </c>
      <c r="O69" s="41">
        <v>72108.540251677055</v>
      </c>
      <c r="P69" s="41">
        <v>74.53</v>
      </c>
      <c r="Q69" s="3">
        <v>63.95</v>
      </c>
      <c r="R69" s="41">
        <v>18.97</v>
      </c>
      <c r="S69" s="3">
        <v>44.98</v>
      </c>
      <c r="T69" s="41">
        <v>720.1</v>
      </c>
      <c r="U69" s="41">
        <v>2928.365371054038</v>
      </c>
      <c r="V69" s="3">
        <v>3727</v>
      </c>
      <c r="W69" s="3">
        <v>0.78571649344084737</v>
      </c>
    </row>
    <row r="70" spans="1:23" x14ac:dyDescent="0.25">
      <c r="A70" s="94"/>
      <c r="B70" s="98"/>
      <c r="C70" s="4" t="s">
        <v>26</v>
      </c>
      <c r="D70" s="2">
        <v>97138</v>
      </c>
      <c r="E70" s="4">
        <v>156700</v>
      </c>
      <c r="F70" s="3">
        <f t="shared" si="1"/>
        <v>0.61989789406509255</v>
      </c>
      <c r="G70" s="42">
        <v>22.490000000000002</v>
      </c>
      <c r="H70" s="42">
        <v>1.82</v>
      </c>
      <c r="I70" s="40">
        <v>24.310000000000002</v>
      </c>
      <c r="J70" s="40">
        <v>7.96</v>
      </c>
      <c r="K70" s="40">
        <v>1.6</v>
      </c>
      <c r="L70" s="40">
        <v>5.33</v>
      </c>
      <c r="M70" s="40">
        <v>1.2000000000000002</v>
      </c>
      <c r="N70" s="41">
        <v>19216.834716017867</v>
      </c>
      <c r="O70" s="41">
        <v>65631.720529036378</v>
      </c>
      <c r="P70" s="41">
        <v>28.66</v>
      </c>
      <c r="Q70" s="3"/>
      <c r="R70" s="41">
        <v>24.080000000000002</v>
      </c>
      <c r="S70" s="3"/>
      <c r="T70" s="41">
        <v>488.11</v>
      </c>
      <c r="U70" s="41">
        <v>2250.9892007448452</v>
      </c>
      <c r="V70" s="3">
        <v>3427</v>
      </c>
      <c r="W70" s="3">
        <v>0.65683956835274149</v>
      </c>
    </row>
    <row r="71" spans="1:23" x14ac:dyDescent="0.25">
      <c r="A71" s="94"/>
      <c r="B71" s="98"/>
      <c r="C71" s="4" t="s">
        <v>27</v>
      </c>
      <c r="D71" s="2">
        <v>36164</v>
      </c>
      <c r="E71" s="4">
        <v>167000</v>
      </c>
      <c r="F71" s="3">
        <f t="shared" si="1"/>
        <v>0.2165508982035928</v>
      </c>
      <c r="G71" s="42"/>
      <c r="H71" s="42"/>
      <c r="I71" s="40">
        <v>29.597000000000001</v>
      </c>
      <c r="J71" s="40">
        <v>14.284000000000001</v>
      </c>
      <c r="K71" s="40">
        <v>1.0538657999999999</v>
      </c>
      <c r="L71" s="40">
        <v>3.9962753999999996</v>
      </c>
      <c r="M71" s="40">
        <v>1.7358588000000001</v>
      </c>
      <c r="N71" s="41">
        <v>116439.41796407185</v>
      </c>
      <c r="O71" s="41">
        <v>72323.703630179632</v>
      </c>
      <c r="P71" s="41">
        <v>32.360999999999997</v>
      </c>
      <c r="Q71" s="3">
        <v>35.037999999999997</v>
      </c>
      <c r="R71" s="41">
        <v>17.425000000000004</v>
      </c>
      <c r="S71" s="3">
        <v>17.613</v>
      </c>
      <c r="T71" s="41">
        <v>202.08443200000002</v>
      </c>
      <c r="U71" s="41">
        <v>1792.8293351470045</v>
      </c>
      <c r="V71" s="3">
        <v>9487</v>
      </c>
      <c r="W71" s="3">
        <v>0.18897747814345994</v>
      </c>
    </row>
    <row r="72" spans="1:23" x14ac:dyDescent="0.25">
      <c r="A72" s="95"/>
      <c r="B72" s="98"/>
      <c r="C72" s="4" t="s">
        <v>28</v>
      </c>
      <c r="D72" s="2">
        <v>13633</v>
      </c>
      <c r="E72" s="4">
        <v>157900</v>
      </c>
      <c r="F72" s="3">
        <f t="shared" si="1"/>
        <v>8.6339455351488278E-2</v>
      </c>
      <c r="G72" s="42">
        <v>8.5399999999999991</v>
      </c>
      <c r="H72" s="42">
        <v>2.1800000000000002</v>
      </c>
      <c r="I72" s="40">
        <f>SUM(G72:H72)</f>
        <v>10.719999999999999</v>
      </c>
      <c r="J72" s="40">
        <v>2.09</v>
      </c>
      <c r="K72" s="40">
        <v>0.59</v>
      </c>
      <c r="L72" s="40">
        <v>1.84</v>
      </c>
      <c r="M72" s="40">
        <v>0.37</v>
      </c>
      <c r="N72" s="41">
        <v>109823.78720709309</v>
      </c>
      <c r="O72" s="41">
        <v>33390.150814692846</v>
      </c>
      <c r="P72" s="41">
        <v>17.32</v>
      </c>
      <c r="Q72" s="3"/>
      <c r="R72" s="41">
        <v>6.1999999999999993</v>
      </c>
      <c r="S72" s="3"/>
      <c r="T72" s="41">
        <v>98.2</v>
      </c>
      <c r="U72" s="41">
        <v>823.45687731739997</v>
      </c>
      <c r="V72" s="3">
        <v>9470</v>
      </c>
      <c r="W72" s="3">
        <v>8.6954263708278773E-2</v>
      </c>
    </row>
    <row r="73" spans="1:23" x14ac:dyDescent="0.25">
      <c r="B73" s="97"/>
      <c r="C73" s="44"/>
      <c r="D73" s="45"/>
      <c r="E73" s="44"/>
      <c r="F73" s="46"/>
      <c r="G73" s="44"/>
      <c r="H73" s="44"/>
      <c r="I73" s="44"/>
      <c r="J73" s="44"/>
      <c r="K73" s="44"/>
      <c r="L73" s="44"/>
      <c r="M73" s="44"/>
      <c r="N73" s="50"/>
      <c r="O73" s="50"/>
      <c r="P73" s="50"/>
      <c r="R73" s="50"/>
      <c r="T73" s="50"/>
      <c r="U73" s="50"/>
    </row>
    <row r="74" spans="1:23" x14ac:dyDescent="0.25">
      <c r="A74" s="93" t="s">
        <v>3</v>
      </c>
      <c r="B74" s="98">
        <v>2010</v>
      </c>
      <c r="C74" s="4" t="s">
        <v>20</v>
      </c>
      <c r="D74" s="2">
        <v>152250</v>
      </c>
      <c r="E74" s="3">
        <v>722300</v>
      </c>
      <c r="F74" s="3">
        <f t="shared" si="1"/>
        <v>0.21078499238543541</v>
      </c>
      <c r="G74" s="39">
        <v>11.5204</v>
      </c>
      <c r="H74" s="39">
        <v>2.3445999999999998</v>
      </c>
      <c r="I74" s="40">
        <f>SUM(G74:H74)</f>
        <v>13.865</v>
      </c>
      <c r="J74" s="40">
        <v>2.1890000000000001</v>
      </c>
      <c r="K74" s="40">
        <v>0.48380000000000001</v>
      </c>
      <c r="L74" s="40">
        <v>1.4555</v>
      </c>
      <c r="M74" s="40">
        <v>0.1371</v>
      </c>
      <c r="N74" s="41">
        <v>337.25598781669663</v>
      </c>
      <c r="O74" s="41">
        <v>4765.6378928423092</v>
      </c>
      <c r="P74" s="41">
        <v>229.44</v>
      </c>
      <c r="Q74" s="3">
        <v>101.39</v>
      </c>
      <c r="R74" s="41">
        <v>1.3900000000000148</v>
      </c>
      <c r="S74" s="3">
        <v>-1.39</v>
      </c>
      <c r="T74" s="41">
        <v>713.7</v>
      </c>
      <c r="U74" s="41">
        <v>458.00241496598642</v>
      </c>
      <c r="V74" s="3">
        <v>563</v>
      </c>
      <c r="W74" s="3">
        <v>0.81350340136054422</v>
      </c>
    </row>
    <row r="75" spans="1:23" x14ac:dyDescent="0.25">
      <c r="A75" s="94"/>
      <c r="B75" s="98"/>
      <c r="C75" s="4" t="s">
        <v>21</v>
      </c>
      <c r="D75" s="2">
        <v>16960</v>
      </c>
      <c r="E75" s="3">
        <v>486000</v>
      </c>
      <c r="F75" s="3">
        <f t="shared" si="1"/>
        <v>3.4897119341563788E-2</v>
      </c>
      <c r="G75" s="39"/>
      <c r="H75" s="39"/>
      <c r="I75" s="40">
        <v>0.14213999999999999</v>
      </c>
      <c r="J75" s="40">
        <v>2.8840000000000001E-2</v>
      </c>
      <c r="K75" s="40">
        <v>2.1024360000000006E-2</v>
      </c>
      <c r="L75" s="40">
        <v>0.10875564</v>
      </c>
      <c r="M75" s="40">
        <v>0</v>
      </c>
      <c r="N75" s="41">
        <v>36662.913580246917</v>
      </c>
      <c r="O75" s="41">
        <v>8936.9777777777781</v>
      </c>
      <c r="P75" s="41">
        <v>85.522959999999998</v>
      </c>
      <c r="Q75" s="3">
        <v>21.127359999999999</v>
      </c>
      <c r="R75" s="41">
        <v>0</v>
      </c>
      <c r="S75" s="3"/>
      <c r="T75" s="41">
        <v>136.68</v>
      </c>
      <c r="U75" s="41">
        <v>11.522666666666668</v>
      </c>
      <c r="V75" s="3">
        <v>89.9</v>
      </c>
      <c r="W75" s="3">
        <v>0.12817204301075269</v>
      </c>
    </row>
    <row r="76" spans="1:23" x14ac:dyDescent="0.25">
      <c r="A76" s="94"/>
      <c r="B76" s="98"/>
      <c r="C76" s="4" t="s">
        <v>22</v>
      </c>
      <c r="D76" s="2">
        <v>143240</v>
      </c>
      <c r="E76" s="3">
        <v>425800</v>
      </c>
      <c r="F76" s="3">
        <f t="shared" si="1"/>
        <v>0.33640206669798028</v>
      </c>
      <c r="G76" s="42">
        <v>24.96</v>
      </c>
      <c r="H76" s="42">
        <v>1.3752</v>
      </c>
      <c r="I76" s="40">
        <f>SUM(G76:H76)</f>
        <v>26.3352</v>
      </c>
      <c r="J76" s="40">
        <v>10.1584</v>
      </c>
      <c r="K76" s="40">
        <v>1.4180999999999999</v>
      </c>
      <c r="L76" s="40">
        <v>4.8853999999999997</v>
      </c>
      <c r="M76" s="40">
        <v>1.1644000000000001</v>
      </c>
      <c r="N76" s="41">
        <v>4137.7454203851576</v>
      </c>
      <c r="O76" s="41">
        <v>17237.578299671208</v>
      </c>
      <c r="P76" s="41">
        <v>85.063000000000002</v>
      </c>
      <c r="Q76" s="3">
        <v>35</v>
      </c>
      <c r="R76" s="41">
        <v>3.1689999999999969</v>
      </c>
      <c r="S76" s="3">
        <v>31.827999999999999</v>
      </c>
      <c r="T76" s="41">
        <v>627.56600000000003</v>
      </c>
      <c r="U76" s="41">
        <v>1787.6167561496354</v>
      </c>
      <c r="V76" s="3">
        <v>2560</v>
      </c>
      <c r="W76" s="3">
        <v>0.69828779537095131</v>
      </c>
    </row>
    <row r="77" spans="1:23" x14ac:dyDescent="0.25">
      <c r="A77" s="94"/>
      <c r="B77" s="98"/>
      <c r="C77" s="4" t="s">
        <v>23</v>
      </c>
      <c r="D77" s="2">
        <v>51393</v>
      </c>
      <c r="E77" s="4">
        <v>66400</v>
      </c>
      <c r="F77" s="3">
        <f t="shared" si="1"/>
        <v>0.77399096385542165</v>
      </c>
      <c r="G77" s="3">
        <v>59.730000000000004</v>
      </c>
      <c r="H77" s="3">
        <v>5.6999999999999993</v>
      </c>
      <c r="I77" s="43">
        <v>65.430000000000007</v>
      </c>
      <c r="J77" s="43">
        <v>4.63</v>
      </c>
      <c r="K77" s="43">
        <v>0.4</v>
      </c>
      <c r="L77" s="43">
        <v>1.25</v>
      </c>
      <c r="M77" s="43">
        <v>1.4200000000000002</v>
      </c>
      <c r="N77" s="41">
        <v>69659.186746987951</v>
      </c>
      <c r="O77" s="41">
        <v>31465.054653614457</v>
      </c>
      <c r="P77" s="41">
        <v>6.9829999999999997</v>
      </c>
      <c r="Q77" s="3">
        <v>22.765000000000001</v>
      </c>
      <c r="R77" s="41">
        <v>2.3389999999999995</v>
      </c>
      <c r="S77" s="3">
        <v>20.425999999999998</v>
      </c>
      <c r="T77" s="41">
        <v>151.78899999999999</v>
      </c>
      <c r="U77" s="41">
        <v>632.87681137724542</v>
      </c>
      <c r="V77" s="3">
        <v>633</v>
      </c>
      <c r="W77" s="3">
        <v>0.99980538922155671</v>
      </c>
    </row>
    <row r="78" spans="1:23" x14ac:dyDescent="0.25">
      <c r="A78" s="94"/>
      <c r="B78" s="98"/>
      <c r="C78" s="4" t="s">
        <v>24</v>
      </c>
      <c r="D78" s="2">
        <v>150962</v>
      </c>
      <c r="E78" s="3">
        <v>1183000</v>
      </c>
      <c r="F78" s="3">
        <f t="shared" si="1"/>
        <v>0.12760946745562129</v>
      </c>
      <c r="G78" s="39"/>
      <c r="H78" s="39"/>
      <c r="I78" s="40">
        <v>72.89</v>
      </c>
      <c r="J78" s="40">
        <v>9.89</v>
      </c>
      <c r="K78" s="40">
        <v>1.2200000000000002</v>
      </c>
      <c r="L78" s="40">
        <v>2.44</v>
      </c>
      <c r="M78" s="40">
        <v>1.26</v>
      </c>
      <c r="N78" s="41">
        <v>14521.957396449705</v>
      </c>
      <c r="O78" s="41">
        <v>11810.00099408284</v>
      </c>
      <c r="P78" s="41">
        <v>12.18</v>
      </c>
      <c r="Q78" s="3"/>
      <c r="R78" s="41">
        <v>32.69</v>
      </c>
      <c r="S78" s="3"/>
      <c r="T78" s="41">
        <v>401.14</v>
      </c>
      <c r="U78" s="41">
        <v>993.01352449223418</v>
      </c>
      <c r="V78" s="3">
        <v>2472</v>
      </c>
      <c r="W78" s="3">
        <v>0.40170450019912385</v>
      </c>
    </row>
    <row r="79" spans="1:23" x14ac:dyDescent="0.25">
      <c r="A79" s="94"/>
      <c r="B79" s="98"/>
      <c r="C79" s="4" t="s">
        <v>25</v>
      </c>
      <c r="D79" s="2">
        <v>133300.52000000002</v>
      </c>
      <c r="E79" s="4">
        <v>205600</v>
      </c>
      <c r="F79" s="3">
        <f t="shared" si="1"/>
        <v>0.64834883268482502</v>
      </c>
      <c r="G79" s="42">
        <f>26.36+5.08</f>
        <v>31.439999999999998</v>
      </c>
      <c r="H79" s="42">
        <f>4.75+0.89</f>
        <v>5.64</v>
      </c>
      <c r="I79" s="40">
        <f>G79+H79</f>
        <v>37.08</v>
      </c>
      <c r="J79" s="40">
        <f>8.29+2.05</f>
        <v>10.34</v>
      </c>
      <c r="K79" s="40">
        <f>1.7+0.19</f>
        <v>1.89</v>
      </c>
      <c r="L79" s="40">
        <f>7.14+1.06</f>
        <v>8.1999999999999993</v>
      </c>
      <c r="M79" s="40">
        <f>0.84+0.08</f>
        <v>0.91999999999999993</v>
      </c>
      <c r="N79" s="41">
        <v>39160.269494163433</v>
      </c>
      <c r="O79" s="41">
        <v>74996.45452315177</v>
      </c>
      <c r="P79" s="41">
        <v>92.46</v>
      </c>
      <c r="Q79" s="3">
        <v>69.400000000000006</v>
      </c>
      <c r="R79" s="41">
        <v>20.910000000000011</v>
      </c>
      <c r="S79" s="3">
        <v>48.49</v>
      </c>
      <c r="T79" s="41">
        <v>747.02</v>
      </c>
      <c r="U79" s="41">
        <v>2934.6511030015649</v>
      </c>
      <c r="V79" s="3">
        <v>3735</v>
      </c>
      <c r="W79" s="3">
        <v>0.78571649344084737</v>
      </c>
    </row>
    <row r="80" spans="1:23" x14ac:dyDescent="0.25">
      <c r="A80" s="94"/>
      <c r="B80" s="98"/>
      <c r="C80" s="4" t="s">
        <v>26</v>
      </c>
      <c r="D80" s="2">
        <v>97138</v>
      </c>
      <c r="E80" s="4">
        <v>156700</v>
      </c>
      <c r="F80" s="3">
        <f t="shared" si="1"/>
        <v>0.61989789406509255</v>
      </c>
      <c r="G80" s="42">
        <v>24.32</v>
      </c>
      <c r="H80" s="42">
        <v>2.37</v>
      </c>
      <c r="I80" s="40">
        <v>26.69</v>
      </c>
      <c r="J80" s="40">
        <v>8.83</v>
      </c>
      <c r="K80" s="40">
        <v>1.65</v>
      </c>
      <c r="L80" s="40">
        <v>4.5999999999999996</v>
      </c>
      <c r="M80" s="40">
        <v>2.2400000000000002</v>
      </c>
      <c r="N80" s="41">
        <v>19650.763241863435</v>
      </c>
      <c r="O80" s="41">
        <v>73333.300970006385</v>
      </c>
      <c r="P80" s="41">
        <v>31.77</v>
      </c>
      <c r="Q80" s="3"/>
      <c r="R80" s="41">
        <v>24.529999999999998</v>
      </c>
      <c r="S80" s="3"/>
      <c r="T80" s="41">
        <v>470.98</v>
      </c>
      <c r="U80" s="41">
        <v>2347.5446172926981</v>
      </c>
      <c r="V80" s="3">
        <v>3574</v>
      </c>
      <c r="W80" s="3">
        <v>0.65683956835274149</v>
      </c>
    </row>
    <row r="81" spans="1:23" x14ac:dyDescent="0.25">
      <c r="A81" s="94"/>
      <c r="B81" s="98"/>
      <c r="C81" s="4" t="s">
        <v>27</v>
      </c>
      <c r="D81" s="2">
        <v>36164</v>
      </c>
      <c r="E81" s="4">
        <v>167000</v>
      </c>
      <c r="F81" s="3">
        <f t="shared" si="1"/>
        <v>0.2165508982035928</v>
      </c>
      <c r="G81" s="42"/>
      <c r="H81" s="42"/>
      <c r="I81" s="40">
        <v>28.45</v>
      </c>
      <c r="J81" s="40">
        <v>14.749000000000001</v>
      </c>
      <c r="K81" s="40">
        <v>1.1408337999999998</v>
      </c>
      <c r="L81" s="40">
        <v>4.3260594000000001</v>
      </c>
      <c r="M81" s="40">
        <v>1.8791068000000002</v>
      </c>
      <c r="N81" s="41">
        <v>125296.34970059879</v>
      </c>
      <c r="O81" s="41">
        <v>77672.25961676646</v>
      </c>
      <c r="P81" s="41">
        <v>54.716999999999999</v>
      </c>
      <c r="Q81" s="3">
        <v>39.546999999999997</v>
      </c>
      <c r="R81" s="41">
        <v>18.5</v>
      </c>
      <c r="S81" s="3">
        <v>21.047000000000001</v>
      </c>
      <c r="T81" s="41">
        <v>256.14961199999999</v>
      </c>
      <c r="U81" s="41">
        <v>1777.3331819392408</v>
      </c>
      <c r="V81" s="3">
        <v>9405</v>
      </c>
      <c r="W81" s="3">
        <v>0.18897747814345994</v>
      </c>
    </row>
    <row r="82" spans="1:23" x14ac:dyDescent="0.25">
      <c r="A82" s="95"/>
      <c r="B82" s="98"/>
      <c r="C82" s="4" t="s">
        <v>28</v>
      </c>
      <c r="D82" s="2">
        <v>13633</v>
      </c>
      <c r="E82" s="4">
        <v>157900</v>
      </c>
      <c r="F82" s="3">
        <f t="shared" si="1"/>
        <v>8.6339455351488278E-2</v>
      </c>
      <c r="G82" s="42">
        <v>8.32</v>
      </c>
      <c r="H82" s="42">
        <v>2.71</v>
      </c>
      <c r="I82" s="40">
        <f>SUM(G82:H82)</f>
        <v>11.030000000000001</v>
      </c>
      <c r="J82" s="40">
        <v>2.65</v>
      </c>
      <c r="K82" s="40">
        <v>0.65</v>
      </c>
      <c r="L82" s="40">
        <v>1.85</v>
      </c>
      <c r="M82" s="40">
        <v>0.46</v>
      </c>
      <c r="N82" s="41">
        <v>118673.58138062064</v>
      </c>
      <c r="O82" s="41">
        <v>37676.120810639644</v>
      </c>
      <c r="P82" s="41">
        <v>15.06</v>
      </c>
      <c r="Q82" s="3"/>
      <c r="R82" s="41">
        <v>6.2699999999999978</v>
      </c>
      <c r="S82" s="3"/>
      <c r="T82" s="41">
        <v>94.57</v>
      </c>
      <c r="U82" s="41">
        <v>833.71748043497689</v>
      </c>
      <c r="V82" s="3">
        <v>9588</v>
      </c>
      <c r="W82" s="3">
        <v>8.6954263708278773E-2</v>
      </c>
    </row>
    <row r="83" spans="1:23" x14ac:dyDescent="0.25">
      <c r="F83" s="46"/>
      <c r="N83" s="50"/>
      <c r="O83" s="50"/>
      <c r="R83" s="50"/>
      <c r="T83" s="50"/>
      <c r="U83" s="50"/>
    </row>
    <row r="84" spans="1:23" x14ac:dyDescent="0.25">
      <c r="A84" s="93" t="s">
        <v>3</v>
      </c>
      <c r="B84" s="98">
        <v>2011</v>
      </c>
      <c r="C84" s="4" t="s">
        <v>20</v>
      </c>
      <c r="D84" s="2">
        <v>152250</v>
      </c>
      <c r="E84" s="4">
        <v>722300</v>
      </c>
      <c r="F84" s="3">
        <f t="shared" si="1"/>
        <v>0.21078499238543541</v>
      </c>
      <c r="G84" s="42">
        <v>11.785399999999999</v>
      </c>
      <c r="H84" s="42">
        <v>1.9359</v>
      </c>
      <c r="I84" s="40">
        <f>SUM(G84:H84)</f>
        <v>13.721299999999999</v>
      </c>
      <c r="J84" s="40">
        <v>2.2803</v>
      </c>
      <c r="K84" s="40">
        <v>0.55330000000000001</v>
      </c>
      <c r="L84" s="40">
        <v>1.4785999999999999</v>
      </c>
      <c r="M84" s="40">
        <v>0.24679999999999999</v>
      </c>
      <c r="N84" s="41">
        <v>695.59047487193686</v>
      </c>
      <c r="O84" s="41">
        <v>4488.034057870691</v>
      </c>
      <c r="P84" s="41">
        <v>215.26</v>
      </c>
      <c r="Q84" s="3">
        <v>96.51</v>
      </c>
      <c r="R84" s="41">
        <v>0.56000000000000227</v>
      </c>
      <c r="S84" s="3">
        <v>0.56000000000000005</v>
      </c>
      <c r="T84" s="41">
        <v>742</v>
      </c>
      <c r="U84" s="41">
        <v>462.06993197278911</v>
      </c>
      <c r="V84" s="3">
        <v>568</v>
      </c>
      <c r="W84" s="3">
        <v>0.81350340136054422</v>
      </c>
    </row>
    <row r="85" spans="1:23" x14ac:dyDescent="0.25">
      <c r="A85" s="94"/>
      <c r="B85" s="98"/>
      <c r="C85" s="4" t="s">
        <v>21</v>
      </c>
      <c r="D85" s="2">
        <v>16960</v>
      </c>
      <c r="E85" s="4">
        <v>486000</v>
      </c>
      <c r="F85" s="3">
        <f t="shared" si="1"/>
        <v>3.4897119341563788E-2</v>
      </c>
      <c r="G85" s="42"/>
      <c r="H85" s="42"/>
      <c r="I85" s="43">
        <v>0.25750000000000001</v>
      </c>
      <c r="J85" s="40">
        <v>3.5020000000000003E-2</v>
      </c>
      <c r="K85" s="40">
        <v>2.8366199999999998E-2</v>
      </c>
      <c r="L85" s="40">
        <v>0.1467338</v>
      </c>
      <c r="M85" s="40">
        <v>0</v>
      </c>
      <c r="N85" s="41">
        <v>39119.670781893008</v>
      </c>
      <c r="O85" s="41">
        <v>9766.0286419753102</v>
      </c>
      <c r="P85" s="41">
        <v>94.234699999999989</v>
      </c>
      <c r="Q85" s="3">
        <v>25.857119999999998</v>
      </c>
      <c r="R85" s="41">
        <v>0</v>
      </c>
      <c r="S85" s="3">
        <v>0</v>
      </c>
      <c r="T85" s="41">
        <v>156.26900000000001</v>
      </c>
      <c r="U85" s="41">
        <v>11.561118279569893</v>
      </c>
      <c r="V85" s="3">
        <v>90.2</v>
      </c>
      <c r="W85" s="3">
        <v>0.12817204301075269</v>
      </c>
    </row>
    <row r="86" spans="1:23" x14ac:dyDescent="0.25">
      <c r="A86" s="94"/>
      <c r="B86" s="98"/>
      <c r="C86" s="4" t="s">
        <v>22</v>
      </c>
      <c r="D86" s="2">
        <v>143240</v>
      </c>
      <c r="E86" s="4">
        <v>425800</v>
      </c>
      <c r="F86" s="3">
        <f t="shared" si="1"/>
        <v>0.33640206669798028</v>
      </c>
      <c r="G86" s="42">
        <v>24.8185</v>
      </c>
      <c r="H86" s="42">
        <v>1.2725</v>
      </c>
      <c r="I86" s="40">
        <v>26.091999999999999</v>
      </c>
      <c r="J86" s="40">
        <v>11.2507</v>
      </c>
      <c r="K86" s="40">
        <v>1.3928</v>
      </c>
      <c r="L86" s="40">
        <v>4.8853999999999997</v>
      </c>
      <c r="M86" s="40">
        <v>1.1478999999999999</v>
      </c>
      <c r="N86" s="41">
        <v>4373.226867073744</v>
      </c>
      <c r="O86" s="41">
        <v>19925.767214654767</v>
      </c>
      <c r="P86" s="41">
        <v>95.421999999999997</v>
      </c>
      <c r="Q86" s="3">
        <v>39.052999999999997</v>
      </c>
      <c r="R86" s="41">
        <v>3.0050000000000097</v>
      </c>
      <c r="S86" s="3">
        <v>-36.046999999999997</v>
      </c>
      <c r="T86" s="41">
        <v>683.73199999999997</v>
      </c>
      <c r="U86" s="41">
        <v>1790.4099073311193</v>
      </c>
      <c r="V86" s="3">
        <v>2564</v>
      </c>
      <c r="W86" s="3">
        <v>0.69828779537095131</v>
      </c>
    </row>
    <row r="87" spans="1:23" x14ac:dyDescent="0.25">
      <c r="A87" s="94"/>
      <c r="B87" s="98"/>
      <c r="C87" s="4" t="s">
        <v>23</v>
      </c>
      <c r="D87" s="2">
        <v>51393</v>
      </c>
      <c r="E87" s="4">
        <v>66400</v>
      </c>
      <c r="F87" s="3">
        <f t="shared" si="1"/>
        <v>0.77399096385542165</v>
      </c>
      <c r="G87" s="42">
        <v>61.04</v>
      </c>
      <c r="H87" s="42">
        <v>5.0599999999999996</v>
      </c>
      <c r="I87" s="40">
        <f>SUM(G87:H87)</f>
        <v>66.099999999999994</v>
      </c>
      <c r="J87" s="40">
        <v>4.5999999999999996</v>
      </c>
      <c r="K87" s="40">
        <v>0.45</v>
      </c>
      <c r="L87" s="40">
        <v>1.28</v>
      </c>
      <c r="M87" s="40">
        <v>1</v>
      </c>
      <c r="N87" s="41">
        <v>81269.051204819276</v>
      </c>
      <c r="O87" s="41">
        <v>30520.011686746988</v>
      </c>
      <c r="P87" s="41">
        <v>6.867</v>
      </c>
      <c r="Q87" s="3">
        <v>21.568000000000001</v>
      </c>
      <c r="R87" s="41">
        <v>2.3839999999999995</v>
      </c>
      <c r="S87" s="3">
        <v>-19.184000000000001</v>
      </c>
      <c r="T87" s="41">
        <v>147.52699999999999</v>
      </c>
      <c r="U87" s="41">
        <v>638.87564371257474</v>
      </c>
      <c r="V87" s="3">
        <v>639</v>
      </c>
      <c r="W87" s="3">
        <v>0.99980538922155671</v>
      </c>
    </row>
    <row r="88" spans="1:23" x14ac:dyDescent="0.25">
      <c r="A88" s="94"/>
      <c r="B88" s="98"/>
      <c r="C88" s="4" t="s">
        <v>24</v>
      </c>
      <c r="D88" s="2">
        <v>150962</v>
      </c>
      <c r="E88" s="4">
        <v>1183000</v>
      </c>
      <c r="F88" s="3">
        <f t="shared" si="1"/>
        <v>0.12760946745562129</v>
      </c>
      <c r="G88" s="42">
        <v>68.819999999999993</v>
      </c>
      <c r="H88" s="4">
        <v>5.85</v>
      </c>
      <c r="I88" s="40">
        <f>SUM(G88:H88)</f>
        <v>74.669999999999987</v>
      </c>
      <c r="J88" s="43">
        <v>10.98</v>
      </c>
      <c r="K88" s="43">
        <v>1.22</v>
      </c>
      <c r="L88" s="43">
        <v>2.5999999999999996</v>
      </c>
      <c r="M88" s="43">
        <v>1.5899999999999999</v>
      </c>
      <c r="N88" s="41">
        <v>15695.964497041419</v>
      </c>
      <c r="O88" s="41">
        <v>12810.586828402365</v>
      </c>
      <c r="P88" s="41">
        <v>10.15</v>
      </c>
      <c r="Q88" s="3">
        <v>43.08</v>
      </c>
      <c r="R88" s="41">
        <v>29.03</v>
      </c>
      <c r="S88" s="3">
        <v>14.049999999999999</v>
      </c>
      <c r="T88" s="41">
        <v>315</v>
      </c>
      <c r="U88" s="41">
        <v>997.03056949422535</v>
      </c>
      <c r="V88" s="3">
        <v>2482</v>
      </c>
      <c r="W88" s="3">
        <v>0.40170450019912385</v>
      </c>
    </row>
    <row r="89" spans="1:23" x14ac:dyDescent="0.25">
      <c r="A89" s="94"/>
      <c r="B89" s="98"/>
      <c r="C89" s="4" t="s">
        <v>25</v>
      </c>
      <c r="D89" s="2">
        <v>133300.52000000002</v>
      </c>
      <c r="E89" s="4">
        <v>205600</v>
      </c>
      <c r="F89" s="3">
        <f t="shared" si="1"/>
        <v>0.64834883268482502</v>
      </c>
      <c r="G89" s="42">
        <v>31.25</v>
      </c>
      <c r="H89" s="42">
        <v>5.88</v>
      </c>
      <c r="I89" s="40">
        <f>SUM(G89:H89)</f>
        <v>37.130000000000003</v>
      </c>
      <c r="J89" s="40">
        <v>10.82</v>
      </c>
      <c r="K89" s="40">
        <v>2.1</v>
      </c>
      <c r="L89" s="40">
        <v>9.01</v>
      </c>
      <c r="M89" s="40">
        <v>1.48</v>
      </c>
      <c r="N89" s="41">
        <v>53164.604280155654</v>
      </c>
      <c r="O89" s="41">
        <v>78978.613053501962</v>
      </c>
      <c r="P89" s="41">
        <v>114.42</v>
      </c>
      <c r="Q89" s="3">
        <v>79.81</v>
      </c>
      <c r="R89" s="41">
        <v>24.230000000000004</v>
      </c>
      <c r="S89" s="3">
        <v>55.58</v>
      </c>
      <c r="T89" s="41">
        <v>872.62</v>
      </c>
      <c r="U89" s="41">
        <v>2940.9368349490919</v>
      </c>
      <c r="V89" s="3">
        <v>3743</v>
      </c>
      <c r="W89" s="3">
        <v>0.78571649344084737</v>
      </c>
    </row>
    <row r="90" spans="1:23" x14ac:dyDescent="0.25">
      <c r="A90" s="94"/>
      <c r="B90" s="98"/>
      <c r="C90" s="4" t="s">
        <v>26</v>
      </c>
      <c r="D90" s="2">
        <v>97138</v>
      </c>
      <c r="E90" s="4">
        <v>156700</v>
      </c>
      <c r="F90" s="3">
        <f t="shared" si="1"/>
        <v>0.61989789406509255</v>
      </c>
      <c r="G90" s="42">
        <v>24.406399999999998</v>
      </c>
      <c r="H90" s="42">
        <v>5.6052999999999988</v>
      </c>
      <c r="I90" s="40">
        <f>SUM(G90:H90)</f>
        <v>30.011699999999998</v>
      </c>
      <c r="J90" s="40">
        <v>8.8915000000000006</v>
      </c>
      <c r="K90" s="40">
        <v>2.0495999999999999</v>
      </c>
      <c r="L90" s="40">
        <v>6.1159000000000008</v>
      </c>
      <c r="M90" s="40">
        <v>2.2785999999999995</v>
      </c>
      <c r="N90" s="41">
        <v>22316.324186343332</v>
      </c>
      <c r="O90" s="41">
        <v>71989.982233567323</v>
      </c>
      <c r="P90" s="41">
        <v>50.4482</v>
      </c>
      <c r="Q90" s="3">
        <v>60.972099999999998</v>
      </c>
      <c r="R90" s="41">
        <v>34.347999999999999</v>
      </c>
      <c r="S90" s="3">
        <v>-26.624099999999999</v>
      </c>
      <c r="T90" s="41">
        <v>630.88</v>
      </c>
      <c r="U90" s="41">
        <v>2360.0245690914003</v>
      </c>
      <c r="V90" s="3">
        <v>3593</v>
      </c>
      <c r="W90" s="3">
        <v>0.65683956835274149</v>
      </c>
    </row>
    <row r="91" spans="1:23" x14ac:dyDescent="0.25">
      <c r="A91" s="94"/>
      <c r="B91" s="98"/>
      <c r="C91" s="4" t="s">
        <v>27</v>
      </c>
      <c r="D91" s="2">
        <v>36164</v>
      </c>
      <c r="E91" s="4">
        <v>167000</v>
      </c>
      <c r="F91" s="3">
        <f t="shared" si="1"/>
        <v>0.2165508982035928</v>
      </c>
      <c r="G91" s="42"/>
      <c r="H91" s="42"/>
      <c r="I91" s="40">
        <v>27.715</v>
      </c>
      <c r="J91" s="40">
        <v>15.176</v>
      </c>
      <c r="K91" s="40">
        <v>1.1237507999999998</v>
      </c>
      <c r="L91" s="40">
        <v>4.2612803999999995</v>
      </c>
      <c r="M91" s="40">
        <v>1.8509688000000002</v>
      </c>
      <c r="N91" s="41">
        <v>141840.83832335329</v>
      </c>
      <c r="O91" s="41">
        <v>82026.2319760479</v>
      </c>
      <c r="P91" s="41">
        <v>61.04</v>
      </c>
      <c r="Q91" s="3">
        <v>44.152000000000001</v>
      </c>
      <c r="R91" s="41">
        <v>19.005000000000003</v>
      </c>
      <c r="S91" s="3">
        <v>-25.146000000000001</v>
      </c>
      <c r="T91" s="41">
        <v>286.45499999999998</v>
      </c>
      <c r="U91" s="41">
        <v>1774.1205648108019</v>
      </c>
      <c r="V91" s="3">
        <v>9388</v>
      </c>
      <c r="W91" s="3">
        <v>0.18897747814345994</v>
      </c>
    </row>
    <row r="92" spans="1:23" x14ac:dyDescent="0.25">
      <c r="A92" s="95"/>
      <c r="B92" s="98"/>
      <c r="C92" s="4" t="s">
        <v>28</v>
      </c>
      <c r="D92" s="2">
        <v>13633</v>
      </c>
      <c r="E92" s="4">
        <v>157900</v>
      </c>
      <c r="F92" s="3">
        <f t="shared" si="1"/>
        <v>8.6339455351488278E-2</v>
      </c>
      <c r="G92" s="42">
        <v>7.92</v>
      </c>
      <c r="H92" s="42">
        <v>2.91</v>
      </c>
      <c r="I92" s="40">
        <f>SUM(G92:H92)</f>
        <v>10.83</v>
      </c>
      <c r="J92" s="43">
        <v>2.5299999999999998</v>
      </c>
      <c r="K92" s="43">
        <v>0.92</v>
      </c>
      <c r="L92" s="43">
        <v>1.94</v>
      </c>
      <c r="M92" s="40">
        <v>0.66</v>
      </c>
      <c r="N92" s="41">
        <v>128732.12792906903</v>
      </c>
      <c r="O92" s="41">
        <v>38276.95708043065</v>
      </c>
      <c r="P92" s="41">
        <v>25.78</v>
      </c>
      <c r="Q92" s="3">
        <v>6.56</v>
      </c>
      <c r="R92" s="41">
        <v>6.5600000000000023</v>
      </c>
      <c r="S92" s="3">
        <v>6.56</v>
      </c>
      <c r="T92" s="41">
        <v>109.8</v>
      </c>
      <c r="U92" s="41">
        <v>837.97823935668248</v>
      </c>
      <c r="V92" s="3">
        <v>9637</v>
      </c>
      <c r="W92" s="3">
        <v>8.6954263708278773E-2</v>
      </c>
    </row>
    <row r="93" spans="1:23" x14ac:dyDescent="0.25">
      <c r="B93" s="97"/>
      <c r="C93" s="44"/>
      <c r="D93" s="45"/>
      <c r="E93" s="44"/>
      <c r="F93" s="46"/>
      <c r="G93" s="44"/>
      <c r="H93" s="44"/>
      <c r="I93" s="44"/>
      <c r="J93" s="44"/>
      <c r="K93" s="44"/>
      <c r="L93" s="44"/>
      <c r="M93" s="44"/>
      <c r="N93" s="50"/>
      <c r="O93" s="50"/>
      <c r="P93" s="50"/>
      <c r="R93" s="50"/>
      <c r="T93" s="50"/>
      <c r="U93" s="50"/>
    </row>
    <row r="94" spans="1:23" x14ac:dyDescent="0.25">
      <c r="A94" s="93" t="s">
        <v>3</v>
      </c>
      <c r="B94" s="98">
        <v>2012</v>
      </c>
      <c r="C94" s="4" t="s">
        <v>20</v>
      </c>
      <c r="D94" s="2">
        <v>152250</v>
      </c>
      <c r="E94" s="4">
        <v>722300</v>
      </c>
      <c r="F94" s="3">
        <f t="shared" si="1"/>
        <v>0.21078499238543541</v>
      </c>
      <c r="G94" s="42">
        <v>8.8986999999999998</v>
      </c>
      <c r="H94" s="42">
        <v>1.7839</v>
      </c>
      <c r="I94" s="40">
        <f>SUM(G94:H94)</f>
        <v>10.682600000000001</v>
      </c>
      <c r="J94" s="40">
        <v>1.2350000000000001</v>
      </c>
      <c r="K94" s="40">
        <v>0.81100000000000005</v>
      </c>
      <c r="L94" s="40">
        <v>0.99729999999999996</v>
      </c>
      <c r="M94" s="40">
        <v>0.16300000000000001</v>
      </c>
      <c r="N94" s="41">
        <v>948.53246573445938</v>
      </c>
      <c r="O94" s="41">
        <v>4636.0051225252664</v>
      </c>
      <c r="P94" s="41">
        <v>289.67</v>
      </c>
      <c r="Q94" s="3">
        <v>127.65</v>
      </c>
      <c r="R94" s="41">
        <v>0.62999999999999545</v>
      </c>
      <c r="S94" s="3">
        <v>0.63</v>
      </c>
      <c r="T94" s="41">
        <v>819.1</v>
      </c>
      <c r="U94" s="41">
        <v>466.13744897959185</v>
      </c>
      <c r="V94" s="3">
        <v>573</v>
      </c>
      <c r="W94" s="3">
        <v>0.81350340136054422</v>
      </c>
    </row>
    <row r="95" spans="1:23" x14ac:dyDescent="0.25">
      <c r="A95" s="94"/>
      <c r="B95" s="98"/>
      <c r="C95" s="4" t="s">
        <v>21</v>
      </c>
      <c r="D95" s="2">
        <v>16960</v>
      </c>
      <c r="E95" s="4">
        <v>486000</v>
      </c>
      <c r="F95" s="3">
        <f t="shared" si="1"/>
        <v>3.4897119341563788E-2</v>
      </c>
      <c r="G95" s="42"/>
      <c r="H95" s="42"/>
      <c r="I95" s="40">
        <v>0.216</v>
      </c>
      <c r="J95" s="40">
        <v>0.03</v>
      </c>
      <c r="K95" s="40">
        <v>2.4E-2</v>
      </c>
      <c r="L95" s="40">
        <v>6.6000000000000003E-2</v>
      </c>
      <c r="M95" s="40">
        <v>2.0600000000000002E-3</v>
      </c>
      <c r="N95" s="41">
        <v>41496.1646090535</v>
      </c>
      <c r="O95" s="41">
        <v>9898.8121810699595</v>
      </c>
      <c r="P95" s="41">
        <v>97.417399999999986</v>
      </c>
      <c r="Q95" s="3">
        <v>21.320999999999998</v>
      </c>
      <c r="R95" s="41">
        <v>0</v>
      </c>
      <c r="S95" s="3">
        <v>0</v>
      </c>
      <c r="T95" s="41">
        <v>150.02799999999999</v>
      </c>
      <c r="U95" s="41">
        <v>11.62520430107527</v>
      </c>
      <c r="V95" s="3">
        <v>90.7</v>
      </c>
      <c r="W95" s="3">
        <v>0.12817204301075269</v>
      </c>
    </row>
    <row r="96" spans="1:23" x14ac:dyDescent="0.25">
      <c r="A96" s="94"/>
      <c r="B96" s="98"/>
      <c r="C96" s="4" t="s">
        <v>22</v>
      </c>
      <c r="D96" s="2">
        <v>143240</v>
      </c>
      <c r="E96" s="4">
        <v>425800</v>
      </c>
      <c r="F96" s="3">
        <f t="shared" si="1"/>
        <v>0.33640206669798028</v>
      </c>
      <c r="G96" s="42">
        <v>24.7318</v>
      </c>
      <c r="H96" s="42">
        <v>1.2475000000000001</v>
      </c>
      <c r="I96" s="40">
        <v>25.98</v>
      </c>
      <c r="J96" s="40">
        <v>11.0785</v>
      </c>
      <c r="K96" s="40">
        <v>1.4197</v>
      </c>
      <c r="L96" s="40">
        <v>4.9424000000000001</v>
      </c>
      <c r="M96" s="40">
        <v>1.1500999999999999</v>
      </c>
      <c r="N96" s="41">
        <v>4474.147487083138</v>
      </c>
      <c r="O96" s="41">
        <v>21130.423015500237</v>
      </c>
      <c r="P96" s="41">
        <v>132.77699999999999</v>
      </c>
      <c r="Q96" s="3">
        <v>52.677</v>
      </c>
      <c r="R96" s="41">
        <v>2.8930000000000007</v>
      </c>
      <c r="S96" s="3">
        <v>-49.783999999999999</v>
      </c>
      <c r="T96" s="41">
        <v>728.63</v>
      </c>
      <c r="U96" s="41">
        <v>1800.1859364663126</v>
      </c>
      <c r="V96" s="3">
        <v>2578</v>
      </c>
      <c r="W96" s="3">
        <v>0.69828779537095131</v>
      </c>
    </row>
    <row r="97" spans="1:23" x14ac:dyDescent="0.25">
      <c r="A97" s="94"/>
      <c r="B97" s="98"/>
      <c r="C97" s="4" t="s">
        <v>23</v>
      </c>
      <c r="D97" s="2">
        <v>51393</v>
      </c>
      <c r="E97" s="4">
        <v>66400</v>
      </c>
      <c r="F97" s="3">
        <f t="shared" si="1"/>
        <v>0.77399096385542165</v>
      </c>
      <c r="G97" s="4"/>
      <c r="H97" s="4"/>
      <c r="I97" s="43">
        <v>61.093000000000004</v>
      </c>
      <c r="J97" s="43">
        <v>4.8730000000000002</v>
      </c>
      <c r="K97" s="43">
        <v>0.56000000000000005</v>
      </c>
      <c r="L97" s="43">
        <v>1.23</v>
      </c>
      <c r="M97" s="43">
        <v>1.365</v>
      </c>
      <c r="N97" s="41">
        <v>95587.884036144576</v>
      </c>
      <c r="O97" s="41">
        <v>30145.400060240961</v>
      </c>
      <c r="P97" s="41">
        <v>8.4469999999999992</v>
      </c>
      <c r="Q97" s="3">
        <v>21.542000000000002</v>
      </c>
      <c r="R97" s="41">
        <v>2.3580000000000005</v>
      </c>
      <c r="S97" s="3">
        <v>-19.184000000000001</v>
      </c>
      <c r="T97" s="41">
        <v>175.55699999999999</v>
      </c>
      <c r="U97" s="41">
        <v>646.87408682634714</v>
      </c>
      <c r="V97" s="3">
        <v>647</v>
      </c>
      <c r="W97" s="3">
        <v>0.99980538922155671</v>
      </c>
    </row>
    <row r="98" spans="1:23" x14ac:dyDescent="0.25">
      <c r="A98" s="94"/>
      <c r="B98" s="98"/>
      <c r="C98" s="4" t="s">
        <v>24</v>
      </c>
      <c r="D98" s="2">
        <v>150962</v>
      </c>
      <c r="E98" s="4">
        <v>1183000</v>
      </c>
      <c r="F98" s="3">
        <f t="shared" si="1"/>
        <v>0.12760946745562129</v>
      </c>
      <c r="G98" s="42">
        <v>61.609999999999992</v>
      </c>
      <c r="H98" s="42">
        <v>6.8599999999999994</v>
      </c>
      <c r="I98" s="40">
        <f>SUM(G98:H98)</f>
        <v>68.47</v>
      </c>
      <c r="J98" s="40">
        <v>10.43</v>
      </c>
      <c r="K98" s="40">
        <v>1.22</v>
      </c>
      <c r="L98" s="40">
        <v>3.01</v>
      </c>
      <c r="M98" s="40">
        <v>3.22</v>
      </c>
      <c r="N98" s="41">
        <v>16793.405917159762</v>
      </c>
      <c r="O98" s="41">
        <v>13070.272094674556</v>
      </c>
      <c r="P98" s="41">
        <v>13.060000000000002</v>
      </c>
      <c r="Q98" s="3">
        <v>55.53</v>
      </c>
      <c r="R98" s="41">
        <v>41.91</v>
      </c>
      <c r="S98" s="3">
        <v>13.62</v>
      </c>
      <c r="T98" s="41">
        <v>570.87</v>
      </c>
      <c r="U98" s="41">
        <v>1000.2442054958184</v>
      </c>
      <c r="V98" s="3">
        <v>2490</v>
      </c>
      <c r="W98" s="3">
        <v>0.40170450019912385</v>
      </c>
    </row>
    <row r="99" spans="1:23" x14ac:dyDescent="0.25">
      <c r="A99" s="94"/>
      <c r="B99" s="98"/>
      <c r="C99" s="4" t="s">
        <v>25</v>
      </c>
      <c r="D99" s="2">
        <v>133300.52000000002</v>
      </c>
      <c r="E99" s="4">
        <v>205600</v>
      </c>
      <c r="F99" s="3">
        <f t="shared" si="1"/>
        <v>0.64834883268482502</v>
      </c>
      <c r="G99" s="42">
        <v>31.44</v>
      </c>
      <c r="H99" s="42">
        <v>6.11</v>
      </c>
      <c r="I99" s="40">
        <f>SUM(G99:H99)</f>
        <v>37.550000000000004</v>
      </c>
      <c r="J99" s="40">
        <v>11.02</v>
      </c>
      <c r="K99" s="40">
        <v>2.15</v>
      </c>
      <c r="L99" s="40">
        <v>9.43</v>
      </c>
      <c r="M99" s="40">
        <v>1.52</v>
      </c>
      <c r="N99" s="41">
        <v>68335.966964980558</v>
      </c>
      <c r="O99" s="41">
        <v>83474.263859338535</v>
      </c>
      <c r="P99" s="41">
        <v>81.569999999999993</v>
      </c>
      <c r="Q99" s="3">
        <v>65.11</v>
      </c>
      <c r="R99" s="41">
        <v>18.760000000000005</v>
      </c>
      <c r="S99" s="3">
        <v>-46.35</v>
      </c>
      <c r="T99" s="41">
        <v>721.46</v>
      </c>
      <c r="U99" s="41">
        <v>2948.7939998835004</v>
      </c>
      <c r="V99" s="3">
        <v>3753</v>
      </c>
      <c r="W99" s="3">
        <v>0.78571649344084737</v>
      </c>
    </row>
    <row r="100" spans="1:23" x14ac:dyDescent="0.25">
      <c r="A100" s="94"/>
      <c r="B100" s="98"/>
      <c r="C100" s="4" t="s">
        <v>26</v>
      </c>
      <c r="D100" s="2">
        <v>97138</v>
      </c>
      <c r="E100" s="4">
        <v>156700</v>
      </c>
      <c r="F100" s="3">
        <f t="shared" si="1"/>
        <v>0.61989789406509255</v>
      </c>
      <c r="G100" s="42">
        <v>26.741199999999996</v>
      </c>
      <c r="H100" s="42">
        <v>1.8017000000000001</v>
      </c>
      <c r="I100" s="40">
        <f>SUM(G100:H100)</f>
        <v>28.542899999999996</v>
      </c>
      <c r="J100" s="40">
        <v>9.2782000000000018</v>
      </c>
      <c r="K100" s="40">
        <v>2.0092999999999996</v>
      </c>
      <c r="L100" s="40">
        <v>6.1353999999999997</v>
      </c>
      <c r="M100" s="40">
        <v>2.1588000000000003</v>
      </c>
      <c r="N100" s="41">
        <v>25539.793235481811</v>
      </c>
      <c r="O100" s="41">
        <v>83251.047377153795</v>
      </c>
      <c r="P100" s="41">
        <v>36.647399999999998</v>
      </c>
      <c r="Q100" s="3">
        <v>52.226300000000002</v>
      </c>
      <c r="R100" s="41">
        <v>26.121000000000002</v>
      </c>
      <c r="S100" s="3">
        <v>-26.1053</v>
      </c>
      <c r="T100" s="41">
        <v>505.79</v>
      </c>
      <c r="U100" s="41">
        <v>2371.8476813217494</v>
      </c>
      <c r="V100" s="3">
        <v>3611</v>
      </c>
      <c r="W100" s="3">
        <v>0.65683956835274149</v>
      </c>
    </row>
    <row r="101" spans="1:23" x14ac:dyDescent="0.25">
      <c r="A101" s="94"/>
      <c r="B101" s="98"/>
      <c r="C101" s="4" t="s">
        <v>27</v>
      </c>
      <c r="D101" s="2">
        <v>36164</v>
      </c>
      <c r="E101" s="4">
        <v>167000</v>
      </c>
      <c r="F101" s="3">
        <f t="shared" si="1"/>
        <v>0.2165508982035928</v>
      </c>
      <c r="G101" s="42"/>
      <c r="H101" s="42"/>
      <c r="I101" s="40">
        <v>28.931000000000001</v>
      </c>
      <c r="J101" s="40">
        <v>15.769</v>
      </c>
      <c r="K101" s="40">
        <v>1.1563637999999998</v>
      </c>
      <c r="L101" s="40">
        <v>4.3849494</v>
      </c>
      <c r="M101" s="40">
        <v>1.9046868000000001</v>
      </c>
      <c r="N101" s="41">
        <v>155310.30419161677</v>
      </c>
      <c r="O101" s="41">
        <v>87414.667976047902</v>
      </c>
      <c r="P101" s="41">
        <v>34.750999999999998</v>
      </c>
      <c r="Q101" s="3">
        <v>32.637</v>
      </c>
      <c r="R101" s="41">
        <v>13.407000000000004</v>
      </c>
      <c r="S101" s="3">
        <v>-19.231000000000002</v>
      </c>
      <c r="T101" s="41">
        <v>176.697</v>
      </c>
      <c r="U101" s="41">
        <v>1777.5221594173843</v>
      </c>
      <c r="V101" s="3">
        <v>9406</v>
      </c>
      <c r="W101" s="3">
        <v>0.18897747814345994</v>
      </c>
    </row>
    <row r="102" spans="1:23" x14ac:dyDescent="0.25">
      <c r="A102" s="95"/>
      <c r="B102" s="98"/>
      <c r="C102" s="4" t="s">
        <v>28</v>
      </c>
      <c r="D102" s="2">
        <v>13633</v>
      </c>
      <c r="E102" s="4">
        <v>157900</v>
      </c>
      <c r="F102" s="3">
        <f t="shared" si="1"/>
        <v>8.6339455351488278E-2</v>
      </c>
      <c r="G102" s="42">
        <v>8.02</v>
      </c>
      <c r="H102" s="42">
        <v>2.48</v>
      </c>
      <c r="I102" s="40">
        <f>SUM(G102:H102)</f>
        <v>10.5</v>
      </c>
      <c r="J102" s="40">
        <v>2.62</v>
      </c>
      <c r="K102" s="40">
        <v>0.84</v>
      </c>
      <c r="L102" s="40">
        <v>2.0099999999999998</v>
      </c>
      <c r="M102" s="40">
        <v>0.87</v>
      </c>
      <c r="N102" s="41">
        <v>134534.13932868902</v>
      </c>
      <c r="O102" s="41">
        <v>41365.233058898033</v>
      </c>
      <c r="P102" s="41">
        <v>12.46</v>
      </c>
      <c r="Q102" s="3">
        <v>5.27</v>
      </c>
      <c r="R102" s="41">
        <v>5.27</v>
      </c>
      <c r="S102" s="3">
        <v>5.27</v>
      </c>
      <c r="T102" s="41">
        <v>79.92</v>
      </c>
      <c r="U102" s="41">
        <v>842.15204401467986</v>
      </c>
      <c r="V102" s="3">
        <v>9685</v>
      </c>
      <c r="W102" s="3">
        <v>8.6954263708278773E-2</v>
      </c>
    </row>
    <row r="103" spans="1:23" x14ac:dyDescent="0.25">
      <c r="B103" s="97"/>
      <c r="C103" s="44"/>
      <c r="D103" s="45"/>
      <c r="E103" s="44"/>
      <c r="F103" s="46"/>
      <c r="G103" s="44"/>
      <c r="H103" s="44"/>
      <c r="I103" s="44"/>
      <c r="J103" s="44"/>
      <c r="K103" s="44"/>
      <c r="L103" s="44"/>
      <c r="M103" s="44"/>
      <c r="N103" s="50"/>
      <c r="O103" s="50"/>
      <c r="P103" s="50"/>
      <c r="R103" s="50"/>
      <c r="T103" s="50"/>
      <c r="U103" s="50"/>
    </row>
    <row r="104" spans="1:23" x14ac:dyDescent="0.25">
      <c r="A104" s="93" t="s">
        <v>3</v>
      </c>
      <c r="B104" s="98">
        <v>2013</v>
      </c>
      <c r="C104" s="4" t="s">
        <v>20</v>
      </c>
      <c r="D104" s="2">
        <v>152250</v>
      </c>
      <c r="E104" s="4">
        <v>722300</v>
      </c>
      <c r="F104" s="3">
        <f t="shared" si="1"/>
        <v>0.21078499238543541</v>
      </c>
      <c r="G104" s="42">
        <v>9.0016999999999996</v>
      </c>
      <c r="H104" s="42">
        <v>1.7889999999999999</v>
      </c>
      <c r="I104" s="40">
        <f>SUM(G104:H104)</f>
        <v>10.790699999999999</v>
      </c>
      <c r="J104" s="40">
        <v>1.3561000000000001</v>
      </c>
      <c r="K104" s="40">
        <v>0.88490000000000002</v>
      </c>
      <c r="L104" s="40">
        <v>1.0142</v>
      </c>
      <c r="M104" s="40">
        <v>0.16600000000000001</v>
      </c>
      <c r="N104" s="41">
        <v>1264.7099543126124</v>
      </c>
      <c r="O104" s="41">
        <v>4627.3629378374635</v>
      </c>
      <c r="P104" s="41">
        <v>216.38</v>
      </c>
      <c r="Q104" s="3">
        <v>94.91</v>
      </c>
      <c r="R104" s="41">
        <v>0.59000000000000341</v>
      </c>
      <c r="S104" s="3">
        <v>0.59</v>
      </c>
      <c r="T104" s="41">
        <v>677.8</v>
      </c>
      <c r="U104" s="41">
        <v>470.20496598639454</v>
      </c>
      <c r="V104" s="3">
        <v>578</v>
      </c>
      <c r="W104" s="3">
        <v>0.81350340136054422</v>
      </c>
    </row>
    <row r="105" spans="1:23" x14ac:dyDescent="0.25">
      <c r="A105" s="94"/>
      <c r="B105" s="98"/>
      <c r="C105" s="4" t="s">
        <v>21</v>
      </c>
      <c r="D105" s="2">
        <v>16960</v>
      </c>
      <c r="E105" s="4">
        <v>486000</v>
      </c>
      <c r="F105" s="3">
        <f t="shared" si="1"/>
        <v>3.4897119341563788E-2</v>
      </c>
      <c r="G105" s="42"/>
      <c r="H105" s="42"/>
      <c r="I105" s="40">
        <v>0.27293899999999999</v>
      </c>
      <c r="J105" s="40">
        <v>0.04</v>
      </c>
      <c r="K105" s="40">
        <v>2.6710000000000001E-2</v>
      </c>
      <c r="L105" s="40">
        <v>6.1800000000000001E-2</v>
      </c>
      <c r="M105" s="40">
        <v>6.1799999999999997E-3</v>
      </c>
      <c r="N105" s="41">
        <v>43991.308641975309</v>
      </c>
      <c r="O105" s="41">
        <v>10736.028971193417</v>
      </c>
      <c r="P105" s="41">
        <v>80.572779999999995</v>
      </c>
      <c r="Q105" s="3">
        <v>21.275679999999998</v>
      </c>
      <c r="R105" s="41">
        <v>0</v>
      </c>
      <c r="S105" s="3">
        <v>0</v>
      </c>
      <c r="T105" s="41">
        <v>144.482</v>
      </c>
      <c r="U105" s="41">
        <v>11.689290322580646</v>
      </c>
      <c r="V105" s="3">
        <v>91.2</v>
      </c>
      <c r="W105" s="3">
        <v>0.12817204301075269</v>
      </c>
    </row>
    <row r="106" spans="1:23" x14ac:dyDescent="0.25">
      <c r="A106" s="94"/>
      <c r="B106" s="98"/>
      <c r="C106" s="4" t="s">
        <v>22</v>
      </c>
      <c r="D106" s="2">
        <v>143240</v>
      </c>
      <c r="E106" s="4">
        <v>425800</v>
      </c>
      <c r="F106" s="3">
        <f t="shared" si="1"/>
        <v>0.33640206669798028</v>
      </c>
      <c r="G106" s="4">
        <v>24.117000000000001</v>
      </c>
      <c r="H106" s="4">
        <v>2.6406000000000001</v>
      </c>
      <c r="I106" s="43">
        <v>26.757999999999999</v>
      </c>
      <c r="J106" s="43">
        <v>7.8083999999999998</v>
      </c>
      <c r="K106" s="43">
        <v>2.0293999999999999</v>
      </c>
      <c r="L106" s="40">
        <v>3.3748</v>
      </c>
      <c r="M106" s="40">
        <v>0.70189999999999997</v>
      </c>
      <c r="N106" s="41">
        <v>4675.9887271019261</v>
      </c>
      <c r="O106" s="41">
        <v>21855.705871301081</v>
      </c>
      <c r="P106" s="41">
        <v>121.56</v>
      </c>
      <c r="Q106" s="3">
        <v>49.17</v>
      </c>
      <c r="R106" s="41">
        <v>2.9500000000000028</v>
      </c>
      <c r="S106" s="3">
        <v>-46.22</v>
      </c>
      <c r="T106" s="41">
        <v>774.24</v>
      </c>
      <c r="U106" s="41">
        <v>1802.9790876477964</v>
      </c>
      <c r="V106" s="3">
        <v>2582</v>
      </c>
      <c r="W106" s="3">
        <v>0.69828779537095131</v>
      </c>
    </row>
    <row r="107" spans="1:23" x14ac:dyDescent="0.25">
      <c r="A107" s="94"/>
      <c r="B107" s="98"/>
      <c r="C107" s="4" t="s">
        <v>23</v>
      </c>
      <c r="D107" s="2">
        <v>51393</v>
      </c>
      <c r="E107" s="4">
        <v>66400</v>
      </c>
      <c r="F107" s="3">
        <f t="shared" si="1"/>
        <v>0.77399096385542165</v>
      </c>
      <c r="G107" s="4"/>
      <c r="H107" s="4"/>
      <c r="I107" s="43">
        <v>63.124000000000002</v>
      </c>
      <c r="J107" s="43">
        <v>5.01</v>
      </c>
      <c r="K107" s="43">
        <v>0.57999999999999996</v>
      </c>
      <c r="L107" s="43">
        <v>1.25</v>
      </c>
      <c r="M107" s="43">
        <v>1.3939999999999999</v>
      </c>
      <c r="N107" s="41">
        <v>112151.2906626506</v>
      </c>
      <c r="O107" s="41">
        <v>29820.323855421684</v>
      </c>
      <c r="P107" s="41">
        <v>9.4659999999999993</v>
      </c>
      <c r="Q107" s="3">
        <v>22.125</v>
      </c>
      <c r="R107" s="41">
        <v>1.8000000000000007</v>
      </c>
      <c r="S107" s="3">
        <v>-20.324999999999999</v>
      </c>
      <c r="T107" s="41">
        <v>165.071</v>
      </c>
      <c r="U107" s="41">
        <v>653.87272455089806</v>
      </c>
      <c r="V107" s="3">
        <v>654</v>
      </c>
      <c r="W107" s="3">
        <v>0.99980538922155671</v>
      </c>
    </row>
    <row r="108" spans="1:23" x14ac:dyDescent="0.25">
      <c r="A108" s="94"/>
      <c r="B108" s="98"/>
      <c r="C108" s="4" t="s">
        <v>24</v>
      </c>
      <c r="D108" s="2">
        <v>150962</v>
      </c>
      <c r="E108" s="4">
        <v>1183000</v>
      </c>
      <c r="F108" s="3">
        <f t="shared" si="1"/>
        <v>0.12760946745562129</v>
      </c>
      <c r="G108" s="42">
        <v>62.87</v>
      </c>
      <c r="H108" s="42">
        <v>7.81</v>
      </c>
      <c r="I108" s="40">
        <f>SUM(G108:H108)</f>
        <v>70.679999999999993</v>
      </c>
      <c r="J108" s="40">
        <v>10.51</v>
      </c>
      <c r="K108" s="40">
        <v>1.22</v>
      </c>
      <c r="L108" s="40">
        <v>2.9699999999999998</v>
      </c>
      <c r="M108" s="40">
        <v>1.82</v>
      </c>
      <c r="N108" s="41">
        <v>18031.217751479289</v>
      </c>
      <c r="O108" s="41">
        <v>13644.004260355028</v>
      </c>
      <c r="P108" s="41">
        <v>9.5100000000000016</v>
      </c>
      <c r="Q108" s="3">
        <v>48.54</v>
      </c>
      <c r="R108" s="41">
        <v>34.549999999999997</v>
      </c>
      <c r="S108" s="3">
        <v>13.99</v>
      </c>
      <c r="T108" s="41">
        <v>429.72</v>
      </c>
      <c r="U108" s="41">
        <v>1003.4578414974113</v>
      </c>
      <c r="V108" s="3">
        <v>2498</v>
      </c>
      <c r="W108" s="3">
        <v>0.40170450019912385</v>
      </c>
    </row>
    <row r="109" spans="1:23" x14ac:dyDescent="0.25">
      <c r="A109" s="94"/>
      <c r="B109" s="98"/>
      <c r="C109" s="4" t="s">
        <v>25</v>
      </c>
      <c r="D109" s="2">
        <v>133300.52000000002</v>
      </c>
      <c r="E109" s="4">
        <v>205600</v>
      </c>
      <c r="F109" s="3">
        <f t="shared" si="1"/>
        <v>0.64834883268482502</v>
      </c>
      <c r="G109" s="42">
        <f>SUM(26.1+5.38)</f>
        <v>31.48</v>
      </c>
      <c r="H109" s="42">
        <f>SUM(5.06+0.98)</f>
        <v>6.0399999999999991</v>
      </c>
      <c r="I109" s="40">
        <f>SUM(G109:H109)</f>
        <v>37.519999999999996</v>
      </c>
      <c r="J109" s="40">
        <f>SUM(8.71+2.59)</f>
        <v>11.3</v>
      </c>
      <c r="K109" s="40">
        <f>SUM(2 +0.26)</f>
        <v>2.2599999999999998</v>
      </c>
      <c r="L109" s="40">
        <f>SUM(8.4+1.26)</f>
        <v>9.66</v>
      </c>
      <c r="M109" s="40">
        <f>SUM(1.9+0.13)</f>
        <v>2.0299999999999998</v>
      </c>
      <c r="N109" s="41">
        <v>81173.27385214009</v>
      </c>
      <c r="O109" s="41">
        <v>85691.61686712064</v>
      </c>
      <c r="P109" s="41">
        <v>91.52</v>
      </c>
      <c r="Q109" s="3">
        <v>60.29</v>
      </c>
      <c r="R109" s="41">
        <v>18.160000000000011</v>
      </c>
      <c r="S109" s="3">
        <v>-42.13</v>
      </c>
      <c r="T109" s="41">
        <v>827.83</v>
      </c>
      <c r="U109" s="41">
        <v>2957.4368813113497</v>
      </c>
      <c r="V109" s="3">
        <v>3764</v>
      </c>
      <c r="W109" s="3">
        <v>0.78571649344084737</v>
      </c>
    </row>
    <row r="110" spans="1:23" x14ac:dyDescent="0.25">
      <c r="A110" s="94"/>
      <c r="B110" s="98"/>
      <c r="C110" s="4" t="s">
        <v>26</v>
      </c>
      <c r="D110" s="2">
        <v>97138</v>
      </c>
      <c r="E110" s="4">
        <v>156700</v>
      </c>
      <c r="F110" s="3">
        <f t="shared" si="1"/>
        <v>0.61989789406509255</v>
      </c>
      <c r="G110" s="42">
        <v>27.205200000000001</v>
      </c>
      <c r="H110" s="42">
        <v>1.6882999999999999</v>
      </c>
      <c r="I110" s="40">
        <f>SUM(G110:H110)</f>
        <v>28.893500000000003</v>
      </c>
      <c r="J110" s="40">
        <v>9.2469999999999999</v>
      </c>
      <c r="K110" s="40">
        <v>1.9794</v>
      </c>
      <c r="L110" s="40">
        <v>6.3128000000000002</v>
      </c>
      <c r="M110" s="40">
        <v>2.2679999999999998</v>
      </c>
      <c r="N110" s="41">
        <v>28267.343969368219</v>
      </c>
      <c r="O110" s="41">
        <v>85564.506317804728</v>
      </c>
      <c r="P110" s="41">
        <v>46.6036</v>
      </c>
      <c r="Q110" s="3">
        <v>56.824800000000003</v>
      </c>
      <c r="R110" s="41">
        <v>28.548100000000005</v>
      </c>
      <c r="S110" s="3">
        <v>-28.276700000000002</v>
      </c>
      <c r="T110" s="41">
        <v>587.20000000000005</v>
      </c>
      <c r="U110" s="41">
        <v>2384.3276331204515</v>
      </c>
      <c r="V110" s="3">
        <v>3630</v>
      </c>
      <c r="W110" s="3">
        <v>0.65683956835274149</v>
      </c>
    </row>
    <row r="111" spans="1:23" x14ac:dyDescent="0.25">
      <c r="A111" s="94"/>
      <c r="B111" s="98"/>
      <c r="C111" s="4" t="s">
        <v>27</v>
      </c>
      <c r="D111" s="2">
        <v>36164</v>
      </c>
      <c r="E111" s="4">
        <v>167000</v>
      </c>
      <c r="F111" s="3">
        <f t="shared" si="1"/>
        <v>0.2165508982035928</v>
      </c>
      <c r="G111" s="42"/>
      <c r="H111" s="42"/>
      <c r="I111" s="40">
        <v>32.448</v>
      </c>
      <c r="J111" s="40">
        <v>15.018000000000001</v>
      </c>
      <c r="K111" s="40">
        <v>1.253271</v>
      </c>
      <c r="L111" s="40">
        <v>4.7524230000000003</v>
      </c>
      <c r="M111" s="40">
        <v>2.0643060000000002</v>
      </c>
      <c r="N111" s="41">
        <v>184089.91856287423</v>
      </c>
      <c r="O111" s="41">
        <v>89345.002682634731</v>
      </c>
      <c r="P111" s="41">
        <v>25.332000000000001</v>
      </c>
      <c r="Q111" s="3">
        <v>25.623000000000001</v>
      </c>
      <c r="R111" s="41">
        <v>12.711999999999996</v>
      </c>
      <c r="S111" s="3">
        <v>-12.911</v>
      </c>
      <c r="T111" s="41">
        <v>168.62299999999999</v>
      </c>
      <c r="U111" s="41">
        <v>1778.8450017643884</v>
      </c>
      <c r="V111" s="3">
        <v>9413</v>
      </c>
      <c r="W111" s="3">
        <v>0.18897747814345994</v>
      </c>
    </row>
    <row r="112" spans="1:23" x14ac:dyDescent="0.25">
      <c r="A112" s="95"/>
      <c r="B112" s="98"/>
      <c r="C112" s="4" t="s">
        <v>28</v>
      </c>
      <c r="D112" s="2">
        <v>13633</v>
      </c>
      <c r="E112" s="4">
        <v>157900</v>
      </c>
      <c r="F112" s="3">
        <f t="shared" si="1"/>
        <v>8.6339455351488278E-2</v>
      </c>
      <c r="G112" s="42">
        <v>8.09</v>
      </c>
      <c r="H112" s="42">
        <v>1.93</v>
      </c>
      <c r="I112" s="40">
        <f>SUM(G112:H112)</f>
        <v>10.02</v>
      </c>
      <c r="J112" s="40">
        <v>2.5499999999999998</v>
      </c>
      <c r="K112" s="40">
        <v>0.64</v>
      </c>
      <c r="L112" s="40">
        <v>1.99</v>
      </c>
      <c r="M112" s="40">
        <v>0.57999999999999996</v>
      </c>
      <c r="N112" s="41">
        <v>141337.6884103863</v>
      </c>
      <c r="O112" s="41">
        <v>42700.904433185555</v>
      </c>
      <c r="P112" s="41">
        <v>17.059999999999999</v>
      </c>
      <c r="Q112" s="3">
        <v>5.3</v>
      </c>
      <c r="R112" s="41">
        <v>5.3000000000000007</v>
      </c>
      <c r="S112" s="3">
        <v>5.3</v>
      </c>
      <c r="T112" s="41">
        <v>94.98</v>
      </c>
      <c r="U112" s="41">
        <v>846.32584867267735</v>
      </c>
      <c r="V112" s="3">
        <v>9733</v>
      </c>
      <c r="W112" s="3">
        <v>8.6954263708278773E-2</v>
      </c>
    </row>
    <row r="113" spans="1:23" x14ac:dyDescent="0.25">
      <c r="B113" s="97"/>
      <c r="C113" s="44"/>
      <c r="D113" s="45"/>
      <c r="E113" s="44"/>
      <c r="F113" s="46"/>
      <c r="G113" s="44"/>
      <c r="H113" s="44"/>
      <c r="I113" s="44"/>
      <c r="J113" s="44"/>
      <c r="K113" s="44"/>
      <c r="L113" s="44"/>
      <c r="M113" s="44"/>
      <c r="N113" s="50"/>
      <c r="O113" s="50"/>
      <c r="P113" s="50"/>
      <c r="R113" s="50"/>
      <c r="T113" s="50"/>
      <c r="U113" s="50"/>
    </row>
    <row r="114" spans="1:23" x14ac:dyDescent="0.25">
      <c r="A114" s="93" t="s">
        <v>3</v>
      </c>
      <c r="B114" s="98">
        <v>2014</v>
      </c>
      <c r="C114" s="4" t="s">
        <v>20</v>
      </c>
      <c r="D114" s="2">
        <v>152250</v>
      </c>
      <c r="E114" s="4">
        <v>722300</v>
      </c>
      <c r="F114" s="3">
        <f t="shared" si="1"/>
        <v>0.21078499238543541</v>
      </c>
      <c r="G114" s="42">
        <v>8.1975999999999996</v>
      </c>
      <c r="H114" s="42">
        <v>2.1842999999999999</v>
      </c>
      <c r="I114" s="40">
        <f>SUM(G114:H114)</f>
        <v>10.3819</v>
      </c>
      <c r="J114" s="40">
        <v>1.4322999999999999</v>
      </c>
      <c r="K114" s="40">
        <v>0.9355</v>
      </c>
      <c r="L114" s="40">
        <v>1.1889000000000001</v>
      </c>
      <c r="M114" s="40">
        <v>0.23549999999999999</v>
      </c>
      <c r="N114" s="41">
        <v>1904.8639761871798</v>
      </c>
      <c r="O114" s="41">
        <v>4848.2656098573998</v>
      </c>
      <c r="P114" s="41">
        <v>209.1</v>
      </c>
      <c r="Q114" s="3">
        <v>92.68</v>
      </c>
      <c r="R114" s="41">
        <v>0.70000000000001705</v>
      </c>
      <c r="S114" s="3">
        <v>0.68</v>
      </c>
      <c r="T114" s="41">
        <v>745.5</v>
      </c>
      <c r="U114" s="41">
        <v>474.27248299319729</v>
      </c>
      <c r="V114" s="3">
        <v>583</v>
      </c>
      <c r="W114" s="3">
        <v>0.81350340136054422</v>
      </c>
    </row>
    <row r="115" spans="1:23" x14ac:dyDescent="0.25">
      <c r="A115" s="94"/>
      <c r="B115" s="98"/>
      <c r="C115" s="4" t="s">
        <v>21</v>
      </c>
      <c r="D115" s="2">
        <v>16960</v>
      </c>
      <c r="E115" s="4">
        <v>486000</v>
      </c>
      <c r="F115" s="3">
        <f t="shared" si="1"/>
        <v>3.4897119341563788E-2</v>
      </c>
      <c r="G115" s="42"/>
      <c r="H115" s="42"/>
      <c r="I115" s="40">
        <v>0.26985999999999999</v>
      </c>
      <c r="J115" s="40">
        <v>3.5020000000000003E-2</v>
      </c>
      <c r="K115" s="40">
        <v>0.03</v>
      </c>
      <c r="L115" s="40">
        <v>0.10506</v>
      </c>
      <c r="M115" s="40">
        <v>4.1199999999999995E-3</v>
      </c>
      <c r="N115" s="41">
        <v>46285.759341563789</v>
      </c>
      <c r="O115" s="41">
        <v>11560.613004115226</v>
      </c>
      <c r="P115" s="41">
        <v>84.530039999999985</v>
      </c>
      <c r="Q115" s="3">
        <v>20.379580000000001</v>
      </c>
      <c r="R115" s="41">
        <v>0</v>
      </c>
      <c r="S115" s="3">
        <v>0</v>
      </c>
      <c r="T115" s="41">
        <v>137.17248000000001</v>
      </c>
      <c r="U115" s="41">
        <v>11.791827956989248</v>
      </c>
      <c r="V115" s="3">
        <v>92</v>
      </c>
      <c r="W115" s="3">
        <v>0.12817204301075269</v>
      </c>
    </row>
    <row r="116" spans="1:23" x14ac:dyDescent="0.25">
      <c r="A116" s="94"/>
      <c r="B116" s="98"/>
      <c r="C116" s="4" t="s">
        <v>22</v>
      </c>
      <c r="D116" s="2">
        <v>143240</v>
      </c>
      <c r="E116" s="4">
        <v>425800</v>
      </c>
      <c r="F116" s="3">
        <f t="shared" si="1"/>
        <v>0.33640206669798028</v>
      </c>
      <c r="G116" s="42">
        <v>23.604099999999999</v>
      </c>
      <c r="H116" s="42">
        <v>2.8121999999999998</v>
      </c>
      <c r="I116" s="40">
        <v>26.416</v>
      </c>
      <c r="J116" s="40">
        <v>7.4985999999999997</v>
      </c>
      <c r="K116" s="40">
        <v>2.1882000000000001</v>
      </c>
      <c r="L116" s="40">
        <v>3.4546000000000001</v>
      </c>
      <c r="M116" s="40">
        <v>0.70889999999999997</v>
      </c>
      <c r="N116" s="41">
        <v>4869.756317519963</v>
      </c>
      <c r="O116" s="41">
        <v>22193.453546265853</v>
      </c>
      <c r="P116" s="41">
        <v>93.14</v>
      </c>
      <c r="Q116" s="3">
        <v>37.729999999999997</v>
      </c>
      <c r="R116" s="41">
        <v>3.0100000000000051</v>
      </c>
      <c r="S116" s="3">
        <v>34.72</v>
      </c>
      <c r="T116" s="41">
        <v>712.63</v>
      </c>
      <c r="U116" s="41">
        <v>1809.2636778061349</v>
      </c>
      <c r="V116" s="3">
        <v>2591</v>
      </c>
      <c r="W116" s="3">
        <v>0.69828779537095131</v>
      </c>
    </row>
    <row r="117" spans="1:23" x14ac:dyDescent="0.25">
      <c r="A117" s="94"/>
      <c r="B117" s="98"/>
      <c r="C117" s="4" t="s">
        <v>23</v>
      </c>
      <c r="D117" s="2">
        <v>51393</v>
      </c>
      <c r="E117" s="4">
        <v>66400</v>
      </c>
      <c r="F117" s="3">
        <f t="shared" si="1"/>
        <v>0.77399096385542165</v>
      </c>
      <c r="G117" s="42"/>
      <c r="H117" s="42"/>
      <c r="I117" s="40">
        <v>60.920999999999999</v>
      </c>
      <c r="J117" s="40">
        <v>4.9779999999999998</v>
      </c>
      <c r="K117" s="43">
        <v>0.62</v>
      </c>
      <c r="L117" s="43">
        <v>1.32</v>
      </c>
      <c r="M117" s="40">
        <v>2.2090000000000001</v>
      </c>
      <c r="N117" s="41">
        <v>125841.6428313253</v>
      </c>
      <c r="O117" s="41">
        <v>28852.061159638553</v>
      </c>
      <c r="P117" s="41">
        <v>8.1609999999999996</v>
      </c>
      <c r="Q117" s="3">
        <v>21.315999999999999</v>
      </c>
      <c r="R117" s="41">
        <v>1.9050000000000011</v>
      </c>
      <c r="S117" s="3">
        <v>-19.411000000000001</v>
      </c>
      <c r="T117" s="41">
        <v>188.47499999999999</v>
      </c>
      <c r="U117" s="41">
        <v>661.87116766467057</v>
      </c>
      <c r="V117" s="3">
        <v>662</v>
      </c>
      <c r="W117" s="3">
        <v>0.99980538922155671</v>
      </c>
    </row>
    <row r="118" spans="1:23" x14ac:dyDescent="0.25">
      <c r="A118" s="94"/>
      <c r="B118" s="98"/>
      <c r="C118" s="4" t="s">
        <v>24</v>
      </c>
      <c r="D118" s="2">
        <v>150962</v>
      </c>
      <c r="E118" s="4">
        <v>1183000</v>
      </c>
      <c r="F118" s="3">
        <f t="shared" si="1"/>
        <v>0.12760946745562129</v>
      </c>
      <c r="G118" s="42">
        <v>66.179999999999993</v>
      </c>
      <c r="H118" s="42">
        <v>6.98</v>
      </c>
      <c r="I118" s="40">
        <f>SUM(G118:H118)</f>
        <v>73.16</v>
      </c>
      <c r="J118" s="40">
        <v>9.01</v>
      </c>
      <c r="K118" s="40">
        <v>1.1300000000000001</v>
      </c>
      <c r="L118" s="40">
        <v>2.68</v>
      </c>
      <c r="M118" s="40">
        <v>1.63</v>
      </c>
      <c r="N118" s="41">
        <v>18879.693100591714</v>
      </c>
      <c r="O118" s="41">
        <v>14281.668769230768</v>
      </c>
      <c r="P118" s="41">
        <v>5.0199999999999996</v>
      </c>
      <c r="Q118" s="3">
        <v>47.569999999999993</v>
      </c>
      <c r="R118" s="41">
        <v>34.879999999999995</v>
      </c>
      <c r="S118" s="3">
        <v>-12.69</v>
      </c>
      <c r="T118" s="41">
        <v>446.15</v>
      </c>
      <c r="U118" s="41">
        <v>1006.2697729988053</v>
      </c>
      <c r="V118" s="3">
        <v>2505</v>
      </c>
      <c r="W118" s="3">
        <v>0.40170450019912385</v>
      </c>
    </row>
    <row r="119" spans="1:23" x14ac:dyDescent="0.25">
      <c r="A119" s="94"/>
      <c r="B119" s="98"/>
      <c r="C119" s="4" t="s">
        <v>25</v>
      </c>
      <c r="D119" s="2">
        <v>133300.52000000002</v>
      </c>
      <c r="E119" s="4">
        <v>205600</v>
      </c>
      <c r="F119" s="3">
        <f t="shared" si="1"/>
        <v>0.64834883268482502</v>
      </c>
      <c r="G119" s="42">
        <f>SUM(26.54+4.89)</f>
        <v>31.43</v>
      </c>
      <c r="H119" s="42">
        <f>SUM(5.09+1.03)</f>
        <v>6.12</v>
      </c>
      <c r="I119" s="40">
        <f>SUM(G119:H119)</f>
        <v>37.549999999999997</v>
      </c>
      <c r="J119" s="40">
        <f>SUM(8.99+2.45)</f>
        <v>11.440000000000001</v>
      </c>
      <c r="K119" s="40">
        <f>SUM(1.97+0.29)</f>
        <v>2.2599999999999998</v>
      </c>
      <c r="L119" s="40">
        <f>SUM(8.58+1.35)</f>
        <v>9.93</v>
      </c>
      <c r="M119" s="40">
        <f>SUM(2.08+0.2)</f>
        <v>2.2800000000000002</v>
      </c>
      <c r="N119" s="41">
        <v>90327.95936964982</v>
      </c>
      <c r="O119" s="41">
        <v>94519.534572957215</v>
      </c>
      <c r="P119" s="41">
        <v>81.12</v>
      </c>
      <c r="Q119" s="3">
        <v>65.5</v>
      </c>
      <c r="R119" s="41">
        <v>21.799999999999997</v>
      </c>
      <c r="S119" s="3">
        <v>-43.7</v>
      </c>
      <c r="T119" s="41">
        <v>786.35</v>
      </c>
      <c r="U119" s="41">
        <v>2966.0797627391989</v>
      </c>
      <c r="V119" s="3">
        <v>3775</v>
      </c>
      <c r="W119" s="3">
        <v>0.78571649344084737</v>
      </c>
    </row>
    <row r="120" spans="1:23" x14ac:dyDescent="0.25">
      <c r="A120" s="94"/>
      <c r="B120" s="98"/>
      <c r="C120" s="4" t="s">
        <v>26</v>
      </c>
      <c r="D120" s="2">
        <v>97138</v>
      </c>
      <c r="E120" s="4">
        <v>156700</v>
      </c>
      <c r="F120" s="3">
        <f t="shared" si="1"/>
        <v>0.61989789406509255</v>
      </c>
      <c r="G120" s="42">
        <v>25.9709</v>
      </c>
      <c r="H120" s="42">
        <v>1.6325000000000001</v>
      </c>
      <c r="I120" s="40">
        <f>SUM(G120:H120)</f>
        <v>27.603400000000001</v>
      </c>
      <c r="J120" s="40">
        <v>8.3995999999999995</v>
      </c>
      <c r="K120" s="40">
        <v>1.8733000000000002</v>
      </c>
      <c r="L120" s="40">
        <v>6.4241000000000001</v>
      </c>
      <c r="M120" s="40">
        <v>2.0748000000000002</v>
      </c>
      <c r="N120" s="41">
        <v>31768.527275047862</v>
      </c>
      <c r="O120" s="41">
        <v>89905.651269942566</v>
      </c>
      <c r="P120" s="41">
        <v>40.956299999999999</v>
      </c>
      <c r="Q120" s="3">
        <v>61.289200000000001</v>
      </c>
      <c r="R120" s="41">
        <v>32.028800000000004</v>
      </c>
      <c r="S120" s="3">
        <v>-29.260400000000001</v>
      </c>
      <c r="T120" s="41">
        <v>576.46</v>
      </c>
      <c r="U120" s="41">
        <v>2396.1507453508011</v>
      </c>
      <c r="V120" s="3">
        <v>3648</v>
      </c>
      <c r="W120" s="3">
        <v>0.65683956835274149</v>
      </c>
    </row>
    <row r="121" spans="1:23" x14ac:dyDescent="0.25">
      <c r="A121" s="94"/>
      <c r="B121" s="98"/>
      <c r="C121" s="4" t="s">
        <v>27</v>
      </c>
      <c r="D121" s="2">
        <v>36164</v>
      </c>
      <c r="E121" s="4">
        <v>167000</v>
      </c>
      <c r="F121" s="3">
        <f t="shared" si="1"/>
        <v>0.2165508982035928</v>
      </c>
      <c r="G121" s="42"/>
      <c r="H121" s="42"/>
      <c r="I121" s="40">
        <v>27.571999999999999</v>
      </c>
      <c r="J121" s="40">
        <v>13.4</v>
      </c>
      <c r="K121" s="40">
        <v>1.3374436000000001</v>
      </c>
      <c r="L121" s="40">
        <v>5.0716067999999996</v>
      </c>
      <c r="M121" s="40">
        <v>2.2029496000000002</v>
      </c>
      <c r="N121" s="41">
        <v>198715.7662275449</v>
      </c>
      <c r="O121" s="41">
        <v>91557.719760479042</v>
      </c>
      <c r="P121" s="41">
        <v>31.369</v>
      </c>
      <c r="Q121" s="3">
        <v>29.849</v>
      </c>
      <c r="R121" s="41">
        <v>15.442999999999998</v>
      </c>
      <c r="S121" s="3">
        <v>-14.406000000000001</v>
      </c>
      <c r="T121" s="41">
        <v>233.50800000000001</v>
      </c>
      <c r="U121" s="41">
        <v>1783.191483761688</v>
      </c>
      <c r="V121" s="3">
        <v>9436</v>
      </c>
      <c r="W121" s="3">
        <v>0.18897747814345994</v>
      </c>
    </row>
    <row r="122" spans="1:23" x14ac:dyDescent="0.25">
      <c r="A122" s="95"/>
      <c r="B122" s="98"/>
      <c r="C122" s="4" t="s">
        <v>28</v>
      </c>
      <c r="D122" s="2">
        <v>13633</v>
      </c>
      <c r="E122" s="4">
        <v>157900</v>
      </c>
      <c r="F122" s="3">
        <f t="shared" ref="F122:F162" si="2">D122/E122</f>
        <v>8.6339455351488278E-2</v>
      </c>
      <c r="G122" s="42">
        <v>7.45</v>
      </c>
      <c r="H122" s="42">
        <v>1.44</v>
      </c>
      <c r="I122" s="40">
        <f>SUM(G122:H122)</f>
        <v>8.89</v>
      </c>
      <c r="J122" s="40">
        <v>2.5499999999999998</v>
      </c>
      <c r="K122" s="40">
        <v>0.77</v>
      </c>
      <c r="L122" s="40">
        <v>2.0699999999999998</v>
      </c>
      <c r="M122" s="40">
        <v>0.81</v>
      </c>
      <c r="N122" s="41">
        <v>136074.34887270423</v>
      </c>
      <c r="O122" s="41">
        <v>44415.001640278657</v>
      </c>
      <c r="P122" s="41">
        <v>5.17</v>
      </c>
      <c r="Q122" s="3">
        <v>4.92</v>
      </c>
      <c r="R122" s="41">
        <v>4.93</v>
      </c>
      <c r="S122" s="3">
        <v>4.92</v>
      </c>
      <c r="T122" s="41">
        <v>70.900000000000006</v>
      </c>
      <c r="U122" s="41">
        <v>851.19528744034096</v>
      </c>
      <c r="V122" s="3">
        <v>9789</v>
      </c>
      <c r="W122" s="3">
        <v>8.6954263708278773E-2</v>
      </c>
    </row>
    <row r="123" spans="1:23" x14ac:dyDescent="0.25">
      <c r="B123" s="1"/>
      <c r="C123" s="6"/>
      <c r="D123" s="5"/>
      <c r="E123" s="6"/>
      <c r="F123" s="46"/>
      <c r="G123" s="54"/>
      <c r="H123" s="54"/>
      <c r="I123" s="55"/>
      <c r="J123" s="56"/>
      <c r="K123" s="55"/>
      <c r="L123" s="55"/>
      <c r="M123" s="55"/>
      <c r="N123" s="50"/>
      <c r="O123" s="50"/>
      <c r="P123" s="50"/>
      <c r="R123" s="50"/>
      <c r="T123" s="50"/>
      <c r="U123" s="50"/>
    </row>
    <row r="124" spans="1:23" x14ac:dyDescent="0.25">
      <c r="A124" s="93" t="s">
        <v>3</v>
      </c>
      <c r="B124" s="98">
        <v>2015</v>
      </c>
      <c r="C124" s="4" t="s">
        <v>20</v>
      </c>
      <c r="D124" s="2">
        <v>152250</v>
      </c>
      <c r="E124" s="4">
        <v>722300</v>
      </c>
      <c r="F124" s="3">
        <f t="shared" si="2"/>
        <v>0.21078499238543541</v>
      </c>
      <c r="G124" s="42">
        <v>9.7083999999999993</v>
      </c>
      <c r="H124" s="42">
        <v>0.76580000000000004</v>
      </c>
      <c r="I124" s="40">
        <v>10.4742</v>
      </c>
      <c r="J124" s="40">
        <v>1.5518000000000001</v>
      </c>
      <c r="K124" s="40">
        <v>0.91700000000000004</v>
      </c>
      <c r="L124" s="40">
        <v>1.2212000000000001</v>
      </c>
      <c r="M124" s="40">
        <v>0.31240000000000001</v>
      </c>
      <c r="N124" s="41">
        <v>2229.6836494531358</v>
      </c>
      <c r="O124" s="41">
        <v>4987.8052748165583</v>
      </c>
      <c r="P124" s="41">
        <v>177.4</v>
      </c>
      <c r="Q124" s="3">
        <v>77.66</v>
      </c>
      <c r="R124" s="41">
        <v>0.5</v>
      </c>
      <c r="S124" s="3">
        <v>0.48</v>
      </c>
      <c r="T124" s="41">
        <v>656.2</v>
      </c>
      <c r="U124" s="41">
        <v>478.34</v>
      </c>
      <c r="V124" s="3">
        <v>588</v>
      </c>
      <c r="W124" s="3">
        <v>0.81350340136054422</v>
      </c>
    </row>
    <row r="125" spans="1:23" x14ac:dyDescent="0.25">
      <c r="A125" s="94"/>
      <c r="B125" s="98"/>
      <c r="C125" s="4" t="s">
        <v>21</v>
      </c>
      <c r="D125" s="2">
        <v>16960</v>
      </c>
      <c r="E125" s="4">
        <v>486000</v>
      </c>
      <c r="F125" s="3">
        <f t="shared" si="2"/>
        <v>3.4897119341563788E-2</v>
      </c>
      <c r="G125" s="42">
        <v>9.3267000000000003E-2</v>
      </c>
      <c r="H125" s="42">
        <v>0.14769699999999999</v>
      </c>
      <c r="I125" s="40">
        <v>0.24096399999999998</v>
      </c>
      <c r="J125" s="40">
        <v>0.05</v>
      </c>
      <c r="K125" s="40">
        <v>2.1097000000000001E-2</v>
      </c>
      <c r="L125" s="40">
        <v>0.10893899999999999</v>
      </c>
      <c r="M125" s="40">
        <v>1.09E-2</v>
      </c>
      <c r="N125" s="41">
        <v>46315.526584362146</v>
      </c>
      <c r="O125" s="41">
        <v>11921.100246913582</v>
      </c>
      <c r="P125" s="41">
        <v>68.84</v>
      </c>
      <c r="Q125" s="3">
        <v>19.04</v>
      </c>
      <c r="R125" s="41">
        <v>0</v>
      </c>
      <c r="S125" s="3">
        <v>0</v>
      </c>
      <c r="T125" s="41">
        <v>129.25</v>
      </c>
      <c r="U125" s="41">
        <v>11.92</v>
      </c>
      <c r="V125" s="3">
        <v>93</v>
      </c>
      <c r="W125" s="3">
        <v>0.12817204301075269</v>
      </c>
    </row>
    <row r="126" spans="1:23" x14ac:dyDescent="0.25">
      <c r="A126" s="94"/>
      <c r="B126" s="98"/>
      <c r="C126" s="4" t="s">
        <v>22</v>
      </c>
      <c r="D126" s="2">
        <v>143240</v>
      </c>
      <c r="E126" s="4">
        <v>425800</v>
      </c>
      <c r="F126" s="3">
        <f t="shared" si="2"/>
        <v>0.33640206669798028</v>
      </c>
      <c r="G126" s="42">
        <v>24.6554</v>
      </c>
      <c r="H126" s="42">
        <v>1.4636</v>
      </c>
      <c r="I126" s="40">
        <v>26.119</v>
      </c>
      <c r="J126" s="40">
        <v>6.6121999999999996</v>
      </c>
      <c r="K126" s="40">
        <v>2.1177000000000001</v>
      </c>
      <c r="L126" s="40">
        <v>3.5659000000000001</v>
      </c>
      <c r="M126" s="40">
        <v>1.2386999999999999</v>
      </c>
      <c r="N126" s="41">
        <v>5023.1556599342412</v>
      </c>
      <c r="O126" s="41">
        <v>22563.159417566934</v>
      </c>
      <c r="P126" s="41">
        <v>66.13</v>
      </c>
      <c r="Q126" s="3">
        <v>27.79</v>
      </c>
      <c r="R126" s="41">
        <v>2.6600000000000108</v>
      </c>
      <c r="S126" s="3">
        <v>-25.13</v>
      </c>
      <c r="T126" s="41">
        <v>558.13</v>
      </c>
      <c r="U126" s="41">
        <v>1815.5482679644733</v>
      </c>
      <c r="V126" s="3">
        <v>2600</v>
      </c>
      <c r="W126" s="3">
        <v>0.69828779537095131</v>
      </c>
    </row>
    <row r="127" spans="1:23" x14ac:dyDescent="0.25">
      <c r="A127" s="94"/>
      <c r="B127" s="98"/>
      <c r="C127" s="4" t="s">
        <v>23</v>
      </c>
      <c r="D127" s="2">
        <v>51393</v>
      </c>
      <c r="E127" s="4">
        <v>66400</v>
      </c>
      <c r="F127" s="3">
        <f t="shared" si="2"/>
        <v>0.77399096385542165</v>
      </c>
      <c r="G127" s="42">
        <v>58.863700000000001</v>
      </c>
      <c r="H127" s="42">
        <v>3.0790000000000002</v>
      </c>
      <c r="I127" s="40">
        <v>61.942700000000002</v>
      </c>
      <c r="J127" s="40">
        <v>4.3529</v>
      </c>
      <c r="K127" s="40">
        <v>0.56269999999999998</v>
      </c>
      <c r="L127" s="40">
        <v>1.2767999999999999</v>
      </c>
      <c r="M127" s="40">
        <v>2.2319</v>
      </c>
      <c r="N127" s="41">
        <v>131079.23968373492</v>
      </c>
      <c r="O127" s="41">
        <v>24787.060617469877</v>
      </c>
      <c r="P127" s="41">
        <v>7.0830000000000002</v>
      </c>
      <c r="Q127" s="3">
        <v>20.882000000000001</v>
      </c>
      <c r="R127" s="41">
        <v>2.0719999999999992</v>
      </c>
      <c r="S127" s="3">
        <v>-18.809999999999999</v>
      </c>
      <c r="T127" s="41">
        <v>149.10300000000001</v>
      </c>
      <c r="U127" s="41">
        <v>667.86999999999989</v>
      </c>
      <c r="V127" s="3">
        <v>668</v>
      </c>
      <c r="W127" s="3">
        <v>0.99980538922155671</v>
      </c>
    </row>
    <row r="128" spans="1:23" x14ac:dyDescent="0.25">
      <c r="A128" s="94"/>
      <c r="B128" s="98"/>
      <c r="C128" s="4" t="s">
        <v>24</v>
      </c>
      <c r="D128" s="2">
        <v>150962</v>
      </c>
      <c r="E128" s="4">
        <v>1183000</v>
      </c>
      <c r="F128" s="3">
        <f t="shared" si="2"/>
        <v>0.12760946745562129</v>
      </c>
      <c r="G128" s="42">
        <v>73.594499999999996</v>
      </c>
      <c r="H128" s="42">
        <v>1.9767889999999999</v>
      </c>
      <c r="I128" s="40">
        <v>75.571289000000007</v>
      </c>
      <c r="J128" s="40">
        <v>8.5964159999999996</v>
      </c>
      <c r="K128" s="40">
        <v>1.04237</v>
      </c>
      <c r="L128" s="40">
        <v>3.1653039999999999</v>
      </c>
      <c r="M128" s="40">
        <v>2.2905510000000002</v>
      </c>
      <c r="N128" s="41">
        <v>15844.119088757396</v>
      </c>
      <c r="O128" s="41">
        <v>14146.913171597633</v>
      </c>
      <c r="P128" s="41">
        <v>4.51</v>
      </c>
      <c r="Q128" s="3">
        <v>41.96</v>
      </c>
      <c r="R128" s="41">
        <v>32.9</v>
      </c>
      <c r="S128" s="3">
        <v>-9.06</v>
      </c>
      <c r="T128" s="41">
        <v>383.9</v>
      </c>
      <c r="U128" s="41">
        <v>1008.68</v>
      </c>
      <c r="V128" s="3">
        <v>2511</v>
      </c>
      <c r="W128" s="3">
        <v>0.40170450019912385</v>
      </c>
    </row>
    <row r="129" spans="1:23" x14ac:dyDescent="0.25">
      <c r="A129" s="94"/>
      <c r="B129" s="98"/>
      <c r="C129" s="4" t="s">
        <v>25</v>
      </c>
      <c r="D129" s="2">
        <v>133300.52000000002</v>
      </c>
      <c r="E129" s="4">
        <v>205600</v>
      </c>
      <c r="F129" s="3">
        <f t="shared" si="2"/>
        <v>0.64834883268482502</v>
      </c>
      <c r="G129" s="42">
        <v>35.379399999999997</v>
      </c>
      <c r="H129" s="42">
        <v>2.1360000000000001</v>
      </c>
      <c r="I129" s="40">
        <v>37.5154</v>
      </c>
      <c r="J129" s="40">
        <v>11.877700000000001</v>
      </c>
      <c r="K129" s="40">
        <v>2.3977000000000004</v>
      </c>
      <c r="L129" s="40">
        <v>10.427</v>
      </c>
      <c r="M129" s="40">
        <v>2.629</v>
      </c>
      <c r="N129" s="41">
        <v>95929.693284046705</v>
      </c>
      <c r="O129" s="41">
        <v>109001.70244863816</v>
      </c>
      <c r="P129" s="41">
        <v>70.19</v>
      </c>
      <c r="Q129" s="3">
        <v>60.92</v>
      </c>
      <c r="R129" s="41">
        <v>20.11</v>
      </c>
      <c r="S129" s="3">
        <v>-40.81</v>
      </c>
      <c r="T129" s="41">
        <v>666.07</v>
      </c>
      <c r="U129" s="41">
        <v>2980.222659621134</v>
      </c>
      <c r="V129" s="3">
        <v>3793</v>
      </c>
      <c r="W129" s="3">
        <v>0.78571649344084737</v>
      </c>
    </row>
    <row r="130" spans="1:23" x14ac:dyDescent="0.25">
      <c r="A130" s="94"/>
      <c r="B130" s="98"/>
      <c r="C130" s="4" t="s">
        <v>26</v>
      </c>
      <c r="D130" s="2">
        <v>97138</v>
      </c>
      <c r="E130" s="4">
        <v>156700</v>
      </c>
      <c r="F130" s="3">
        <f t="shared" si="2"/>
        <v>0.61989789406509255</v>
      </c>
      <c r="G130" s="42">
        <v>29.576009071111109</v>
      </c>
      <c r="H130" s="42">
        <v>0.99147466666666673</v>
      </c>
      <c r="I130" s="40">
        <v>30.567483737777778</v>
      </c>
      <c r="J130" s="40">
        <v>9.0096574366666662</v>
      </c>
      <c r="K130" s="40">
        <v>1.8051366866666667</v>
      </c>
      <c r="L130" s="40">
        <v>6.6973256966666668</v>
      </c>
      <c r="M130" s="40">
        <v>1.3133995660130717</v>
      </c>
      <c r="N130" s="41">
        <v>31833.616553924698</v>
      </c>
      <c r="O130" s="41">
        <v>90041.408908742829</v>
      </c>
      <c r="P130" s="41">
        <v>32.146999999999998</v>
      </c>
      <c r="Q130" s="3">
        <v>54.707999999999998</v>
      </c>
      <c r="R130" s="41">
        <v>26.279000000000003</v>
      </c>
      <c r="S130" s="3">
        <v>-28.43</v>
      </c>
      <c r="T130" s="41">
        <v>461.77</v>
      </c>
      <c r="U130" s="41">
        <v>2406.6601784444447</v>
      </c>
      <c r="V130" s="3">
        <v>3664</v>
      </c>
      <c r="W130" s="3">
        <v>0.65683956835274149</v>
      </c>
    </row>
    <row r="131" spans="1:23" x14ac:dyDescent="0.25">
      <c r="A131" s="94"/>
      <c r="B131" s="98"/>
      <c r="C131" s="4" t="s">
        <v>27</v>
      </c>
      <c r="D131" s="2">
        <v>36164</v>
      </c>
      <c r="E131" s="4">
        <v>167000</v>
      </c>
      <c r="F131" s="3">
        <f t="shared" si="2"/>
        <v>0.2165508982035928</v>
      </c>
      <c r="G131" s="42">
        <v>27.474674556904997</v>
      </c>
      <c r="H131" s="42">
        <v>2.0314492181513817</v>
      </c>
      <c r="I131" s="40">
        <v>29.506123775056384</v>
      </c>
      <c r="J131" s="40">
        <v>12.193414045000001</v>
      </c>
      <c r="K131" s="40">
        <v>1.3129037235220125</v>
      </c>
      <c r="L131" s="40">
        <v>4.9787383363250006</v>
      </c>
      <c r="M131" s="40">
        <v>2.1631063999999998</v>
      </c>
      <c r="N131" s="41">
        <v>210617.40359281437</v>
      </c>
      <c r="O131" s="41">
        <v>93871.92991329341</v>
      </c>
      <c r="P131" s="41">
        <v>30.513000000000002</v>
      </c>
      <c r="Q131" s="3">
        <v>32.115000000000002</v>
      </c>
      <c r="R131" s="41">
        <v>15.998000000000001</v>
      </c>
      <c r="S131" s="3">
        <v>-16.117000000000001</v>
      </c>
      <c r="T131" s="41">
        <v>232.40600000000001</v>
      </c>
      <c r="U131" s="41">
        <v>1791.5064928000002</v>
      </c>
      <c r="V131" s="3">
        <v>9480</v>
      </c>
      <c r="W131" s="3">
        <v>0.18897747814345994</v>
      </c>
    </row>
    <row r="132" spans="1:23" x14ac:dyDescent="0.25">
      <c r="A132" s="95"/>
      <c r="B132" s="98"/>
      <c r="C132" s="4" t="s">
        <v>28</v>
      </c>
      <c r="D132" s="2">
        <v>13633</v>
      </c>
      <c r="E132" s="4">
        <v>157900</v>
      </c>
      <c r="F132" s="3">
        <f t="shared" si="2"/>
        <v>8.6339455351488278E-2</v>
      </c>
      <c r="G132" s="42">
        <v>7.19</v>
      </c>
      <c r="H132" s="42">
        <v>1.32</v>
      </c>
      <c r="I132" s="40">
        <v>8.5128199999999996</v>
      </c>
      <c r="J132" s="40">
        <v>2.90652</v>
      </c>
      <c r="K132" s="40">
        <v>0.77010999999999996</v>
      </c>
      <c r="L132" s="40">
        <v>2.0663299999999998</v>
      </c>
      <c r="M132" s="40">
        <v>0.73282000000000003</v>
      </c>
      <c r="N132" s="41">
        <v>126320.83962001266</v>
      </c>
      <c r="O132" s="41">
        <v>48342.151766941097</v>
      </c>
      <c r="P132" s="41">
        <v>7.76</v>
      </c>
      <c r="Q132" s="3">
        <v>5.12</v>
      </c>
      <c r="R132" s="41">
        <v>5.1300000000000008</v>
      </c>
      <c r="S132" s="3">
        <v>5.12</v>
      </c>
      <c r="T132" s="41">
        <v>81.69</v>
      </c>
      <c r="U132" s="41">
        <v>856.2386347354211</v>
      </c>
      <c r="V132" s="3">
        <v>9847</v>
      </c>
      <c r="W132" s="3">
        <v>8.6954263708278773E-2</v>
      </c>
    </row>
    <row r="133" spans="1:23" x14ac:dyDescent="0.25">
      <c r="C133" s="6"/>
      <c r="D133" s="57"/>
      <c r="E133" s="6"/>
      <c r="F133" s="46"/>
      <c r="G133" s="54"/>
      <c r="H133" s="6"/>
      <c r="I133" s="6"/>
      <c r="J133" s="6"/>
      <c r="K133" s="6"/>
      <c r="L133" s="6"/>
      <c r="M133" s="6"/>
      <c r="N133" s="50"/>
      <c r="O133" s="50"/>
      <c r="P133" s="50"/>
      <c r="R133" s="50"/>
      <c r="T133" s="50"/>
      <c r="U133" s="50"/>
    </row>
    <row r="134" spans="1:23" x14ac:dyDescent="0.25">
      <c r="A134" s="93" t="s">
        <v>3</v>
      </c>
      <c r="B134" s="98">
        <v>2016</v>
      </c>
      <c r="C134" s="4" t="s">
        <v>20</v>
      </c>
      <c r="D134" s="2">
        <v>152250</v>
      </c>
      <c r="E134" s="4">
        <v>722300</v>
      </c>
      <c r="F134" s="3">
        <f t="shared" si="2"/>
        <v>0.21078499238543541</v>
      </c>
      <c r="G134" s="42">
        <v>8.2243999999999993</v>
      </c>
      <c r="H134" s="42">
        <v>2.1343000000000001</v>
      </c>
      <c r="I134" s="40">
        <f>SUM(G134:H134)</f>
        <v>10.358699999999999</v>
      </c>
      <c r="J134" s="40">
        <v>1.3592</v>
      </c>
      <c r="K134" s="40">
        <v>0.85360000000000003</v>
      </c>
      <c r="L134" s="40">
        <v>1.4985999999999999</v>
      </c>
      <c r="M134" s="40">
        <v>0.56279999999999997</v>
      </c>
      <c r="N134" s="41">
        <v>2539.9591582444968</v>
      </c>
      <c r="O134" s="41">
        <v>5749.1606673127508</v>
      </c>
      <c r="P134" s="41">
        <v>181.9</v>
      </c>
      <c r="Q134" s="3">
        <v>79.87</v>
      </c>
      <c r="R134" s="41">
        <v>0.59999999999999432</v>
      </c>
      <c r="S134" s="3">
        <v>0.66</v>
      </c>
      <c r="T134" s="41">
        <v>717.9</v>
      </c>
      <c r="U134" s="41">
        <v>482.40751700680272</v>
      </c>
      <c r="V134" s="3">
        <v>593</v>
      </c>
      <c r="W134" s="3">
        <v>0.81350340136054422</v>
      </c>
    </row>
    <row r="135" spans="1:23" x14ac:dyDescent="0.25">
      <c r="A135" s="94"/>
      <c r="B135" s="98"/>
      <c r="C135" s="4" t="s">
        <v>21</v>
      </c>
      <c r="D135" s="2">
        <v>16960</v>
      </c>
      <c r="E135" s="4">
        <v>486000</v>
      </c>
      <c r="F135" s="3">
        <f t="shared" si="2"/>
        <v>3.4897119341563788E-2</v>
      </c>
      <c r="G135" s="42"/>
      <c r="H135" s="42"/>
      <c r="I135" s="40">
        <v>0.28199999999999997</v>
      </c>
      <c r="J135" s="40">
        <v>5.1999999999999998E-2</v>
      </c>
      <c r="K135" s="40">
        <v>2.469E-2</v>
      </c>
      <c r="L135" s="40">
        <v>0.12773999999999999</v>
      </c>
      <c r="M135" s="40">
        <v>4.1000000000000003E-3</v>
      </c>
      <c r="N135" s="41">
        <v>50753.951604938273</v>
      </c>
      <c r="O135" s="41">
        <v>12312.611028806585</v>
      </c>
      <c r="P135" s="41">
        <v>61.43</v>
      </c>
      <c r="Q135" s="3">
        <v>18.55</v>
      </c>
      <c r="R135" s="41">
        <v>0</v>
      </c>
      <c r="S135" s="3">
        <v>0</v>
      </c>
      <c r="T135" s="41">
        <v>120.94</v>
      </c>
      <c r="U135" s="41">
        <v>11.984086021505377</v>
      </c>
      <c r="V135" s="3">
        <v>93.5</v>
      </c>
      <c r="W135" s="3">
        <v>0.12817204301075269</v>
      </c>
    </row>
    <row r="136" spans="1:23" x14ac:dyDescent="0.25">
      <c r="A136" s="94"/>
      <c r="B136" s="98"/>
      <c r="C136" s="4" t="s">
        <v>22</v>
      </c>
      <c r="D136" s="2">
        <v>143240</v>
      </c>
      <c r="E136" s="4">
        <v>425800</v>
      </c>
      <c r="F136" s="3">
        <f t="shared" si="2"/>
        <v>0.33640206669798028</v>
      </c>
      <c r="G136" s="42">
        <v>23.6553</v>
      </c>
      <c r="H136" s="42">
        <v>2.9571000000000001</v>
      </c>
      <c r="I136" s="40">
        <f>SUM(G136:H136)</f>
        <v>26.612400000000001</v>
      </c>
      <c r="J136" s="40">
        <v>6.4806999999999997</v>
      </c>
      <c r="K136" s="40">
        <v>2.1358999999999999</v>
      </c>
      <c r="L136" s="40">
        <v>3.6105999999999998</v>
      </c>
      <c r="M136" s="40">
        <v>1.264</v>
      </c>
      <c r="N136" s="41">
        <v>5158.0528886801321</v>
      </c>
      <c r="O136" s="41">
        <v>22311.867073743542</v>
      </c>
      <c r="P136" s="41">
        <v>70.67</v>
      </c>
      <c r="Q136" s="3">
        <v>28.31</v>
      </c>
      <c r="R136" s="41">
        <v>2.8599999999999994</v>
      </c>
      <c r="S136" s="3">
        <v>-25.45</v>
      </c>
      <c r="T136" s="41">
        <v>644.87</v>
      </c>
      <c r="U136" s="41">
        <v>1822.531145918183</v>
      </c>
      <c r="V136" s="3">
        <v>2610</v>
      </c>
      <c r="W136" s="3">
        <v>0.69828779537095131</v>
      </c>
    </row>
    <row r="137" spans="1:23" x14ac:dyDescent="0.25">
      <c r="A137" s="94"/>
      <c r="B137" s="98"/>
      <c r="C137" s="4" t="s">
        <v>23</v>
      </c>
      <c r="D137" s="2">
        <v>51393</v>
      </c>
      <c r="E137" s="4">
        <v>66400</v>
      </c>
      <c r="F137" s="3">
        <f t="shared" si="2"/>
        <v>0.77399096385542165</v>
      </c>
      <c r="G137" s="42"/>
      <c r="H137" s="42"/>
      <c r="I137" s="40">
        <v>57.72</v>
      </c>
      <c r="J137" s="40">
        <v>4.3890000000000002</v>
      </c>
      <c r="K137" s="40">
        <v>0.92</v>
      </c>
      <c r="L137" s="40">
        <v>1.89</v>
      </c>
      <c r="M137" s="40">
        <v>2</v>
      </c>
      <c r="N137" s="41">
        <v>135131.85637048192</v>
      </c>
      <c r="O137" s="41">
        <v>26276.219231927709</v>
      </c>
      <c r="P137" s="41">
        <v>7.4720000000000004</v>
      </c>
      <c r="Q137" s="3">
        <v>18.571000000000002</v>
      </c>
      <c r="R137" s="41">
        <v>2.1119999999999992</v>
      </c>
      <c r="S137" s="3">
        <v>-16.459</v>
      </c>
      <c r="T137" s="41">
        <v>155.92699999999999</v>
      </c>
      <c r="U137" s="41">
        <v>674.86863772455081</v>
      </c>
      <c r="V137" s="3">
        <v>675</v>
      </c>
      <c r="W137" s="3">
        <v>0.99980538922155671</v>
      </c>
    </row>
    <row r="138" spans="1:23" x14ac:dyDescent="0.25">
      <c r="A138" s="94"/>
      <c r="B138" s="98"/>
      <c r="C138" s="4" t="s">
        <v>24</v>
      </c>
      <c r="D138" s="2">
        <v>150962</v>
      </c>
      <c r="E138" s="4">
        <v>1183000</v>
      </c>
      <c r="F138" s="3">
        <f t="shared" si="2"/>
        <v>0.12760946745562129</v>
      </c>
      <c r="G138" s="42">
        <f>SUM(62.44+1.91+1.55)</f>
        <v>65.899999999999991</v>
      </c>
      <c r="H138" s="42">
        <f>SUM(2.05+0.1+1.63+0.51+0.84+1.69+0.18+0.1)</f>
        <v>7.1</v>
      </c>
      <c r="I138" s="40">
        <f>SUM(G138:H138)</f>
        <v>72.999999999999986</v>
      </c>
      <c r="J138" s="40">
        <f>SUM(6.47+1.76+0.29)</f>
        <v>8.52</v>
      </c>
      <c r="K138" s="40">
        <f>SUM(0.9+0.09+0.01)</f>
        <v>1</v>
      </c>
      <c r="L138" s="40">
        <f>SUM(2.81+0.43+0.07)</f>
        <v>3.31</v>
      </c>
      <c r="M138" s="40">
        <f>SUM(3.11+0.48+0.1)</f>
        <v>3.69</v>
      </c>
      <c r="N138" s="41">
        <v>20200.323479289938</v>
      </c>
      <c r="O138" s="41">
        <v>13360.200804733728</v>
      </c>
      <c r="P138" s="41">
        <v>21.349999999999998</v>
      </c>
      <c r="Q138" s="3">
        <v>53.01</v>
      </c>
      <c r="R138" s="41">
        <v>43.870000000000005</v>
      </c>
      <c r="S138" s="3">
        <v>9.1399999999999988</v>
      </c>
      <c r="T138" s="41">
        <v>550.74</v>
      </c>
      <c r="U138" s="41">
        <v>1012.2953405017921</v>
      </c>
      <c r="V138" s="3">
        <v>2520</v>
      </c>
      <c r="W138" s="3">
        <v>0.40170450019912385</v>
      </c>
    </row>
    <row r="139" spans="1:23" x14ac:dyDescent="0.25">
      <c r="A139" s="94"/>
      <c r="B139" s="98"/>
      <c r="C139" s="4" t="s">
        <v>25</v>
      </c>
      <c r="D139" s="2">
        <v>133300.52000000002</v>
      </c>
      <c r="E139" s="4">
        <v>205600</v>
      </c>
      <c r="F139" s="3">
        <f t="shared" si="2"/>
        <v>0.64834883268482502</v>
      </c>
      <c r="G139" s="42">
        <f>SUM(25.47+4.93)</f>
        <v>30.4</v>
      </c>
      <c r="H139" s="42">
        <f>SUM(5.46+1.14)</f>
        <v>6.6</v>
      </c>
      <c r="I139" s="40">
        <f>SUM(G139:H139)</f>
        <v>37</v>
      </c>
      <c r="J139" s="40">
        <f>SUM(8.96+2.34)</f>
        <v>11.3</v>
      </c>
      <c r="K139" s="40">
        <f>SUM(2.34+0.34)</f>
        <v>2.6799999999999997</v>
      </c>
      <c r="L139" s="40">
        <f>SUM(8.78+1.5)</f>
        <v>10.28</v>
      </c>
      <c r="M139" s="40">
        <f>SUM(2.57+0.23)</f>
        <v>2.8</v>
      </c>
      <c r="N139" s="41">
        <v>103087.46439688718</v>
      </c>
      <c r="O139" s="41">
        <v>107992.22331614788</v>
      </c>
      <c r="P139" s="41">
        <v>68.209999999999994</v>
      </c>
      <c r="Q139" s="3">
        <v>56.34</v>
      </c>
      <c r="R139" s="41">
        <v>19.11</v>
      </c>
      <c r="S139" s="3">
        <v>-37.229999999999997</v>
      </c>
      <c r="T139" s="41">
        <v>722.95</v>
      </c>
      <c r="U139" s="41">
        <v>2995.936989489951</v>
      </c>
      <c r="V139" s="3">
        <v>3813</v>
      </c>
      <c r="W139" s="3">
        <v>0.78571649344084737</v>
      </c>
    </row>
    <row r="140" spans="1:23" x14ac:dyDescent="0.25">
      <c r="A140" s="94"/>
      <c r="B140" s="98"/>
      <c r="C140" s="4" t="s">
        <v>26</v>
      </c>
      <c r="D140" s="2">
        <v>97138</v>
      </c>
      <c r="E140" s="4">
        <v>156700</v>
      </c>
      <c r="F140" s="3">
        <f t="shared" si="2"/>
        <v>0.61989789406509255</v>
      </c>
      <c r="G140" s="42">
        <v>30.395600000000002</v>
      </c>
      <c r="H140" s="42">
        <v>1.5906</v>
      </c>
      <c r="I140" s="40">
        <f>SUM(G140:H140)</f>
        <v>31.9862</v>
      </c>
      <c r="J140" s="40">
        <v>8.7716999999999992</v>
      </c>
      <c r="K140" s="40">
        <v>1.7528999999999999</v>
      </c>
      <c r="L140" s="40">
        <v>6.9683000000000002</v>
      </c>
      <c r="M140" s="40">
        <v>1.8108</v>
      </c>
      <c r="N140" s="41">
        <v>32407.642003828973</v>
      </c>
      <c r="O140" s="41">
        <v>86346.197562220812</v>
      </c>
      <c r="P140" s="41">
        <v>51.194699999999997</v>
      </c>
      <c r="Q140" s="3">
        <v>63.853499999999997</v>
      </c>
      <c r="R140" s="41">
        <v>29.613200000000006</v>
      </c>
      <c r="S140" s="3">
        <v>-34.240400000000001</v>
      </c>
      <c r="T140" s="41">
        <v>605.44370000000004</v>
      </c>
      <c r="U140" s="41">
        <v>2418.4832906747943</v>
      </c>
      <c r="V140" s="3">
        <v>3682</v>
      </c>
      <c r="W140" s="3">
        <v>0.65683956835274149</v>
      </c>
    </row>
    <row r="141" spans="1:23" x14ac:dyDescent="0.25">
      <c r="A141" s="94"/>
      <c r="B141" s="98"/>
      <c r="C141" s="4" t="s">
        <v>27</v>
      </c>
      <c r="D141" s="2">
        <v>36164</v>
      </c>
      <c r="E141" s="4">
        <v>167000</v>
      </c>
      <c r="F141" s="3">
        <f t="shared" si="2"/>
        <v>0.2165508982035928</v>
      </c>
      <c r="G141" s="42"/>
      <c r="H141" s="42"/>
      <c r="I141" s="40">
        <v>29.056000000000001</v>
      </c>
      <c r="J141" s="40">
        <v>11.747</v>
      </c>
      <c r="K141" s="40">
        <v>1.5343640000000001</v>
      </c>
      <c r="L141" s="40">
        <v>5.8183319999999998</v>
      </c>
      <c r="M141" s="40">
        <v>2.5273040000000004</v>
      </c>
      <c r="N141" s="41">
        <v>277953.0391856287</v>
      </c>
      <c r="O141" s="41">
        <v>87065.371377245508</v>
      </c>
      <c r="P141" s="41">
        <v>26.96</v>
      </c>
      <c r="Q141" s="3">
        <v>30.87</v>
      </c>
      <c r="R141" s="41">
        <v>17.100000000000001</v>
      </c>
      <c r="S141" s="3">
        <v>-13.77</v>
      </c>
      <c r="T141" s="41">
        <v>237.08</v>
      </c>
      <c r="U141" s="41">
        <v>1801.3333216634601</v>
      </c>
      <c r="V141" s="3">
        <v>9532</v>
      </c>
      <c r="W141" s="3">
        <v>0.18897747814345994</v>
      </c>
    </row>
    <row r="142" spans="1:23" x14ac:dyDescent="0.25">
      <c r="A142" s="95"/>
      <c r="B142" s="98"/>
      <c r="C142" s="4" t="s">
        <v>28</v>
      </c>
      <c r="D142" s="2">
        <v>13633</v>
      </c>
      <c r="E142" s="4">
        <v>157900</v>
      </c>
      <c r="F142" s="3">
        <f t="shared" si="2"/>
        <v>8.6339455351488278E-2</v>
      </c>
      <c r="G142" s="42">
        <v>6.79</v>
      </c>
      <c r="H142" s="42">
        <v>1.35</v>
      </c>
      <c r="I142" s="40">
        <f>SUM(G142:H142)</f>
        <v>8.14</v>
      </c>
      <c r="J142" s="40">
        <v>2.95</v>
      </c>
      <c r="K142" s="40">
        <v>0.74</v>
      </c>
      <c r="L142" s="40">
        <v>2.21</v>
      </c>
      <c r="M142" s="40">
        <v>0.64</v>
      </c>
      <c r="N142" s="41">
        <v>134025.94529449017</v>
      </c>
      <c r="O142" s="41">
        <v>43825.13048131729</v>
      </c>
      <c r="P142" s="41">
        <v>21.27</v>
      </c>
      <c r="Q142" s="3">
        <v>5.42</v>
      </c>
      <c r="R142" s="41">
        <v>5.41</v>
      </c>
      <c r="S142" s="3">
        <v>5.42</v>
      </c>
      <c r="T142" s="41">
        <v>106.71</v>
      </c>
      <c r="U142" s="41">
        <v>864.93406110624892</v>
      </c>
      <c r="V142" s="3">
        <v>9947</v>
      </c>
      <c r="W142" s="3">
        <v>8.6954263708278773E-2</v>
      </c>
    </row>
    <row r="143" spans="1:23" x14ac:dyDescent="0.25">
      <c r="C143" s="6"/>
      <c r="D143" s="57"/>
      <c r="E143" s="6"/>
      <c r="F143" s="46"/>
      <c r="G143" s="54"/>
      <c r="H143" s="6"/>
      <c r="I143" s="6"/>
      <c r="J143" s="6"/>
      <c r="K143" s="6"/>
      <c r="L143" s="6"/>
      <c r="M143" s="6"/>
      <c r="N143" s="50"/>
      <c r="O143" s="50"/>
      <c r="P143" s="50"/>
      <c r="R143" s="50"/>
      <c r="T143" s="50"/>
      <c r="U143" s="50"/>
    </row>
    <row r="144" spans="1:23" x14ac:dyDescent="0.25">
      <c r="A144" s="93" t="s">
        <v>3</v>
      </c>
      <c r="B144" s="98">
        <v>2017</v>
      </c>
      <c r="C144" s="4" t="s">
        <v>20</v>
      </c>
      <c r="D144" s="2">
        <v>152250</v>
      </c>
      <c r="E144" s="4">
        <v>722300</v>
      </c>
      <c r="F144" s="3">
        <f t="shared" si="2"/>
        <v>0.21078499238543541</v>
      </c>
      <c r="G144" s="42">
        <v>7.3925000000000001</v>
      </c>
      <c r="H144" s="42">
        <v>2.7305000000000001</v>
      </c>
      <c r="I144" s="40">
        <f>SUM(G144:H144)</f>
        <v>10.123000000000001</v>
      </c>
      <c r="J144" s="40">
        <v>1.4059999999999999</v>
      </c>
      <c r="K144" s="40">
        <v>0.85529999999999995</v>
      </c>
      <c r="L144" s="40">
        <v>1.5225</v>
      </c>
      <c r="M144" s="40">
        <v>0.6018</v>
      </c>
      <c r="N144" s="41">
        <v>3387.9471826111035</v>
      </c>
      <c r="O144" s="41">
        <v>5715.435068531081</v>
      </c>
      <c r="P144" s="41">
        <v>210.3</v>
      </c>
      <c r="Q144" s="3">
        <v>92.7</v>
      </c>
      <c r="R144" s="41">
        <v>0.59999999999999432</v>
      </c>
      <c r="S144" s="3">
        <v>0.59</v>
      </c>
      <c r="T144" s="41">
        <v>735.4</v>
      </c>
      <c r="U144" s="41">
        <v>486.47503401360547</v>
      </c>
      <c r="V144" s="3">
        <v>598</v>
      </c>
      <c r="W144" s="3">
        <v>0.81350340136054422</v>
      </c>
    </row>
    <row r="145" spans="1:23" x14ac:dyDescent="0.25">
      <c r="A145" s="94"/>
      <c r="B145" s="98"/>
      <c r="C145" s="4" t="s">
        <v>21</v>
      </c>
      <c r="D145" s="2">
        <v>16960</v>
      </c>
      <c r="E145" s="4">
        <v>486000</v>
      </c>
      <c r="F145" s="3">
        <f t="shared" si="2"/>
        <v>3.4897119341563788E-2</v>
      </c>
      <c r="G145" s="4"/>
      <c r="H145" s="4"/>
      <c r="I145" s="40">
        <v>0.23689999999999997</v>
      </c>
      <c r="J145" s="40">
        <v>4.7379999999999999E-2</v>
      </c>
      <c r="K145" s="40">
        <v>2.3689999999999999E-2</v>
      </c>
      <c r="L145" s="40">
        <v>0.12256587999999999</v>
      </c>
      <c r="M145" s="40">
        <v>4.1199999999999995E-3</v>
      </c>
      <c r="N145" s="41">
        <v>52603.778106995887</v>
      </c>
      <c r="O145" s="41">
        <v>12648.042139917696</v>
      </c>
      <c r="P145" s="41">
        <v>81.623379999999997</v>
      </c>
      <c r="Q145" s="3">
        <v>20.393999999999998</v>
      </c>
      <c r="R145" s="41">
        <v>0</v>
      </c>
      <c r="S145" s="3">
        <v>0</v>
      </c>
      <c r="T145" s="41">
        <v>142.46908799999997</v>
      </c>
      <c r="U145" s="41">
        <v>12.048172043010753</v>
      </c>
      <c r="V145" s="3">
        <v>94</v>
      </c>
      <c r="W145" s="3">
        <v>0.12817204301075269</v>
      </c>
    </row>
    <row r="146" spans="1:23" x14ac:dyDescent="0.25">
      <c r="A146" s="94"/>
      <c r="B146" s="98"/>
      <c r="C146" s="4" t="s">
        <v>22</v>
      </c>
      <c r="D146" s="2">
        <v>143240</v>
      </c>
      <c r="E146" s="4">
        <v>425800</v>
      </c>
      <c r="F146" s="3">
        <f t="shared" si="2"/>
        <v>0.33640206669798028</v>
      </c>
      <c r="G146" s="4">
        <v>23.162700000000001</v>
      </c>
      <c r="H146" s="4">
        <v>3.0232000000000001</v>
      </c>
      <c r="I146" s="40">
        <f>SUM(G146:H146)</f>
        <v>26.1859</v>
      </c>
      <c r="J146" s="40">
        <v>6.7785000000000002</v>
      </c>
      <c r="K146" s="40">
        <v>2.2864</v>
      </c>
      <c r="L146" s="40">
        <v>3.6600999999999999</v>
      </c>
      <c r="M146" s="40">
        <v>1.2718</v>
      </c>
      <c r="N146" s="41">
        <v>5194.3843118835139</v>
      </c>
      <c r="O146" s="41">
        <v>21702.642930953501</v>
      </c>
      <c r="P146" s="41">
        <v>95.26</v>
      </c>
      <c r="Q146" s="3">
        <v>35.74</v>
      </c>
      <c r="R146" s="41">
        <v>2.3399999999999892</v>
      </c>
      <c r="S146" s="3">
        <v>33.4</v>
      </c>
      <c r="T146" s="41">
        <v>727.45</v>
      </c>
      <c r="U146" s="41">
        <v>1833.7037506441181</v>
      </c>
      <c r="V146" s="3">
        <v>2626</v>
      </c>
      <c r="W146" s="3">
        <v>0.69828779537095131</v>
      </c>
    </row>
    <row r="147" spans="1:23" x14ac:dyDescent="0.25">
      <c r="A147" s="94"/>
      <c r="B147" s="98"/>
      <c r="C147" s="4" t="s">
        <v>23</v>
      </c>
      <c r="D147" s="2">
        <v>51393</v>
      </c>
      <c r="E147" s="4">
        <v>66400</v>
      </c>
      <c r="F147" s="3">
        <f t="shared" si="2"/>
        <v>0.77399096385542165</v>
      </c>
      <c r="G147" s="4"/>
      <c r="H147" s="4"/>
      <c r="I147" s="40">
        <v>56.372</v>
      </c>
      <c r="J147" s="43">
        <v>4.516</v>
      </c>
      <c r="K147" s="40">
        <v>0.98</v>
      </c>
      <c r="L147" s="43">
        <v>1.96</v>
      </c>
      <c r="M147" s="40">
        <v>2.5</v>
      </c>
      <c r="N147" s="41">
        <v>140006.45146084338</v>
      </c>
      <c r="O147" s="41">
        <v>23788.612274096384</v>
      </c>
      <c r="P147" s="41">
        <v>8.6530000000000005</v>
      </c>
      <c r="Q147" s="3">
        <v>19.331</v>
      </c>
      <c r="R147" s="41">
        <v>2.1199999999999992</v>
      </c>
      <c r="S147" s="3">
        <v>-17.210999999999999</v>
      </c>
      <c r="T147" s="41">
        <v>171.76599999999999</v>
      </c>
      <c r="U147" s="41">
        <v>681.86727544910173</v>
      </c>
      <c r="V147" s="3">
        <v>682</v>
      </c>
      <c r="W147" s="3">
        <v>0.99980538922155671</v>
      </c>
    </row>
    <row r="148" spans="1:23" x14ac:dyDescent="0.25">
      <c r="A148" s="94"/>
      <c r="B148" s="98"/>
      <c r="C148" s="4" t="s">
        <v>24</v>
      </c>
      <c r="D148" s="2">
        <v>150962</v>
      </c>
      <c r="E148" s="4">
        <v>1183000</v>
      </c>
      <c r="F148" s="3">
        <f t="shared" si="2"/>
        <v>0.12760946745562129</v>
      </c>
      <c r="G148" s="4">
        <f>SUM(63.01+1.97+1.95)</f>
        <v>66.930000000000007</v>
      </c>
      <c r="H148" s="4">
        <f>SUM(1.7+0.04+0.13+1.46+0.51+0.78+1.47+0.09+0.2)</f>
        <v>6.38</v>
      </c>
      <c r="I148" s="40">
        <f>SUM(G148:H148)</f>
        <v>73.31</v>
      </c>
      <c r="J148" s="40">
        <f>SUM(6.4+1.67+0.33)</f>
        <v>8.4</v>
      </c>
      <c r="K148" s="40">
        <f>SUM(0.98+0.09+0.02)</f>
        <v>1.0900000000000001</v>
      </c>
      <c r="L148" s="40">
        <f>SUM(2.96+0.43+0.1)</f>
        <v>3.49</v>
      </c>
      <c r="M148" s="40">
        <f>SUM(2.44+0.38+0.15)</f>
        <v>2.9699999999999998</v>
      </c>
      <c r="N148" s="41">
        <v>19930.174236686391</v>
      </c>
      <c r="O148" s="41">
        <v>13303.414591715975</v>
      </c>
      <c r="P148" s="41">
        <v>8.24</v>
      </c>
      <c r="Q148" s="3">
        <v>42.03</v>
      </c>
      <c r="R148" s="41">
        <v>32.589999999999996</v>
      </c>
      <c r="S148" s="3">
        <v>9.44</v>
      </c>
      <c r="T148" s="41">
        <v>375.58</v>
      </c>
      <c r="U148" s="41">
        <v>1015.9106810035842</v>
      </c>
      <c r="V148" s="3">
        <v>2529</v>
      </c>
      <c r="W148" s="3">
        <v>0.40170450019912385</v>
      </c>
    </row>
    <row r="149" spans="1:23" x14ac:dyDescent="0.25">
      <c r="A149" s="94"/>
      <c r="B149" s="98"/>
      <c r="C149" s="4" t="s">
        <v>25</v>
      </c>
      <c r="D149" s="2">
        <v>133300.52000000002</v>
      </c>
      <c r="E149" s="4">
        <v>205600</v>
      </c>
      <c r="F149" s="3">
        <f t="shared" si="2"/>
        <v>0.64834883268482502</v>
      </c>
      <c r="G149" s="4">
        <f>SUM(25.7+4.99)</f>
        <v>30.689999999999998</v>
      </c>
      <c r="H149" s="4">
        <f>SUM(5.63+1.1)</f>
        <v>6.73</v>
      </c>
      <c r="I149" s="40">
        <f>SUM(G149:H149)</f>
        <v>37.42</v>
      </c>
      <c r="J149" s="40">
        <f>SUM(9.13+2.8)</f>
        <v>11.93</v>
      </c>
      <c r="K149" s="40">
        <f>SUM(2.39+0.34)</f>
        <v>2.73</v>
      </c>
      <c r="L149" s="40">
        <f>SUM(9.07+1.58)</f>
        <v>10.65</v>
      </c>
      <c r="M149" s="40">
        <f>SUM(2.97+0.25)</f>
        <v>3.22</v>
      </c>
      <c r="N149" s="41">
        <v>105700.31019260702</v>
      </c>
      <c r="O149" s="41">
        <v>114080.21885505838</v>
      </c>
      <c r="P149" s="41">
        <v>83.4</v>
      </c>
      <c r="Q149" s="3">
        <v>68.680000000000007</v>
      </c>
      <c r="R149" s="41">
        <v>22.78</v>
      </c>
      <c r="S149" s="3">
        <v>-45.9</v>
      </c>
      <c r="T149" s="41">
        <v>873.12</v>
      </c>
      <c r="U149" s="41">
        <v>3013.2227523456495</v>
      </c>
      <c r="V149" s="3">
        <v>3835</v>
      </c>
      <c r="W149" s="3">
        <v>0.78571649344084737</v>
      </c>
    </row>
    <row r="150" spans="1:23" x14ac:dyDescent="0.25">
      <c r="A150" s="94"/>
      <c r="B150" s="98"/>
      <c r="C150" s="4" t="s">
        <v>26</v>
      </c>
      <c r="D150" s="2">
        <v>97138</v>
      </c>
      <c r="E150" s="4">
        <v>156700</v>
      </c>
      <c r="F150" s="3">
        <f t="shared" si="2"/>
        <v>0.61989789406509255</v>
      </c>
      <c r="G150" s="4">
        <v>29.385899999999999</v>
      </c>
      <c r="H150" s="4">
        <v>1.5266999999999999</v>
      </c>
      <c r="I150" s="40">
        <f>SUM(G150:H150)</f>
        <v>30.912599999999998</v>
      </c>
      <c r="J150" s="40">
        <v>8.8621999999999996</v>
      </c>
      <c r="K150" s="40">
        <v>1.7330999999999999</v>
      </c>
      <c r="L150" s="40">
        <v>7.0716999999999999</v>
      </c>
      <c r="M150" s="40">
        <v>1.8311999999999999</v>
      </c>
      <c r="N150" s="41">
        <v>32883.723586470966</v>
      </c>
      <c r="O150" s="41">
        <v>83721.549878749211</v>
      </c>
      <c r="P150" s="41">
        <v>55.084000000000003</v>
      </c>
      <c r="Q150" s="3">
        <v>63.819000000000003</v>
      </c>
      <c r="R150" s="41">
        <v>28.150800000000004</v>
      </c>
      <c r="S150" s="3">
        <v>-35.668100000000003</v>
      </c>
      <c r="T150" s="41">
        <v>586.06799999999998</v>
      </c>
      <c r="U150" s="41">
        <v>2431.6200820418489</v>
      </c>
      <c r="V150" s="3">
        <v>3702</v>
      </c>
      <c r="W150" s="3">
        <v>0.65683956835274149</v>
      </c>
    </row>
    <row r="151" spans="1:23" x14ac:dyDescent="0.25">
      <c r="A151" s="94"/>
      <c r="B151" s="98"/>
      <c r="C151" s="4" t="s">
        <v>27</v>
      </c>
      <c r="D151" s="2">
        <v>36164</v>
      </c>
      <c r="E151" s="4">
        <v>167000</v>
      </c>
      <c r="F151" s="3">
        <f t="shared" si="2"/>
        <v>0.2165508982035928</v>
      </c>
      <c r="G151" s="4"/>
      <c r="H151" s="4"/>
      <c r="I151" s="40">
        <v>29.902000000000001</v>
      </c>
      <c r="J151" s="40">
        <v>11.847</v>
      </c>
      <c r="K151" s="40">
        <v>1.7530264</v>
      </c>
      <c r="L151" s="40">
        <v>6.6475032000000001</v>
      </c>
      <c r="M151" s="40">
        <v>2.8874704000000002</v>
      </c>
      <c r="N151" s="41">
        <v>205015.2318562874</v>
      </c>
      <c r="O151" s="41">
        <v>88592.488311377238</v>
      </c>
      <c r="P151" s="41">
        <v>32.29</v>
      </c>
      <c r="Q151" s="3">
        <v>32.729999999999997</v>
      </c>
      <c r="R151" s="41">
        <v>12.93</v>
      </c>
      <c r="S151" s="3">
        <v>-19.809999999999999</v>
      </c>
      <c r="T151" s="41">
        <v>221.11</v>
      </c>
      <c r="U151" s="41">
        <v>1806.4357135733335</v>
      </c>
      <c r="V151" s="3">
        <v>9559</v>
      </c>
      <c r="W151" s="3">
        <v>0.18897747814345994</v>
      </c>
    </row>
    <row r="152" spans="1:23" x14ac:dyDescent="0.25">
      <c r="A152" s="95"/>
      <c r="B152" s="98"/>
      <c r="C152" s="4" t="s">
        <v>28</v>
      </c>
      <c r="D152" s="2">
        <v>13633</v>
      </c>
      <c r="E152" s="4">
        <v>157900</v>
      </c>
      <c r="F152" s="3">
        <f t="shared" si="2"/>
        <v>8.6339455351488278E-2</v>
      </c>
      <c r="G152" s="4">
        <v>6.76</v>
      </c>
      <c r="H152" s="4">
        <v>1.44</v>
      </c>
      <c r="I152" s="40">
        <f>SUM(G152:H152)</f>
        <v>8.1999999999999993</v>
      </c>
      <c r="J152" s="40">
        <v>2.98</v>
      </c>
      <c r="K152" s="40">
        <v>0.89</v>
      </c>
      <c r="L152" s="40">
        <v>2.25</v>
      </c>
      <c r="M152" s="40">
        <v>1.1299999999999999</v>
      </c>
      <c r="N152" s="41">
        <v>112958.16845471816</v>
      </c>
      <c r="O152" s="41">
        <v>43159.712298923369</v>
      </c>
      <c r="P152" s="41">
        <v>9.94</v>
      </c>
      <c r="Q152" s="3">
        <v>4.83</v>
      </c>
      <c r="R152" s="41">
        <v>4.83</v>
      </c>
      <c r="S152" s="3">
        <v>4.83</v>
      </c>
      <c r="T152" s="41">
        <v>78.94</v>
      </c>
      <c r="U152" s="41">
        <v>870.06436266503738</v>
      </c>
      <c r="V152" s="3">
        <v>10006</v>
      </c>
      <c r="W152" s="3">
        <v>8.6954263708278773E-2</v>
      </c>
    </row>
    <row r="153" spans="1:23" x14ac:dyDescent="0.25">
      <c r="C153" s="6"/>
      <c r="D153" s="57"/>
      <c r="E153" s="6"/>
      <c r="F153" s="46"/>
      <c r="G153" s="58"/>
      <c r="H153" s="58"/>
      <c r="I153" s="58"/>
      <c r="J153" s="6"/>
      <c r="K153" s="6"/>
      <c r="L153" s="6"/>
      <c r="M153" s="6"/>
      <c r="N153" s="50"/>
      <c r="O153" s="50"/>
      <c r="P153" s="50"/>
      <c r="R153" s="50"/>
      <c r="T153" s="50"/>
      <c r="U153" s="50"/>
    </row>
    <row r="154" spans="1:23" x14ac:dyDescent="0.25">
      <c r="A154" s="93" t="s">
        <v>3</v>
      </c>
      <c r="B154" s="98">
        <v>2018</v>
      </c>
      <c r="C154" s="4" t="s">
        <v>20</v>
      </c>
      <c r="D154" s="2">
        <v>152250</v>
      </c>
      <c r="E154" s="4">
        <v>722300</v>
      </c>
      <c r="F154" s="3">
        <f t="shared" si="2"/>
        <v>0.21078499238543541</v>
      </c>
      <c r="G154" s="42">
        <v>7.1032999999999999</v>
      </c>
      <c r="H154" s="42">
        <v>2.9218999999999999</v>
      </c>
      <c r="I154" s="40">
        <f>SUM(G154:H154)</f>
        <v>10.0252</v>
      </c>
      <c r="J154" s="40">
        <v>1.2611000000000001</v>
      </c>
      <c r="K154" s="40">
        <v>0.94840000000000002</v>
      </c>
      <c r="L154" s="40">
        <v>1.5499000000000001</v>
      </c>
      <c r="M154" s="40">
        <v>0.62990000000000002</v>
      </c>
      <c r="N154" s="41">
        <v>3604.4233697909453</v>
      </c>
      <c r="O154" s="41">
        <v>5681.9073101089007</v>
      </c>
      <c r="P154" s="41">
        <v>307.05</v>
      </c>
      <c r="Q154" s="3">
        <v>133.69</v>
      </c>
      <c r="R154" s="41">
        <v>0.83999999999997499</v>
      </c>
      <c r="S154" s="3">
        <v>0.84</v>
      </c>
      <c r="T154" s="41">
        <v>932</v>
      </c>
      <c r="U154" s="41">
        <v>490.54255102040815</v>
      </c>
      <c r="V154" s="3">
        <v>603</v>
      </c>
      <c r="W154" s="3">
        <v>0.81350340136054422</v>
      </c>
    </row>
    <row r="155" spans="1:23" x14ac:dyDescent="0.25">
      <c r="A155" s="94"/>
      <c r="B155" s="98"/>
      <c r="C155" s="4" t="s">
        <v>21</v>
      </c>
      <c r="D155" s="2">
        <v>16960</v>
      </c>
      <c r="E155" s="4">
        <v>486000</v>
      </c>
      <c r="F155" s="3">
        <f t="shared" si="2"/>
        <v>3.4897119341563788E-2</v>
      </c>
      <c r="G155" s="42"/>
      <c r="H155" s="42"/>
      <c r="I155" s="40">
        <v>0.25131999999999999</v>
      </c>
      <c r="J155" s="40">
        <v>4.1200000000000001E-2</v>
      </c>
      <c r="K155" s="40">
        <v>2.2692959999999998E-2</v>
      </c>
      <c r="L155" s="40">
        <v>0.11738704</v>
      </c>
      <c r="M155" s="40">
        <v>4.1199999999999995E-3</v>
      </c>
      <c r="N155" s="41">
        <v>53560.0987654321</v>
      </c>
      <c r="O155" s="41">
        <v>12992.611363979666</v>
      </c>
      <c r="P155" s="41">
        <v>93.00488</v>
      </c>
      <c r="Q155" s="3">
        <v>21.152080000000002</v>
      </c>
      <c r="R155" s="41">
        <v>0</v>
      </c>
      <c r="S155" s="3">
        <v>0</v>
      </c>
      <c r="T155" s="41">
        <v>147.32982400000003</v>
      </c>
      <c r="U155" s="41">
        <v>12.099440860215054</v>
      </c>
      <c r="V155" s="3">
        <v>94.4</v>
      </c>
      <c r="W155" s="3">
        <v>0.12817204301075269</v>
      </c>
    </row>
    <row r="156" spans="1:23" x14ac:dyDescent="0.25">
      <c r="A156" s="94"/>
      <c r="B156" s="98"/>
      <c r="C156" s="4" t="s">
        <v>22</v>
      </c>
      <c r="D156" s="2">
        <v>143240</v>
      </c>
      <c r="E156" s="4">
        <v>425800</v>
      </c>
      <c r="F156" s="3">
        <f t="shared" si="2"/>
        <v>0.33640206669798028</v>
      </c>
      <c r="G156" s="42">
        <v>21.999500000000001</v>
      </c>
      <c r="H156" s="42">
        <v>3.0865999999999998</v>
      </c>
      <c r="I156" s="40">
        <f>SUM(G156:H156)</f>
        <v>25.086100000000002</v>
      </c>
      <c r="J156" s="40">
        <v>5.7557999999999998</v>
      </c>
      <c r="K156" s="40">
        <v>2.4237000000000002</v>
      </c>
      <c r="L156" s="40">
        <v>3.9243000000000001</v>
      </c>
      <c r="M156" s="40">
        <v>1.3697999999999999</v>
      </c>
      <c r="N156" s="41">
        <v>4743.2691404415218</v>
      </c>
      <c r="O156" s="41">
        <v>21110.053615492412</v>
      </c>
      <c r="P156" s="41">
        <v>169.52</v>
      </c>
      <c r="Q156" s="3">
        <v>63.95</v>
      </c>
      <c r="R156" s="41">
        <v>3.0699999999999932</v>
      </c>
      <c r="S156" s="3">
        <v>60.98</v>
      </c>
      <c r="T156" s="41">
        <v>888.25</v>
      </c>
      <c r="U156" s="41">
        <v>1841.3849163931986</v>
      </c>
      <c r="V156" s="3">
        <v>2637</v>
      </c>
      <c r="W156" s="3">
        <v>0.69828779537095131</v>
      </c>
    </row>
    <row r="157" spans="1:23" x14ac:dyDescent="0.25">
      <c r="A157" s="94"/>
      <c r="B157" s="98"/>
      <c r="C157" s="4" t="s">
        <v>23</v>
      </c>
      <c r="D157" s="2">
        <v>51393</v>
      </c>
      <c r="E157" s="4">
        <v>66400</v>
      </c>
      <c r="F157" s="3">
        <f t="shared" si="2"/>
        <v>0.77399096385542165</v>
      </c>
      <c r="G157" s="42"/>
      <c r="H157" s="42"/>
      <c r="I157" s="40">
        <v>56.297600000000003</v>
      </c>
      <c r="J157" s="40">
        <v>4.3437000000000001</v>
      </c>
      <c r="K157" s="40">
        <v>1.25</v>
      </c>
      <c r="L157" s="40">
        <v>2.38</v>
      </c>
      <c r="M157" s="40">
        <v>2.6</v>
      </c>
      <c r="N157" s="41">
        <v>136919.0015060241</v>
      </c>
      <c r="O157" s="41">
        <v>21536.510596611162</v>
      </c>
      <c r="P157" s="41">
        <v>12</v>
      </c>
      <c r="Q157" s="3">
        <v>18.100000000000001</v>
      </c>
      <c r="R157" s="41">
        <v>2.6690000000000005</v>
      </c>
      <c r="S157" s="3">
        <v>-15.4</v>
      </c>
      <c r="T157" s="41">
        <v>201.61</v>
      </c>
      <c r="U157" s="41">
        <v>687.86610778443128</v>
      </c>
      <c r="V157" s="3">
        <v>688</v>
      </c>
      <c r="W157" s="3">
        <v>0.99980538922155704</v>
      </c>
    </row>
    <row r="158" spans="1:23" x14ac:dyDescent="0.25">
      <c r="A158" s="94"/>
      <c r="B158" s="98"/>
      <c r="C158" s="4" t="s">
        <v>24</v>
      </c>
      <c r="D158" s="2">
        <v>150962</v>
      </c>
      <c r="E158" s="4">
        <v>1183000</v>
      </c>
      <c r="F158" s="3">
        <f t="shared" si="2"/>
        <v>0.12760946745562129</v>
      </c>
      <c r="G158" s="42">
        <f>SUM(62.57+1.81+1.89)</f>
        <v>66.27</v>
      </c>
      <c r="H158" s="42">
        <f>SUM(1.43+0.04+0.1+1.56+0.51+0.7+1.28+0.14+0.2)</f>
        <v>5.96</v>
      </c>
      <c r="I158" s="40">
        <f>SUM(G158:H158)</f>
        <v>72.22999999999999</v>
      </c>
      <c r="J158" s="40">
        <f>SUM(6.77+1.83+0.37)</f>
        <v>8.9699999999999989</v>
      </c>
      <c r="K158" s="40">
        <f>SUM(0.95+0.1+0.02)</f>
        <v>1.07</v>
      </c>
      <c r="L158" s="40">
        <f>SUM(3+0.44+0.1)</f>
        <v>3.54</v>
      </c>
      <c r="M158" s="40">
        <f>SUM(4.24+0.45+0.11)</f>
        <v>4.8000000000000007</v>
      </c>
      <c r="N158" s="41">
        <v>17801.520710059172</v>
      </c>
      <c r="O158" s="41">
        <v>13296.90650887574</v>
      </c>
      <c r="P158" s="41">
        <v>16.439999999999998</v>
      </c>
      <c r="Q158" s="3">
        <v>52.51</v>
      </c>
      <c r="R158" s="41">
        <v>43.06</v>
      </c>
      <c r="S158" s="3">
        <v>9.4599999999999991</v>
      </c>
      <c r="T158" s="41">
        <v>561.81000000000006</v>
      </c>
      <c r="U158" s="41">
        <v>1017.9192035045799</v>
      </c>
      <c r="V158" s="3">
        <v>2534</v>
      </c>
      <c r="W158" s="3">
        <v>0.40170450019912385</v>
      </c>
    </row>
    <row r="159" spans="1:23" x14ac:dyDescent="0.25">
      <c r="A159" s="94"/>
      <c r="B159" s="98"/>
      <c r="C159" s="4" t="s">
        <v>25</v>
      </c>
      <c r="D159" s="2">
        <v>133300.52000000002</v>
      </c>
      <c r="E159" s="4">
        <v>205600</v>
      </c>
      <c r="F159" s="3">
        <f t="shared" si="2"/>
        <v>0.64834883268482502</v>
      </c>
      <c r="G159" s="42">
        <f>SUM(24.65+4.79)</f>
        <v>29.439999999999998</v>
      </c>
      <c r="H159" s="42">
        <f>SUM(5.7+1.12)</f>
        <v>6.82</v>
      </c>
      <c r="I159" s="40">
        <f>SUM(G159:H159)</f>
        <v>36.26</v>
      </c>
      <c r="J159" s="40">
        <f>SUM(8.96+3.07)</f>
        <v>12.030000000000001</v>
      </c>
      <c r="K159" s="40">
        <f>SUM(2.5+0.35)</f>
        <v>2.85</v>
      </c>
      <c r="L159" s="40">
        <f>SUM(9.22+1.67)</f>
        <v>10.89</v>
      </c>
      <c r="M159" s="40">
        <f>SUM(4.18+0.25)</f>
        <v>4.43</v>
      </c>
      <c r="N159" s="41">
        <v>105680.85972762648</v>
      </c>
      <c r="O159" s="41">
        <v>120511.42141891632</v>
      </c>
      <c r="P159" s="41">
        <v>81.5</v>
      </c>
      <c r="Q159" s="3">
        <v>59.11</v>
      </c>
      <c r="R159" s="41">
        <v>20.040000000000006</v>
      </c>
      <c r="S159" s="3">
        <v>-39.07</v>
      </c>
      <c r="T159" s="41">
        <v>801.99</v>
      </c>
      <c r="U159" s="41">
        <v>3036.0085306554342</v>
      </c>
      <c r="V159" s="3">
        <v>3864</v>
      </c>
      <c r="W159" s="3">
        <v>0.78571649344084737</v>
      </c>
    </row>
    <row r="160" spans="1:23" x14ac:dyDescent="0.25">
      <c r="A160" s="94"/>
      <c r="B160" s="98"/>
      <c r="C160" s="4" t="s">
        <v>26</v>
      </c>
      <c r="D160" s="2">
        <v>97138</v>
      </c>
      <c r="E160" s="4">
        <v>156700</v>
      </c>
      <c r="F160" s="3">
        <f t="shared" si="2"/>
        <v>0.61989789406509255</v>
      </c>
      <c r="G160" s="42">
        <v>27.226399999999995</v>
      </c>
      <c r="H160" s="42">
        <v>1.7185999999999999</v>
      </c>
      <c r="I160" s="40">
        <f>SUM(G160:H160)</f>
        <v>28.944999999999993</v>
      </c>
      <c r="J160" s="40">
        <v>9.2281000000000013</v>
      </c>
      <c r="K160" s="40">
        <v>1.86348</v>
      </c>
      <c r="L160" s="40">
        <v>7.3689</v>
      </c>
      <c r="M160" s="40">
        <v>2.1463999999999999</v>
      </c>
      <c r="N160" s="41">
        <v>29631.119336311425</v>
      </c>
      <c r="O160" s="41">
        <v>81176.683073380409</v>
      </c>
      <c r="P160" s="41">
        <v>49.314500000000002</v>
      </c>
      <c r="Q160" s="3">
        <v>59.334200000000003</v>
      </c>
      <c r="R160" s="41">
        <v>24.496599999999994</v>
      </c>
      <c r="S160" s="3">
        <v>-34.837600000000002</v>
      </c>
      <c r="T160" s="41">
        <v>513.12139999999999</v>
      </c>
      <c r="U160" s="41">
        <v>2442.129515135493</v>
      </c>
      <c r="V160" s="3">
        <v>3718</v>
      </c>
      <c r="W160" s="3">
        <v>0.65683956835274149</v>
      </c>
    </row>
    <row r="161" spans="1:23" x14ac:dyDescent="0.25">
      <c r="A161" s="94"/>
      <c r="B161" s="98"/>
      <c r="C161" s="4" t="s">
        <v>27</v>
      </c>
      <c r="D161" s="2">
        <v>36164</v>
      </c>
      <c r="E161" s="4">
        <v>167000</v>
      </c>
      <c r="F161" s="3">
        <f t="shared" si="2"/>
        <v>0.2165508982035928</v>
      </c>
      <c r="G161" s="42"/>
      <c r="H161" s="42"/>
      <c r="I161" s="40">
        <v>27.06</v>
      </c>
      <c r="J161" s="40">
        <v>11.612</v>
      </c>
      <c r="K161" s="40">
        <v>1.8283468999999999</v>
      </c>
      <c r="L161" s="40">
        <v>6.9331196999999998</v>
      </c>
      <c r="M161" s="40">
        <v>3.0115334000000002</v>
      </c>
      <c r="N161" s="41">
        <v>213042.7736526946</v>
      </c>
      <c r="O161" s="41">
        <v>89061.970658682636</v>
      </c>
      <c r="P161" s="41">
        <v>30.5</v>
      </c>
      <c r="Q161" s="3">
        <v>34.909999999999997</v>
      </c>
      <c r="R161" s="41">
        <v>14.89</v>
      </c>
      <c r="S161" s="3">
        <v>-20.02</v>
      </c>
      <c r="T161" s="41">
        <v>238.34</v>
      </c>
      <c r="U161" s="41">
        <v>1815.1286775679328</v>
      </c>
      <c r="V161" s="3">
        <v>9605</v>
      </c>
      <c r="W161" s="3">
        <v>0.18897747814345994</v>
      </c>
    </row>
    <row r="162" spans="1:23" x14ac:dyDescent="0.25">
      <c r="A162" s="95"/>
      <c r="B162" s="98"/>
      <c r="C162" s="4" t="s">
        <v>28</v>
      </c>
      <c r="D162" s="2">
        <v>13633</v>
      </c>
      <c r="E162" s="4">
        <v>157900</v>
      </c>
      <c r="F162" s="3">
        <f t="shared" si="2"/>
        <v>8.6339455351488278E-2</v>
      </c>
      <c r="G162" s="42">
        <v>6.46</v>
      </c>
      <c r="H162" s="42">
        <v>1.36</v>
      </c>
      <c r="I162" s="40">
        <f>SUM(G162:H162)</f>
        <v>7.82</v>
      </c>
      <c r="J162" s="40">
        <v>2.95</v>
      </c>
      <c r="K162" s="40">
        <v>0.82</v>
      </c>
      <c r="L162" s="40">
        <v>2.2400000000000002</v>
      </c>
      <c r="M162" s="40">
        <v>1.08</v>
      </c>
      <c r="N162" s="41">
        <v>108209.23939202026</v>
      </c>
      <c r="O162" s="41">
        <v>42504.397483081862</v>
      </c>
      <c r="P162" s="41">
        <v>21.98</v>
      </c>
      <c r="Q162" s="3">
        <v>5.42</v>
      </c>
      <c r="R162" s="41">
        <v>5.43</v>
      </c>
      <c r="S162" s="3">
        <v>5.42</v>
      </c>
      <c r="T162" s="41">
        <v>107.98</v>
      </c>
      <c r="U162" s="41">
        <v>873.62948747707685</v>
      </c>
      <c r="V162" s="3">
        <v>10047</v>
      </c>
      <c r="W162" s="3">
        <v>8.6954263708278773E-2</v>
      </c>
    </row>
  </sheetData>
  <mergeCells count="57">
    <mergeCell ref="O2:O3"/>
    <mergeCell ref="G1:O1"/>
    <mergeCell ref="A144:A152"/>
    <mergeCell ref="A154:A162"/>
    <mergeCell ref="N2:N3"/>
    <mergeCell ref="A94:A102"/>
    <mergeCell ref="A104:A112"/>
    <mergeCell ref="A114:A122"/>
    <mergeCell ref="A124:A132"/>
    <mergeCell ref="A134:A142"/>
    <mergeCell ref="A44:A52"/>
    <mergeCell ref="A54:A62"/>
    <mergeCell ref="A64:A72"/>
    <mergeCell ref="A74:A82"/>
    <mergeCell ref="A84:A92"/>
    <mergeCell ref="A1:A3"/>
    <mergeCell ref="A4:A12"/>
    <mergeCell ref="A14:A22"/>
    <mergeCell ref="A24:A32"/>
    <mergeCell ref="A34:A42"/>
    <mergeCell ref="B74:B82"/>
    <mergeCell ref="B84:B92"/>
    <mergeCell ref="G2:I2"/>
    <mergeCell ref="B154:B162"/>
    <mergeCell ref="B124:B132"/>
    <mergeCell ref="B134:B142"/>
    <mergeCell ref="B144:B152"/>
    <mergeCell ref="B94:B102"/>
    <mergeCell ref="B104:B112"/>
    <mergeCell ref="B114:B122"/>
    <mergeCell ref="B24:B32"/>
    <mergeCell ref="B34:B42"/>
    <mergeCell ref="B44:B52"/>
    <mergeCell ref="B54:B62"/>
    <mergeCell ref="B64:B72"/>
    <mergeCell ref="U2:U3"/>
    <mergeCell ref="V2:V3"/>
    <mergeCell ref="W2:W3"/>
    <mergeCell ref="R2:R3"/>
    <mergeCell ref="S2:S3"/>
    <mergeCell ref="B1:B3"/>
    <mergeCell ref="C1:C3"/>
    <mergeCell ref="B14:B22"/>
    <mergeCell ref="B4:B12"/>
    <mergeCell ref="D2:D3"/>
    <mergeCell ref="U1:W1"/>
    <mergeCell ref="P1:T1"/>
    <mergeCell ref="D1:F1"/>
    <mergeCell ref="E2:E3"/>
    <mergeCell ref="F2:F3"/>
    <mergeCell ref="T2:T3"/>
    <mergeCell ref="J2:J3"/>
    <mergeCell ref="K2:K3"/>
    <mergeCell ref="L2:L3"/>
    <mergeCell ref="M2:M3"/>
    <mergeCell ref="P2:P3"/>
    <mergeCell ref="Q2:Q3"/>
  </mergeCells>
  <phoneticPr fontId="1" type="noConversion"/>
  <pageMargins left="0.7" right="0.7" top="0.75" bottom="0.75" header="0.3" footer="0.3"/>
  <pageSetup paperSize="9" orientation="portrait" r:id="rId1"/>
  <ignoredErrors>
    <ignoredError sqref="I162 I160 I156 I154 I152 I150 I146 I144 I142 I140 I136 I134 I122 I120 I118 I114 I112 I110 I108 I104 I102 I98:I100 I94 I92 I87:I90 I84 I82 I76 I74 I72 I66 I64 I62 I56 I54 I52 I46 I44 I42 I39 I34 I32 I29 I24 I22 I14 I12 I9 I4" formulaRange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2C5743-8FFC-42BF-83AC-2DD19921D6E4}">
  <dimension ref="A1:V196"/>
  <sheetViews>
    <sheetView workbookViewId="0">
      <selection activeCell="C16" sqref="C16"/>
    </sheetView>
  </sheetViews>
  <sheetFormatPr defaultRowHeight="13.8" x14ac:dyDescent="0.25"/>
  <cols>
    <col min="1" max="1" width="9" style="100" bestFit="1" customWidth="1"/>
    <col min="2" max="2" width="15.33203125" style="18" customWidth="1"/>
    <col min="3" max="3" width="12.33203125" style="18" bestFit="1" customWidth="1"/>
    <col min="4" max="11" width="13.5546875" style="18" bestFit="1" customWidth="1"/>
    <col min="12" max="12" width="9.88671875" style="83" bestFit="1" customWidth="1"/>
    <col min="13" max="13" width="12.21875" style="83" customWidth="1"/>
    <col min="14" max="14" width="12.21875" style="79" customWidth="1"/>
    <col min="15" max="18" width="12.6640625" style="18" bestFit="1" customWidth="1"/>
    <col min="19" max="19" width="9" style="83" bestFit="1" customWidth="1"/>
    <col min="20" max="20" width="10.5546875" style="18" customWidth="1"/>
    <col min="21" max="22" width="9" style="18" bestFit="1" customWidth="1"/>
    <col min="23" max="16384" width="8.88671875" style="18"/>
  </cols>
  <sheetData>
    <row r="1" spans="1:22" ht="13.95" customHeight="1" x14ac:dyDescent="0.25">
      <c r="A1" s="99"/>
      <c r="B1" s="59" t="s">
        <v>44</v>
      </c>
      <c r="C1" s="60"/>
      <c r="D1" s="9" t="s">
        <v>39</v>
      </c>
      <c r="E1" s="10"/>
      <c r="F1" s="10"/>
      <c r="G1" s="10"/>
      <c r="H1" s="10"/>
      <c r="I1" s="10"/>
      <c r="J1" s="10"/>
      <c r="K1" s="11"/>
      <c r="L1" s="61" t="s">
        <v>51</v>
      </c>
      <c r="M1" s="62" t="s">
        <v>57</v>
      </c>
      <c r="N1" s="63" t="s">
        <v>46</v>
      </c>
      <c r="O1" s="64" t="s">
        <v>43</v>
      </c>
      <c r="P1" s="64"/>
      <c r="Q1" s="64"/>
      <c r="R1" s="64"/>
      <c r="S1" s="65" t="s">
        <v>52</v>
      </c>
      <c r="T1" s="88" t="s">
        <v>53</v>
      </c>
      <c r="U1" s="88" t="s">
        <v>59</v>
      </c>
      <c r="V1" s="88" t="s">
        <v>58</v>
      </c>
    </row>
    <row r="2" spans="1:22" ht="41.4" x14ac:dyDescent="0.25">
      <c r="A2" s="99"/>
      <c r="B2" s="21"/>
      <c r="C2" s="66" t="s">
        <v>37</v>
      </c>
      <c r="D2" s="67" t="s">
        <v>29</v>
      </c>
      <c r="E2" s="67" t="s">
        <v>30</v>
      </c>
      <c r="F2" s="67" t="s">
        <v>31</v>
      </c>
      <c r="G2" s="67" t="s">
        <v>32</v>
      </c>
      <c r="H2" s="67" t="s">
        <v>33</v>
      </c>
      <c r="I2" s="33" t="s">
        <v>40</v>
      </c>
      <c r="J2" s="33" t="s">
        <v>41</v>
      </c>
      <c r="K2" s="33" t="s">
        <v>42</v>
      </c>
      <c r="L2" s="62"/>
      <c r="M2" s="68"/>
      <c r="N2" s="69"/>
      <c r="O2" s="70" t="s">
        <v>34</v>
      </c>
      <c r="P2" s="70" t="s">
        <v>35</v>
      </c>
      <c r="Q2" s="70" t="s">
        <v>36</v>
      </c>
      <c r="R2" s="70" t="s">
        <v>38</v>
      </c>
      <c r="S2" s="71"/>
      <c r="T2" s="89"/>
      <c r="U2" s="89"/>
      <c r="V2" s="89"/>
    </row>
    <row r="3" spans="1:22" x14ac:dyDescent="0.25">
      <c r="A3" s="8">
        <v>2003</v>
      </c>
      <c r="B3" s="4" t="s">
        <v>20</v>
      </c>
      <c r="C3" s="60">
        <v>434.41081632653061</v>
      </c>
      <c r="D3" s="60">
        <v>293933749347579.88</v>
      </c>
      <c r="E3" s="60">
        <v>95025258231533.859</v>
      </c>
      <c r="F3" s="60">
        <v>20299494553495.633</v>
      </c>
      <c r="G3" s="60">
        <v>68273806464585.148</v>
      </c>
      <c r="H3" s="60">
        <v>2978793232964.376</v>
      </c>
      <c r="I3" s="60">
        <v>693865179647.37878</v>
      </c>
      <c r="J3" s="60">
        <v>15969994620910.422</v>
      </c>
      <c r="K3" s="60">
        <v>497174961630716.69</v>
      </c>
      <c r="L3" s="72">
        <v>0.10879102005048505</v>
      </c>
      <c r="M3" s="72">
        <f>L3*C3</f>
        <v>47.25999582912717</v>
      </c>
      <c r="N3" s="73">
        <f>M3/$M$12</f>
        <v>4.4205900264993096E-2</v>
      </c>
      <c r="O3" s="60">
        <v>335548436755668.19</v>
      </c>
      <c r="P3" s="60">
        <v>1344955976409.7041</v>
      </c>
      <c r="Q3" s="60">
        <v>155417847260164.25</v>
      </c>
      <c r="R3" s="60">
        <v>492311239992242.13</v>
      </c>
      <c r="S3" s="72">
        <v>0.21520795039542728</v>
      </c>
      <c r="T3" s="74">
        <f>S3-L3</f>
        <v>0.10641693034494223</v>
      </c>
      <c r="U3" s="86">
        <f>MIN(L3,S3)</f>
        <v>0.10879102005048505</v>
      </c>
      <c r="V3" s="86">
        <f>IF(L3&lt;=S3,1,1+MAX((L3-S3),0)/S3)</f>
        <v>1</v>
      </c>
    </row>
    <row r="4" spans="1:22" x14ac:dyDescent="0.25">
      <c r="A4" s="8"/>
      <c r="B4" s="4" t="s">
        <v>21</v>
      </c>
      <c r="C4" s="60">
        <v>84.7</v>
      </c>
      <c r="D4" s="60">
        <v>21122058823054.973</v>
      </c>
      <c r="E4" s="60">
        <v>7125418432698.1602</v>
      </c>
      <c r="F4" s="60">
        <v>1828170956316.4119</v>
      </c>
      <c r="G4" s="60">
        <v>9456834946871.3086</v>
      </c>
      <c r="H4" s="60">
        <v>0</v>
      </c>
      <c r="I4" s="60">
        <v>346251937363048.5</v>
      </c>
      <c r="J4" s="60">
        <v>225957466351829.97</v>
      </c>
      <c r="K4" s="60">
        <v>611741886873819.38</v>
      </c>
      <c r="L4" s="72">
        <v>0.13386036911899768</v>
      </c>
      <c r="M4" s="72">
        <f t="shared" ref="M4:M67" si="0">L4*C4</f>
        <v>11.337973264379103</v>
      </c>
      <c r="N4" s="73">
        <f t="shared" ref="N4:N11" si="1">M4/$M$12</f>
        <v>1.0605276334438422E-2</v>
      </c>
      <c r="O4" s="60">
        <v>745689338193766.38</v>
      </c>
      <c r="P4" s="60">
        <v>0</v>
      </c>
      <c r="Q4" s="60">
        <v>159829269090909.09</v>
      </c>
      <c r="R4" s="60">
        <v>905518607284675.5</v>
      </c>
      <c r="S4" s="72">
        <v>0.39583659215606715</v>
      </c>
      <c r="T4" s="74">
        <f t="shared" ref="T4:T67" si="2">S4-L4</f>
        <v>0.26197622303706947</v>
      </c>
      <c r="U4" s="86">
        <f t="shared" ref="U4:U67" si="3">MIN(L4,S4)</f>
        <v>0.13386036911899768</v>
      </c>
      <c r="V4" s="86">
        <f t="shared" ref="V4:V67" si="4">IF(L4&lt;=S4,1,1+MAX((L4-S4),0)/S4)</f>
        <v>1</v>
      </c>
    </row>
    <row r="5" spans="1:22" x14ac:dyDescent="0.25">
      <c r="A5" s="8"/>
      <c r="B5" s="4" t="s">
        <v>22</v>
      </c>
      <c r="C5" s="60">
        <v>1771.5561368561034</v>
      </c>
      <c r="D5" s="60">
        <v>131712676299431.91</v>
      </c>
      <c r="E5" s="60">
        <v>115806886235106.77</v>
      </c>
      <c r="F5" s="60">
        <v>14696141690549.617</v>
      </c>
      <c r="G5" s="60">
        <v>54804743682749.133</v>
      </c>
      <c r="H5" s="60">
        <v>1051922635264.1222</v>
      </c>
      <c r="I5" s="60">
        <v>2986980993190.5347</v>
      </c>
      <c r="J5" s="60">
        <v>20995798680141.527</v>
      </c>
      <c r="K5" s="60">
        <v>342055150216434</v>
      </c>
      <c r="L5" s="72">
        <v>7.48479540954997E-2</v>
      </c>
      <c r="M5" s="72">
        <f t="shared" si="0"/>
        <v>132.59735240900642</v>
      </c>
      <c r="N5" s="73">
        <f t="shared" si="1"/>
        <v>0.12402847764074668</v>
      </c>
      <c r="O5" s="60">
        <v>52583249772753.539</v>
      </c>
      <c r="P5" s="60">
        <v>1065040166301.689</v>
      </c>
      <c r="Q5" s="60">
        <v>46279500490849.797</v>
      </c>
      <c r="R5" s="60">
        <v>99927790429905.031</v>
      </c>
      <c r="S5" s="72">
        <v>4.3682234365200627E-2</v>
      </c>
      <c r="T5" s="74">
        <f t="shared" si="2"/>
        <v>-3.1165719730299073E-2</v>
      </c>
      <c r="U5" s="86">
        <f t="shared" si="3"/>
        <v>4.3682234365200627E-2</v>
      </c>
      <c r="V5" s="86">
        <f t="shared" si="4"/>
        <v>1.7134644136959989</v>
      </c>
    </row>
    <row r="6" spans="1:22" x14ac:dyDescent="0.25">
      <c r="A6" s="8"/>
      <c r="B6" s="4" t="s">
        <v>23</v>
      </c>
      <c r="C6" s="60">
        <v>579.88712574850285</v>
      </c>
      <c r="D6" s="60">
        <v>891401062461567.5</v>
      </c>
      <c r="E6" s="60">
        <v>147614934353836.19</v>
      </c>
      <c r="F6" s="60">
        <v>12402413643373.713</v>
      </c>
      <c r="G6" s="60">
        <v>50009732432958.523</v>
      </c>
      <c r="H6" s="60">
        <v>9560481262355.9336</v>
      </c>
      <c r="I6" s="60">
        <v>73997261071725.656</v>
      </c>
      <c r="J6" s="60">
        <v>70107985148875.258</v>
      </c>
      <c r="K6" s="60">
        <v>1255093870374692.8</v>
      </c>
      <c r="L6" s="72">
        <v>0.27463760839708812</v>
      </c>
      <c r="M6" s="72">
        <f t="shared" si="0"/>
        <v>159.25881335583031</v>
      </c>
      <c r="N6" s="73">
        <f t="shared" si="1"/>
        <v>0.1489669877454792</v>
      </c>
      <c r="O6" s="60">
        <v>13121253715623.199</v>
      </c>
      <c r="P6" s="60">
        <v>1688016856842.5193</v>
      </c>
      <c r="Q6" s="60">
        <v>28723629808991.328</v>
      </c>
      <c r="R6" s="60">
        <v>43532900381457.047</v>
      </c>
      <c r="S6" s="72">
        <v>1.902988496872287E-2</v>
      </c>
      <c r="T6" s="74">
        <f t="shared" si="2"/>
        <v>-0.25560772342836524</v>
      </c>
      <c r="U6" s="86">
        <f t="shared" si="3"/>
        <v>1.902988496872287E-2</v>
      </c>
      <c r="V6" s="86">
        <f t="shared" si="4"/>
        <v>14.431911114989758</v>
      </c>
    </row>
    <row r="7" spans="1:22" x14ac:dyDescent="0.25">
      <c r="A7" s="8"/>
      <c r="B7" s="4" t="s">
        <v>24</v>
      </c>
      <c r="C7" s="60">
        <v>958.46693747510949</v>
      </c>
      <c r="D7" s="60">
        <v>640305863462230.88</v>
      </c>
      <c r="E7" s="60">
        <v>95485818468700.906</v>
      </c>
      <c r="F7" s="60">
        <v>20816576159173.078</v>
      </c>
      <c r="G7" s="60">
        <v>53009653242545.391</v>
      </c>
      <c r="H7" s="60">
        <v>3943798009306.0469</v>
      </c>
      <c r="I7" s="60">
        <v>10661782638810.67</v>
      </c>
      <c r="J7" s="60">
        <v>15159442472033.445</v>
      </c>
      <c r="K7" s="60">
        <v>839382934452800.38</v>
      </c>
      <c r="L7" s="72">
        <v>0.18367241454109418</v>
      </c>
      <c r="M7" s="72">
        <f t="shared" si="0"/>
        <v>176.0439366638613</v>
      </c>
      <c r="N7" s="73">
        <f t="shared" si="1"/>
        <v>0.16466740146479486</v>
      </c>
      <c r="O7" s="60">
        <v>12869907356236.967</v>
      </c>
      <c r="P7" s="60">
        <v>16344964500646.615</v>
      </c>
      <c r="Q7" s="60">
        <v>45664046853088.875</v>
      </c>
      <c r="R7" s="60">
        <v>74878918709972.453</v>
      </c>
      <c r="S7" s="72">
        <v>3.273242070128831E-2</v>
      </c>
      <c r="T7" s="74">
        <f t="shared" si="2"/>
        <v>-0.15093999383980586</v>
      </c>
      <c r="U7" s="86">
        <f t="shared" si="3"/>
        <v>3.273242070128831E-2</v>
      </c>
      <c r="V7" s="86">
        <f t="shared" si="4"/>
        <v>5.6113300087782703</v>
      </c>
    </row>
    <row r="8" spans="1:22" x14ac:dyDescent="0.25">
      <c r="A8" s="8"/>
      <c r="B8" s="4" t="s">
        <v>25</v>
      </c>
      <c r="C8" s="60">
        <v>2885.1509639147916</v>
      </c>
      <c r="D8" s="60">
        <v>97847219618951.438</v>
      </c>
      <c r="E8" s="60">
        <v>61722940056615.813</v>
      </c>
      <c r="F8" s="60">
        <v>11096819681337.668</v>
      </c>
      <c r="G8" s="60">
        <v>51785158512909.125</v>
      </c>
      <c r="H8" s="60">
        <v>349375132395.93854</v>
      </c>
      <c r="I8" s="60">
        <v>16487648115833.738</v>
      </c>
      <c r="J8" s="60">
        <v>38506868926280.938</v>
      </c>
      <c r="K8" s="60">
        <v>277796030044324.66</v>
      </c>
      <c r="L8" s="72">
        <v>6.0786877471405834E-2</v>
      </c>
      <c r="M8" s="72">
        <f t="shared" si="0"/>
        <v>175.37931812999688</v>
      </c>
      <c r="N8" s="73">
        <f t="shared" si="1"/>
        <v>0.16404573275520584</v>
      </c>
      <c r="O8" s="60">
        <v>33937543420594.105</v>
      </c>
      <c r="P8" s="60">
        <v>4938754136346.4678</v>
      </c>
      <c r="Q8" s="60">
        <v>30821619655135.906</v>
      </c>
      <c r="R8" s="60">
        <v>69697917212076.477</v>
      </c>
      <c r="S8" s="72">
        <v>3.0467608073050524E-2</v>
      </c>
      <c r="T8" s="74">
        <f t="shared" si="2"/>
        <v>-3.031926939835531E-2</v>
      </c>
      <c r="U8" s="86">
        <f t="shared" si="3"/>
        <v>3.0467608073050524E-2</v>
      </c>
      <c r="V8" s="86">
        <f t="shared" si="4"/>
        <v>1.9951312661519227</v>
      </c>
    </row>
    <row r="9" spans="1:22" x14ac:dyDescent="0.25">
      <c r="A9" s="8"/>
      <c r="B9" s="4" t="s">
        <v>26</v>
      </c>
      <c r="C9" s="60">
        <v>2176.7663295209854</v>
      </c>
      <c r="D9" s="60">
        <v>88373289034809.781</v>
      </c>
      <c r="E9" s="60">
        <v>59611359400507.961</v>
      </c>
      <c r="F9" s="60">
        <v>14068574832622.963</v>
      </c>
      <c r="G9" s="60">
        <v>39967542138133.414</v>
      </c>
      <c r="H9" s="60">
        <v>1273448583987.4233</v>
      </c>
      <c r="I9" s="60">
        <v>9742298320386.7891</v>
      </c>
      <c r="J9" s="60">
        <v>57793107001835.945</v>
      </c>
      <c r="K9" s="60">
        <v>270829619312284.28</v>
      </c>
      <c r="L9" s="72">
        <v>5.9262498755423255E-2</v>
      </c>
      <c r="M9" s="72">
        <f t="shared" si="0"/>
        <v>129.00061189408464</v>
      </c>
      <c r="N9" s="73">
        <f t="shared" si="1"/>
        <v>0.12066417026635416</v>
      </c>
      <c r="O9" s="60">
        <v>18733404284785.656</v>
      </c>
      <c r="P9" s="60">
        <v>5874949701534.5244</v>
      </c>
      <c r="Q9" s="60">
        <v>28490071103611.359</v>
      </c>
      <c r="R9" s="60">
        <v>53098425089931.539</v>
      </c>
      <c r="S9" s="72">
        <v>2.3211339300336444E-2</v>
      </c>
      <c r="T9" s="74">
        <f t="shared" si="2"/>
        <v>-3.6051159455086815E-2</v>
      </c>
      <c r="U9" s="86">
        <f t="shared" si="3"/>
        <v>2.3211339300336444E-2</v>
      </c>
      <c r="V9" s="86">
        <f t="shared" si="4"/>
        <v>2.5531701548373928</v>
      </c>
    </row>
    <row r="10" spans="1:22" x14ac:dyDescent="0.25">
      <c r="A10" s="8"/>
      <c r="B10" s="4" t="s">
        <v>27</v>
      </c>
      <c r="C10" s="60">
        <v>1826.8452812128273</v>
      </c>
      <c r="D10" s="60">
        <v>152767835826096.38</v>
      </c>
      <c r="E10" s="60">
        <v>76722424959243.922</v>
      </c>
      <c r="F10" s="60">
        <v>13511751221544.377</v>
      </c>
      <c r="G10" s="60">
        <v>51236769442160.227</v>
      </c>
      <c r="H10" s="60">
        <v>12087132559655.188</v>
      </c>
      <c r="I10" s="60">
        <v>50787679334142.984</v>
      </c>
      <c r="J10" s="60">
        <v>66678287675862.047</v>
      </c>
      <c r="K10" s="60">
        <v>423791881018705.19</v>
      </c>
      <c r="L10" s="72">
        <v>9.2733453176959565E-2</v>
      </c>
      <c r="M10" s="72">
        <f t="shared" si="0"/>
        <v>169.40967134689924</v>
      </c>
      <c r="N10" s="73">
        <f t="shared" si="1"/>
        <v>0.15846186407978355</v>
      </c>
      <c r="O10" s="60">
        <v>33232317499312.488</v>
      </c>
      <c r="P10" s="60">
        <v>6004519311417.4014</v>
      </c>
      <c r="Q10" s="60">
        <v>18561439694327.801</v>
      </c>
      <c r="R10" s="60">
        <v>57798276505057.688</v>
      </c>
      <c r="S10" s="72">
        <v>2.5265822944114894E-2</v>
      </c>
      <c r="T10" s="74">
        <f t="shared" si="2"/>
        <v>-6.7467630232844675E-2</v>
      </c>
      <c r="U10" s="86">
        <f t="shared" si="3"/>
        <v>2.5265822944114894E-2</v>
      </c>
      <c r="V10" s="86">
        <f t="shared" si="4"/>
        <v>3.6703120013971184</v>
      </c>
    </row>
    <row r="11" spans="1:22" x14ac:dyDescent="0.25">
      <c r="A11" s="8"/>
      <c r="B11" s="4" t="s">
        <v>28</v>
      </c>
      <c r="C11" s="60">
        <v>793.45765633804376</v>
      </c>
      <c r="D11" s="60">
        <v>103343132862865.08</v>
      </c>
      <c r="E11" s="60">
        <v>59077128597306.453</v>
      </c>
      <c r="F11" s="60">
        <v>4575921564304.7979</v>
      </c>
      <c r="G11" s="60">
        <v>44113053444515.32</v>
      </c>
      <c r="H11" s="60">
        <v>2226356990684.0669</v>
      </c>
      <c r="I11" s="60">
        <v>122173312602948.23</v>
      </c>
      <c r="J11" s="60">
        <v>60753351127111.32</v>
      </c>
      <c r="K11" s="60">
        <v>396262257189735.25</v>
      </c>
      <c r="L11" s="72">
        <v>8.6709465468213398E-2</v>
      </c>
      <c r="M11" s="72">
        <f t="shared" si="0"/>
        <v>68.800289252733137</v>
      </c>
      <c r="N11" s="73">
        <f t="shared" si="1"/>
        <v>6.4354189448204355E-2</v>
      </c>
      <c r="O11" s="60">
        <v>33642252687481.879</v>
      </c>
      <c r="P11" s="60">
        <v>4341174437038.0229</v>
      </c>
      <c r="Q11" s="60">
        <v>15943023926925.926</v>
      </c>
      <c r="R11" s="60">
        <v>53926451051445.828</v>
      </c>
      <c r="S11" s="72">
        <v>2.3573300912373783E-2</v>
      </c>
      <c r="T11" s="74">
        <f t="shared" si="2"/>
        <v>-6.3136164555839619E-2</v>
      </c>
      <c r="U11" s="86">
        <f t="shared" si="3"/>
        <v>2.3573300912373783E-2</v>
      </c>
      <c r="V11" s="86">
        <f t="shared" si="4"/>
        <v>3.6782912070960339</v>
      </c>
    </row>
    <row r="12" spans="1:22" x14ac:dyDescent="0.25">
      <c r="A12" s="8"/>
      <c r="B12" s="60" t="s">
        <v>45</v>
      </c>
      <c r="C12" s="60">
        <f>SUM(C3:C11)</f>
        <v>11511.241247392894</v>
      </c>
      <c r="D12" s="60">
        <f>(D3*$C$3+D4*$C$4+D5*$C$5+D6*$C$6+D7*$C$7+D8*$C$8+D9*$C$9+D10*$C$10+D11*$C$11)/$C$12</f>
        <v>202340563308916.5</v>
      </c>
      <c r="E12" s="60">
        <f t="shared" ref="E12:S12" si="5">(E3*$C$3+E4*$C$4+E5*$C$5+E6*$C$6+E7*$C$7+E8*$C$8+E9*$C$9+E10*$C$10+E11*$C$11)/$C$12</f>
        <v>79838229708668.141</v>
      </c>
      <c r="F12" s="60">
        <f t="shared" si="5"/>
        <v>13300640804020.693</v>
      </c>
      <c r="G12" s="60">
        <f t="shared" si="5"/>
        <v>49722617404932.945</v>
      </c>
      <c r="H12" s="60">
        <f t="shared" si="5"/>
        <v>3484368037989.3101</v>
      </c>
      <c r="I12" s="60">
        <f t="shared" si="5"/>
        <v>30105027539212.645</v>
      </c>
      <c r="J12" s="60">
        <f t="shared" si="5"/>
        <v>45639931360051.039</v>
      </c>
      <c r="K12" s="60">
        <f t="shared" si="5"/>
        <v>424431378163791.38</v>
      </c>
      <c r="L12" s="72">
        <f>(L3*$C$3+L4*$C$4+L5*$C$5+L6*$C$6+L7*$C$7+L8*$C$8+L9*$C$9+L10*$C$10+L11*$C$11)/$C$12</f>
        <v>9.2873386906737687E-2</v>
      </c>
      <c r="M12" s="72">
        <f t="shared" si="0"/>
        <v>1069.087962145918</v>
      </c>
      <c r="N12" s="73"/>
      <c r="O12" s="60">
        <f t="shared" si="5"/>
        <v>47616181113109.992</v>
      </c>
      <c r="P12" s="60">
        <f t="shared" si="5"/>
        <v>5261580197608.6055</v>
      </c>
      <c r="Q12" s="60">
        <f t="shared" si="5"/>
        <v>36569788209683.383</v>
      </c>
      <c r="R12" s="60">
        <f t="shared" si="5"/>
        <v>89447549520401.984</v>
      </c>
      <c r="S12" s="72">
        <f t="shared" si="5"/>
        <v>3.9100922823705045E-2</v>
      </c>
      <c r="T12" s="74">
        <f t="shared" si="2"/>
        <v>-5.3772464083032642E-2</v>
      </c>
      <c r="U12" s="86">
        <f t="shared" si="3"/>
        <v>3.9100922823705045E-2</v>
      </c>
      <c r="V12" s="86">
        <f t="shared" si="4"/>
        <v>2.3752223783944286</v>
      </c>
    </row>
    <row r="13" spans="1:22" ht="58.2" x14ac:dyDescent="0.25">
      <c r="A13" s="8"/>
      <c r="B13" s="75" t="s">
        <v>54</v>
      </c>
      <c r="C13" s="76"/>
      <c r="D13" s="77">
        <f t="shared" ref="D13:K13" si="6">D12/$B$196</f>
        <v>4.4275834422082383E-2</v>
      </c>
      <c r="E13" s="77">
        <f t="shared" si="6"/>
        <v>1.7470072146316878E-2</v>
      </c>
      <c r="F13" s="77">
        <f t="shared" si="6"/>
        <v>2.9104246835931495E-3</v>
      </c>
      <c r="G13" s="77">
        <f t="shared" si="6"/>
        <v>1.0880222626899989E-2</v>
      </c>
      <c r="H13" s="77">
        <f t="shared" si="6"/>
        <v>7.6244377198890815E-4</v>
      </c>
      <c r="I13" s="77">
        <f t="shared" si="6"/>
        <v>6.5875333783835107E-3</v>
      </c>
      <c r="J13" s="77">
        <f t="shared" si="6"/>
        <v>9.986855877472875E-3</v>
      </c>
      <c r="K13" s="77">
        <f t="shared" si="6"/>
        <v>9.2873386906737715E-2</v>
      </c>
      <c r="L13" s="77"/>
      <c r="M13" s="72"/>
      <c r="N13" s="73"/>
      <c r="O13" s="72">
        <f>0.4*O12/$C$196</f>
        <v>2.0814842137610617E-2</v>
      </c>
      <c r="P13" s="72">
        <f>0.4*P12/$C$196</f>
        <v>2.3000366398020053E-3</v>
      </c>
      <c r="Q13" s="72">
        <f>0.4*Q12/$C$196</f>
        <v>1.5986044046292423E-2</v>
      </c>
      <c r="R13" s="72">
        <f>0.4*R12/$C$196</f>
        <v>3.9100922823705052E-2</v>
      </c>
      <c r="S13" s="72"/>
      <c r="T13" s="74"/>
      <c r="U13" s="86"/>
      <c r="V13" s="86"/>
    </row>
    <row r="14" spans="1:22" x14ac:dyDescent="0.25">
      <c r="L14" s="78"/>
      <c r="M14" s="78"/>
      <c r="S14" s="78"/>
      <c r="T14" s="80"/>
      <c r="U14" s="87"/>
      <c r="V14" s="87"/>
    </row>
    <row r="15" spans="1:22" x14ac:dyDescent="0.25">
      <c r="A15" s="8">
        <v>2004</v>
      </c>
      <c r="B15" s="4" t="s">
        <v>20</v>
      </c>
      <c r="C15" s="81">
        <v>438.47833333333335</v>
      </c>
      <c r="D15" s="60">
        <v>291293389639168.75</v>
      </c>
      <c r="E15" s="60">
        <v>110119010061310.5</v>
      </c>
      <c r="F15" s="60">
        <v>20878386237252.313</v>
      </c>
      <c r="G15" s="60">
        <v>68550525111465.016</v>
      </c>
      <c r="H15" s="60">
        <v>2982769958226.7461</v>
      </c>
      <c r="I15" s="60">
        <v>793186825884.90112</v>
      </c>
      <c r="J15" s="60">
        <v>15946207084372.938</v>
      </c>
      <c r="K15" s="60">
        <v>510563474917681.13</v>
      </c>
      <c r="L15" s="72">
        <v>0.11172067284850791</v>
      </c>
      <c r="M15" s="72">
        <f t="shared" si="0"/>
        <v>48.987094429492338</v>
      </c>
      <c r="N15" s="73">
        <f>M15/$M$24</f>
        <v>4.4173149968840579E-2</v>
      </c>
      <c r="O15" s="60">
        <v>325220567032618.69</v>
      </c>
      <c r="P15" s="60">
        <v>1332479575886.4229</v>
      </c>
      <c r="Q15" s="60">
        <v>149080360078605.16</v>
      </c>
      <c r="R15" s="60">
        <v>475633406687110.25</v>
      </c>
      <c r="S15" s="72">
        <v>0.20791743571473345</v>
      </c>
      <c r="T15" s="74">
        <f t="shared" si="2"/>
        <v>9.6196762866225541E-2</v>
      </c>
      <c r="U15" s="86">
        <f t="shared" si="3"/>
        <v>0.11172067284850791</v>
      </c>
      <c r="V15" s="86">
        <f t="shared" si="4"/>
        <v>1</v>
      </c>
    </row>
    <row r="16" spans="1:22" x14ac:dyDescent="0.25">
      <c r="A16" s="8"/>
      <c r="B16" s="4" t="s">
        <v>21</v>
      </c>
      <c r="C16" s="81">
        <v>84.9</v>
      </c>
      <c r="D16" s="60">
        <v>21792721880930.152</v>
      </c>
      <c r="E16" s="60">
        <v>7351663182546.9521</v>
      </c>
      <c r="F16" s="60">
        <v>1823864310954.0645</v>
      </c>
      <c r="G16" s="60">
        <v>9434557361601.8828</v>
      </c>
      <c r="H16" s="60">
        <v>0</v>
      </c>
      <c r="I16" s="60">
        <v>389384441633100.25</v>
      </c>
      <c r="J16" s="60">
        <v>230684960087636.34</v>
      </c>
      <c r="K16" s="60">
        <v>660472208456769.63</v>
      </c>
      <c r="L16" s="72">
        <v>0.14452345918091239</v>
      </c>
      <c r="M16" s="72">
        <f t="shared" si="0"/>
        <v>12.270041684459462</v>
      </c>
      <c r="N16" s="73">
        <f t="shared" ref="N16:N23" si="7">M16/$M$24</f>
        <v>1.1064269023582709E-2</v>
      </c>
      <c r="O16" s="60">
        <v>709177032218603.5</v>
      </c>
      <c r="P16" s="60">
        <v>0</v>
      </c>
      <c r="Q16" s="60">
        <v>149192063769140.13</v>
      </c>
      <c r="R16" s="60">
        <v>858369095987743.63</v>
      </c>
      <c r="S16" s="72">
        <v>0.37522574912815121</v>
      </c>
      <c r="T16" s="74">
        <f t="shared" si="2"/>
        <v>0.23070228994723882</v>
      </c>
      <c r="U16" s="86">
        <f t="shared" si="3"/>
        <v>0.14452345918091239</v>
      </c>
      <c r="V16" s="86">
        <f t="shared" si="4"/>
        <v>1</v>
      </c>
    </row>
    <row r="17" spans="1:22" x14ac:dyDescent="0.25">
      <c r="A17" s="8"/>
      <c r="B17" s="4" t="s">
        <v>22</v>
      </c>
      <c r="C17" s="81">
        <v>1774.3492880375873</v>
      </c>
      <c r="D17" s="60">
        <v>132518079492710.92</v>
      </c>
      <c r="E17" s="60">
        <v>113553290413771.02</v>
      </c>
      <c r="F17" s="60">
        <v>15551661775973.531</v>
      </c>
      <c r="G17" s="60">
        <v>56674523262113.063</v>
      </c>
      <c r="H17" s="60">
        <v>1050266716121.6362</v>
      </c>
      <c r="I17" s="60">
        <v>3023989132245.2637</v>
      </c>
      <c r="J17" s="60">
        <v>19884013559781.609</v>
      </c>
      <c r="K17" s="60">
        <v>342255824352717</v>
      </c>
      <c r="L17" s="72">
        <v>7.4891865285058423E-2</v>
      </c>
      <c r="M17" s="72">
        <f t="shared" si="0"/>
        <v>132.88432784835032</v>
      </c>
      <c r="N17" s="73">
        <f t="shared" si="7"/>
        <v>0.11982583190359243</v>
      </c>
      <c r="O17" s="60">
        <v>40569678136310.188</v>
      </c>
      <c r="P17" s="60">
        <v>909411411870.9292</v>
      </c>
      <c r="Q17" s="60">
        <v>32390660132517.563</v>
      </c>
      <c r="R17" s="60">
        <v>73869749680698.688</v>
      </c>
      <c r="S17" s="72">
        <v>3.2291274571055788E-2</v>
      </c>
      <c r="T17" s="74">
        <f t="shared" si="2"/>
        <v>-4.2600590714002635E-2</v>
      </c>
      <c r="U17" s="86">
        <f t="shared" si="3"/>
        <v>3.2291274571055788E-2</v>
      </c>
      <c r="V17" s="86">
        <f t="shared" si="4"/>
        <v>2.3192601184032413</v>
      </c>
    </row>
    <row r="18" spans="1:22" x14ac:dyDescent="0.25">
      <c r="A18" s="8"/>
      <c r="B18" s="4" t="s">
        <v>23</v>
      </c>
      <c r="C18" s="81">
        <v>587.88556886227536</v>
      </c>
      <c r="D18" s="60">
        <v>1031656553797946</v>
      </c>
      <c r="E18" s="60">
        <v>93079338732363.594</v>
      </c>
      <c r="F18" s="60">
        <v>14206846438097.602</v>
      </c>
      <c r="G18" s="60">
        <v>48540058663500.133</v>
      </c>
      <c r="H18" s="60">
        <v>9001751837932.5332</v>
      </c>
      <c r="I18" s="60">
        <v>81824662742969.484</v>
      </c>
      <c r="J18" s="60">
        <v>72669452502250.75</v>
      </c>
      <c r="K18" s="60">
        <v>1350978664715060.3</v>
      </c>
      <c r="L18" s="72">
        <v>0.2956189638326171</v>
      </c>
      <c r="M18" s="72">
        <f t="shared" si="0"/>
        <v>173.79012271921451</v>
      </c>
      <c r="N18" s="73">
        <f t="shared" si="7"/>
        <v>0.15671182876601217</v>
      </c>
      <c r="O18" s="60">
        <v>9699611590233.9258</v>
      </c>
      <c r="P18" s="60">
        <v>1751826108813.2183</v>
      </c>
      <c r="Q18" s="60">
        <v>20372317805960.242</v>
      </c>
      <c r="R18" s="60">
        <v>31823755505007.387</v>
      </c>
      <c r="S18" s="72">
        <v>1.3911372806003287E-2</v>
      </c>
      <c r="T18" s="74">
        <f t="shared" si="2"/>
        <v>-0.2817075910266138</v>
      </c>
      <c r="U18" s="86">
        <f t="shared" si="3"/>
        <v>1.3911372806003287E-2</v>
      </c>
      <c r="V18" s="86">
        <f t="shared" si="4"/>
        <v>21.250164736081707</v>
      </c>
    </row>
    <row r="19" spans="1:22" x14ac:dyDescent="0.25">
      <c r="A19" s="8"/>
      <c r="B19" s="4" t="s">
        <v>24</v>
      </c>
      <c r="C19" s="82">
        <v>961.27886897650342</v>
      </c>
      <c r="D19" s="60">
        <v>689606337342887.75</v>
      </c>
      <c r="E19" s="60">
        <v>92543384517250.281</v>
      </c>
      <c r="F19" s="60">
        <v>21721064171764.676</v>
      </c>
      <c r="G19" s="60">
        <v>53095934642091.43</v>
      </c>
      <c r="H19" s="60">
        <v>4456563166275.8564</v>
      </c>
      <c r="I19" s="60">
        <v>11287705751094.273</v>
      </c>
      <c r="J19" s="60">
        <v>16202415368119.934</v>
      </c>
      <c r="K19" s="60">
        <v>888913404959484</v>
      </c>
      <c r="L19" s="72">
        <v>0.19451059189485426</v>
      </c>
      <c r="M19" s="72">
        <f t="shared" si="0"/>
        <v>186.97892178063574</v>
      </c>
      <c r="N19" s="73">
        <f t="shared" si="7"/>
        <v>0.16860456920375325</v>
      </c>
      <c r="O19" s="60">
        <v>11455679992061.996</v>
      </c>
      <c r="P19" s="60">
        <v>15376383544925.154</v>
      </c>
      <c r="Q19" s="60">
        <v>41273516021675.68</v>
      </c>
      <c r="R19" s="60">
        <v>68105579558662.828</v>
      </c>
      <c r="S19" s="72">
        <v>2.9771536777310832E-2</v>
      </c>
      <c r="T19" s="74">
        <f t="shared" si="2"/>
        <v>-0.16473905511754341</v>
      </c>
      <c r="U19" s="86">
        <f t="shared" si="3"/>
        <v>2.9771536777310832E-2</v>
      </c>
      <c r="V19" s="86">
        <f t="shared" si="4"/>
        <v>6.5334414326603589</v>
      </c>
    </row>
    <row r="20" spans="1:22" x14ac:dyDescent="0.25">
      <c r="A20" s="8"/>
      <c r="B20" s="4" t="s">
        <v>25</v>
      </c>
      <c r="C20" s="81">
        <v>2892.2224123557594</v>
      </c>
      <c r="D20" s="60">
        <v>99920392970266.641</v>
      </c>
      <c r="E20" s="60">
        <v>59469838579911.758</v>
      </c>
      <c r="F20" s="60">
        <v>14198078206078.469</v>
      </c>
      <c r="G20" s="60">
        <v>54385858891080.234</v>
      </c>
      <c r="H20" s="60">
        <v>2701037087129.4805</v>
      </c>
      <c r="I20" s="60">
        <v>18173443246000.746</v>
      </c>
      <c r="J20" s="60">
        <v>39457389553108.141</v>
      </c>
      <c r="K20" s="60">
        <v>288306038533575.5</v>
      </c>
      <c r="L20" s="72">
        <v>6.3086660510629208E-2</v>
      </c>
      <c r="M20" s="72">
        <f t="shared" si="0"/>
        <v>182.46065344952083</v>
      </c>
      <c r="N20" s="73">
        <f t="shared" si="7"/>
        <v>0.16453030950506731</v>
      </c>
      <c r="O20" s="60">
        <v>16079275681801.91</v>
      </c>
      <c r="P20" s="60">
        <v>2681934467364.2227</v>
      </c>
      <c r="Q20" s="60">
        <v>20125622478870.453</v>
      </c>
      <c r="R20" s="60">
        <v>38886832628036.586</v>
      </c>
      <c r="S20" s="72">
        <v>1.6998912207207895E-2</v>
      </c>
      <c r="T20" s="74">
        <f t="shared" si="2"/>
        <v>-4.6087748303421314E-2</v>
      </c>
      <c r="U20" s="86">
        <f t="shared" si="3"/>
        <v>1.6998912207207895E-2</v>
      </c>
      <c r="V20" s="86">
        <f t="shared" si="4"/>
        <v>3.7112175027222709</v>
      </c>
    </row>
    <row r="21" spans="1:22" x14ac:dyDescent="0.25">
      <c r="A21" s="8"/>
      <c r="B21" s="4" t="s">
        <v>26</v>
      </c>
      <c r="C21" s="81">
        <v>2190.5599604563927</v>
      </c>
      <c r="D21" s="60">
        <v>88660435462143.672</v>
      </c>
      <c r="E21" s="60">
        <v>54780513734487.586</v>
      </c>
      <c r="F21" s="60">
        <v>13450442138941.186</v>
      </c>
      <c r="G21" s="60">
        <v>40986780376143.617</v>
      </c>
      <c r="H21" s="60">
        <v>1380468946109.0872</v>
      </c>
      <c r="I21" s="60">
        <v>11019476494889.232</v>
      </c>
      <c r="J21" s="60">
        <v>61589333694160.516</v>
      </c>
      <c r="K21" s="60">
        <v>271867450846874.88</v>
      </c>
      <c r="L21" s="72">
        <v>5.9489595371307415E-2</v>
      </c>
      <c r="M21" s="72">
        <f t="shared" si="0"/>
        <v>130.31552568413798</v>
      </c>
      <c r="N21" s="73">
        <f t="shared" si="7"/>
        <v>0.11750946502040535</v>
      </c>
      <c r="O21" s="60">
        <v>12126770191179.893</v>
      </c>
      <c r="P21" s="60">
        <v>4367021990274.8188</v>
      </c>
      <c r="Q21" s="60">
        <v>20536525352461.605</v>
      </c>
      <c r="R21" s="60">
        <v>37030317533916.313</v>
      </c>
      <c r="S21" s="72">
        <v>1.6187358913624564E-2</v>
      </c>
      <c r="T21" s="74">
        <f t="shared" si="2"/>
        <v>-4.3302236457682851E-2</v>
      </c>
      <c r="U21" s="86">
        <f t="shared" si="3"/>
        <v>1.6187358913624564E-2</v>
      </c>
      <c r="V21" s="86">
        <f t="shared" si="4"/>
        <v>3.6750649496772607</v>
      </c>
    </row>
    <row r="22" spans="1:22" x14ac:dyDescent="0.25">
      <c r="A22" s="8"/>
      <c r="B22" s="4" t="s">
        <v>27</v>
      </c>
      <c r="C22" s="81">
        <v>1836.2941551200004</v>
      </c>
      <c r="D22" s="60">
        <v>149245369667960.72</v>
      </c>
      <c r="E22" s="60">
        <v>78976453524965.234</v>
      </c>
      <c r="F22" s="60">
        <v>13010566794751.207</v>
      </c>
      <c r="G22" s="60">
        <v>49336270350476.406</v>
      </c>
      <c r="H22" s="60">
        <v>11638790778922.533</v>
      </c>
      <c r="I22" s="60">
        <v>55390884190654.422</v>
      </c>
      <c r="J22" s="60">
        <v>68629955721245.891</v>
      </c>
      <c r="K22" s="60">
        <v>426228291028976.44</v>
      </c>
      <c r="L22" s="72">
        <v>9.3266584470235545E-2</v>
      </c>
      <c r="M22" s="72">
        <f t="shared" si="0"/>
        <v>171.26488393069931</v>
      </c>
      <c r="N22" s="73">
        <f t="shared" si="7"/>
        <v>0.154434744300985</v>
      </c>
      <c r="O22" s="60">
        <v>19101505011687.848</v>
      </c>
      <c r="P22" s="60">
        <v>4612829358877.1768</v>
      </c>
      <c r="Q22" s="60">
        <v>12741566890125.951</v>
      </c>
      <c r="R22" s="60">
        <v>36455901260690.977</v>
      </c>
      <c r="S22" s="72">
        <v>1.5936259733283782E-2</v>
      </c>
      <c r="T22" s="74">
        <f t="shared" si="2"/>
        <v>-7.7330324736951755E-2</v>
      </c>
      <c r="U22" s="86">
        <f t="shared" si="3"/>
        <v>1.5936259733283782E-2</v>
      </c>
      <c r="V22" s="86">
        <f t="shared" si="4"/>
        <v>5.852476429926841</v>
      </c>
    </row>
    <row r="23" spans="1:22" x14ac:dyDescent="0.25">
      <c r="A23" s="8"/>
      <c r="B23" s="4" t="s">
        <v>28</v>
      </c>
      <c r="C23" s="81">
        <v>798.24014084199916</v>
      </c>
      <c r="D23" s="60">
        <v>103186993218753.23</v>
      </c>
      <c r="E23" s="60">
        <v>55522138930836.531</v>
      </c>
      <c r="F23" s="60">
        <v>6394065819110.7773</v>
      </c>
      <c r="G23" s="60">
        <v>47083575577088.453</v>
      </c>
      <c r="H23" s="60">
        <v>2525555778081.373</v>
      </c>
      <c r="I23" s="60">
        <v>126188578883187.52</v>
      </c>
      <c r="J23" s="60">
        <v>66302133776810.961</v>
      </c>
      <c r="K23" s="60">
        <v>407203041983868.81</v>
      </c>
      <c r="L23" s="72">
        <v>8.9103510280934092E-2</v>
      </c>
      <c r="M23" s="72">
        <f t="shared" si="0"/>
        <v>71.125998596169353</v>
      </c>
      <c r="N23" s="73">
        <f t="shared" si="7"/>
        <v>6.4136471845543858E-2</v>
      </c>
      <c r="O23" s="60">
        <v>37152609200882.93</v>
      </c>
      <c r="P23" s="60">
        <v>3951325784738.6353</v>
      </c>
      <c r="Q23" s="60">
        <v>15403774588221.076</v>
      </c>
      <c r="R23" s="60">
        <v>56507709573842.641</v>
      </c>
      <c r="S23" s="72">
        <v>2.4701667098070663E-2</v>
      </c>
      <c r="T23" s="74">
        <f t="shared" si="2"/>
        <v>-6.4401843182863433E-2</v>
      </c>
      <c r="U23" s="86">
        <f t="shared" si="3"/>
        <v>2.4701667098070663E-2</v>
      </c>
      <c r="V23" s="86">
        <f t="shared" si="4"/>
        <v>3.6071861031555064</v>
      </c>
    </row>
    <row r="24" spans="1:22" x14ac:dyDescent="0.25">
      <c r="A24" s="8"/>
      <c r="B24" s="60" t="s">
        <v>45</v>
      </c>
      <c r="C24" s="60">
        <f>SUM(C15:C23)</f>
        <v>11564.208727983851</v>
      </c>
      <c r="D24" s="60">
        <f>(D15*$C$3+D16*$C$4+D17*$C$5+D18*$C$6+D19*$C$7+D20*$C$8+D21*$C$9+D22*$C$10+D23*$C$11)/$C$12</f>
        <v>213544344412350.06</v>
      </c>
      <c r="E24" s="60">
        <f t="shared" ref="E24:K24" si="8">(E15*$C$3+E16*$C$4+E17*$C$5+E18*$C$6+E19*$C$7+E20*$C$8+E21*$C$9+E22*$C$10+E23*$C$11)/$C$12</f>
        <v>75704864213066.047</v>
      </c>
      <c r="F24" s="60">
        <f t="shared" si="8"/>
        <v>14326516772003.313</v>
      </c>
      <c r="G24" s="60">
        <f t="shared" si="8"/>
        <v>50701514232118.594</v>
      </c>
      <c r="H24" s="60">
        <f t="shared" si="8"/>
        <v>4057935289770.687</v>
      </c>
      <c r="I24" s="60">
        <f t="shared" si="8"/>
        <v>32549607207087.426</v>
      </c>
      <c r="J24" s="60">
        <f t="shared" si="8"/>
        <v>47366897682514.766</v>
      </c>
      <c r="K24" s="60">
        <f t="shared" si="8"/>
        <v>438251679808910.88</v>
      </c>
      <c r="L24" s="72">
        <f>(L15*$C$3+L16*$C$4+L17*$C$5+L18*$C$6+L19*$C$7+L20*$C$8+L21*$C$9+L22*$C$10+L23*$C$11)/$C$12</f>
        <v>9.5897522934116172E-2</v>
      </c>
      <c r="M24" s="72">
        <f t="shared" si="0"/>
        <v>1108.9789717067376</v>
      </c>
      <c r="N24" s="73"/>
      <c r="O24" s="60">
        <f t="shared" ref="O24:S24" si="9">(O15*$C$3+O16*$C$4+O17*$C$5+O18*$C$6+O19*$C$7+O20*$C$8+O21*$C$9+O22*$C$10+O23*$C$11)/$C$12</f>
        <v>37092912000446.672</v>
      </c>
      <c r="P24" s="60">
        <f t="shared" si="9"/>
        <v>4061198965627.082</v>
      </c>
      <c r="Q24" s="60">
        <f t="shared" si="9"/>
        <v>28182998691445.816</v>
      </c>
      <c r="R24" s="60">
        <f t="shared" si="9"/>
        <v>69337109657519.57</v>
      </c>
      <c r="S24" s="72">
        <f t="shared" si="9"/>
        <v>3.0309885380583455E-2</v>
      </c>
      <c r="T24" s="74">
        <f t="shared" si="2"/>
        <v>-6.5587637553532724E-2</v>
      </c>
      <c r="U24" s="86">
        <f t="shared" si="3"/>
        <v>3.0309885380583455E-2</v>
      </c>
      <c r="V24" s="86">
        <f t="shared" si="4"/>
        <v>3.1639025265185672</v>
      </c>
    </row>
    <row r="25" spans="1:22" ht="58.2" x14ac:dyDescent="0.25">
      <c r="A25" s="8"/>
      <c r="B25" s="75" t="s">
        <v>54</v>
      </c>
      <c r="C25" s="75"/>
      <c r="D25" s="72">
        <f t="shared" ref="D25:K25" si="10">D24/$B$196</f>
        <v>4.6727427661345744E-2</v>
      </c>
      <c r="E25" s="72">
        <f t="shared" si="10"/>
        <v>1.6565615801546182E-2</v>
      </c>
      <c r="F25" s="72">
        <f t="shared" si="10"/>
        <v>3.1349052017512718E-3</v>
      </c>
      <c r="G25" s="72">
        <f t="shared" si="10"/>
        <v>1.1094423245540174E-2</v>
      </c>
      <c r="H25" s="72">
        <f t="shared" si="10"/>
        <v>8.8795082927148512E-4</v>
      </c>
      <c r="I25" s="72">
        <f t="shared" si="10"/>
        <v>7.1224523429075327E-3</v>
      </c>
      <c r="J25" s="72">
        <f t="shared" si="10"/>
        <v>1.0364747851753777E-2</v>
      </c>
      <c r="K25" s="72">
        <f t="shared" si="10"/>
        <v>9.5897522934116158E-2</v>
      </c>
      <c r="L25" s="72"/>
      <c r="M25" s="72"/>
      <c r="N25" s="73"/>
      <c r="O25" s="60">
        <f>0.4*O24/$C$196</f>
        <v>1.6214721333479749E-2</v>
      </c>
      <c r="P25" s="60">
        <f>0.4*P24/$C$196</f>
        <v>1.7753043898701281E-3</v>
      </c>
      <c r="Q25" s="60">
        <f>0.4*Q24/$C$196</f>
        <v>1.2319859657233581E-2</v>
      </c>
      <c r="R25" s="60">
        <f>0.4*R24/$C$196</f>
        <v>3.0309885380583452E-2</v>
      </c>
      <c r="S25" s="72"/>
      <c r="T25" s="74"/>
      <c r="U25" s="86"/>
      <c r="V25" s="86"/>
    </row>
    <row r="26" spans="1:22" x14ac:dyDescent="0.25">
      <c r="L26" s="78"/>
      <c r="M26" s="78"/>
      <c r="S26" s="78"/>
      <c r="T26" s="80"/>
      <c r="U26" s="87"/>
      <c r="V26" s="87"/>
    </row>
    <row r="27" spans="1:22" x14ac:dyDescent="0.25">
      <c r="A27" s="8">
        <v>2005</v>
      </c>
      <c r="B27" s="4" t="s">
        <v>20</v>
      </c>
      <c r="C27" s="60">
        <v>441.73234693877549</v>
      </c>
      <c r="D27" s="60">
        <v>281394108585007.53</v>
      </c>
      <c r="E27" s="60">
        <v>113715919488599.73</v>
      </c>
      <c r="F27" s="60">
        <v>20834879002591.145</v>
      </c>
      <c r="G27" s="60">
        <v>73565452530701.828</v>
      </c>
      <c r="H27" s="60">
        <v>2989321495586.6021</v>
      </c>
      <c r="I27" s="60">
        <v>472406297405.48273</v>
      </c>
      <c r="J27" s="60">
        <v>21449177519069.418</v>
      </c>
      <c r="K27" s="60">
        <v>514421264918961.75</v>
      </c>
      <c r="L27" s="72">
        <v>0.11256482820983846</v>
      </c>
      <c r="M27" s="72">
        <f t="shared" si="0"/>
        <v>49.723525747892026</v>
      </c>
      <c r="N27" s="73">
        <f>M27/$M$36</f>
        <v>4.2994011572678952E-2</v>
      </c>
      <c r="O27" s="60">
        <v>456131469761428.63</v>
      </c>
      <c r="P27" s="60">
        <v>1411499522698.6345</v>
      </c>
      <c r="Q27" s="60">
        <v>172540996348097.94</v>
      </c>
      <c r="R27" s="60">
        <v>630083965632225.25</v>
      </c>
      <c r="S27" s="72">
        <v>0.27543364401525916</v>
      </c>
      <c r="T27" s="74">
        <f t="shared" si="2"/>
        <v>0.1628688158054207</v>
      </c>
      <c r="U27" s="86">
        <f t="shared" si="3"/>
        <v>0.11256482820983846</v>
      </c>
      <c r="V27" s="86">
        <f t="shared" si="4"/>
        <v>1</v>
      </c>
    </row>
    <row r="28" spans="1:22" x14ac:dyDescent="0.25">
      <c r="A28" s="8"/>
      <c r="B28" s="4" t="s">
        <v>21</v>
      </c>
      <c r="C28" s="60">
        <v>85.1</v>
      </c>
      <c r="D28" s="60">
        <v>21741505143254.641</v>
      </c>
      <c r="E28" s="60">
        <v>7334385478240.1445</v>
      </c>
      <c r="F28" s="60">
        <v>2001535699177.4387</v>
      </c>
      <c r="G28" s="60">
        <v>10353622937720.328</v>
      </c>
      <c r="H28" s="60">
        <v>0</v>
      </c>
      <c r="I28" s="60">
        <v>443185214199706.94</v>
      </c>
      <c r="J28" s="60">
        <v>249119213632182.94</v>
      </c>
      <c r="K28" s="60">
        <v>733735477090282.5</v>
      </c>
      <c r="L28" s="72">
        <v>0.16055480899130908</v>
      </c>
      <c r="M28" s="72">
        <f t="shared" si="0"/>
        <v>13.663214245160402</v>
      </c>
      <c r="N28" s="73">
        <f t="shared" ref="N28:N35" si="11">M28/$M$36</f>
        <v>1.1814053459419497E-2</v>
      </c>
      <c r="O28" s="60">
        <v>718144890970238.63</v>
      </c>
      <c r="P28" s="60">
        <v>0</v>
      </c>
      <c r="Q28" s="60">
        <v>162906878636897.78</v>
      </c>
      <c r="R28" s="60">
        <v>881051769607136.38</v>
      </c>
      <c r="S28" s="72">
        <v>0.3851412076888675</v>
      </c>
      <c r="T28" s="74">
        <f t="shared" si="2"/>
        <v>0.22458639869755842</v>
      </c>
      <c r="U28" s="86">
        <f t="shared" si="3"/>
        <v>0.16055480899130908</v>
      </c>
      <c r="V28" s="86">
        <f t="shared" si="4"/>
        <v>1</v>
      </c>
    </row>
    <row r="29" spans="1:22" x14ac:dyDescent="0.25">
      <c r="A29" s="8"/>
      <c r="B29" s="4" t="s">
        <v>22</v>
      </c>
      <c r="C29" s="60">
        <v>1777.1424392190711</v>
      </c>
      <c r="D29" s="60">
        <v>135753755397352.42</v>
      </c>
      <c r="E29" s="60">
        <v>95446710548726.25</v>
      </c>
      <c r="F29" s="60">
        <v>16263502216907.633</v>
      </c>
      <c r="G29" s="60">
        <v>47710885818054.523</v>
      </c>
      <c r="H29" s="60">
        <v>2826796484702.4458</v>
      </c>
      <c r="I29" s="60">
        <v>3269104132377.2881</v>
      </c>
      <c r="J29" s="60">
        <v>19218559748423.816</v>
      </c>
      <c r="K29" s="60">
        <v>320489314346544.38</v>
      </c>
      <c r="L29" s="72">
        <v>7.0128952811060033E-2</v>
      </c>
      <c r="M29" s="72">
        <f t="shared" si="0"/>
        <v>124.62913825852635</v>
      </c>
      <c r="N29" s="73">
        <f t="shared" si="11"/>
        <v>0.10776200062215513</v>
      </c>
      <c r="O29" s="60">
        <v>59899146894973.664</v>
      </c>
      <c r="P29" s="60">
        <v>359434108701.32184</v>
      </c>
      <c r="Q29" s="60">
        <v>37825590449879.25</v>
      </c>
      <c r="R29" s="60">
        <v>98084171453554.234</v>
      </c>
      <c r="S29" s="72">
        <v>4.2876318454735489E-2</v>
      </c>
      <c r="T29" s="74">
        <f t="shared" si="2"/>
        <v>-2.7252634356324544E-2</v>
      </c>
      <c r="U29" s="86">
        <f t="shared" si="3"/>
        <v>4.2876318454735489E-2</v>
      </c>
      <c r="V29" s="86">
        <f t="shared" si="4"/>
        <v>1.6356104100937476</v>
      </c>
    </row>
    <row r="30" spans="1:22" x14ac:dyDescent="0.25">
      <c r="A30" s="8"/>
      <c r="B30" s="4" t="s">
        <v>23</v>
      </c>
      <c r="C30" s="60">
        <v>595.88401197604776</v>
      </c>
      <c r="D30" s="60">
        <v>1073336399610783.1</v>
      </c>
      <c r="E30" s="60">
        <v>146605712259840.81</v>
      </c>
      <c r="F30" s="60">
        <v>12848137970024.512</v>
      </c>
      <c r="G30" s="60">
        <v>47499176737666.375</v>
      </c>
      <c r="H30" s="60">
        <v>13109933884774.227</v>
      </c>
      <c r="I30" s="60">
        <v>83298157887215.406</v>
      </c>
      <c r="J30" s="60">
        <v>108016020006947.13</v>
      </c>
      <c r="K30" s="60">
        <v>1484713538357252</v>
      </c>
      <c r="L30" s="72">
        <v>0.32488261233200261</v>
      </c>
      <c r="M30" s="72">
        <f t="shared" si="0"/>
        <v>193.59235445765273</v>
      </c>
      <c r="N30" s="73">
        <f t="shared" si="11"/>
        <v>0.16739182917428869</v>
      </c>
      <c r="O30" s="60">
        <v>8774303987443.7773</v>
      </c>
      <c r="P30" s="60">
        <v>1211720624998.2095</v>
      </c>
      <c r="Q30" s="60">
        <v>16560188797608.908</v>
      </c>
      <c r="R30" s="60">
        <v>26546213410050.895</v>
      </c>
      <c r="S30" s="72">
        <v>1.1604358614332438E-2</v>
      </c>
      <c r="T30" s="74">
        <f t="shared" si="2"/>
        <v>-0.31327825371767015</v>
      </c>
      <c r="U30" s="86">
        <f t="shared" si="3"/>
        <v>1.1604358614332438E-2</v>
      </c>
      <c r="V30" s="86">
        <f t="shared" si="4"/>
        <v>27.996602236227261</v>
      </c>
    </row>
    <row r="31" spans="1:22" x14ac:dyDescent="0.25">
      <c r="A31" s="8"/>
      <c r="B31" s="4" t="s">
        <v>24</v>
      </c>
      <c r="C31" s="60">
        <v>965.29591397849458</v>
      </c>
      <c r="D31" s="60">
        <v>724113704282780.75</v>
      </c>
      <c r="E31" s="60">
        <v>113043055937384.84</v>
      </c>
      <c r="F31" s="60">
        <v>21871013535099.605</v>
      </c>
      <c r="G31" s="60">
        <v>52874977777163.883</v>
      </c>
      <c r="H31" s="60">
        <v>5351726786771.7207</v>
      </c>
      <c r="I31" s="60">
        <v>12011442341271.594</v>
      </c>
      <c r="J31" s="60">
        <v>17262363972832.324</v>
      </c>
      <c r="K31" s="60">
        <v>946528284633304.88</v>
      </c>
      <c r="L31" s="72">
        <v>0.20711778657183913</v>
      </c>
      <c r="M31" s="72">
        <f t="shared" si="0"/>
        <v>199.92995309006622</v>
      </c>
      <c r="N31" s="73">
        <f t="shared" si="11"/>
        <v>0.17287170584929559</v>
      </c>
      <c r="O31" s="60">
        <v>6428821952629.2988</v>
      </c>
      <c r="P31" s="60">
        <v>10610270347689.877</v>
      </c>
      <c r="Q31" s="60">
        <v>23261212168044.301</v>
      </c>
      <c r="R31" s="60">
        <v>40300304468363.477</v>
      </c>
      <c r="S31" s="72">
        <v>1.7616794459303531E-2</v>
      </c>
      <c r="T31" s="74">
        <f t="shared" si="2"/>
        <v>-0.1895009921125356</v>
      </c>
      <c r="U31" s="86">
        <f t="shared" si="3"/>
        <v>1.7616794459303531E-2</v>
      </c>
      <c r="V31" s="86">
        <f t="shared" si="4"/>
        <v>11.756837320790732</v>
      </c>
    </row>
    <row r="32" spans="1:22" x14ac:dyDescent="0.25">
      <c r="A32" s="8"/>
      <c r="B32" s="4" t="s">
        <v>25</v>
      </c>
      <c r="C32" s="60">
        <v>2899.2938607967267</v>
      </c>
      <c r="D32" s="60">
        <v>105352549505300.19</v>
      </c>
      <c r="E32" s="60">
        <v>59876648706555.977</v>
      </c>
      <c r="F32" s="60">
        <v>14323487715932.354</v>
      </c>
      <c r="G32" s="60">
        <v>55853600143691.523</v>
      </c>
      <c r="H32" s="60">
        <v>2824825765591.5522</v>
      </c>
      <c r="I32" s="60">
        <v>18104519243088.758</v>
      </c>
      <c r="J32" s="60">
        <v>43285325437334.664</v>
      </c>
      <c r="K32" s="60">
        <v>299620956517495</v>
      </c>
      <c r="L32" s="72">
        <v>6.5562572542121444E-2</v>
      </c>
      <c r="M32" s="72">
        <f t="shared" si="0"/>
        <v>190.08516406941274</v>
      </c>
      <c r="N32" s="73">
        <f t="shared" si="11"/>
        <v>0.16435929715103464</v>
      </c>
      <c r="O32" s="60">
        <v>21968190550446.613</v>
      </c>
      <c r="P32" s="60">
        <v>3000230107786.1982</v>
      </c>
      <c r="Q32" s="60">
        <v>21410608130264.383</v>
      </c>
      <c r="R32" s="60">
        <v>46379028788497.195</v>
      </c>
      <c r="S32" s="72">
        <v>2.0274035845820382E-2</v>
      </c>
      <c r="T32" s="74">
        <f t="shared" si="2"/>
        <v>-4.5288536696301063E-2</v>
      </c>
      <c r="U32" s="86">
        <f t="shared" si="3"/>
        <v>2.0274035845820382E-2</v>
      </c>
      <c r="V32" s="86">
        <f t="shared" si="4"/>
        <v>3.2338195039562176</v>
      </c>
    </row>
    <row r="33" spans="1:22" x14ac:dyDescent="0.25">
      <c r="A33" s="8"/>
      <c r="B33" s="4" t="s">
        <v>26</v>
      </c>
      <c r="C33" s="60">
        <v>2203.6967518234478</v>
      </c>
      <c r="D33" s="60">
        <v>91246674404550.688</v>
      </c>
      <c r="E33" s="60">
        <v>64909112327565.789</v>
      </c>
      <c r="F33" s="60">
        <v>14001926523904.988</v>
      </c>
      <c r="G33" s="60">
        <v>40953003141346.172</v>
      </c>
      <c r="H33" s="60">
        <v>1543769575911.4846</v>
      </c>
      <c r="I33" s="60">
        <v>11603587521298.715</v>
      </c>
      <c r="J33" s="60">
        <v>62109121436922.32</v>
      </c>
      <c r="K33" s="60">
        <v>286367194931500.19</v>
      </c>
      <c r="L33" s="72">
        <v>6.2662405893107259E-2</v>
      </c>
      <c r="M33" s="72">
        <f t="shared" si="0"/>
        <v>138.08894032808294</v>
      </c>
      <c r="N33" s="73">
        <f t="shared" si="11"/>
        <v>0.11940017143245847</v>
      </c>
      <c r="O33" s="60">
        <v>10453197332864.131</v>
      </c>
      <c r="P33" s="60">
        <v>4242060424344.2158</v>
      </c>
      <c r="Q33" s="60">
        <v>19707423164309.949</v>
      </c>
      <c r="R33" s="60">
        <v>34402680921518.297</v>
      </c>
      <c r="S33" s="72">
        <v>1.5038719102461464E-2</v>
      </c>
      <c r="T33" s="74">
        <f t="shared" si="2"/>
        <v>-4.7623686790645797E-2</v>
      </c>
      <c r="U33" s="86">
        <f t="shared" si="3"/>
        <v>1.5038719102461464E-2</v>
      </c>
      <c r="V33" s="86">
        <f t="shared" si="4"/>
        <v>4.1667382352298201</v>
      </c>
    </row>
    <row r="34" spans="1:22" x14ac:dyDescent="0.25">
      <c r="A34" s="8"/>
      <c r="B34" s="4" t="s">
        <v>27</v>
      </c>
      <c r="C34" s="60">
        <v>1772.6087449856543</v>
      </c>
      <c r="D34" s="60">
        <v>150725195707055.09</v>
      </c>
      <c r="E34" s="60">
        <v>97239732393058.328</v>
      </c>
      <c r="F34" s="60">
        <v>13282876814528.268</v>
      </c>
      <c r="G34" s="60">
        <v>50368874153739.203</v>
      </c>
      <c r="H34" s="60">
        <v>11882389647226.109</v>
      </c>
      <c r="I34" s="60">
        <v>69448407585157.625</v>
      </c>
      <c r="J34" s="60">
        <v>74474412981916.297</v>
      </c>
      <c r="K34" s="60">
        <v>467421889282681</v>
      </c>
      <c r="L34" s="72">
        <v>0.10228050093712932</v>
      </c>
      <c r="M34" s="72">
        <f t="shared" si="0"/>
        <v>181.30331040266884</v>
      </c>
      <c r="N34" s="73">
        <f t="shared" si="11"/>
        <v>0.15676596758522915</v>
      </c>
      <c r="O34" s="60">
        <v>22525851197380.012</v>
      </c>
      <c r="P34" s="60">
        <v>4892197271796.9346</v>
      </c>
      <c r="Q34" s="60">
        <v>13692041954708.299</v>
      </c>
      <c r="R34" s="60">
        <v>41110090423885.242</v>
      </c>
      <c r="S34" s="72">
        <v>1.7970782671617329E-2</v>
      </c>
      <c r="T34" s="74">
        <f t="shared" si="2"/>
        <v>-8.4309718265511979E-2</v>
      </c>
      <c r="U34" s="86">
        <f t="shared" si="3"/>
        <v>1.7970782671617329E-2</v>
      </c>
      <c r="V34" s="86">
        <f t="shared" si="4"/>
        <v>5.6914883901338893</v>
      </c>
    </row>
    <row r="35" spans="1:22" x14ac:dyDescent="0.25">
      <c r="A35" s="8"/>
      <c r="B35" s="4" t="s">
        <v>28</v>
      </c>
      <c r="C35" s="60">
        <v>804.15303077416206</v>
      </c>
      <c r="D35" s="60">
        <v>109103611678906.58</v>
      </c>
      <c r="E35" s="60">
        <v>27059526193729</v>
      </c>
      <c r="F35" s="60">
        <v>6347050629264.376</v>
      </c>
      <c r="G35" s="60">
        <v>41255829090218.43</v>
      </c>
      <c r="H35" s="60">
        <v>2820358704383.1509</v>
      </c>
      <c r="I35" s="60">
        <v>129949436234748.61</v>
      </c>
      <c r="J35" s="60">
        <v>69893661606793.844</v>
      </c>
      <c r="K35" s="60">
        <v>386429474138044</v>
      </c>
      <c r="L35" s="72">
        <v>8.4557871802635451E-2</v>
      </c>
      <c r="M35" s="72">
        <f t="shared" si="0"/>
        <v>67.99746888590235</v>
      </c>
      <c r="N35" s="73">
        <f t="shared" si="11"/>
        <v>5.8794784163456071E-2</v>
      </c>
      <c r="O35" s="60">
        <v>27227305790649.133</v>
      </c>
      <c r="P35" s="60">
        <v>4245481569170.2124</v>
      </c>
      <c r="Q35" s="60">
        <v>13628748127018.982</v>
      </c>
      <c r="R35" s="60">
        <v>45101535486838.328</v>
      </c>
      <c r="S35" s="72">
        <v>1.9715594980041603E-2</v>
      </c>
      <c r="T35" s="74">
        <f t="shared" si="2"/>
        <v>-6.4842276822593845E-2</v>
      </c>
      <c r="U35" s="86">
        <f t="shared" si="3"/>
        <v>1.9715594980041603E-2</v>
      </c>
      <c r="V35" s="86">
        <f t="shared" si="4"/>
        <v>4.2888825768755474</v>
      </c>
    </row>
    <row r="36" spans="1:22" x14ac:dyDescent="0.25">
      <c r="A36" s="8"/>
      <c r="B36" s="60" t="s">
        <v>45</v>
      </c>
      <c r="C36" s="60">
        <f>SUM(C27:C35)</f>
        <v>11544.907100492379</v>
      </c>
      <c r="D36" s="60">
        <f>(D27*$C$3+D28*$C$4+D29*$C$5+D30*$C$6+D31*$C$7+D32*$C$8+D33*$C$9+D34*$C$10+D35*$C$11)/$C$12</f>
        <v>221134446300955.25</v>
      </c>
      <c r="E36" s="60">
        <f t="shared" ref="E36:K36" si="12">(E27*$C$3+E28*$C$4+E29*$C$5+E30*$C$6+E31*$C$7+E32*$C$8+E33*$C$9+E34*$C$10+E35*$C$11)/$C$12</f>
        <v>80410991824755.516</v>
      </c>
      <c r="F36" s="60">
        <f t="shared" si="12"/>
        <v>14555465125875.916</v>
      </c>
      <c r="G36" s="60">
        <f t="shared" si="12"/>
        <v>49570870742513.461</v>
      </c>
      <c r="H36" s="60">
        <f t="shared" si="12"/>
        <v>4733959893715.6934</v>
      </c>
      <c r="I36" s="60">
        <f t="shared" si="12"/>
        <v>35688935622562.555</v>
      </c>
      <c r="J36" s="60">
        <f t="shared" si="12"/>
        <v>51709458159742.953</v>
      </c>
      <c r="K36" s="60">
        <f t="shared" si="12"/>
        <v>457804127670121.38</v>
      </c>
      <c r="L36" s="72">
        <f>(L27*$C$3+L28*$C$4+L29*$C$5+L30*$C$6+L31*$C$7+L32*$C$8+L33*$C$9+L34*$C$10+L35*$C$11)/$C$12</f>
        <v>0.10017595791468741</v>
      </c>
      <c r="M36" s="72">
        <f t="shared" si="0"/>
        <v>1156.5221278279002</v>
      </c>
      <c r="N36" s="73"/>
      <c r="O36" s="60">
        <f t="shared" ref="O36:S36" si="13">(O27*$C$3+O28*$C$4+O29*$C$5+O30*$C$6+O31*$C$7+O32*$C$8+O33*$C$9+O34*$C$10+O35*$C$11)/$C$12</f>
        <v>45627625981365.906</v>
      </c>
      <c r="P36" s="60">
        <f t="shared" si="13"/>
        <v>3676247453376.8867</v>
      </c>
      <c r="Q36" s="60">
        <f t="shared" si="13"/>
        <v>28507660404200.82</v>
      </c>
      <c r="R36" s="60">
        <f t="shared" si="13"/>
        <v>77811533838943.609</v>
      </c>
      <c r="S36" s="72">
        <f t="shared" si="13"/>
        <v>3.401437821096135E-2</v>
      </c>
      <c r="T36" s="74">
        <f t="shared" si="2"/>
        <v>-6.6161579703726048E-2</v>
      </c>
      <c r="U36" s="86">
        <f t="shared" si="3"/>
        <v>3.401437821096135E-2</v>
      </c>
      <c r="V36" s="86">
        <f t="shared" si="4"/>
        <v>2.945106251638169</v>
      </c>
    </row>
    <row r="37" spans="1:22" ht="58.2" x14ac:dyDescent="0.25">
      <c r="A37" s="8"/>
      <c r="B37" s="75" t="s">
        <v>54</v>
      </c>
      <c r="C37" s="75"/>
      <c r="D37" s="72">
        <f t="shared" ref="D37:K37" si="14">D36/$B$196</f>
        <v>4.8388281466292177E-2</v>
      </c>
      <c r="E37" s="72">
        <f t="shared" si="14"/>
        <v>1.7595403025110617E-2</v>
      </c>
      <c r="F37" s="72">
        <f t="shared" si="14"/>
        <v>3.1850033098196752E-3</v>
      </c>
      <c r="G37" s="72">
        <f t="shared" si="14"/>
        <v>1.0847017667946053E-2</v>
      </c>
      <c r="H37" s="72">
        <f t="shared" si="14"/>
        <v>1.0358774384498235E-3</v>
      </c>
      <c r="I37" s="72">
        <f t="shared" si="14"/>
        <v>7.809395103405373E-3</v>
      </c>
      <c r="J37" s="72">
        <f t="shared" si="14"/>
        <v>1.1314979903663666E-2</v>
      </c>
      <c r="K37" s="72">
        <f t="shared" si="14"/>
        <v>0.10017595791468739</v>
      </c>
      <c r="L37" s="72"/>
      <c r="M37" s="72"/>
      <c r="N37" s="73"/>
      <c r="O37" s="72">
        <f>0.4*O36/$C$196</f>
        <v>1.9945569126176434E-2</v>
      </c>
      <c r="P37" s="72">
        <f>0.4*P36/$C$196</f>
        <v>1.6070274560461306E-3</v>
      </c>
      <c r="Q37" s="72">
        <f>0.4*Q36/$C$196</f>
        <v>1.2461781628738788E-2</v>
      </c>
      <c r="R37" s="72">
        <f>0.4*R36/$C$196</f>
        <v>3.401437821096135E-2</v>
      </c>
      <c r="S37" s="72"/>
      <c r="T37" s="74"/>
      <c r="U37" s="86"/>
      <c r="V37" s="86"/>
    </row>
    <row r="38" spans="1:22" x14ac:dyDescent="0.25">
      <c r="L38" s="78"/>
      <c r="M38" s="78"/>
      <c r="S38" s="78"/>
      <c r="T38" s="80"/>
      <c r="U38" s="87"/>
      <c r="V38" s="87"/>
    </row>
    <row r="39" spans="1:22" x14ac:dyDescent="0.25">
      <c r="A39" s="8">
        <v>2006</v>
      </c>
      <c r="B39" s="4" t="s">
        <v>20</v>
      </c>
      <c r="C39" s="60">
        <v>445.79986394557824</v>
      </c>
      <c r="D39" s="60">
        <v>288609688799067.69</v>
      </c>
      <c r="E39" s="60">
        <v>119931844587837.08</v>
      </c>
      <c r="F39" s="60">
        <v>22341325795505.074</v>
      </c>
      <c r="G39" s="60">
        <v>73513526249081</v>
      </c>
      <c r="H39" s="60">
        <v>4604173679717.7822</v>
      </c>
      <c r="I39" s="60">
        <v>1040213379931.7808</v>
      </c>
      <c r="J39" s="60">
        <v>17264055879007.145</v>
      </c>
      <c r="K39" s="60">
        <v>527304828370147.5</v>
      </c>
      <c r="L39" s="72">
        <v>0.11538398870243928</v>
      </c>
      <c r="M39" s="72">
        <f t="shared" si="0"/>
        <v>51.438166465045569</v>
      </c>
      <c r="N39" s="73">
        <f>M39/$M$48</f>
        <v>4.2656590606741589E-2</v>
      </c>
      <c r="O39" s="60">
        <v>298094598702549.13</v>
      </c>
      <c r="P39" s="60">
        <v>1203009565891.4539</v>
      </c>
      <c r="Q39" s="60">
        <v>135775906668713.5</v>
      </c>
      <c r="R39" s="60">
        <v>435073514937154.06</v>
      </c>
      <c r="S39" s="72">
        <v>0.19018716579055694</v>
      </c>
      <c r="T39" s="74">
        <f t="shared" si="2"/>
        <v>7.4803177088117664E-2</v>
      </c>
      <c r="U39" s="86">
        <f t="shared" si="3"/>
        <v>0.11538398870243928</v>
      </c>
      <c r="V39" s="86">
        <f t="shared" si="4"/>
        <v>1</v>
      </c>
    </row>
    <row r="40" spans="1:22" x14ac:dyDescent="0.25">
      <c r="A40" s="8"/>
      <c r="B40" s="4" t="s">
        <v>21</v>
      </c>
      <c r="C40" s="60">
        <v>85.8</v>
      </c>
      <c r="D40" s="60">
        <v>19069103949501.418</v>
      </c>
      <c r="E40" s="60">
        <v>6432864613960.1289</v>
      </c>
      <c r="F40" s="60">
        <v>1894969510489.5103</v>
      </c>
      <c r="G40" s="60">
        <v>9802373146853.1445</v>
      </c>
      <c r="H40" s="60">
        <v>0</v>
      </c>
      <c r="I40" s="60">
        <v>484354120502268.69</v>
      </c>
      <c r="J40" s="60">
        <v>221431019468761.72</v>
      </c>
      <c r="K40" s="60">
        <v>742984451191834.63</v>
      </c>
      <c r="L40" s="72">
        <v>0.16257865452775375</v>
      </c>
      <c r="M40" s="72">
        <f t="shared" si="0"/>
        <v>13.949248558481271</v>
      </c>
      <c r="N40" s="73">
        <f t="shared" ref="N40:N47" si="15">M40/$M$48</f>
        <v>1.1567818721438338E-2</v>
      </c>
      <c r="O40" s="60">
        <v>524198458525140.81</v>
      </c>
      <c r="P40" s="60">
        <v>0</v>
      </c>
      <c r="Q40" s="60">
        <v>140992436666666.69</v>
      </c>
      <c r="R40" s="60">
        <v>665190895191807.5</v>
      </c>
      <c r="S40" s="72">
        <v>0.29078021695824818</v>
      </c>
      <c r="T40" s="74">
        <f t="shared" si="2"/>
        <v>0.12820156243049444</v>
      </c>
      <c r="U40" s="86">
        <f t="shared" si="3"/>
        <v>0.16257865452775375</v>
      </c>
      <c r="V40" s="86">
        <f t="shared" si="4"/>
        <v>1</v>
      </c>
    </row>
    <row r="41" spans="1:22" x14ac:dyDescent="0.25">
      <c r="A41" s="8"/>
      <c r="B41" s="4" t="s">
        <v>22</v>
      </c>
      <c r="C41" s="60">
        <v>1778.5390148098129</v>
      </c>
      <c r="D41" s="60">
        <v>134374066584958.36</v>
      </c>
      <c r="E41" s="60">
        <v>101077119198998.03</v>
      </c>
      <c r="F41" s="60">
        <v>16820772415385.609</v>
      </c>
      <c r="G41" s="60">
        <v>50228822227750.148</v>
      </c>
      <c r="H41" s="60">
        <v>2772860172835.3774</v>
      </c>
      <c r="I41" s="60">
        <v>3432984859891.4492</v>
      </c>
      <c r="J41" s="60">
        <v>18556150814443.27</v>
      </c>
      <c r="K41" s="60">
        <v>327262776274262.19</v>
      </c>
      <c r="L41" s="72">
        <v>7.1611110782114268E-2</v>
      </c>
      <c r="M41" s="72">
        <f t="shared" si="0"/>
        <v>127.36315441985788</v>
      </c>
      <c r="N41" s="73">
        <f t="shared" si="15"/>
        <v>0.10561958774644428</v>
      </c>
      <c r="O41" s="60">
        <v>39418789341902.273</v>
      </c>
      <c r="P41" s="60">
        <v>974980871835.19312</v>
      </c>
      <c r="Q41" s="60">
        <v>33692647306591.641</v>
      </c>
      <c r="R41" s="60">
        <v>74086417520329.109</v>
      </c>
      <c r="S41" s="72">
        <v>3.2385988316945891E-2</v>
      </c>
      <c r="T41" s="74">
        <f t="shared" si="2"/>
        <v>-3.9225122465168377E-2</v>
      </c>
      <c r="U41" s="86">
        <f t="shared" si="3"/>
        <v>3.2385988316945891E-2</v>
      </c>
      <c r="V41" s="86">
        <f t="shared" si="4"/>
        <v>2.2111757122027962</v>
      </c>
    </row>
    <row r="42" spans="1:22" x14ac:dyDescent="0.25">
      <c r="A42" s="8"/>
      <c r="B42" s="4" t="s">
        <v>23</v>
      </c>
      <c r="C42" s="60">
        <v>603.88245508982027</v>
      </c>
      <c r="D42" s="60">
        <v>1045859164605238.8</v>
      </c>
      <c r="E42" s="60">
        <v>137775156901395.66</v>
      </c>
      <c r="F42" s="60">
        <v>19977397750702.371</v>
      </c>
      <c r="G42" s="60">
        <v>62621458333932.414</v>
      </c>
      <c r="H42" s="60">
        <v>14396841515633.816</v>
      </c>
      <c r="I42" s="60">
        <v>95024602183061.969</v>
      </c>
      <c r="J42" s="60">
        <v>75217108109091.656</v>
      </c>
      <c r="K42" s="60">
        <v>1450871729399056.8</v>
      </c>
      <c r="L42" s="72">
        <v>0.31747740249432316</v>
      </c>
      <c r="M42" s="72">
        <f t="shared" si="0"/>
        <v>191.71903325381089</v>
      </c>
      <c r="N42" s="73">
        <f t="shared" si="15"/>
        <v>0.15898856578772969</v>
      </c>
      <c r="O42" s="60">
        <v>10365777841759.721</v>
      </c>
      <c r="P42" s="60">
        <v>1714084404285.9058</v>
      </c>
      <c r="Q42" s="60">
        <v>20430940611720.348</v>
      </c>
      <c r="R42" s="60">
        <v>32510802857765.977</v>
      </c>
      <c r="S42" s="72">
        <v>1.421170731109017E-2</v>
      </c>
      <c r="T42" s="74">
        <f t="shared" si="2"/>
        <v>-0.30326569518323299</v>
      </c>
      <c r="U42" s="86">
        <f t="shared" si="3"/>
        <v>1.421170731109017E-2</v>
      </c>
      <c r="V42" s="86">
        <f t="shared" si="4"/>
        <v>22.339145856640197</v>
      </c>
    </row>
    <row r="43" spans="1:22" x14ac:dyDescent="0.25">
      <c r="A43" s="8"/>
      <c r="B43" s="4" t="s">
        <v>24</v>
      </c>
      <c r="C43" s="60">
        <v>970.11636798088409</v>
      </c>
      <c r="D43" s="60">
        <v>701919916491315.13</v>
      </c>
      <c r="E43" s="60">
        <v>147776086180647.69</v>
      </c>
      <c r="F43" s="60">
        <v>21044897987333.305</v>
      </c>
      <c r="G43" s="60">
        <v>53329684672446.891</v>
      </c>
      <c r="H43" s="60">
        <v>4935490378298.9736</v>
      </c>
      <c r="I43" s="60">
        <v>12516066349518.207</v>
      </c>
      <c r="J43" s="60">
        <v>16828725766241.277</v>
      </c>
      <c r="K43" s="60">
        <v>958350867825801.38</v>
      </c>
      <c r="L43" s="72">
        <v>0.20970478508223225</v>
      </c>
      <c r="M43" s="72">
        <f t="shared" si="0"/>
        <v>203.43804445218703</v>
      </c>
      <c r="N43" s="73">
        <f t="shared" si="15"/>
        <v>0.16870689552921939</v>
      </c>
      <c r="O43" s="60">
        <v>10873123880595.795</v>
      </c>
      <c r="P43" s="60">
        <v>12759846833826.654</v>
      </c>
      <c r="Q43" s="60">
        <v>31224371565903.609</v>
      </c>
      <c r="R43" s="60">
        <v>54857342280326.063</v>
      </c>
      <c r="S43" s="72">
        <v>2.3980228841566611E-2</v>
      </c>
      <c r="T43" s="74">
        <f t="shared" si="2"/>
        <v>-0.18572455624066564</v>
      </c>
      <c r="U43" s="86">
        <f t="shared" si="3"/>
        <v>2.3980228841566611E-2</v>
      </c>
      <c r="V43" s="86">
        <f t="shared" si="4"/>
        <v>8.7449034147137183</v>
      </c>
    </row>
    <row r="44" spans="1:22" x14ac:dyDescent="0.25">
      <c r="A44" s="8"/>
      <c r="B44" s="4" t="s">
        <v>25</v>
      </c>
      <c r="C44" s="60">
        <v>2906.3653092376944</v>
      </c>
      <c r="D44" s="60">
        <v>117086451217399</v>
      </c>
      <c r="E44" s="60">
        <v>63034058181781.43</v>
      </c>
      <c r="F44" s="60">
        <v>14847410909717.424</v>
      </c>
      <c r="G44" s="60">
        <v>56436126414893.648</v>
      </c>
      <c r="H44" s="60">
        <v>3078071421911.6631</v>
      </c>
      <c r="I44" s="60">
        <v>19508251505093.555</v>
      </c>
      <c r="J44" s="60">
        <v>42577120788489.797</v>
      </c>
      <c r="K44" s="60">
        <v>316567490439286.56</v>
      </c>
      <c r="L44" s="72">
        <v>6.927078565411085E-2</v>
      </c>
      <c r="M44" s="72">
        <f t="shared" si="0"/>
        <v>201.32620836874793</v>
      </c>
      <c r="N44" s="73">
        <f t="shared" si="15"/>
        <v>0.16695559424010711</v>
      </c>
      <c r="O44" s="60">
        <v>16652585688156.975</v>
      </c>
      <c r="P44" s="60">
        <v>2677884985436.0088</v>
      </c>
      <c r="Q44" s="60">
        <v>21782558551321.605</v>
      </c>
      <c r="R44" s="60">
        <v>41113029224914.594</v>
      </c>
      <c r="S44" s="72">
        <v>1.7972067333219117E-2</v>
      </c>
      <c r="T44" s="74">
        <f t="shared" si="2"/>
        <v>-5.1298718320891737E-2</v>
      </c>
      <c r="U44" s="86">
        <f t="shared" si="3"/>
        <v>1.7972067333219117E-2</v>
      </c>
      <c r="V44" s="86">
        <f t="shared" si="4"/>
        <v>3.854358231012883</v>
      </c>
    </row>
    <row r="45" spans="1:22" x14ac:dyDescent="0.25">
      <c r="A45" s="8"/>
      <c r="B45" s="4" t="s">
        <v>26</v>
      </c>
      <c r="C45" s="60">
        <v>2216.8335431905025</v>
      </c>
      <c r="D45" s="60">
        <v>96898569881275.297</v>
      </c>
      <c r="E45" s="60">
        <v>67700166510473.508</v>
      </c>
      <c r="F45" s="60">
        <v>15593412552865.463</v>
      </c>
      <c r="G45" s="60">
        <v>50861734903977.289</v>
      </c>
      <c r="H45" s="60">
        <v>1591459138119.3401</v>
      </c>
      <c r="I45" s="60">
        <v>13411157139283.225</v>
      </c>
      <c r="J45" s="60">
        <v>57875433548637.281</v>
      </c>
      <c r="K45" s="60">
        <v>303931933674631.38</v>
      </c>
      <c r="L45" s="72">
        <v>6.6505893583070325E-2</v>
      </c>
      <c r="M45" s="72">
        <f t="shared" si="0"/>
        <v>147.43249571480828</v>
      </c>
      <c r="N45" s="73">
        <f t="shared" si="15"/>
        <v>0.12226267077599631</v>
      </c>
      <c r="O45" s="60">
        <v>11056786621945.371</v>
      </c>
      <c r="P45" s="60">
        <v>4370336438917.2915</v>
      </c>
      <c r="Q45" s="60">
        <v>20215747404066.078</v>
      </c>
      <c r="R45" s="60">
        <v>35642870464928.742</v>
      </c>
      <c r="S45" s="72">
        <v>1.5580853077999801E-2</v>
      </c>
      <c r="T45" s="74">
        <f t="shared" si="2"/>
        <v>-5.0925040505070525E-2</v>
      </c>
      <c r="U45" s="86">
        <f t="shared" si="3"/>
        <v>1.5580853077999801E-2</v>
      </c>
      <c r="V45" s="86">
        <f t="shared" si="4"/>
        <v>4.2684372447473233</v>
      </c>
    </row>
    <row r="46" spans="1:22" x14ac:dyDescent="0.25">
      <c r="A46" s="8"/>
      <c r="B46" s="4" t="s">
        <v>27</v>
      </c>
      <c r="C46" s="60">
        <v>1774.8764747233758</v>
      </c>
      <c r="D46" s="60">
        <v>173096891178234.16</v>
      </c>
      <c r="E46" s="60">
        <v>105967937869768.25</v>
      </c>
      <c r="F46" s="60">
        <v>13446573538994.955</v>
      </c>
      <c r="G46" s="60">
        <v>50989614662679.523</v>
      </c>
      <c r="H46" s="60">
        <v>12028826920660.752</v>
      </c>
      <c r="I46" s="60">
        <v>82445139437616.391</v>
      </c>
      <c r="J46" s="60">
        <v>76170724092125.188</v>
      </c>
      <c r="K46" s="60">
        <v>514145707700079.19</v>
      </c>
      <c r="L46" s="72">
        <v>0.11250453122540026</v>
      </c>
      <c r="M46" s="72">
        <f t="shared" si="0"/>
        <v>199.68164577174437</v>
      </c>
      <c r="N46" s="73">
        <f t="shared" si="15"/>
        <v>0.1655917930347276</v>
      </c>
      <c r="O46" s="60">
        <v>15343546973047.773</v>
      </c>
      <c r="P46" s="60">
        <v>4117028456250.2275</v>
      </c>
      <c r="Q46" s="60">
        <v>11903476192582.693</v>
      </c>
      <c r="R46" s="60">
        <v>31364051621880.695</v>
      </c>
      <c r="S46" s="72">
        <v>1.3710418770344721E-2</v>
      </c>
      <c r="T46" s="74">
        <f t="shared" si="2"/>
        <v>-9.8794112455055538E-2</v>
      </c>
      <c r="U46" s="86">
        <f t="shared" si="3"/>
        <v>1.3710418770344721E-2</v>
      </c>
      <c r="V46" s="86">
        <f t="shared" si="4"/>
        <v>8.2057691387767555</v>
      </c>
    </row>
    <row r="47" spans="1:22" x14ac:dyDescent="0.25">
      <c r="A47" s="8"/>
      <c r="B47" s="4" t="s">
        <v>28</v>
      </c>
      <c r="C47" s="60">
        <v>809.45724086036705</v>
      </c>
      <c r="D47" s="60">
        <v>120673452616442.78</v>
      </c>
      <c r="E47" s="60">
        <v>31230803461749.316</v>
      </c>
      <c r="F47" s="60">
        <v>6878683294106.8115</v>
      </c>
      <c r="G47" s="60">
        <v>40698876156798.625</v>
      </c>
      <c r="H47" s="60">
        <v>3113197180522.4795</v>
      </c>
      <c r="I47" s="60">
        <v>134929191446288.19</v>
      </c>
      <c r="J47" s="60">
        <v>74248760975350.172</v>
      </c>
      <c r="K47" s="60">
        <v>411772965131258.38</v>
      </c>
      <c r="L47" s="72">
        <v>9.010349346417032E-2</v>
      </c>
      <c r="M47" s="72">
        <f t="shared" si="0"/>
        <v>72.934925211387423</v>
      </c>
      <c r="N47" s="73">
        <f t="shared" si="15"/>
        <v>6.0483400935171974E-2</v>
      </c>
      <c r="O47" s="60">
        <v>10005928671133.588</v>
      </c>
      <c r="P47" s="60">
        <v>3700553826225.98</v>
      </c>
      <c r="Q47" s="60">
        <v>9704687261368.3809</v>
      </c>
      <c r="R47" s="60">
        <v>23411169758727.949</v>
      </c>
      <c r="S47" s="72">
        <v>1.0233911905433327E-2</v>
      </c>
      <c r="T47" s="74">
        <f t="shared" si="2"/>
        <v>-7.9869581558736996E-2</v>
      </c>
      <c r="U47" s="86">
        <f t="shared" si="3"/>
        <v>1.0233911905433327E-2</v>
      </c>
      <c r="V47" s="86">
        <f t="shared" si="4"/>
        <v>8.8044038581505788</v>
      </c>
    </row>
    <row r="48" spans="1:22" x14ac:dyDescent="0.25">
      <c r="A48" s="8"/>
      <c r="B48" s="60" t="s">
        <v>45</v>
      </c>
      <c r="C48" s="60">
        <f>SUM(C39:C47)</f>
        <v>11591.670269838036</v>
      </c>
      <c r="D48" s="60">
        <f>(D39*$C$3+D40*$C$4+D41*$C$5+D42*$C$6+D43*$C$7+D44*$C$8+D45*$C$9+D46*$C$10+D47*$C$11)/$C$12</f>
        <v>226300267118074.66</v>
      </c>
      <c r="E48" s="60">
        <f t="shared" ref="E48:K48" si="16">(E39*$C$3+E40*$C$4+E41*$C$5+E42*$C$6+E43*$C$7+E44*$C$8+E45*$C$9+E46*$C$10+E47*$C$11)/$C$12</f>
        <v>86944441524497.859</v>
      </c>
      <c r="F48" s="60">
        <f t="shared" si="16"/>
        <v>15482537599262.979</v>
      </c>
      <c r="G48" s="60">
        <f t="shared" si="16"/>
        <v>52831874732766.438</v>
      </c>
      <c r="H48" s="60">
        <f t="shared" si="16"/>
        <v>4932687771033.6953</v>
      </c>
      <c r="I48" s="60">
        <f t="shared" si="16"/>
        <v>39770732679296.75</v>
      </c>
      <c r="J48" s="60">
        <f t="shared" si="16"/>
        <v>49148780084352.156</v>
      </c>
      <c r="K48" s="60">
        <f t="shared" si="16"/>
        <v>475411321509284.56</v>
      </c>
      <c r="L48" s="72">
        <f>(L39*$C$3+L40*$C$4+L41*$C$5+L42*$C$6+L43*$C$7+L44*$C$8+L45*$C$9+L46*$C$10+L47*$C$11)/$C$12</f>
        <v>0.10402873556001849</v>
      </c>
      <c r="M48" s="72">
        <f t="shared" si="0"/>
        <v>1205.8668011999091</v>
      </c>
      <c r="N48" s="73"/>
      <c r="O48" s="60">
        <f t="shared" ref="O48:S48" si="17">(O39*$C$3+O40*$C$4+O41*$C$5+O42*$C$6+O43*$C$7+O44*$C$8+O45*$C$9+O46*$C$10+O47*$C$11)/$C$12</f>
        <v>31989866261882.789</v>
      </c>
      <c r="P48" s="60">
        <f t="shared" si="17"/>
        <v>3750282876753.1934</v>
      </c>
      <c r="Q48" s="60">
        <f t="shared" si="17"/>
        <v>26815975299575.238</v>
      </c>
      <c r="R48" s="60">
        <f t="shared" si="17"/>
        <v>62556124438211.234</v>
      </c>
      <c r="S48" s="72">
        <f t="shared" si="17"/>
        <v>2.7345659069739865E-2</v>
      </c>
      <c r="T48" s="74">
        <f t="shared" si="2"/>
        <v>-7.6683076490278626E-2</v>
      </c>
      <c r="U48" s="86">
        <f t="shared" si="3"/>
        <v>2.7345659069739865E-2</v>
      </c>
      <c r="V48" s="86">
        <f t="shared" si="4"/>
        <v>3.8042138715586677</v>
      </c>
    </row>
    <row r="49" spans="1:22" ht="58.2" x14ac:dyDescent="0.25">
      <c r="A49" s="8"/>
      <c r="B49" s="75" t="s">
        <v>54</v>
      </c>
      <c r="C49" s="75"/>
      <c r="D49" s="72">
        <f t="shared" ref="D49:K49" si="18">D48/$B$196</f>
        <v>4.95186580127078E-2</v>
      </c>
      <c r="E49" s="72">
        <f t="shared" si="18"/>
        <v>1.9025041909080494E-2</v>
      </c>
      <c r="F49" s="72">
        <f t="shared" si="18"/>
        <v>3.3878638072785509E-3</v>
      </c>
      <c r="G49" s="72">
        <f t="shared" si="18"/>
        <v>1.1560585280692875E-2</v>
      </c>
      <c r="H49" s="72">
        <f t="shared" si="18"/>
        <v>1.0793627507732376E-3</v>
      </c>
      <c r="I49" s="72">
        <f t="shared" si="18"/>
        <v>8.7025673258855039E-3</v>
      </c>
      <c r="J49" s="72">
        <f t="shared" si="18"/>
        <v>1.0754656473600034E-2</v>
      </c>
      <c r="K49" s="72">
        <f t="shared" si="18"/>
        <v>0.1040287355600185</v>
      </c>
      <c r="L49" s="72"/>
      <c r="M49" s="72"/>
      <c r="N49" s="73"/>
      <c r="O49" s="72">
        <f>0.4*O48/$C$196</f>
        <v>1.3983986129896424E-2</v>
      </c>
      <c r="P49" s="72">
        <f>0.4*P48/$C$196</f>
        <v>1.6393911528849914E-3</v>
      </c>
      <c r="Q49" s="72">
        <f>0.4*Q48/$C$196</f>
        <v>1.1722281786958451E-2</v>
      </c>
      <c r="R49" s="72">
        <f>0.4*R48/$C$196</f>
        <v>2.7345659069739871E-2</v>
      </c>
      <c r="S49" s="72"/>
      <c r="T49" s="74"/>
      <c r="U49" s="86"/>
      <c r="V49" s="86"/>
    </row>
    <row r="50" spans="1:22" x14ac:dyDescent="0.25">
      <c r="L50" s="78"/>
      <c r="M50" s="78"/>
      <c r="S50" s="78"/>
      <c r="T50" s="80"/>
      <c r="U50" s="87"/>
      <c r="V50" s="87"/>
    </row>
    <row r="51" spans="1:22" x14ac:dyDescent="0.25">
      <c r="A51" s="8">
        <v>2007</v>
      </c>
      <c r="B51" s="4" t="s">
        <v>20</v>
      </c>
      <c r="C51" s="60">
        <v>449.05387755102043</v>
      </c>
      <c r="D51" s="60">
        <v>271946165270836.97</v>
      </c>
      <c r="E51" s="60">
        <v>145122897847810.63</v>
      </c>
      <c r="F51" s="60">
        <v>25857921689320.496</v>
      </c>
      <c r="G51" s="60">
        <v>73182309836008.953</v>
      </c>
      <c r="H51" s="60">
        <v>5067454293925.9141</v>
      </c>
      <c r="I51" s="60">
        <v>774506701362.24963</v>
      </c>
      <c r="J51" s="60">
        <v>21740827481521.734</v>
      </c>
      <c r="K51" s="60">
        <v>543692083120787</v>
      </c>
      <c r="L51" s="72">
        <v>0.11896982125181335</v>
      </c>
      <c r="M51" s="72">
        <f t="shared" si="0"/>
        <v>53.423859544678578</v>
      </c>
      <c r="N51" s="73">
        <f>M51/$M$60</f>
        <v>4.588576577382824E-2</v>
      </c>
      <c r="O51" s="60">
        <v>361543410481069.31</v>
      </c>
      <c r="P51" s="60">
        <v>1349647175873.1816</v>
      </c>
      <c r="Q51" s="60">
        <v>164947363518945.03</v>
      </c>
      <c r="R51" s="60">
        <v>527840421175887.5</v>
      </c>
      <c r="S51" s="72">
        <v>0.23073910556848523</v>
      </c>
      <c r="T51" s="74">
        <f t="shared" si="2"/>
        <v>0.11176928431667188</v>
      </c>
      <c r="U51" s="86">
        <f t="shared" si="3"/>
        <v>0.11896982125181335</v>
      </c>
      <c r="V51" s="86">
        <f t="shared" si="4"/>
        <v>1</v>
      </c>
    </row>
    <row r="52" spans="1:22" x14ac:dyDescent="0.25">
      <c r="A52" s="8"/>
      <c r="B52" s="4" t="s">
        <v>21</v>
      </c>
      <c r="C52" s="60">
        <v>87.4</v>
      </c>
      <c r="D52" s="60">
        <v>19419826364364.25</v>
      </c>
      <c r="E52" s="60">
        <v>6551179025474.6123</v>
      </c>
      <c r="F52" s="60">
        <v>1771694279176.2021</v>
      </c>
      <c r="G52" s="60">
        <v>9164690160183.0645</v>
      </c>
      <c r="H52" s="60">
        <v>0</v>
      </c>
      <c r="I52" s="60">
        <v>399899426505071.13</v>
      </c>
      <c r="J52" s="60">
        <v>234508107260404.38</v>
      </c>
      <c r="K52" s="60">
        <v>671314923594673.63</v>
      </c>
      <c r="L52" s="72">
        <v>0.14689604455025682</v>
      </c>
      <c r="M52" s="72">
        <f t="shared" si="0"/>
        <v>12.838714293692446</v>
      </c>
      <c r="N52" s="73">
        <f t="shared" ref="N52:N59" si="19">M52/$M$60</f>
        <v>1.1027174785543036E-2</v>
      </c>
      <c r="O52" s="60">
        <v>587113193123943.5</v>
      </c>
      <c r="P52" s="60">
        <v>0</v>
      </c>
      <c r="Q52" s="60">
        <v>135812631716247.14</v>
      </c>
      <c r="R52" s="60">
        <v>722925824840190.63</v>
      </c>
      <c r="S52" s="72">
        <v>0.3160183485841857</v>
      </c>
      <c r="T52" s="74">
        <f t="shared" si="2"/>
        <v>0.16912230403392889</v>
      </c>
      <c r="U52" s="86">
        <f t="shared" si="3"/>
        <v>0.14689604455025682</v>
      </c>
      <c r="V52" s="86">
        <f t="shared" si="4"/>
        <v>1</v>
      </c>
    </row>
    <row r="53" spans="1:22" x14ac:dyDescent="0.25">
      <c r="A53" s="8"/>
      <c r="B53" s="4" t="s">
        <v>22</v>
      </c>
      <c r="C53" s="60">
        <v>1779.2373026051839</v>
      </c>
      <c r="D53" s="60">
        <v>135275895827713.06</v>
      </c>
      <c r="E53" s="60">
        <v>87831791617218.25</v>
      </c>
      <c r="F53" s="60">
        <v>17660421099530.32</v>
      </c>
      <c r="G53" s="60">
        <v>49301574259690</v>
      </c>
      <c r="H53" s="60">
        <v>7988141873593.4893</v>
      </c>
      <c r="I53" s="60">
        <v>2370949569355.3149</v>
      </c>
      <c r="J53" s="60">
        <v>19462514294152.191</v>
      </c>
      <c r="K53" s="60">
        <v>319891288541252.63</v>
      </c>
      <c r="L53" s="72">
        <v>6.9998093772702982E-2</v>
      </c>
      <c r="M53" s="72">
        <f t="shared" si="0"/>
        <v>124.54321955164878</v>
      </c>
      <c r="N53" s="73">
        <f t="shared" si="19"/>
        <v>0.10697020113805415</v>
      </c>
      <c r="O53" s="60">
        <v>47389473043031.414</v>
      </c>
      <c r="P53" s="60">
        <v>950582479191.44531</v>
      </c>
      <c r="Q53" s="60">
        <v>39380610001716.063</v>
      </c>
      <c r="R53" s="60">
        <v>87720665523938.922</v>
      </c>
      <c r="S53" s="72">
        <v>3.8346036208775566E-2</v>
      </c>
      <c r="T53" s="74">
        <f t="shared" si="2"/>
        <v>-3.1652057563927416E-2</v>
      </c>
      <c r="U53" s="86">
        <f t="shared" si="3"/>
        <v>3.8346036208775566E-2</v>
      </c>
      <c r="V53" s="86">
        <f t="shared" si="4"/>
        <v>1.8254323182609362</v>
      </c>
    </row>
    <row r="54" spans="1:22" x14ac:dyDescent="0.25">
      <c r="A54" s="8"/>
      <c r="B54" s="4" t="s">
        <v>23</v>
      </c>
      <c r="C54" s="60">
        <v>609.88128742514959</v>
      </c>
      <c r="D54" s="60">
        <v>974970067552657.88</v>
      </c>
      <c r="E54" s="60">
        <v>130123684127199.63</v>
      </c>
      <c r="F54" s="60">
        <v>20541702554757.52</v>
      </c>
      <c r="G54" s="60">
        <v>48691443092758.563</v>
      </c>
      <c r="H54" s="60">
        <v>18593782484909.824</v>
      </c>
      <c r="I54" s="60">
        <v>98277913221464.422</v>
      </c>
      <c r="J54" s="60">
        <v>109651482209851.39</v>
      </c>
      <c r="K54" s="60">
        <v>1400850075243599.3</v>
      </c>
      <c r="L54" s="72">
        <v>0.30653174512989045</v>
      </c>
      <c r="M54" s="72">
        <f t="shared" si="0"/>
        <v>186.94797535649542</v>
      </c>
      <c r="N54" s="73">
        <f t="shared" si="19"/>
        <v>0.16056966086333652</v>
      </c>
      <c r="O54" s="60">
        <v>9686471737986.3125</v>
      </c>
      <c r="P54" s="60">
        <v>1871665497903.5051</v>
      </c>
      <c r="Q54" s="60">
        <v>24346467779801.07</v>
      </c>
      <c r="R54" s="60">
        <v>35904605015690.891</v>
      </c>
      <c r="S54" s="72">
        <v>1.5695267195821035E-2</v>
      </c>
      <c r="T54" s="74">
        <f t="shared" si="2"/>
        <v>-0.29083647793406942</v>
      </c>
      <c r="U54" s="86">
        <f t="shared" si="3"/>
        <v>1.5695267195821035E-2</v>
      </c>
      <c r="V54" s="86">
        <f t="shared" si="4"/>
        <v>19.530202404678175</v>
      </c>
    </row>
    <row r="55" spans="1:22" x14ac:dyDescent="0.25">
      <c r="A55" s="8"/>
      <c r="B55" s="4" t="s">
        <v>24</v>
      </c>
      <c r="C55" s="60">
        <v>975.74023098367184</v>
      </c>
      <c r="D55" s="60">
        <v>690478857595935.63</v>
      </c>
      <c r="E55" s="60">
        <v>157418947300298.78</v>
      </c>
      <c r="F55" s="60">
        <v>22825747358543.324</v>
      </c>
      <c r="G55" s="60">
        <v>53497845371585.906</v>
      </c>
      <c r="H55" s="60">
        <v>4132247366632.8428</v>
      </c>
      <c r="I55" s="60">
        <v>13465336727978.609</v>
      </c>
      <c r="J55" s="60">
        <v>18342056781270.926</v>
      </c>
      <c r="K55" s="60">
        <v>960161038502246</v>
      </c>
      <c r="L55" s="72">
        <v>0.21010088369852209</v>
      </c>
      <c r="M55" s="72">
        <f t="shared" si="0"/>
        <v>205.00388478986952</v>
      </c>
      <c r="N55" s="73">
        <f t="shared" si="19"/>
        <v>0.17607788580542205</v>
      </c>
      <c r="O55" s="60">
        <v>13842370102201.91</v>
      </c>
      <c r="P55" s="60">
        <v>15653441203694.01</v>
      </c>
      <c r="Q55" s="60">
        <v>42528908437203.117</v>
      </c>
      <c r="R55" s="60">
        <v>72024719743099.031</v>
      </c>
      <c r="S55" s="72">
        <v>3.1484741875813481E-2</v>
      </c>
      <c r="T55" s="74">
        <f t="shared" si="2"/>
        <v>-0.1786161418227086</v>
      </c>
      <c r="U55" s="86">
        <f t="shared" si="3"/>
        <v>3.1484741875813481E-2</v>
      </c>
      <c r="V55" s="86">
        <f t="shared" si="4"/>
        <v>6.6731016734147399</v>
      </c>
    </row>
    <row r="56" spans="1:22" x14ac:dyDescent="0.25">
      <c r="A56" s="8"/>
      <c r="B56" s="4" t="s">
        <v>25</v>
      </c>
      <c r="C56" s="60">
        <v>2913.4367576786622</v>
      </c>
      <c r="D56" s="60">
        <v>111637226771020.69</v>
      </c>
      <c r="E56" s="60">
        <v>55027794777923.406</v>
      </c>
      <c r="F56" s="60">
        <v>14811373504596.75</v>
      </c>
      <c r="G56" s="60">
        <v>56776931767620.875</v>
      </c>
      <c r="H56" s="60">
        <v>3070600374771.1006</v>
      </c>
      <c r="I56" s="60">
        <v>12312997980101.684</v>
      </c>
      <c r="J56" s="60">
        <v>51331951226313.977</v>
      </c>
      <c r="K56" s="60">
        <v>304968876402348.5</v>
      </c>
      <c r="L56" s="72">
        <v>6.6732795711673634E-2</v>
      </c>
      <c r="M56" s="72">
        <f t="shared" si="0"/>
        <v>194.42177996905096</v>
      </c>
      <c r="N56" s="73">
        <f t="shared" si="19"/>
        <v>0.16698891343725955</v>
      </c>
      <c r="O56" s="60">
        <v>19684530133539.004</v>
      </c>
      <c r="P56" s="60">
        <v>3370285499088.9277</v>
      </c>
      <c r="Q56" s="60">
        <v>26148321361435.379</v>
      </c>
      <c r="R56" s="60">
        <v>49203136994063.313</v>
      </c>
      <c r="S56" s="72">
        <v>2.1508560856105273E-2</v>
      </c>
      <c r="T56" s="74">
        <f t="shared" si="2"/>
        <v>-4.5224234855568361E-2</v>
      </c>
      <c r="U56" s="86">
        <f t="shared" si="3"/>
        <v>2.1508560856105273E-2</v>
      </c>
      <c r="V56" s="86">
        <f t="shared" si="4"/>
        <v>3.1026155658727541</v>
      </c>
    </row>
    <row r="57" spans="1:22" x14ac:dyDescent="0.25">
      <c r="A57" s="8"/>
      <c r="B57" s="4" t="s">
        <v>26</v>
      </c>
      <c r="C57" s="60">
        <v>2228.6566554208521</v>
      </c>
      <c r="D57" s="60">
        <v>88487385223884.984</v>
      </c>
      <c r="E57" s="60">
        <v>54777392337693.586</v>
      </c>
      <c r="F57" s="60">
        <v>10513956891029.129</v>
      </c>
      <c r="G57" s="60">
        <v>36330405494744.219</v>
      </c>
      <c r="H57" s="60">
        <v>1639552683502.0671</v>
      </c>
      <c r="I57" s="60">
        <v>9056520833599.6289</v>
      </c>
      <c r="J57" s="60">
        <v>67547641940759.773</v>
      </c>
      <c r="K57" s="60">
        <v>268352855405213.38</v>
      </c>
      <c r="L57" s="72">
        <v>5.8720537287792862E-2</v>
      </c>
      <c r="M57" s="72">
        <f t="shared" si="0"/>
        <v>130.86791623632789</v>
      </c>
      <c r="N57" s="73">
        <f t="shared" si="19"/>
        <v>0.11240248463717099</v>
      </c>
      <c r="O57" s="60">
        <v>12813862145936.451</v>
      </c>
      <c r="P57" s="60">
        <v>4928089166261.6279</v>
      </c>
      <c r="Q57" s="60">
        <v>24299797947016.375</v>
      </c>
      <c r="R57" s="60">
        <v>42041749259214.453</v>
      </c>
      <c r="S57" s="72">
        <v>1.8378046150757374E-2</v>
      </c>
      <c r="T57" s="74">
        <f t="shared" si="2"/>
        <v>-4.0342491137035488E-2</v>
      </c>
      <c r="U57" s="86">
        <f t="shared" si="3"/>
        <v>1.8378046150757374E-2</v>
      </c>
      <c r="V57" s="86">
        <f t="shared" si="4"/>
        <v>3.1951458172485294</v>
      </c>
    </row>
    <row r="58" spans="1:22" x14ac:dyDescent="0.25">
      <c r="A58" s="8"/>
      <c r="B58" s="4" t="s">
        <v>27</v>
      </c>
      <c r="C58" s="60">
        <v>1768.829195422785</v>
      </c>
      <c r="D58" s="60">
        <v>144738904503895.06</v>
      </c>
      <c r="E58" s="60">
        <v>114453108600805.83</v>
      </c>
      <c r="F58" s="60">
        <v>12706294388491.236</v>
      </c>
      <c r="G58" s="60">
        <v>48182464683724.969</v>
      </c>
      <c r="H58" s="60">
        <v>11366599495320.053</v>
      </c>
      <c r="I58" s="60">
        <v>61516677591548.328</v>
      </c>
      <c r="J58" s="60">
        <v>84270521577197.531</v>
      </c>
      <c r="K58" s="60">
        <v>477234570840983</v>
      </c>
      <c r="L58" s="72">
        <v>0.10442769602647331</v>
      </c>
      <c r="M58" s="72">
        <f t="shared" si="0"/>
        <v>184.71475754236195</v>
      </c>
      <c r="N58" s="73">
        <f t="shared" si="19"/>
        <v>0.15865154954725741</v>
      </c>
      <c r="O58" s="60">
        <v>14267390365568.383</v>
      </c>
      <c r="P58" s="60">
        <v>3704164706121.5601</v>
      </c>
      <c r="Q58" s="60">
        <v>10946864838771.182</v>
      </c>
      <c r="R58" s="60">
        <v>28918419910461.125</v>
      </c>
      <c r="S58" s="72">
        <v>1.2641340217425717E-2</v>
      </c>
      <c r="T58" s="74">
        <f t="shared" si="2"/>
        <v>-9.1786355809047593E-2</v>
      </c>
      <c r="U58" s="86">
        <f t="shared" si="3"/>
        <v>1.2641340217425717E-2</v>
      </c>
      <c r="V58" s="86">
        <f t="shared" si="4"/>
        <v>8.2608089198107955</v>
      </c>
    </row>
    <row r="59" spans="1:22" x14ac:dyDescent="0.25">
      <c r="A59" s="8"/>
      <c r="B59" s="4" t="s">
        <v>28</v>
      </c>
      <c r="C59" s="60">
        <v>814.5005881554473</v>
      </c>
      <c r="D59" s="60">
        <v>112579415329409</v>
      </c>
      <c r="E59" s="60">
        <v>35162651097477.242</v>
      </c>
      <c r="F59" s="60">
        <v>8829950652690.5137</v>
      </c>
      <c r="G59" s="60">
        <v>52125192562656.906</v>
      </c>
      <c r="H59" s="60">
        <v>3403312459574.2642</v>
      </c>
      <c r="I59" s="60">
        <v>133732246558053.77</v>
      </c>
      <c r="J59" s="60">
        <v>82265979109557.938</v>
      </c>
      <c r="K59" s="60">
        <v>428098747769419.63</v>
      </c>
      <c r="L59" s="72">
        <v>9.367587478543099E-2</v>
      </c>
      <c r="M59" s="72">
        <f t="shared" si="0"/>
        <v>76.299055108709581</v>
      </c>
      <c r="N59" s="73">
        <f t="shared" si="19"/>
        <v>6.5533276729187392E-2</v>
      </c>
      <c r="O59" s="60">
        <v>18478048348655.219</v>
      </c>
      <c r="P59" s="60">
        <v>3490278599008.0605</v>
      </c>
      <c r="Q59" s="60">
        <v>11977795598765.221</v>
      </c>
      <c r="R59" s="60">
        <v>33946122546428.5</v>
      </c>
      <c r="S59" s="72">
        <v>1.4839140087892366E-2</v>
      </c>
      <c r="T59" s="74">
        <f t="shared" si="2"/>
        <v>-7.883673469753863E-2</v>
      </c>
      <c r="U59" s="86">
        <f t="shared" si="3"/>
        <v>1.4839140087892366E-2</v>
      </c>
      <c r="V59" s="86">
        <f t="shared" si="4"/>
        <v>6.3127562803900972</v>
      </c>
    </row>
    <row r="60" spans="1:22" x14ac:dyDescent="0.25">
      <c r="A60" s="8"/>
      <c r="B60" s="60" t="s">
        <v>45</v>
      </c>
      <c r="C60" s="60">
        <f>SUM(C51:C59)</f>
        <v>11626.735895242771</v>
      </c>
      <c r="D60" s="60">
        <f>(D51*$C$3+D52*$C$4+D53*$C$5+D54*$C$6+D55*$C$7+D56*$C$8+D57*$C$9+D58*$C$10+D59*$C$11)/$C$12</f>
        <v>213274394021470.5</v>
      </c>
      <c r="E60" s="60">
        <f t="shared" ref="E60:K60" si="20">(E51*$C$3+E52*$C$4+E53*$C$5+E54*$C$6+E55*$C$7+E56*$C$8+E57*$C$9+E58*$C$10+E59*$C$11)/$C$12</f>
        <v>83442258762175.719</v>
      </c>
      <c r="F60" s="60">
        <f t="shared" si="20"/>
        <v>14967729531430.83</v>
      </c>
      <c r="G60" s="60">
        <f t="shared" si="20"/>
        <v>49663911264590.797</v>
      </c>
      <c r="H60" s="60">
        <f t="shared" si="20"/>
        <v>5819458260220.3096</v>
      </c>
      <c r="I60" s="60">
        <f t="shared" si="20"/>
        <v>33188036715579.707</v>
      </c>
      <c r="J60" s="60">
        <f t="shared" si="20"/>
        <v>57275456612652.711</v>
      </c>
      <c r="K60" s="60">
        <f t="shared" si="20"/>
        <v>457631245168120.5</v>
      </c>
      <c r="L60" s="72">
        <f>(L51*$C$3+L52*$C$4+L53*$C$5+L54*$C$6+L55*$C$7+L56*$C$8+L57*$C$9+L58*$C$10+L59*$C$11)/$C$12</f>
        <v>0.10013812804554061</v>
      </c>
      <c r="M60" s="72">
        <f t="shared" si="0"/>
        <v>1164.2795678295038</v>
      </c>
      <c r="N60" s="73"/>
      <c r="O60" s="60">
        <f t="shared" ref="O60:S60" si="21">(O51*$C$3+O52*$C$4+O53*$C$5+O54*$C$6+O55*$C$7+O56*$C$8+O57*$C$9+O58*$C$10+O59*$C$11)/$C$12</f>
        <v>37792272855619.039</v>
      </c>
      <c r="P60" s="60">
        <f t="shared" si="21"/>
        <v>4199927376039.9355</v>
      </c>
      <c r="Q60" s="60">
        <f t="shared" si="21"/>
        <v>31763985882891.25</v>
      </c>
      <c r="R60" s="60">
        <f t="shared" si="21"/>
        <v>73756186114550.234</v>
      </c>
      <c r="S60" s="72">
        <f t="shared" si="21"/>
        <v>3.2241631620976499E-2</v>
      </c>
      <c r="T60" s="74">
        <f t="shared" si="2"/>
        <v>-6.7896496424564107E-2</v>
      </c>
      <c r="U60" s="86">
        <f t="shared" si="3"/>
        <v>3.2241631620976499E-2</v>
      </c>
      <c r="V60" s="86">
        <f t="shared" si="4"/>
        <v>3.1058641579537944</v>
      </c>
    </row>
    <row r="61" spans="1:22" ht="58.2" x14ac:dyDescent="0.25">
      <c r="A61" s="8"/>
      <c r="B61" s="75" t="s">
        <v>54</v>
      </c>
      <c r="C61" s="75"/>
      <c r="D61" s="72">
        <f t="shared" ref="D61:K61" si="22">D60/$B$196</f>
        <v>4.6668357553932276E-2</v>
      </c>
      <c r="E61" s="72">
        <f t="shared" si="22"/>
        <v>1.8258699947959676E-2</v>
      </c>
      <c r="F61" s="72">
        <f t="shared" si="22"/>
        <v>3.275214339481582E-3</v>
      </c>
      <c r="G61" s="72">
        <f t="shared" si="22"/>
        <v>1.086737664433059E-2</v>
      </c>
      <c r="H61" s="72">
        <f t="shared" si="22"/>
        <v>1.2734044333086016E-3</v>
      </c>
      <c r="I61" s="72">
        <f t="shared" si="22"/>
        <v>7.2621524541749902E-3</v>
      </c>
      <c r="J61" s="72">
        <f t="shared" si="22"/>
        <v>1.2532922672352891E-2</v>
      </c>
      <c r="K61" s="72">
        <f t="shared" si="22"/>
        <v>0.10013812804554059</v>
      </c>
      <c r="L61" s="72"/>
      <c r="M61" s="72"/>
      <c r="N61" s="73"/>
      <c r="O61" s="72">
        <f>0.4*O60/$C$196</f>
        <v>1.6520438538373972E-2</v>
      </c>
      <c r="P61" s="72">
        <f>0.4*P60/$C$196</f>
        <v>1.8359478496193637E-3</v>
      </c>
      <c r="Q61" s="72">
        <f>0.4*Q60/$C$196</f>
        <v>1.3885245232983167E-2</v>
      </c>
      <c r="R61" s="72">
        <f>0.4*R60/$C$196</f>
        <v>3.2241631620976506E-2</v>
      </c>
      <c r="S61" s="72"/>
      <c r="T61" s="74"/>
      <c r="U61" s="86"/>
      <c r="V61" s="86"/>
    </row>
    <row r="62" spans="1:22" x14ac:dyDescent="0.25">
      <c r="L62" s="78"/>
      <c r="M62" s="78"/>
      <c r="S62" s="78"/>
      <c r="T62" s="80"/>
      <c r="U62" s="87"/>
      <c r="V62" s="87"/>
    </row>
    <row r="63" spans="1:22" x14ac:dyDescent="0.25">
      <c r="A63" s="8">
        <v>2008</v>
      </c>
      <c r="B63" s="4" t="s">
        <v>20</v>
      </c>
      <c r="C63" s="60">
        <v>450.68088435374148</v>
      </c>
      <c r="D63" s="60">
        <v>258541961829787.75</v>
      </c>
      <c r="E63" s="60">
        <v>91683498090342.234</v>
      </c>
      <c r="F63" s="60">
        <v>21934633447290.414</v>
      </c>
      <c r="G63" s="60">
        <v>73916780490411.422</v>
      </c>
      <c r="H63" s="60">
        <v>3754718823778.2021</v>
      </c>
      <c r="I63" s="60">
        <v>771710648288.73975</v>
      </c>
      <c r="J63" s="60">
        <v>21715018418537.176</v>
      </c>
      <c r="K63" s="60">
        <v>472318321748436</v>
      </c>
      <c r="L63" s="72">
        <v>0.1033519303607081</v>
      </c>
      <c r="M63" s="72">
        <f t="shared" si="0"/>
        <v>46.578739374630231</v>
      </c>
      <c r="N63" s="73">
        <f>M63/$M$72</f>
        <v>3.8968877112210795E-2</v>
      </c>
      <c r="O63" s="60">
        <v>327282175449331.31</v>
      </c>
      <c r="P63" s="60">
        <v>1383473358890.5391</v>
      </c>
      <c r="Q63" s="60">
        <v>155569723842488.38</v>
      </c>
      <c r="R63" s="60">
        <v>484235372650710.25</v>
      </c>
      <c r="S63" s="72">
        <v>0.21167768190457617</v>
      </c>
      <c r="T63" s="74">
        <f t="shared" si="2"/>
        <v>0.10832575154386807</v>
      </c>
      <c r="U63" s="86">
        <f t="shared" si="3"/>
        <v>0.1033519303607081</v>
      </c>
      <c r="V63" s="86">
        <f t="shared" si="4"/>
        <v>1</v>
      </c>
    </row>
    <row r="64" spans="1:22" x14ac:dyDescent="0.25">
      <c r="A64" s="8"/>
      <c r="B64" s="4" t="s">
        <v>21</v>
      </c>
      <c r="C64" s="60">
        <v>88.6</v>
      </c>
      <c r="D64" s="60">
        <v>20882642073261.512</v>
      </c>
      <c r="E64" s="60">
        <v>7044652417587.3164</v>
      </c>
      <c r="F64" s="60">
        <v>1835083340857.7876</v>
      </c>
      <c r="G64" s="60">
        <v>9492591602708.8008</v>
      </c>
      <c r="H64" s="60">
        <v>0</v>
      </c>
      <c r="I64" s="60">
        <v>412463469237986.44</v>
      </c>
      <c r="J64" s="60">
        <v>239910990736188.94</v>
      </c>
      <c r="K64" s="60">
        <v>691629429408590.75</v>
      </c>
      <c r="L64" s="72">
        <v>0.15134123181807238</v>
      </c>
      <c r="M64" s="72">
        <f t="shared" si="0"/>
        <v>13.408833139081212</v>
      </c>
      <c r="N64" s="73">
        <f t="shared" ref="N64:N71" si="23">M64/$M$72</f>
        <v>1.1218147546079731E-2</v>
      </c>
      <c r="O64" s="60">
        <v>541922701938767.88</v>
      </c>
      <c r="P64" s="60">
        <v>0</v>
      </c>
      <c r="Q64" s="60">
        <v>132772551354401.8</v>
      </c>
      <c r="R64" s="60">
        <v>674695253293169.63</v>
      </c>
      <c r="S64" s="72">
        <v>0.29493493304161561</v>
      </c>
      <c r="T64" s="74">
        <f t="shared" si="2"/>
        <v>0.14359370122354323</v>
      </c>
      <c r="U64" s="86">
        <f t="shared" si="3"/>
        <v>0.15134123181807238</v>
      </c>
      <c r="V64" s="86">
        <f t="shared" si="4"/>
        <v>1</v>
      </c>
    </row>
    <row r="65" spans="1:22" x14ac:dyDescent="0.25">
      <c r="A65" s="8"/>
      <c r="B65" s="4" t="s">
        <v>22</v>
      </c>
      <c r="C65" s="60">
        <v>1781.3321659912967</v>
      </c>
      <c r="D65" s="60">
        <v>133960327307740.27</v>
      </c>
      <c r="E65" s="60">
        <v>86354248206368.25</v>
      </c>
      <c r="F65" s="60">
        <v>18832647071935.207</v>
      </c>
      <c r="G65" s="60">
        <v>55403928522830.141</v>
      </c>
      <c r="H65" s="60">
        <v>8214290562623.5078</v>
      </c>
      <c r="I65" s="60">
        <v>2451254689666.4067</v>
      </c>
      <c r="J65" s="60">
        <v>20814107040296.645</v>
      </c>
      <c r="K65" s="60">
        <v>326030803401460.44</v>
      </c>
      <c r="L65" s="72">
        <v>7.1341532472967276E-2</v>
      </c>
      <c r="M65" s="72">
        <f t="shared" si="0"/>
        <v>127.08296656520923</v>
      </c>
      <c r="N65" s="73">
        <f t="shared" si="23"/>
        <v>0.1063206212453264</v>
      </c>
      <c r="O65" s="60">
        <v>38094120886178.93</v>
      </c>
      <c r="P65" s="60">
        <v>629060062928.49146</v>
      </c>
      <c r="Q65" s="60">
        <v>35034452812943.207</v>
      </c>
      <c r="R65" s="60">
        <v>73757633762050.625</v>
      </c>
      <c r="S65" s="72">
        <v>3.2242264442708259E-2</v>
      </c>
      <c r="T65" s="74">
        <f t="shared" si="2"/>
        <v>-3.9099268030259017E-2</v>
      </c>
      <c r="U65" s="86">
        <f t="shared" si="3"/>
        <v>3.2242264442708259E-2</v>
      </c>
      <c r="V65" s="86">
        <f t="shared" si="4"/>
        <v>2.2126712780901312</v>
      </c>
    </row>
    <row r="66" spans="1:22" x14ac:dyDescent="0.25">
      <c r="A66" s="8"/>
      <c r="B66" s="4" t="s">
        <v>23</v>
      </c>
      <c r="C66" s="60">
        <v>617.87973053892199</v>
      </c>
      <c r="D66" s="60">
        <v>980436758253294.88</v>
      </c>
      <c r="E66" s="60">
        <v>112125380678167.2</v>
      </c>
      <c r="F66" s="60">
        <v>15394581712048.592</v>
      </c>
      <c r="G66" s="60">
        <v>53317819588070.719</v>
      </c>
      <c r="H66" s="60">
        <v>26306090322501.871</v>
      </c>
      <c r="I66" s="60">
        <v>103481940519925.59</v>
      </c>
      <c r="J66" s="60">
        <v>110368627209227.05</v>
      </c>
      <c r="K66" s="60">
        <v>1401431198283235.8</v>
      </c>
      <c r="L66" s="72">
        <v>0.30665890553243669</v>
      </c>
      <c r="M66" s="72">
        <f t="shared" si="0"/>
        <v>189.4783219177427</v>
      </c>
      <c r="N66" s="73">
        <f t="shared" si="23"/>
        <v>0.15852205408251346</v>
      </c>
      <c r="O66" s="60">
        <v>8106240511335.7139</v>
      </c>
      <c r="P66" s="60">
        <v>1848142485552.8826</v>
      </c>
      <c r="Q66" s="60">
        <v>20097768795181.012</v>
      </c>
      <c r="R66" s="60">
        <v>30052151792069.609</v>
      </c>
      <c r="S66" s="72">
        <v>1.3136937503692749E-2</v>
      </c>
      <c r="T66" s="74">
        <f t="shared" si="2"/>
        <v>-0.29352196802874392</v>
      </c>
      <c r="U66" s="86">
        <f t="shared" si="3"/>
        <v>1.3136937503692749E-2</v>
      </c>
      <c r="V66" s="86">
        <f t="shared" si="4"/>
        <v>23.343256786160083</v>
      </c>
    </row>
    <row r="67" spans="1:22" x14ac:dyDescent="0.25">
      <c r="A67" s="8"/>
      <c r="B67" s="4" t="s">
        <v>24</v>
      </c>
      <c r="C67" s="60">
        <v>981.7657984866587</v>
      </c>
      <c r="D67" s="60">
        <v>648325701487195.88</v>
      </c>
      <c r="E67" s="60">
        <v>163786516344188.06</v>
      </c>
      <c r="F67" s="60">
        <v>22449345896927.273</v>
      </c>
      <c r="G67" s="60">
        <v>54823665769338.18</v>
      </c>
      <c r="H67" s="60">
        <v>6545349216590.502</v>
      </c>
      <c r="I67" s="60">
        <v>14040389974680.432</v>
      </c>
      <c r="J67" s="60">
        <v>21252106929536.238</v>
      </c>
      <c r="K67" s="60">
        <v>931223075618456.5</v>
      </c>
      <c r="L67" s="72">
        <v>0.20376872551826181</v>
      </c>
      <c r="M67" s="72">
        <f t="shared" si="0"/>
        <v>200.05316551504509</v>
      </c>
      <c r="N67" s="73">
        <f t="shared" si="23"/>
        <v>0.16736921882241143</v>
      </c>
      <c r="O67" s="60">
        <v>13215172467988.307</v>
      </c>
      <c r="P67" s="60">
        <v>16587716658329.709</v>
      </c>
      <c r="Q67" s="60">
        <v>47926578404472.094</v>
      </c>
      <c r="R67" s="60">
        <v>77729467530790.109</v>
      </c>
      <c r="S67" s="72">
        <v>3.3978503909219811E-2</v>
      </c>
      <c r="T67" s="74">
        <f t="shared" si="2"/>
        <v>-0.169790221609042</v>
      </c>
      <c r="U67" s="86">
        <f t="shared" si="3"/>
        <v>3.3978503909219811E-2</v>
      </c>
      <c r="V67" s="86">
        <f t="shared" si="4"/>
        <v>5.996989333687841</v>
      </c>
    </row>
    <row r="68" spans="1:22" x14ac:dyDescent="0.25">
      <c r="A68" s="8"/>
      <c r="B68" s="4" t="s">
        <v>25</v>
      </c>
      <c r="C68" s="60">
        <v>2921.2939226130707</v>
      </c>
      <c r="D68" s="60">
        <v>116909838259104.84</v>
      </c>
      <c r="E68" s="60">
        <v>60685437582201.477</v>
      </c>
      <c r="F68" s="60">
        <v>15089204019762.189</v>
      </c>
      <c r="G68" s="60">
        <v>59483230583167.789</v>
      </c>
      <c r="H68" s="60">
        <v>3407394210814.7197</v>
      </c>
      <c r="I68" s="60">
        <v>12743733071358.453</v>
      </c>
      <c r="J68" s="60">
        <v>54045978735603.125</v>
      </c>
      <c r="K68" s="60">
        <v>322364816462012.56</v>
      </c>
      <c r="L68" s="72">
        <v>7.0539347147048695E-2</v>
      </c>
      <c r="M68" s="72">
        <f t="shared" ref="M68:M131" si="24">L68*C68</f>
        <v>206.06616612576698</v>
      </c>
      <c r="N68" s="73">
        <f t="shared" si="23"/>
        <v>0.17239983762019057</v>
      </c>
      <c r="O68" s="60">
        <v>15677153227807.387</v>
      </c>
      <c r="P68" s="60">
        <v>2235838648315.4023</v>
      </c>
      <c r="Q68" s="60">
        <v>20226166067243.105</v>
      </c>
      <c r="R68" s="60">
        <v>38139157943365.891</v>
      </c>
      <c r="S68" s="72">
        <v>1.6672075191556855E-2</v>
      </c>
      <c r="T68" s="74">
        <f t="shared" ref="T68:T131" si="25">S68-L68</f>
        <v>-5.386727195549184E-2</v>
      </c>
      <c r="U68" s="86">
        <f t="shared" ref="U68:U131" si="26">MIN(L68,S68)</f>
        <v>1.6672075191556855E-2</v>
      </c>
      <c r="V68" s="86">
        <f t="shared" ref="V68:V131" si="27">IF(L68&lt;=S68,1,1+MAX((L68-S68),0)/S68)</f>
        <v>4.2309878246453412</v>
      </c>
    </row>
    <row r="69" spans="1:22" x14ac:dyDescent="0.25">
      <c r="A69" s="8"/>
      <c r="B69" s="4" t="s">
        <v>26</v>
      </c>
      <c r="C69" s="60">
        <v>2240.4797676512012</v>
      </c>
      <c r="D69" s="60">
        <v>95051070344302.141</v>
      </c>
      <c r="E69" s="60">
        <v>50496327453385.461</v>
      </c>
      <c r="F69" s="60">
        <v>15221739777526.67</v>
      </c>
      <c r="G69" s="60">
        <v>52188822094377.156</v>
      </c>
      <c r="H69" s="60">
        <v>3318039335741.6519</v>
      </c>
      <c r="I69" s="60">
        <v>9343513021108.0703</v>
      </c>
      <c r="J69" s="60">
        <v>68679374816948.398</v>
      </c>
      <c r="K69" s="60">
        <v>294298886843389.5</v>
      </c>
      <c r="L69" s="72">
        <v>6.4398005873827019E-2</v>
      </c>
      <c r="M69" s="72">
        <f t="shared" si="24"/>
        <v>144.28242923739265</v>
      </c>
      <c r="N69" s="73">
        <f t="shared" si="23"/>
        <v>0.12071009928331361</v>
      </c>
      <c r="O69" s="60">
        <v>9677552020918.668</v>
      </c>
      <c r="P69" s="60">
        <v>4508720289184.1816</v>
      </c>
      <c r="Q69" s="60">
        <v>19323993529916.219</v>
      </c>
      <c r="R69" s="60">
        <v>33510265840019.07</v>
      </c>
      <c r="S69" s="72">
        <v>1.464861055934869E-2</v>
      </c>
      <c r="T69" s="74">
        <f t="shared" si="25"/>
        <v>-4.9749395314478327E-2</v>
      </c>
      <c r="U69" s="86">
        <f t="shared" si="26"/>
        <v>1.464861055934869E-2</v>
      </c>
      <c r="V69" s="86">
        <f t="shared" si="27"/>
        <v>4.3961852636411614</v>
      </c>
    </row>
    <row r="70" spans="1:22" x14ac:dyDescent="0.25">
      <c r="A70" s="8"/>
      <c r="B70" s="4" t="s">
        <v>27</v>
      </c>
      <c r="C70" s="60">
        <v>1781.8686414146839</v>
      </c>
      <c r="D70" s="60">
        <v>139605352615949.59</v>
      </c>
      <c r="E70" s="60">
        <v>120682296664288.72</v>
      </c>
      <c r="F70" s="60">
        <v>14683852059502.539</v>
      </c>
      <c r="G70" s="60">
        <v>55681393933297.133</v>
      </c>
      <c r="H70" s="60">
        <v>13135652323628.75</v>
      </c>
      <c r="I70" s="60">
        <v>67616986988927.695</v>
      </c>
      <c r="J70" s="60">
        <v>87244641922824.641</v>
      </c>
      <c r="K70" s="60">
        <v>498650176508419.06</v>
      </c>
      <c r="L70" s="72">
        <v>0.10911382418127331</v>
      </c>
      <c r="M70" s="72">
        <f t="shared" si="24"/>
        <v>194.42650165344617</v>
      </c>
      <c r="N70" s="73">
        <f t="shared" si="23"/>
        <v>0.16266181850376324</v>
      </c>
      <c r="O70" s="60">
        <v>10810884115927.387</v>
      </c>
      <c r="P70" s="60">
        <v>3707155888706.8037</v>
      </c>
      <c r="Q70" s="60">
        <v>10868702340369.279</v>
      </c>
      <c r="R70" s="60">
        <v>25386742345003.469</v>
      </c>
      <c r="S70" s="72">
        <v>1.1097509752917876E-2</v>
      </c>
      <c r="T70" s="74">
        <f t="shared" si="25"/>
        <v>-9.8016314428355442E-2</v>
      </c>
      <c r="U70" s="86">
        <f t="shared" si="26"/>
        <v>1.1097509752917876E-2</v>
      </c>
      <c r="V70" s="86">
        <f t="shared" si="27"/>
        <v>9.8322800890158213</v>
      </c>
    </row>
    <row r="71" spans="1:22" x14ac:dyDescent="0.25">
      <c r="A71" s="8"/>
      <c r="B71" s="4" t="s">
        <v>28</v>
      </c>
      <c r="C71" s="60">
        <v>818.84830134086121</v>
      </c>
      <c r="D71" s="60">
        <v>109617373392627.56</v>
      </c>
      <c r="E71" s="60">
        <v>42205619701974.25</v>
      </c>
      <c r="F71" s="60">
        <v>11899639999306.629</v>
      </c>
      <c r="G71" s="60">
        <v>50148482854220.789</v>
      </c>
      <c r="H71" s="60">
        <v>4308490344576.5381</v>
      </c>
      <c r="I71" s="60">
        <v>140143614028887.25</v>
      </c>
      <c r="J71" s="60">
        <v>87865306442058.641</v>
      </c>
      <c r="K71" s="60">
        <v>446188526763651.63</v>
      </c>
      <c r="L71" s="72">
        <v>9.763425093296535E-2</v>
      </c>
      <c r="M71" s="72">
        <f t="shared" si="24"/>
        <v>79.947640529146071</v>
      </c>
      <c r="N71" s="73">
        <f t="shared" si="23"/>
        <v>6.6886090543025328E-2</v>
      </c>
      <c r="O71" s="60">
        <v>10912798126005.215</v>
      </c>
      <c r="P71" s="60">
        <v>3317328616272.5552</v>
      </c>
      <c r="Q71" s="60">
        <v>10137602276767.115</v>
      </c>
      <c r="R71" s="60">
        <v>24367729019044.883</v>
      </c>
      <c r="S71" s="72">
        <v>1.0652060306529791E-2</v>
      </c>
      <c r="T71" s="74">
        <f t="shared" si="25"/>
        <v>-8.6982190626435557E-2</v>
      </c>
      <c r="U71" s="86">
        <f t="shared" si="26"/>
        <v>1.0652060306529791E-2</v>
      </c>
      <c r="V71" s="86">
        <f t="shared" si="27"/>
        <v>9.1657621270802263</v>
      </c>
    </row>
    <row r="72" spans="1:22" x14ac:dyDescent="0.25">
      <c r="A72" s="8"/>
      <c r="B72" s="60" t="s">
        <v>45</v>
      </c>
      <c r="C72" s="60">
        <f>SUM(C63:C71)</f>
        <v>11682.749212390434</v>
      </c>
      <c r="D72" s="60">
        <f>(D63*$C$3+D64*$C$4+D65*$C$5+D66*$C$6+D67*$C$7+D68*$C$8+D69*$C$9+D70*$C$10+D71*$C$11)/$C$12</f>
        <v>210886246014145.44</v>
      </c>
      <c r="E72" s="60">
        <f t="shared" ref="E72:K72" si="28">(E63*$C$3+E64*$C$4+E65*$C$5+E66*$C$6+E67*$C$7+E68*$C$8+E69*$C$9+E70*$C$10+E71*$C$11)/$C$12</f>
        <v>82907828875937.609</v>
      </c>
      <c r="F72" s="60">
        <f t="shared" si="28"/>
        <v>16195215187975.787</v>
      </c>
      <c r="G72" s="60">
        <f t="shared" si="28"/>
        <v>55707579716463.578</v>
      </c>
      <c r="H72" s="60">
        <f t="shared" si="28"/>
        <v>7139115721448.6084</v>
      </c>
      <c r="I72" s="60">
        <f t="shared" si="28"/>
        <v>35175056448360.188</v>
      </c>
      <c r="J72" s="60">
        <f t="shared" si="28"/>
        <v>59552871213360.398</v>
      </c>
      <c r="K72" s="60">
        <f t="shared" si="28"/>
        <v>467563913177691.56</v>
      </c>
      <c r="L72" s="72">
        <f>(L63*$C$3+L64*$C$4+L65*$C$5+L66*$C$6+L67*$C$7+L68*$C$8+L69*$C$9+L70*$C$10+L71*$C$11)/$C$12</f>
        <v>0.10231157837586247</v>
      </c>
      <c r="M72" s="72">
        <f t="shared" si="24"/>
        <v>1195.2805116890295</v>
      </c>
      <c r="N72" s="73"/>
      <c r="O72" s="60">
        <f t="shared" ref="O72:S72" si="29">(O63*$C$3+O64*$C$4+O65*$C$5+O66*$C$6+O67*$C$7+O68*$C$8+O69*$C$9+O70*$C$10+O71*$C$11)/$C$12</f>
        <v>31936958402985.215</v>
      </c>
      <c r="P72" s="60">
        <f t="shared" si="29"/>
        <v>3853244376453.2427</v>
      </c>
      <c r="Q72" s="60">
        <f t="shared" si="29"/>
        <v>28389774275074.672</v>
      </c>
      <c r="R72" s="60">
        <f t="shared" si="29"/>
        <v>64179977054513.125</v>
      </c>
      <c r="S72" s="72">
        <f t="shared" si="29"/>
        <v>2.8055506753298928E-2</v>
      </c>
      <c r="T72" s="74">
        <f t="shared" si="25"/>
        <v>-7.4256071622563535E-2</v>
      </c>
      <c r="U72" s="86">
        <f t="shared" si="26"/>
        <v>2.8055506753298928E-2</v>
      </c>
      <c r="V72" s="86">
        <f t="shared" si="27"/>
        <v>3.6467556717303666</v>
      </c>
    </row>
    <row r="73" spans="1:22" ht="58.2" x14ac:dyDescent="0.25">
      <c r="A73" s="8"/>
      <c r="B73" s="75" t="s">
        <v>54</v>
      </c>
      <c r="C73" s="75"/>
      <c r="D73" s="72">
        <f t="shared" ref="D73:K73" si="30">D72/$B$196</f>
        <v>4.6145786873992435E-2</v>
      </c>
      <c r="E73" s="72">
        <f t="shared" si="30"/>
        <v>1.8141756865631863E-2</v>
      </c>
      <c r="F73" s="72">
        <f t="shared" si="30"/>
        <v>3.5438107632332137E-3</v>
      </c>
      <c r="G73" s="72">
        <f t="shared" si="30"/>
        <v>1.2189842388722883E-2</v>
      </c>
      <c r="H73" s="72">
        <f t="shared" si="30"/>
        <v>1.562169742111293E-3</v>
      </c>
      <c r="I73" s="72">
        <f t="shared" si="30"/>
        <v>7.6969488946083565E-3</v>
      </c>
      <c r="J73" s="72">
        <f t="shared" si="30"/>
        <v>1.3031262847562451E-2</v>
      </c>
      <c r="K73" s="72">
        <f t="shared" si="30"/>
        <v>0.10231157837586248</v>
      </c>
      <c r="L73" s="72"/>
      <c r="M73" s="72"/>
      <c r="N73" s="73"/>
      <c r="O73" s="72">
        <f>0.4*O72/$C$196</f>
        <v>1.3960858094320114E-2</v>
      </c>
      <c r="P73" s="72">
        <f>0.4*P72/$C$196</f>
        <v>1.6843995368504604E-3</v>
      </c>
      <c r="Q73" s="72">
        <f>0.4*Q72/$C$196</f>
        <v>1.2410249122128359E-2</v>
      </c>
      <c r="R73" s="72">
        <f>0.4*R72/$C$196</f>
        <v>2.8055506753298931E-2</v>
      </c>
      <c r="S73" s="72"/>
      <c r="T73" s="74"/>
      <c r="U73" s="86"/>
      <c r="V73" s="86"/>
    </row>
    <row r="74" spans="1:22" x14ac:dyDescent="0.25">
      <c r="L74" s="78"/>
      <c r="M74" s="78"/>
      <c r="S74" s="78"/>
      <c r="T74" s="80"/>
      <c r="U74" s="87"/>
      <c r="V74" s="87"/>
    </row>
    <row r="75" spans="1:22" x14ac:dyDescent="0.25">
      <c r="A75" s="8">
        <v>2009</v>
      </c>
      <c r="B75" s="4" t="s">
        <v>20</v>
      </c>
      <c r="C75" s="60">
        <v>453.12139455782312</v>
      </c>
      <c r="D75" s="60">
        <v>244531733285571.94</v>
      </c>
      <c r="E75" s="60">
        <v>70335235508137.094</v>
      </c>
      <c r="F75" s="60">
        <v>22748341004862.039</v>
      </c>
      <c r="G75" s="60">
        <v>74414672105483.891</v>
      </c>
      <c r="H75" s="60">
        <v>3773425886607.1011</v>
      </c>
      <c r="I75" s="60">
        <v>716383936340.80981</v>
      </c>
      <c r="J75" s="60">
        <v>23946047286947.484</v>
      </c>
      <c r="K75" s="60">
        <v>440465839013950.38</v>
      </c>
      <c r="L75" s="72">
        <v>9.6382021666072293E-2</v>
      </c>
      <c r="M75" s="72">
        <f t="shared" si="24"/>
        <v>43.672756067633003</v>
      </c>
      <c r="N75" s="73">
        <f>M75/$M$84</f>
        <v>3.5891781452518527E-2</v>
      </c>
      <c r="O75" s="60">
        <v>439631661555663.88</v>
      </c>
      <c r="P75" s="60">
        <v>1347154382437.7339</v>
      </c>
      <c r="Q75" s="60">
        <v>165623965059595.31</v>
      </c>
      <c r="R75" s="60">
        <v>606602780997697</v>
      </c>
      <c r="S75" s="72">
        <v>0.26516912594710967</v>
      </c>
      <c r="T75" s="74">
        <f t="shared" si="25"/>
        <v>0.16878710428103738</v>
      </c>
      <c r="U75" s="86">
        <f t="shared" si="26"/>
        <v>9.6382021666072293E-2</v>
      </c>
      <c r="V75" s="86">
        <f t="shared" si="27"/>
        <v>1</v>
      </c>
    </row>
    <row r="76" spans="1:22" x14ac:dyDescent="0.25">
      <c r="A76" s="8"/>
      <c r="B76" s="4" t="s">
        <v>21</v>
      </c>
      <c r="C76" s="60">
        <v>91.2</v>
      </c>
      <c r="D76" s="60">
        <v>16498070175438.596</v>
      </c>
      <c r="E76" s="60">
        <v>5059649122807.0176</v>
      </c>
      <c r="F76" s="60">
        <v>5008727368421.0518</v>
      </c>
      <c r="G76" s="60">
        <v>25909342807017.539</v>
      </c>
      <c r="H76" s="60">
        <v>0</v>
      </c>
      <c r="I76" s="60">
        <v>421455418381344.25</v>
      </c>
      <c r="J76" s="60">
        <v>233396274703703.72</v>
      </c>
      <c r="K76" s="60">
        <v>707327482558732.13</v>
      </c>
      <c r="L76" s="72">
        <v>0.15477625438921927</v>
      </c>
      <c r="M76" s="72">
        <f t="shared" si="24"/>
        <v>14.115594400296798</v>
      </c>
      <c r="N76" s="73">
        <f t="shared" ref="N76:N83" si="31">M76/$M$84</f>
        <v>1.1600683696335948E-2</v>
      </c>
      <c r="O76" s="60">
        <v>616795385274942.63</v>
      </c>
      <c r="P76" s="60">
        <v>0</v>
      </c>
      <c r="Q76" s="60">
        <v>141618148399122.81</v>
      </c>
      <c r="R76" s="60">
        <v>758413533674065.5</v>
      </c>
      <c r="S76" s="72">
        <v>0.33153137461724608</v>
      </c>
      <c r="T76" s="74">
        <f t="shared" si="25"/>
        <v>0.17675512022802681</v>
      </c>
      <c r="U76" s="86">
        <f t="shared" si="26"/>
        <v>0.15477625438921927</v>
      </c>
      <c r="V76" s="86">
        <f t="shared" si="27"/>
        <v>1</v>
      </c>
    </row>
    <row r="77" spans="1:22" x14ac:dyDescent="0.25">
      <c r="A77" s="8"/>
      <c r="B77" s="4" t="s">
        <v>22</v>
      </c>
      <c r="C77" s="60">
        <v>1784.1253171727806</v>
      </c>
      <c r="D77" s="60">
        <v>133275122387029.41</v>
      </c>
      <c r="E77" s="60">
        <v>85304321694831.406</v>
      </c>
      <c r="F77" s="60">
        <v>18337635638647.02</v>
      </c>
      <c r="G77" s="60">
        <v>61353448071383.055</v>
      </c>
      <c r="H77" s="60">
        <v>8123039262155.4258</v>
      </c>
      <c r="I77" s="60">
        <v>2468157931896.0542</v>
      </c>
      <c r="J77" s="60">
        <v>21569599371419.789</v>
      </c>
      <c r="K77" s="60">
        <v>330431324357362.19</v>
      </c>
      <c r="L77" s="72">
        <v>7.2304447342967662E-2</v>
      </c>
      <c r="M77" s="72">
        <f t="shared" si="24"/>
        <v>129.0001950487748</v>
      </c>
      <c r="N77" s="73">
        <f t="shared" si="31"/>
        <v>0.10601682204009867</v>
      </c>
      <c r="O77" s="60">
        <v>39217784924903.695</v>
      </c>
      <c r="P77" s="60">
        <v>629541556585.73718</v>
      </c>
      <c r="Q77" s="60">
        <v>31153918273677.637</v>
      </c>
      <c r="R77" s="60">
        <v>71001244755167.063</v>
      </c>
      <c r="S77" s="72">
        <v>3.10373420674376E-2</v>
      </c>
      <c r="T77" s="74">
        <f t="shared" si="25"/>
        <v>-4.1267105275530062E-2</v>
      </c>
      <c r="U77" s="86">
        <f t="shared" si="26"/>
        <v>3.10373420674376E-2</v>
      </c>
      <c r="V77" s="86">
        <f t="shared" si="27"/>
        <v>2.3295953366710767</v>
      </c>
    </row>
    <row r="78" spans="1:22" x14ac:dyDescent="0.25">
      <c r="A78" s="8"/>
      <c r="B78" s="4" t="s">
        <v>23</v>
      </c>
      <c r="C78" s="60">
        <v>624.87836826347291</v>
      </c>
      <c r="D78" s="60">
        <v>925658543129651.25</v>
      </c>
      <c r="E78" s="60">
        <v>130073313668827.8</v>
      </c>
      <c r="F78" s="60">
        <v>15222162396873.646</v>
      </c>
      <c r="G78" s="60">
        <v>49379209726443.781</v>
      </c>
      <c r="H78" s="60">
        <v>31455721622471.445</v>
      </c>
      <c r="I78" s="60">
        <v>111451620771014.36</v>
      </c>
      <c r="J78" s="60">
        <v>118877178308147.14</v>
      </c>
      <c r="K78" s="60">
        <v>1382117749623429.3</v>
      </c>
      <c r="L78" s="72">
        <v>0.30243276797011581</v>
      </c>
      <c r="M78" s="72">
        <f t="shared" si="24"/>
        <v>188.98369455857147</v>
      </c>
      <c r="N78" s="73">
        <f t="shared" si="31"/>
        <v>0.15531333659550717</v>
      </c>
      <c r="O78" s="60">
        <v>7327820857671.166</v>
      </c>
      <c r="P78" s="60">
        <v>1675330789845.3499</v>
      </c>
      <c r="Q78" s="60">
        <v>18681797926597.219</v>
      </c>
      <c r="R78" s="60">
        <v>27684949574113.734</v>
      </c>
      <c r="S78" s="72">
        <v>1.2102143462618608E-2</v>
      </c>
      <c r="T78" s="74">
        <f t="shared" si="25"/>
        <v>-0.29033062450749719</v>
      </c>
      <c r="U78" s="86">
        <f t="shared" si="26"/>
        <v>1.2102143462618608E-2</v>
      </c>
      <c r="V78" s="86">
        <f t="shared" si="27"/>
        <v>24.990016760607524</v>
      </c>
    </row>
    <row r="79" spans="1:22" x14ac:dyDescent="0.25">
      <c r="A79" s="8"/>
      <c r="B79" s="4" t="s">
        <v>24</v>
      </c>
      <c r="C79" s="60">
        <v>987.38966148944644</v>
      </c>
      <c r="D79" s="60">
        <v>671904948851939.13</v>
      </c>
      <c r="E79" s="60">
        <v>148107688082738.81</v>
      </c>
      <c r="F79" s="60">
        <v>25845925874394.793</v>
      </c>
      <c r="G79" s="60">
        <v>55686222111196.055</v>
      </c>
      <c r="H79" s="60">
        <v>8549816074907.5547</v>
      </c>
      <c r="I79" s="60">
        <v>15069292788503.109</v>
      </c>
      <c r="J79" s="60">
        <v>21951368412546.23</v>
      </c>
      <c r="K79" s="60">
        <v>947115262196225.63</v>
      </c>
      <c r="L79" s="72">
        <v>0.20724622805169052</v>
      </c>
      <c r="M79" s="72">
        <f t="shared" si="24"/>
        <v>204.63278296092332</v>
      </c>
      <c r="N79" s="73">
        <f t="shared" si="31"/>
        <v>0.16817429870191805</v>
      </c>
      <c r="O79" s="60">
        <v>8680346220670.7813</v>
      </c>
      <c r="P79" s="60">
        <v>8549105533834.4258</v>
      </c>
      <c r="Q79" s="60">
        <v>31514776742811.375</v>
      </c>
      <c r="R79" s="60">
        <v>48744228497316.578</v>
      </c>
      <c r="S79" s="72">
        <v>2.1307954514057374E-2</v>
      </c>
      <c r="T79" s="74">
        <f t="shared" si="25"/>
        <v>-0.18593827353763315</v>
      </c>
      <c r="U79" s="86">
        <f t="shared" si="26"/>
        <v>2.1307954514057374E-2</v>
      </c>
      <c r="V79" s="86">
        <f t="shared" si="27"/>
        <v>9.7262375848871443</v>
      </c>
    </row>
    <row r="80" spans="1:22" x14ac:dyDescent="0.25">
      <c r="A80" s="8"/>
      <c r="B80" s="4" t="s">
        <v>25</v>
      </c>
      <c r="C80" s="60">
        <v>2928.365371054038</v>
      </c>
      <c r="D80" s="60">
        <v>115034825684593.09</v>
      </c>
      <c r="E80" s="60">
        <v>52671023064475.984</v>
      </c>
      <c r="F80" s="60">
        <v>14815091186652.139</v>
      </c>
      <c r="G80" s="60">
        <v>64013869940186.781</v>
      </c>
      <c r="H80" s="60">
        <v>3485220833739.8979</v>
      </c>
      <c r="I80" s="60">
        <v>13638423841561.07</v>
      </c>
      <c r="J80" s="60">
        <v>57172376921013.078</v>
      </c>
      <c r="K80" s="60">
        <v>320830831472222</v>
      </c>
      <c r="L80" s="72">
        <v>7.020368303549715E-2</v>
      </c>
      <c r="M80" s="72">
        <f t="shared" si="24"/>
        <v>205.58203432160369</v>
      </c>
      <c r="N80" s="73">
        <f t="shared" si="31"/>
        <v>0.16895442630202379</v>
      </c>
      <c r="O80" s="60">
        <v>19355641332797.652</v>
      </c>
      <c r="P80" s="60">
        <v>2824528552182.1504</v>
      </c>
      <c r="Q80" s="60">
        <v>23566119208396.602</v>
      </c>
      <c r="R80" s="60">
        <v>45746289093376.406</v>
      </c>
      <c r="S80" s="72">
        <v>1.9997441281530279E-2</v>
      </c>
      <c r="T80" s="74">
        <f t="shared" si="25"/>
        <v>-5.0206241753966874E-2</v>
      </c>
      <c r="U80" s="86">
        <f t="shared" si="26"/>
        <v>1.9997441281530279E-2</v>
      </c>
      <c r="V80" s="86">
        <f t="shared" si="27"/>
        <v>3.5106332878865643</v>
      </c>
    </row>
    <row r="81" spans="1:22" x14ac:dyDescent="0.25">
      <c r="A81" s="8"/>
      <c r="B81" s="4" t="s">
        <v>26</v>
      </c>
      <c r="C81" s="60">
        <v>2250.9892007448452</v>
      </c>
      <c r="D81" s="60">
        <v>95037328446183.531</v>
      </c>
      <c r="E81" s="60">
        <v>56579569532300.273</v>
      </c>
      <c r="F81" s="60">
        <v>16490527803384</v>
      </c>
      <c r="G81" s="60">
        <v>54934070745022.953</v>
      </c>
      <c r="H81" s="60">
        <v>6717046885430.1211</v>
      </c>
      <c r="I81" s="60">
        <v>9390768370023.7148</v>
      </c>
      <c r="J81" s="60">
        <v>67696339313353.148</v>
      </c>
      <c r="K81" s="60">
        <v>306845651095697.75</v>
      </c>
      <c r="L81" s="72">
        <v>6.7143468511093596E-2</v>
      </c>
      <c r="M81" s="72">
        <f t="shared" si="24"/>
        <v>151.13922251902326</v>
      </c>
      <c r="N81" s="73">
        <f t="shared" si="31"/>
        <v>0.12421144054099899</v>
      </c>
      <c r="O81" s="60">
        <v>9682878486308.4297</v>
      </c>
      <c r="P81" s="60">
        <v>4664305329741.1348</v>
      </c>
      <c r="Q81" s="60">
        <v>20780922159253.996</v>
      </c>
      <c r="R81" s="60">
        <v>35128105975303.563</v>
      </c>
      <c r="S81" s="72">
        <v>1.5355829958986046E-2</v>
      </c>
      <c r="T81" s="74">
        <f t="shared" si="25"/>
        <v>-5.1787638552107551E-2</v>
      </c>
      <c r="U81" s="86">
        <f t="shared" si="26"/>
        <v>1.5355829958986046E-2</v>
      </c>
      <c r="V81" s="86">
        <f t="shared" si="27"/>
        <v>4.3725066434329749</v>
      </c>
    </row>
    <row r="82" spans="1:22" x14ac:dyDescent="0.25">
      <c r="A82" s="8"/>
      <c r="B82" s="4" t="s">
        <v>27</v>
      </c>
      <c r="C82" s="60">
        <v>1792.8293351470045</v>
      </c>
      <c r="D82" s="60">
        <v>145275177560971.75</v>
      </c>
      <c r="E82" s="60">
        <v>127476718235012.78</v>
      </c>
      <c r="F82" s="60">
        <v>13637486893305.002</v>
      </c>
      <c r="G82" s="60">
        <v>51713561052590.578</v>
      </c>
      <c r="H82" s="60">
        <v>12199611224125.023</v>
      </c>
      <c r="I82" s="60">
        <v>71442025880269.703</v>
      </c>
      <c r="J82" s="60">
        <v>93662665930654.359</v>
      </c>
      <c r="K82" s="60">
        <v>515407246776929.19</v>
      </c>
      <c r="L82" s="72">
        <v>0.11278057916344184</v>
      </c>
      <c r="M82" s="72">
        <f t="shared" si="24"/>
        <v>202.19633075908754</v>
      </c>
      <c r="N82" s="73">
        <f t="shared" si="31"/>
        <v>0.16617193801251318</v>
      </c>
      <c r="O82" s="60">
        <v>13727286279778.111</v>
      </c>
      <c r="P82" s="60">
        <v>4237773471080.9204</v>
      </c>
      <c r="Q82" s="60">
        <v>10802255124627.59</v>
      </c>
      <c r="R82" s="60">
        <v>28767314875486.621</v>
      </c>
      <c r="S82" s="72">
        <v>1.2575286464779716E-2</v>
      </c>
      <c r="T82" s="74">
        <f t="shared" si="25"/>
        <v>-0.10020529269866212</v>
      </c>
      <c r="U82" s="86">
        <f t="shared" si="26"/>
        <v>1.2575286464779716E-2</v>
      </c>
      <c r="V82" s="86">
        <f t="shared" si="27"/>
        <v>8.9684302206007374</v>
      </c>
    </row>
    <row r="83" spans="1:22" x14ac:dyDescent="0.25">
      <c r="A83" s="8"/>
      <c r="B83" s="4" t="s">
        <v>28</v>
      </c>
      <c r="C83" s="60">
        <v>823.45687731739997</v>
      </c>
      <c r="D83" s="60">
        <v>114560947389644.98</v>
      </c>
      <c r="E83" s="60">
        <v>40609291052299.523</v>
      </c>
      <c r="F83" s="60">
        <v>16622606935522.604</v>
      </c>
      <c r="G83" s="60">
        <v>51839994510782.359</v>
      </c>
      <c r="H83" s="60">
        <v>5661498650891.7578</v>
      </c>
      <c r="I83" s="60">
        <v>146706122998639.91</v>
      </c>
      <c r="J83" s="60">
        <v>94146098353213.297</v>
      </c>
      <c r="K83" s="60">
        <v>470146559890994.44</v>
      </c>
      <c r="L83" s="72">
        <v>0.10287670894770119</v>
      </c>
      <c r="M83" s="72">
        <f t="shared" si="24"/>
        <v>84.71453349876505</v>
      </c>
      <c r="N83" s="73">
        <f t="shared" si="31"/>
        <v>6.9621333663509463E-2</v>
      </c>
      <c r="O83" s="60">
        <v>15995901966603.406</v>
      </c>
      <c r="P83" s="60">
        <v>3282877892551.1099</v>
      </c>
      <c r="Q83" s="60">
        <v>11428550418642.721</v>
      </c>
      <c r="R83" s="60">
        <v>30707330277797.234</v>
      </c>
      <c r="S83" s="72">
        <v>1.3423340916011436E-2</v>
      </c>
      <c r="T83" s="74">
        <f t="shared" si="25"/>
        <v>-8.9453368031689753E-2</v>
      </c>
      <c r="U83" s="86">
        <f t="shared" si="26"/>
        <v>1.3423340916011436E-2</v>
      </c>
      <c r="V83" s="86">
        <f t="shared" si="27"/>
        <v>7.6640166998209276</v>
      </c>
    </row>
    <row r="84" spans="1:22" x14ac:dyDescent="0.25">
      <c r="A84" s="8"/>
      <c r="B84" s="60" t="s">
        <v>45</v>
      </c>
      <c r="C84" s="60">
        <f>SUM(C75:C83)</f>
        <v>11736.355525746811</v>
      </c>
      <c r="D84" s="60">
        <f>(D75*$C$3+D76*$C$4+D77*$C$5+D78*$C$6+D79*$C$7+D80*$C$8+D81*$C$9+D82*$C$10+D83*$C$11)/$C$12</f>
        <v>210191629574862.78</v>
      </c>
      <c r="E84" s="60">
        <f t="shared" ref="E84:K84" si="32">(E75*$C$3+E76*$C$4+E77*$C$5+E78*$C$6+E79*$C$7+E80*$C$8+E81*$C$9+E82*$C$10+E83*$C$11)/$C$12</f>
        <v>81634536615826.609</v>
      </c>
      <c r="F84" s="60">
        <f t="shared" si="32"/>
        <v>16777932668553.438</v>
      </c>
      <c r="G84" s="60">
        <f t="shared" si="32"/>
        <v>57777760308245.977</v>
      </c>
      <c r="H84" s="60">
        <f t="shared" si="32"/>
        <v>8159060389370.8584</v>
      </c>
      <c r="I84" s="60">
        <f t="shared" si="32"/>
        <v>37021444816506.633</v>
      </c>
      <c r="J84" s="60">
        <f t="shared" si="32"/>
        <v>62241423450608.148</v>
      </c>
      <c r="K84" s="60">
        <f t="shared" si="32"/>
        <v>473803787823974.44</v>
      </c>
      <c r="L84" s="72">
        <f>(L75*$C$3+L76*$C$4+L77*$C$5+L78*$C$6+L79*$C$7+L80*$C$8+L81*$C$9+L82*$C$10+L83*$C$11)/$C$12</f>
        <v>0.10367697764200753</v>
      </c>
      <c r="M84" s="72">
        <f t="shared" si="24"/>
        <v>1216.7898694415037</v>
      </c>
      <c r="N84" s="73"/>
      <c r="O84" s="60">
        <f t="shared" ref="O84:S84" si="33">(O75*$C$3+O76*$C$4+O77*$C$5+O78*$C$6+O79*$C$7+O80*$C$8+O81*$C$9+O82*$C$10+O83*$C$11)/$C$12</f>
        <v>38220028597071.656</v>
      </c>
      <c r="P84" s="60">
        <f t="shared" si="33"/>
        <v>3432722734567.3359</v>
      </c>
      <c r="Q84" s="60">
        <f t="shared" si="33"/>
        <v>27990305797757.691</v>
      </c>
      <c r="R84" s="60">
        <f t="shared" si="33"/>
        <v>69643057129396.688</v>
      </c>
      <c r="S84" s="72">
        <f t="shared" si="33"/>
        <v>3.0443626646276232E-2</v>
      </c>
      <c r="T84" s="74">
        <f t="shared" si="25"/>
        <v>-7.3233350995731306E-2</v>
      </c>
      <c r="U84" s="86">
        <f t="shared" si="26"/>
        <v>3.0443626646276232E-2</v>
      </c>
      <c r="V84" s="86">
        <f t="shared" si="27"/>
        <v>3.4055396502732034</v>
      </c>
    </row>
    <row r="85" spans="1:22" ht="58.2" x14ac:dyDescent="0.25">
      <c r="A85" s="8"/>
      <c r="B85" s="75" t="s">
        <v>54</v>
      </c>
      <c r="C85" s="75"/>
      <c r="D85" s="72">
        <f t="shared" ref="D85:K85" si="34">D84/$B$196</f>
        <v>4.5993792029510455E-2</v>
      </c>
      <c r="E85" s="72">
        <f t="shared" si="34"/>
        <v>1.7863137115060528E-2</v>
      </c>
      <c r="F85" s="72">
        <f t="shared" si="34"/>
        <v>3.6713200587644283E-3</v>
      </c>
      <c r="G85" s="72">
        <f t="shared" si="34"/>
        <v>1.2642835953664328E-2</v>
      </c>
      <c r="H85" s="72">
        <f t="shared" si="34"/>
        <v>1.7853523827944986E-3</v>
      </c>
      <c r="I85" s="72">
        <f t="shared" si="34"/>
        <v>8.1009726075506848E-3</v>
      </c>
      <c r="J85" s="72">
        <f t="shared" si="34"/>
        <v>1.3619567494662614E-2</v>
      </c>
      <c r="K85" s="72">
        <f t="shared" si="34"/>
        <v>0.10367697764200753</v>
      </c>
      <c r="L85" s="72"/>
      <c r="M85" s="72"/>
      <c r="N85" s="73"/>
      <c r="O85" s="72">
        <f>0.4*O84/$C$196</f>
        <v>1.6707426827305472E-2</v>
      </c>
      <c r="P85" s="72">
        <f>0.4*P84/$C$196</f>
        <v>1.5005735477290015E-3</v>
      </c>
      <c r="Q85" s="72">
        <f>0.4*Q84/$C$196</f>
        <v>1.2235626271241746E-2</v>
      </c>
      <c r="R85" s="72">
        <f>0.4*R84/$C$196</f>
        <v>3.0443626646276218E-2</v>
      </c>
      <c r="S85" s="72"/>
      <c r="T85" s="74"/>
      <c r="U85" s="86"/>
      <c r="V85" s="86"/>
    </row>
    <row r="86" spans="1:22" x14ac:dyDescent="0.25">
      <c r="L86" s="78"/>
      <c r="M86" s="78"/>
      <c r="S86" s="78"/>
      <c r="T86" s="80"/>
      <c r="U86" s="87"/>
      <c r="V86" s="87"/>
    </row>
    <row r="87" spans="1:22" x14ac:dyDescent="0.25">
      <c r="A87" s="8">
        <v>2010</v>
      </c>
      <c r="B87" s="4" t="s">
        <v>20</v>
      </c>
      <c r="C87" s="60">
        <v>458.00241496598642</v>
      </c>
      <c r="D87" s="60">
        <v>266400342035448.09</v>
      </c>
      <c r="E87" s="60">
        <v>76471212499176.578</v>
      </c>
      <c r="F87" s="60">
        <v>24506770342758.043</v>
      </c>
      <c r="G87" s="60">
        <v>73727995522704.281</v>
      </c>
      <c r="H87" s="60">
        <v>3771726837135.3232</v>
      </c>
      <c r="I87" s="60">
        <v>809999193183.11292</v>
      </c>
      <c r="J87" s="60">
        <v>24158951346191.055</v>
      </c>
      <c r="K87" s="60">
        <v>469846997776596.5</v>
      </c>
      <c r="L87" s="72">
        <v>0.10281115925089639</v>
      </c>
      <c r="M87" s="72">
        <f t="shared" si="24"/>
        <v>47.087759222363161</v>
      </c>
      <c r="N87" s="73">
        <f>M87/$M$96</f>
        <v>3.7555315021359267E-2</v>
      </c>
      <c r="O87" s="60">
        <v>380980785764421.63</v>
      </c>
      <c r="P87" s="60">
        <v>1323277515243.3325</v>
      </c>
      <c r="Q87" s="60">
        <v>149337353483342.44</v>
      </c>
      <c r="R87" s="60">
        <v>531641416763007.38</v>
      </c>
      <c r="S87" s="72">
        <v>0.23240066517410998</v>
      </c>
      <c r="T87" s="74">
        <f t="shared" si="25"/>
        <v>0.12958950592321361</v>
      </c>
      <c r="U87" s="86">
        <f t="shared" si="26"/>
        <v>0.10281115925089639</v>
      </c>
      <c r="V87" s="86">
        <f t="shared" si="27"/>
        <v>1</v>
      </c>
    </row>
    <row r="88" spans="1:22" x14ac:dyDescent="0.25">
      <c r="A88" s="8"/>
      <c r="B88" s="4" t="s">
        <v>21</v>
      </c>
      <c r="C88" s="60">
        <v>89.9</v>
      </c>
      <c r="D88" s="60">
        <v>13913592880978.865</v>
      </c>
      <c r="E88" s="60">
        <v>5132814238042.2695</v>
      </c>
      <c r="F88" s="60">
        <v>5425641290322.582</v>
      </c>
      <c r="G88" s="60">
        <v>28065971612903.227</v>
      </c>
      <c r="H88" s="60">
        <v>0</v>
      </c>
      <c r="I88" s="60">
        <v>448600722338950.06</v>
      </c>
      <c r="J88" s="60">
        <v>230810622963786.91</v>
      </c>
      <c r="K88" s="60">
        <v>731949365324983.88</v>
      </c>
      <c r="L88" s="72">
        <v>0.16016397490699866</v>
      </c>
      <c r="M88" s="72">
        <f t="shared" si="24"/>
        <v>14.39874134413918</v>
      </c>
      <c r="N88" s="73">
        <f t="shared" ref="N88:N95" si="35">M88/$M$96</f>
        <v>1.148386068949744E-2</v>
      </c>
      <c r="O88" s="60">
        <v>723477016713705.63</v>
      </c>
      <c r="P88" s="60">
        <v>0</v>
      </c>
      <c r="Q88" s="60">
        <v>145702096284760.84</v>
      </c>
      <c r="R88" s="60">
        <v>869179112998466.5</v>
      </c>
      <c r="S88" s="72">
        <v>0.3799512183346922</v>
      </c>
      <c r="T88" s="74">
        <f t="shared" si="25"/>
        <v>0.21978724342769354</v>
      </c>
      <c r="U88" s="86">
        <f t="shared" si="26"/>
        <v>0.16016397490699866</v>
      </c>
      <c r="V88" s="86">
        <f t="shared" si="27"/>
        <v>1</v>
      </c>
    </row>
    <row r="89" spans="1:22" x14ac:dyDescent="0.25">
      <c r="A89" s="8"/>
      <c r="B89" s="4" t="s">
        <v>22</v>
      </c>
      <c r="C89" s="60">
        <v>1787.6167561496354</v>
      </c>
      <c r="D89" s="60">
        <v>129641747428664.73</v>
      </c>
      <c r="E89" s="60">
        <v>90922396783796.313</v>
      </c>
      <c r="F89" s="60">
        <v>18404347512865.922</v>
      </c>
      <c r="G89" s="60">
        <v>63403567688706.859</v>
      </c>
      <c r="H89" s="60">
        <v>8207262518394.0166</v>
      </c>
      <c r="I89" s="60">
        <v>2546138565084.4063</v>
      </c>
      <c r="J89" s="60">
        <v>22388584778306.07</v>
      </c>
      <c r="K89" s="60">
        <v>335514045275818.31</v>
      </c>
      <c r="L89" s="72">
        <v>7.3416640104117789E-2</v>
      </c>
      <c r="M89" s="72">
        <f t="shared" si="24"/>
        <v>131.24081603032826</v>
      </c>
      <c r="N89" s="73">
        <f t="shared" si="35"/>
        <v>0.10467243018305336</v>
      </c>
      <c r="O89" s="60">
        <v>36188283643817.438</v>
      </c>
      <c r="P89" s="60">
        <v>772950572540.94604</v>
      </c>
      <c r="Q89" s="60">
        <v>33643836325824.688</v>
      </c>
      <c r="R89" s="60">
        <v>70605070542183.063</v>
      </c>
      <c r="S89" s="72">
        <v>3.086415926467008E-2</v>
      </c>
      <c r="T89" s="74">
        <f t="shared" si="25"/>
        <v>-4.2552480839447709E-2</v>
      </c>
      <c r="U89" s="86">
        <f t="shared" si="26"/>
        <v>3.086415926467008E-2</v>
      </c>
      <c r="V89" s="86">
        <f t="shared" si="27"/>
        <v>2.3787020885469943</v>
      </c>
    </row>
    <row r="90" spans="1:22" x14ac:dyDescent="0.25">
      <c r="A90" s="8"/>
      <c r="B90" s="4" t="s">
        <v>23</v>
      </c>
      <c r="C90" s="60">
        <v>632.87681137724542</v>
      </c>
      <c r="D90" s="60">
        <v>909788429041977.75</v>
      </c>
      <c r="E90" s="60">
        <v>117052795533446.05</v>
      </c>
      <c r="F90" s="60">
        <v>14663201168336.652</v>
      </c>
      <c r="G90" s="60">
        <v>45822503651052.039</v>
      </c>
      <c r="H90" s="60">
        <v>28270904666366.32</v>
      </c>
      <c r="I90" s="60">
        <v>121074281825775.45</v>
      </c>
      <c r="J90" s="60">
        <v>115434098044737.91</v>
      </c>
      <c r="K90" s="60">
        <v>1352106213931692.3</v>
      </c>
      <c r="L90" s="72">
        <v>0.29586569232640969</v>
      </c>
      <c r="M90" s="72">
        <f t="shared" si="24"/>
        <v>187.24653595545931</v>
      </c>
      <c r="N90" s="73">
        <f t="shared" si="35"/>
        <v>0.14934035427886377</v>
      </c>
      <c r="O90" s="60">
        <v>8391209533273.5117</v>
      </c>
      <c r="P90" s="60">
        <v>1611442966697.7688</v>
      </c>
      <c r="Q90" s="60">
        <v>22984848113085.738</v>
      </c>
      <c r="R90" s="60">
        <v>32987500613057.02</v>
      </c>
      <c r="S90" s="72">
        <v>1.4420090014023995E-2</v>
      </c>
      <c r="T90" s="74">
        <f t="shared" si="25"/>
        <v>-0.28144560231238569</v>
      </c>
      <c r="U90" s="86">
        <f t="shared" si="26"/>
        <v>1.4420090014023995E-2</v>
      </c>
      <c r="V90" s="86">
        <f t="shared" si="27"/>
        <v>20.517603706958202</v>
      </c>
    </row>
    <row r="91" spans="1:22" x14ac:dyDescent="0.25">
      <c r="A91" s="8"/>
      <c r="B91" s="4" t="s">
        <v>24</v>
      </c>
      <c r="C91" s="60">
        <v>993.01352449223418</v>
      </c>
      <c r="D91" s="60">
        <v>645944878070002.88</v>
      </c>
      <c r="E91" s="60">
        <v>159353318053663.13</v>
      </c>
      <c r="F91" s="60">
        <v>28503136464805.875</v>
      </c>
      <c r="G91" s="60">
        <v>57006272929611.75</v>
      </c>
      <c r="H91" s="60">
        <v>15987697658113.979</v>
      </c>
      <c r="I91" s="60">
        <v>16086541363334.271</v>
      </c>
      <c r="J91" s="60">
        <v>27613380514714.203</v>
      </c>
      <c r="K91" s="60">
        <v>950495225054246.13</v>
      </c>
      <c r="L91" s="72">
        <v>0.20798582605125734</v>
      </c>
      <c r="M91" s="72">
        <f t="shared" si="24"/>
        <v>206.53273817158779</v>
      </c>
      <c r="N91" s="73">
        <f t="shared" si="35"/>
        <v>0.16472225844576144</v>
      </c>
      <c r="O91" s="60">
        <v>9328113720404.248</v>
      </c>
      <c r="P91" s="60">
        <v>14353693157512.367</v>
      </c>
      <c r="Q91" s="60">
        <v>38713401217427.867</v>
      </c>
      <c r="R91" s="60">
        <v>62395208095344.484</v>
      </c>
      <c r="S91" s="72">
        <v>2.7275316421593088E-2</v>
      </c>
      <c r="T91" s="74">
        <f t="shared" si="25"/>
        <v>-0.18071050962966426</v>
      </c>
      <c r="U91" s="86">
        <f t="shared" si="26"/>
        <v>2.7275316421593088E-2</v>
      </c>
      <c r="V91" s="86">
        <f t="shared" si="27"/>
        <v>7.6254230321816143</v>
      </c>
    </row>
    <row r="92" spans="1:22" x14ac:dyDescent="0.25">
      <c r="A92" s="8"/>
      <c r="B92" s="4" t="s">
        <v>25</v>
      </c>
      <c r="C92" s="60">
        <v>2934.6511030015649</v>
      </c>
      <c r="D92" s="60">
        <v>111190049020224.55</v>
      </c>
      <c r="E92" s="60">
        <v>56374674260523.766</v>
      </c>
      <c r="F92" s="60">
        <v>14941469517501.486</v>
      </c>
      <c r="G92" s="60">
        <v>64825423303445.594</v>
      </c>
      <c r="H92" s="60">
        <v>3950043665546.3696</v>
      </c>
      <c r="I92" s="60">
        <v>14678506892870.938</v>
      </c>
      <c r="J92" s="60">
        <v>59334742700335.539</v>
      </c>
      <c r="K92" s="60">
        <v>325294909360448.25</v>
      </c>
      <c r="L92" s="72">
        <v>7.1180505330513844E-2</v>
      </c>
      <c r="M92" s="72">
        <f t="shared" si="24"/>
        <v>208.88994848040122</v>
      </c>
      <c r="N92" s="73">
        <f t="shared" si="35"/>
        <v>0.16660227518856369</v>
      </c>
      <c r="O92" s="60">
        <v>23960678965672.66</v>
      </c>
      <c r="P92" s="60">
        <v>3106715310814.6104</v>
      </c>
      <c r="Q92" s="60">
        <v>24394744578249.039</v>
      </c>
      <c r="R92" s="60">
        <v>51462138854736.313</v>
      </c>
      <c r="S92" s="72">
        <v>2.249605640949251E-2</v>
      </c>
      <c r="T92" s="74">
        <f t="shared" si="25"/>
        <v>-4.8684448921021334E-2</v>
      </c>
      <c r="U92" s="86">
        <f t="shared" si="26"/>
        <v>2.249605640949251E-2</v>
      </c>
      <c r="V92" s="86">
        <f t="shared" si="27"/>
        <v>3.1641325943901122</v>
      </c>
    </row>
    <row r="93" spans="1:22" x14ac:dyDescent="0.25">
      <c r="A93" s="8"/>
      <c r="B93" s="4" t="s">
        <v>26</v>
      </c>
      <c r="C93" s="60">
        <v>2347.5446172926981</v>
      </c>
      <c r="D93" s="60">
        <v>100050068599277.91</v>
      </c>
      <c r="E93" s="60">
        <v>60182029751123.93</v>
      </c>
      <c r="F93" s="60">
        <v>16306399340833.973</v>
      </c>
      <c r="G93" s="60">
        <v>45460264828991.688</v>
      </c>
      <c r="H93" s="60">
        <v>12022774686407.998</v>
      </c>
      <c r="I93" s="60">
        <v>9207850367069.1504</v>
      </c>
      <c r="J93" s="60">
        <v>72529082914095.547</v>
      </c>
      <c r="K93" s="60">
        <v>315758470487800.19</v>
      </c>
      <c r="L93" s="72">
        <v>6.9093757218337021E-2</v>
      </c>
      <c r="M93" s="72">
        <f t="shared" si="24"/>
        <v>162.20067784643558</v>
      </c>
      <c r="N93" s="73">
        <f t="shared" si="35"/>
        <v>0.12936477874079624</v>
      </c>
      <c r="O93" s="60">
        <v>10292125346925.148</v>
      </c>
      <c r="P93" s="60">
        <v>4556040687612.0225</v>
      </c>
      <c r="Q93" s="60">
        <v>19226893999592.223</v>
      </c>
      <c r="R93" s="60">
        <v>34075060034129.395</v>
      </c>
      <c r="S93" s="72">
        <v>1.4895503563277738E-2</v>
      </c>
      <c r="T93" s="74">
        <f t="shared" si="25"/>
        <v>-5.4198253655059286E-2</v>
      </c>
      <c r="U93" s="86">
        <f t="shared" si="26"/>
        <v>1.4895503563277738E-2</v>
      </c>
      <c r="V93" s="86">
        <f t="shared" si="27"/>
        <v>4.6385647134935146</v>
      </c>
    </row>
    <row r="94" spans="1:22" x14ac:dyDescent="0.25">
      <c r="A94" s="8"/>
      <c r="B94" s="4" t="s">
        <v>27</v>
      </c>
      <c r="C94" s="60">
        <v>1777.3331819392408</v>
      </c>
      <c r="D94" s="60">
        <v>140862727677673.38</v>
      </c>
      <c r="E94" s="60">
        <v>132774204858156.55</v>
      </c>
      <c r="F94" s="60">
        <v>14891605259471.713</v>
      </c>
      <c r="G94" s="60">
        <v>56469197278189.914</v>
      </c>
      <c r="H94" s="60">
        <v>13321500954686.732</v>
      </c>
      <c r="I94" s="60">
        <v>77546509608444.547</v>
      </c>
      <c r="J94" s="60">
        <v>101466317182825.97</v>
      </c>
      <c r="K94" s="60">
        <v>537332062819448.88</v>
      </c>
      <c r="L94" s="72">
        <v>0.11757813190797568</v>
      </c>
      <c r="M94" s="72">
        <f t="shared" si="24"/>
        <v>208.97551531047421</v>
      </c>
      <c r="N94" s="73">
        <f t="shared" si="35"/>
        <v>0.16667051987278397</v>
      </c>
      <c r="O94" s="60">
        <v>23412896010820.844</v>
      </c>
      <c r="P94" s="60">
        <v>4538441901596.5088</v>
      </c>
      <c r="Q94" s="60">
        <v>13811643981994.582</v>
      </c>
      <c r="R94" s="60">
        <v>41762981894411.938</v>
      </c>
      <c r="S94" s="72">
        <v>1.8256186342687119E-2</v>
      </c>
      <c r="T94" s="74">
        <f t="shared" si="25"/>
        <v>-9.9321945565288561E-2</v>
      </c>
      <c r="U94" s="86">
        <f t="shared" si="26"/>
        <v>1.8256186342687119E-2</v>
      </c>
      <c r="V94" s="86">
        <f t="shared" si="27"/>
        <v>6.4404541945899867</v>
      </c>
    </row>
    <row r="95" spans="1:22" x14ac:dyDescent="0.25">
      <c r="A95" s="8"/>
      <c r="B95" s="4" t="s">
        <v>28</v>
      </c>
      <c r="C95" s="60">
        <v>833.71748043497689</v>
      </c>
      <c r="D95" s="60">
        <v>116423131669685.81</v>
      </c>
      <c r="E95" s="60">
        <v>50856556321547.406</v>
      </c>
      <c r="F95" s="60">
        <v>18087662012474.879</v>
      </c>
      <c r="G95" s="60">
        <v>51480268804736.195</v>
      </c>
      <c r="H95" s="60">
        <v>6951995293388.8857</v>
      </c>
      <c r="I95" s="60">
        <v>156576949124990.56</v>
      </c>
      <c r="J95" s="60">
        <v>104923333564391.48</v>
      </c>
      <c r="K95" s="60">
        <v>505299896791215.25</v>
      </c>
      <c r="L95" s="72">
        <v>0.11056890520595519</v>
      </c>
      <c r="M95" s="72">
        <f t="shared" si="24"/>
        <v>92.183229062762763</v>
      </c>
      <c r="N95" s="73">
        <f t="shared" si="35"/>
        <v>7.3521659648098092E-2</v>
      </c>
      <c r="O95" s="60">
        <v>13737502094693.025</v>
      </c>
      <c r="P95" s="60">
        <v>3279083941254.1543</v>
      </c>
      <c r="Q95" s="60">
        <v>10870637244251.521</v>
      </c>
      <c r="R95" s="60">
        <v>27887223280198.703</v>
      </c>
      <c r="S95" s="72">
        <v>1.2190564985771563E-2</v>
      </c>
      <c r="T95" s="74">
        <f t="shared" si="25"/>
        <v>-9.837834022018363E-2</v>
      </c>
      <c r="U95" s="86">
        <f t="shared" si="26"/>
        <v>1.2190564985771563E-2</v>
      </c>
      <c r="V95" s="86">
        <f t="shared" si="27"/>
        <v>9.0700394391078412</v>
      </c>
    </row>
    <row r="96" spans="1:22" x14ac:dyDescent="0.25">
      <c r="A96" s="8"/>
      <c r="B96" s="60" t="s">
        <v>45</v>
      </c>
      <c r="C96" s="60">
        <f>SUM(C87:C95)</f>
        <v>11854.655889653581</v>
      </c>
      <c r="D96" s="60">
        <f>(D87*$C$3+D88*$C$4+D89*$C$5+D90*$C$6+D91*$C$7+D92*$C$8+D93*$C$9+D94*$C$10+D95*$C$11)/$C$12</f>
        <v>206890081782802.75</v>
      </c>
      <c r="E96" s="60">
        <f t="shared" ref="E96:K96" si="36">(E87*$C$3+E88*$C$4+E89*$C$5+E90*$C$6+E91*$C$7+E92*$C$8+E93*$C$9+E94*$C$10+E95*$C$11)/$C$12</f>
        <v>86168223841178.219</v>
      </c>
      <c r="F96" s="60">
        <f t="shared" si="36"/>
        <v>17347588573743.477</v>
      </c>
      <c r="G96" s="60">
        <f t="shared" si="36"/>
        <v>57155810215319.523</v>
      </c>
      <c r="H96" s="60">
        <f t="shared" si="36"/>
        <v>10017633586355.521</v>
      </c>
      <c r="I96" s="60">
        <f t="shared" si="36"/>
        <v>39681430325399.672</v>
      </c>
      <c r="J96" s="60">
        <f t="shared" si="36"/>
        <v>66091613260488.75</v>
      </c>
      <c r="K96" s="60">
        <f t="shared" si="36"/>
        <v>483352381585287.81</v>
      </c>
      <c r="L96" s="72">
        <f>(L87*$C$3+L88*$C$4+L89*$C$5+L90*$C$6+L91*$C$7+L92*$C$8+L93*$C$9+L94*$C$10+L95*$C$11)/$C$12</f>
        <v>0.10576638546724025</v>
      </c>
      <c r="M96" s="72">
        <f t="shared" si="24"/>
        <v>1253.8241044065905</v>
      </c>
      <c r="N96" s="73"/>
      <c r="O96" s="60">
        <f t="shared" ref="O96:S96" si="37">(O87*$C$3+O88*$C$4+O89*$C$5+O90*$C$6+O91*$C$7+O92*$C$8+O93*$C$9+O94*$C$10+O95*$C$11)/$C$12</f>
        <v>39083751219848.086</v>
      </c>
      <c r="P96" s="60">
        <f t="shared" si="37"/>
        <v>4031693005138.835</v>
      </c>
      <c r="Q96" s="60">
        <f t="shared" si="37"/>
        <v>28958033512426.547</v>
      </c>
      <c r="R96" s="60">
        <f t="shared" si="37"/>
        <v>72073477737413.453</v>
      </c>
      <c r="S96" s="72">
        <f t="shared" si="37"/>
        <v>3.1506055847889285E-2</v>
      </c>
      <c r="T96" s="74">
        <f t="shared" si="25"/>
        <v>-7.4260329619350973E-2</v>
      </c>
      <c r="U96" s="86">
        <f t="shared" si="26"/>
        <v>3.1506055847889285E-2</v>
      </c>
      <c r="V96" s="86">
        <f t="shared" si="27"/>
        <v>3.3570176469526563</v>
      </c>
    </row>
    <row r="97" spans="1:22" ht="58.2" x14ac:dyDescent="0.25">
      <c r="A97" s="8"/>
      <c r="B97" s="75" t="s">
        <v>54</v>
      </c>
      <c r="C97" s="75"/>
      <c r="D97" s="72">
        <f t="shared" ref="D97:K97" si="38">D96/$B$196</f>
        <v>4.5271352687703006E-2</v>
      </c>
      <c r="E97" s="72">
        <f t="shared" si="38"/>
        <v>1.8855191212511644E-2</v>
      </c>
      <c r="F97" s="72">
        <f t="shared" si="38"/>
        <v>3.7959712415193605E-3</v>
      </c>
      <c r="G97" s="72">
        <f t="shared" si="38"/>
        <v>1.2506741841426592E-2</v>
      </c>
      <c r="H97" s="72">
        <f t="shared" si="38"/>
        <v>2.1920423602528492E-3</v>
      </c>
      <c r="I97" s="72">
        <f t="shared" si="38"/>
        <v>8.683026329409118E-3</v>
      </c>
      <c r="J97" s="72">
        <f t="shared" si="38"/>
        <v>1.446205979441767E-2</v>
      </c>
      <c r="K97" s="72">
        <f t="shared" si="38"/>
        <v>0.10576638546724022</v>
      </c>
      <c r="L97" s="72"/>
      <c r="M97" s="72"/>
      <c r="N97" s="73"/>
      <c r="O97" s="72">
        <f>0.4*O96/$C$196</f>
        <v>1.7084992806422273E-2</v>
      </c>
      <c r="P97" s="72">
        <f>0.4*P96/$C$196</f>
        <v>1.7624062133401262E-3</v>
      </c>
      <c r="Q97" s="72">
        <f>0.4*Q96/$C$196</f>
        <v>1.2658656828126891E-2</v>
      </c>
      <c r="R97" s="72">
        <f>0.4*R96/$C$196</f>
        <v>3.1506055847889285E-2</v>
      </c>
      <c r="S97" s="72"/>
      <c r="T97" s="74"/>
      <c r="U97" s="86"/>
      <c r="V97" s="86"/>
    </row>
    <row r="98" spans="1:22" x14ac:dyDescent="0.25">
      <c r="L98" s="78"/>
      <c r="M98" s="78"/>
      <c r="S98" s="78"/>
      <c r="T98" s="80"/>
      <c r="U98" s="87"/>
      <c r="V98" s="87"/>
    </row>
    <row r="99" spans="1:22" x14ac:dyDescent="0.25">
      <c r="A99" s="8">
        <v>2011</v>
      </c>
      <c r="B99" s="4" t="s">
        <v>20</v>
      </c>
      <c r="C99" s="60">
        <v>462.06993197278911</v>
      </c>
      <c r="D99" s="60">
        <v>261318539997773.97</v>
      </c>
      <c r="E99" s="60">
        <v>78959476640753.5</v>
      </c>
      <c r="F99" s="60">
        <v>27780556820035.488</v>
      </c>
      <c r="G99" s="60">
        <v>74238805917412.75</v>
      </c>
      <c r="H99" s="60">
        <v>6729890401488.2451</v>
      </c>
      <c r="I99" s="60">
        <v>1655917144602.6694</v>
      </c>
      <c r="J99" s="60">
        <v>22551386174545.137</v>
      </c>
      <c r="K99" s="60">
        <v>473234573096611.81</v>
      </c>
      <c r="L99" s="72">
        <v>0.10355242299707042</v>
      </c>
      <c r="M99" s="72">
        <f t="shared" si="24"/>
        <v>47.848461049873812</v>
      </c>
      <c r="N99" s="73">
        <f>M99/$M$108</f>
        <v>3.6457027491826166E-2</v>
      </c>
      <c r="O99" s="60">
        <v>354288727332091.38</v>
      </c>
      <c r="P99" s="60">
        <v>528426050012.55847</v>
      </c>
      <c r="Q99" s="60">
        <v>153892238987295.84</v>
      </c>
      <c r="R99" s="60">
        <v>508709392369399.75</v>
      </c>
      <c r="S99" s="72">
        <v>0.22237620591487386</v>
      </c>
      <c r="T99" s="74">
        <f t="shared" si="25"/>
        <v>0.11882378291780345</v>
      </c>
      <c r="U99" s="86">
        <f t="shared" si="26"/>
        <v>0.10355242299707042</v>
      </c>
      <c r="V99" s="86">
        <f t="shared" si="27"/>
        <v>1</v>
      </c>
    </row>
    <row r="100" spans="1:22" x14ac:dyDescent="0.25">
      <c r="A100" s="8"/>
      <c r="B100" s="4" t="s">
        <v>21</v>
      </c>
      <c r="C100" s="60">
        <v>90.2</v>
      </c>
      <c r="D100" s="60">
        <v>25121951219512.199</v>
      </c>
      <c r="E100" s="60">
        <v>6211973392461.1973</v>
      </c>
      <c r="F100" s="60">
        <v>7295962749445.6748</v>
      </c>
      <c r="G100" s="60">
        <v>37740844345898.008</v>
      </c>
      <c r="H100" s="60">
        <v>0</v>
      </c>
      <c r="I100" s="60">
        <v>477069155876744</v>
      </c>
      <c r="J100" s="60">
        <v>251383207327475.31</v>
      </c>
      <c r="K100" s="60">
        <v>804823094911536.38</v>
      </c>
      <c r="L100" s="72">
        <v>0.17611008641390294</v>
      </c>
      <c r="M100" s="72">
        <f t="shared" si="24"/>
        <v>15.885129794534045</v>
      </c>
      <c r="N100" s="73">
        <f t="shared" ref="N100:N107" si="39">M100/$M$108</f>
        <v>1.2103307001387497E-2</v>
      </c>
      <c r="O100" s="60">
        <v>794522173389140.25</v>
      </c>
      <c r="P100" s="60">
        <v>0</v>
      </c>
      <c r="Q100" s="60">
        <v>166030095341463.41</v>
      </c>
      <c r="R100" s="60">
        <v>960552268730603.63</v>
      </c>
      <c r="S100" s="72">
        <v>0.41989389680489186</v>
      </c>
      <c r="T100" s="74">
        <f t="shared" si="25"/>
        <v>0.24378381039098893</v>
      </c>
      <c r="U100" s="86">
        <f t="shared" si="26"/>
        <v>0.17611008641390294</v>
      </c>
      <c r="V100" s="86">
        <f t="shared" si="27"/>
        <v>1</v>
      </c>
    </row>
    <row r="101" spans="1:22" x14ac:dyDescent="0.25">
      <c r="A101" s="8"/>
      <c r="B101" s="4" t="s">
        <v>22</v>
      </c>
      <c r="C101" s="60">
        <v>1790.4099073311193</v>
      </c>
      <c r="D101" s="60">
        <v>128244151833514.13</v>
      </c>
      <c r="E101" s="60">
        <v>100541892257697.75</v>
      </c>
      <c r="F101" s="60">
        <v>18047800041593.508</v>
      </c>
      <c r="G101" s="60">
        <v>63304654166571.602</v>
      </c>
      <c r="H101" s="60">
        <v>8078340016315.1055</v>
      </c>
      <c r="I101" s="60">
        <v>2686842568332.2886</v>
      </c>
      <c r="J101" s="60">
        <v>25839695217029.102</v>
      </c>
      <c r="K101" s="60">
        <v>346743376101053.56</v>
      </c>
      <c r="L101" s="72">
        <v>7.5873824092134265E-2</v>
      </c>
      <c r="M101" s="72">
        <f t="shared" si="24"/>
        <v>135.84524636165574</v>
      </c>
      <c r="N101" s="73">
        <f t="shared" si="39"/>
        <v>0.103504141461909</v>
      </c>
      <c r="O101" s="60">
        <v>40531973469872.227</v>
      </c>
      <c r="P101" s="60">
        <v>731805897080.55847</v>
      </c>
      <c r="Q101" s="60">
        <v>36597713722482.102</v>
      </c>
      <c r="R101" s="60">
        <v>77861493089434.875</v>
      </c>
      <c r="S101" s="72">
        <v>3.4036217297758735E-2</v>
      </c>
      <c r="T101" s="74">
        <f t="shared" si="25"/>
        <v>-4.183760679437553E-2</v>
      </c>
      <c r="U101" s="86">
        <f t="shared" si="26"/>
        <v>3.4036217297758735E-2</v>
      </c>
      <c r="V101" s="86">
        <f t="shared" si="27"/>
        <v>2.2292084760291653</v>
      </c>
    </row>
    <row r="102" spans="1:22" x14ac:dyDescent="0.25">
      <c r="A102" s="8"/>
      <c r="B102" s="4" t="s">
        <v>23</v>
      </c>
      <c r="C102" s="60">
        <v>638.87564371257474</v>
      </c>
      <c r="D102" s="60">
        <v>910474527749712.5</v>
      </c>
      <c r="E102" s="60">
        <v>115202388327566.42</v>
      </c>
      <c r="F102" s="60">
        <v>16341208344290.672</v>
      </c>
      <c r="G102" s="60">
        <v>46481659290426.797</v>
      </c>
      <c r="H102" s="60">
        <v>19722148001730.121</v>
      </c>
      <c r="I102" s="60">
        <v>139927006460618.42</v>
      </c>
      <c r="J102" s="60">
        <v>110915737407840.73</v>
      </c>
      <c r="K102" s="60">
        <v>1359064675582185.5</v>
      </c>
      <c r="L102" s="72">
        <v>0.29738833163723971</v>
      </c>
      <c r="M102" s="72">
        <f t="shared" si="24"/>
        <v>189.99416180735017</v>
      </c>
      <c r="N102" s="73">
        <f t="shared" si="39"/>
        <v>0.14476165436286903</v>
      </c>
      <c r="O102" s="60">
        <v>8174334831615.0244</v>
      </c>
      <c r="P102" s="60">
        <v>1627023479959.4915</v>
      </c>
      <c r="Q102" s="60">
        <v>22129708907420.23</v>
      </c>
      <c r="R102" s="60">
        <v>31931067218994.746</v>
      </c>
      <c r="S102" s="72">
        <v>1.3958282833938062E-2</v>
      </c>
      <c r="T102" s="74">
        <f t="shared" si="25"/>
        <v>-0.28343004880330164</v>
      </c>
      <c r="U102" s="86">
        <f t="shared" si="26"/>
        <v>1.3958282833938062E-2</v>
      </c>
      <c r="V102" s="86">
        <f t="shared" si="27"/>
        <v>21.305509794813155</v>
      </c>
    </row>
    <row r="103" spans="1:22" x14ac:dyDescent="0.25">
      <c r="A103" s="8"/>
      <c r="B103" s="4" t="s">
        <v>24</v>
      </c>
      <c r="C103" s="60">
        <v>997.03056949422535</v>
      </c>
      <c r="D103" s="60">
        <v>659053012119109</v>
      </c>
      <c r="E103" s="60">
        <v>176203223226263.91</v>
      </c>
      <c r="F103" s="60">
        <v>28388297075342.52</v>
      </c>
      <c r="G103" s="60">
        <v>60499649504828.305</v>
      </c>
      <c r="H103" s="60">
        <v>20093666747011.445</v>
      </c>
      <c r="I103" s="60">
        <v>17316982522917.082</v>
      </c>
      <c r="J103" s="60">
        <v>29832205158236.012</v>
      </c>
      <c r="K103" s="60">
        <v>991387036353708.25</v>
      </c>
      <c r="L103" s="72">
        <v>0.21693370598549414</v>
      </c>
      <c r="M103" s="72">
        <f t="shared" si="24"/>
        <v>216.28953642121007</v>
      </c>
      <c r="N103" s="73">
        <f t="shared" si="39"/>
        <v>0.16479680646956124</v>
      </c>
      <c r="O103" s="60">
        <v>7742108889618.3545</v>
      </c>
      <c r="P103" s="60">
        <v>12695285221047.127</v>
      </c>
      <c r="Q103" s="60">
        <v>30277680468025.855</v>
      </c>
      <c r="R103" s="60">
        <v>50715074578691.336</v>
      </c>
      <c r="S103" s="72">
        <v>2.2169486226646759E-2</v>
      </c>
      <c r="T103" s="74">
        <f t="shared" si="25"/>
        <v>-0.19476421975884739</v>
      </c>
      <c r="U103" s="86">
        <f t="shared" si="26"/>
        <v>2.2169486226646759E-2</v>
      </c>
      <c r="V103" s="86">
        <f t="shared" si="27"/>
        <v>9.7852383121422655</v>
      </c>
    </row>
    <row r="104" spans="1:22" x14ac:dyDescent="0.25">
      <c r="A104" s="8"/>
      <c r="B104" s="4" t="s">
        <v>25</v>
      </c>
      <c r="C104" s="60">
        <v>2940.9368349490919</v>
      </c>
      <c r="D104" s="60">
        <v>111102012160576.05</v>
      </c>
      <c r="E104" s="60">
        <v>58865596140216.57</v>
      </c>
      <c r="F104" s="60">
        <v>16566149745560.023</v>
      </c>
      <c r="G104" s="60">
        <v>71076671051188.469</v>
      </c>
      <c r="H104" s="60">
        <v>6340836626748.8369</v>
      </c>
      <c r="I104" s="60">
        <v>19885182168213.258</v>
      </c>
      <c r="J104" s="60">
        <v>62351745065886.484</v>
      </c>
      <c r="K104" s="60">
        <v>346188192958389.75</v>
      </c>
      <c r="L104" s="72">
        <v>7.5752339815840203E-2</v>
      </c>
      <c r="M104" s="72">
        <f t="shared" si="24"/>
        <v>222.78284649798516</v>
      </c>
      <c r="N104" s="73">
        <f t="shared" si="39"/>
        <v>0.1697442338013451</v>
      </c>
      <c r="O104" s="60">
        <v>29588159672912.875</v>
      </c>
      <c r="P104" s="60">
        <v>3592291892408.3364</v>
      </c>
      <c r="Q104" s="60">
        <v>28435442274790.508</v>
      </c>
      <c r="R104" s="60">
        <v>61615893840111.719</v>
      </c>
      <c r="S104" s="72">
        <v>2.6934648547373465E-2</v>
      </c>
      <c r="T104" s="74">
        <f t="shared" si="25"/>
        <v>-4.8817691268466738E-2</v>
      </c>
      <c r="U104" s="86">
        <f t="shared" si="26"/>
        <v>2.6934648547373465E-2</v>
      </c>
      <c r="V104" s="86">
        <f t="shared" si="27"/>
        <v>2.8124495362397148</v>
      </c>
    </row>
    <row r="105" spans="1:22" x14ac:dyDescent="0.25">
      <c r="A105" s="8"/>
      <c r="B105" s="4" t="s">
        <v>26</v>
      </c>
      <c r="C105" s="60">
        <v>2360.0245690914003</v>
      </c>
      <c r="D105" s="60">
        <v>111906868877080.63</v>
      </c>
      <c r="E105" s="60">
        <v>60280728371726.68</v>
      </c>
      <c r="F105" s="60">
        <v>20148400411910.473</v>
      </c>
      <c r="G105" s="60">
        <v>60121780873928.211</v>
      </c>
      <c r="H105" s="60">
        <v>12165280131407.008</v>
      </c>
      <c r="I105" s="60">
        <v>10401568240634.26</v>
      </c>
      <c r="J105" s="60">
        <v>70823983334312.172</v>
      </c>
      <c r="K105" s="60">
        <v>345848610240999.44</v>
      </c>
      <c r="L105" s="72">
        <v>7.5678032875492213E-2</v>
      </c>
      <c r="M105" s="72">
        <f t="shared" si="24"/>
        <v>178.60201692666834</v>
      </c>
      <c r="N105" s="73">
        <f t="shared" si="39"/>
        <v>0.13608167323091622</v>
      </c>
      <c r="O105" s="60">
        <v>16256642606051.85</v>
      </c>
      <c r="P105" s="60">
        <v>6345835806262.7939</v>
      </c>
      <c r="Q105" s="60">
        <v>25618326558047.996</v>
      </c>
      <c r="R105" s="60">
        <v>48220804970362.641</v>
      </c>
      <c r="S105" s="72">
        <v>2.1079146200791404E-2</v>
      </c>
      <c r="T105" s="74">
        <f t="shared" si="25"/>
        <v>-5.4598886674700808E-2</v>
      </c>
      <c r="U105" s="86">
        <f t="shared" si="26"/>
        <v>2.1079146200791404E-2</v>
      </c>
      <c r="V105" s="86">
        <f t="shared" si="27"/>
        <v>3.5901849227959208</v>
      </c>
    </row>
    <row r="106" spans="1:22" x14ac:dyDescent="0.25">
      <c r="A106" s="8"/>
      <c r="B106" s="4" t="s">
        <v>27</v>
      </c>
      <c r="C106" s="60">
        <v>1774.1205648108019</v>
      </c>
      <c r="D106" s="60">
        <v>137472055077615.03</v>
      </c>
      <c r="E106" s="60">
        <v>136865557401334.08</v>
      </c>
      <c r="F106" s="60">
        <v>14695178601224.488</v>
      </c>
      <c r="G106" s="60">
        <v>55724344354546.688</v>
      </c>
      <c r="H106" s="60">
        <v>13145784645412.283</v>
      </c>
      <c r="I106" s="60">
        <v>87944937480800.609</v>
      </c>
      <c r="J106" s="60">
        <v>107348118938183.94</v>
      </c>
      <c r="K106" s="60">
        <v>553195976499117.19</v>
      </c>
      <c r="L106" s="72">
        <v>0.12104944781162302</v>
      </c>
      <c r="M106" s="72">
        <f t="shared" si="24"/>
        <v>214.75631472159233</v>
      </c>
      <c r="N106" s="73">
        <f t="shared" si="39"/>
        <v>0.1636286036804315</v>
      </c>
      <c r="O106" s="60">
        <v>26165744844351.98</v>
      </c>
      <c r="P106" s="60">
        <v>4670771749077.0908</v>
      </c>
      <c r="Q106" s="60">
        <v>15473686684832.266</v>
      </c>
      <c r="R106" s="60">
        <v>46310203278261.336</v>
      </c>
      <c r="S106" s="72">
        <v>2.0243949599987335E-2</v>
      </c>
      <c r="T106" s="74">
        <f t="shared" si="25"/>
        <v>-0.10080549821163569</v>
      </c>
      <c r="U106" s="86">
        <f t="shared" si="26"/>
        <v>2.0243949599987335E-2</v>
      </c>
      <c r="V106" s="86">
        <f t="shared" si="27"/>
        <v>5.9795371063213256</v>
      </c>
    </row>
    <row r="107" spans="1:22" x14ac:dyDescent="0.25">
      <c r="A107" s="8"/>
      <c r="B107" s="4" t="s">
        <v>28</v>
      </c>
      <c r="C107" s="60">
        <v>837.97823935668248</v>
      </c>
      <c r="D107" s="60">
        <v>113730876917716.94</v>
      </c>
      <c r="E107" s="60">
        <v>48306743658494.734</v>
      </c>
      <c r="F107" s="60">
        <v>25470828474479.039</v>
      </c>
      <c r="G107" s="60">
        <v>53710225261401.445</v>
      </c>
      <c r="H107" s="60">
        <v>9923885382016.8516</v>
      </c>
      <c r="I107" s="60">
        <v>168984508273969.78</v>
      </c>
      <c r="J107" s="60">
        <v>106054590412241.09</v>
      </c>
      <c r="K107" s="60">
        <v>526181658380319.88</v>
      </c>
      <c r="L107" s="72">
        <v>0.11513821846396496</v>
      </c>
      <c r="M107" s="72">
        <f t="shared" si="24"/>
        <v>96.483321591098431</v>
      </c>
      <c r="N107" s="73">
        <f t="shared" si="39"/>
        <v>7.3513233875651632E-2</v>
      </c>
      <c r="O107" s="60">
        <v>23396553075604.43</v>
      </c>
      <c r="P107" s="60">
        <v>3413304232252.2275</v>
      </c>
      <c r="Q107" s="60">
        <v>12557122208899.145</v>
      </c>
      <c r="R107" s="60">
        <v>39366979516755.797</v>
      </c>
      <c r="S107" s="72">
        <v>1.7208802657427212E-2</v>
      </c>
      <c r="T107" s="74">
        <f t="shared" si="25"/>
        <v>-9.7929415806537745E-2</v>
      </c>
      <c r="U107" s="86">
        <f t="shared" si="26"/>
        <v>1.7208802657427212E-2</v>
      </c>
      <c r="V107" s="86">
        <f t="shared" si="27"/>
        <v>6.6906583076116579</v>
      </c>
    </row>
    <row r="108" spans="1:22" x14ac:dyDescent="0.25">
      <c r="A108" s="8"/>
      <c r="B108" s="60" t="s">
        <v>45</v>
      </c>
      <c r="C108" s="60">
        <f>SUM(C99:C107)</f>
        <v>11891.646260718686</v>
      </c>
      <c r="D108" s="60">
        <f>(D99*$C$3+D100*$C$4+D101*$C$5+D102*$C$6+D103*$C$7+D104*$C$8+D105*$C$9+D106*$C$10+D107*$C$11)/$C$12</f>
        <v>209188050443887.78</v>
      </c>
      <c r="E108" s="60">
        <f t="shared" ref="E108:K108" si="40">(E99*$C$3+E100*$C$4+E101*$C$5+E102*$C$6+E103*$C$7+E104*$C$8+E105*$C$9+E106*$C$10+E107*$C$11)/$C$12</f>
        <v>90176782760346.938</v>
      </c>
      <c r="F108" s="60">
        <f t="shared" si="40"/>
        <v>19116459569032.48</v>
      </c>
      <c r="G108" s="60">
        <f t="shared" si="40"/>
        <v>61929907635914.133</v>
      </c>
      <c r="H108" s="60">
        <f t="shared" si="40"/>
        <v>10823788925457.188</v>
      </c>
      <c r="I108" s="60">
        <f t="shared" si="40"/>
        <v>45032850400215.109</v>
      </c>
      <c r="J108" s="60">
        <f t="shared" si="40"/>
        <v>68115736514396.555</v>
      </c>
      <c r="K108" s="60">
        <f t="shared" si="40"/>
        <v>504383576249250.19</v>
      </c>
      <c r="L108" s="72">
        <f>(L99*$C$3+L100*$C$4+L101*$C$5+L102*$C$6+L103*$C$7+L104*$C$8+L105*$C$9+L106*$C$10+L107*$C$11)/$C$12</f>
        <v>0.11036839742871996</v>
      </c>
      <c r="M108" s="72">
        <f t="shared" si="24"/>
        <v>1312.4619405847516</v>
      </c>
      <c r="N108" s="73"/>
      <c r="O108" s="60">
        <f t="shared" ref="O108:S108" si="41">(O99*$C$3+O100*$C$4+O101*$C$5+O102*$C$6+O103*$C$7+O104*$C$8+O105*$C$9+O106*$C$10+O107*$C$11)/$C$12</f>
        <v>42765714604827.695</v>
      </c>
      <c r="P108" s="60">
        <f t="shared" si="41"/>
        <v>4348469908426.4849</v>
      </c>
      <c r="Q108" s="60">
        <f t="shared" si="41"/>
        <v>31590010004056.801</v>
      </c>
      <c r="R108" s="60">
        <f t="shared" si="41"/>
        <v>78704194517310.984</v>
      </c>
      <c r="S108" s="72">
        <f t="shared" si="41"/>
        <v>3.4404594113797662E-2</v>
      </c>
      <c r="T108" s="74">
        <f t="shared" si="25"/>
        <v>-7.5963803314922293E-2</v>
      </c>
      <c r="U108" s="86">
        <f t="shared" si="26"/>
        <v>3.4404594113797662E-2</v>
      </c>
      <c r="V108" s="86">
        <f t="shared" si="27"/>
        <v>3.2079552243419047</v>
      </c>
    </row>
    <row r="109" spans="1:22" ht="58.2" x14ac:dyDescent="0.25">
      <c r="A109" s="8"/>
      <c r="B109" s="75" t="s">
        <v>54</v>
      </c>
      <c r="C109" s="75"/>
      <c r="D109" s="72">
        <f t="shared" ref="D109:K109" si="42">D108/$B$196</f>
        <v>4.5774190469122053E-2</v>
      </c>
      <c r="E109" s="72">
        <f t="shared" si="42"/>
        <v>1.9732337584320993E-2</v>
      </c>
      <c r="F109" s="72">
        <f t="shared" si="42"/>
        <v>4.1830327284534969E-3</v>
      </c>
      <c r="G109" s="72">
        <f t="shared" si="42"/>
        <v>1.3551402108515128E-2</v>
      </c>
      <c r="H109" s="72">
        <f t="shared" si="42"/>
        <v>2.3684439661831921E-3</v>
      </c>
      <c r="I109" s="72">
        <f t="shared" si="42"/>
        <v>9.8540154048610742E-3</v>
      </c>
      <c r="J109" s="72">
        <f t="shared" si="42"/>
        <v>1.4904975167264016E-2</v>
      </c>
      <c r="K109" s="72">
        <f t="shared" si="42"/>
        <v>0.11036839742871996</v>
      </c>
      <c r="L109" s="72"/>
      <c r="M109" s="72"/>
      <c r="N109" s="73"/>
      <c r="O109" s="72">
        <f>0.4*O108/$C$196</f>
        <v>1.8694518913372336E-2</v>
      </c>
      <c r="P109" s="72">
        <f>0.4*P108/$C$196</f>
        <v>1.9008814350113189E-3</v>
      </c>
      <c r="Q109" s="72">
        <f>0.4*Q108/$C$196</f>
        <v>1.3809193765414002E-2</v>
      </c>
      <c r="R109" s="72">
        <f>0.4*R108/$C$196</f>
        <v>3.4404594113797655E-2</v>
      </c>
      <c r="S109" s="72"/>
      <c r="T109" s="74"/>
      <c r="U109" s="86"/>
      <c r="V109" s="86"/>
    </row>
    <row r="110" spans="1:22" x14ac:dyDescent="0.25">
      <c r="L110" s="78"/>
      <c r="M110" s="78"/>
      <c r="S110" s="78"/>
      <c r="T110" s="80"/>
      <c r="U110" s="87"/>
      <c r="V110" s="87"/>
    </row>
    <row r="111" spans="1:22" x14ac:dyDescent="0.25">
      <c r="A111" s="8">
        <v>2012</v>
      </c>
      <c r="B111" s="4" t="s">
        <v>20</v>
      </c>
      <c r="C111" s="60">
        <v>466.13744897959185</v>
      </c>
      <c r="D111" s="60">
        <v>201672017997669.53</v>
      </c>
      <c r="E111" s="60">
        <v>42390930064203.273</v>
      </c>
      <c r="F111" s="60">
        <v>40364060088258.977</v>
      </c>
      <c r="G111" s="60">
        <v>49636346641209.219</v>
      </c>
      <c r="H111" s="60">
        <v>4405996567098.2129</v>
      </c>
      <c r="I111" s="60">
        <v>2238364917025.9785</v>
      </c>
      <c r="J111" s="60">
        <v>23091636848835.16</v>
      </c>
      <c r="K111" s="60">
        <v>363799353124300.38</v>
      </c>
      <c r="L111" s="72">
        <v>7.960598536636769E-2</v>
      </c>
      <c r="M111" s="72">
        <f t="shared" si="24"/>
        <v>37.107330942185357</v>
      </c>
      <c r="N111" s="73">
        <f>M111/$M$120</f>
        <v>2.8096278594930874E-2</v>
      </c>
      <c r="O111" s="60">
        <v>472597294874796.13</v>
      </c>
      <c r="P111" s="60">
        <v>589291877762.68945</v>
      </c>
      <c r="Q111" s="60">
        <v>168400529482961.03</v>
      </c>
      <c r="R111" s="60">
        <v>641587116235519.88</v>
      </c>
      <c r="S111" s="72">
        <v>0.28046210825358114</v>
      </c>
      <c r="T111" s="74">
        <f t="shared" si="25"/>
        <v>0.20085612288721344</v>
      </c>
      <c r="U111" s="86">
        <f t="shared" si="26"/>
        <v>7.960598536636769E-2</v>
      </c>
      <c r="V111" s="86">
        <f t="shared" si="27"/>
        <v>1</v>
      </c>
    </row>
    <row r="112" spans="1:22" x14ac:dyDescent="0.25">
      <c r="A112" s="8"/>
      <c r="B112" s="4" t="s">
        <v>21</v>
      </c>
      <c r="C112" s="60">
        <v>90.7</v>
      </c>
      <c r="D112" s="60">
        <v>20957001102535.832</v>
      </c>
      <c r="E112" s="60">
        <v>5292171995589.8564</v>
      </c>
      <c r="F112" s="60">
        <v>6138919514884.2334</v>
      </c>
      <c r="G112" s="60">
        <v>16882028665931.645</v>
      </c>
      <c r="H112" s="60">
        <v>286174200661.52155</v>
      </c>
      <c r="I112" s="60">
        <v>503261092281795.44</v>
      </c>
      <c r="J112" s="60">
        <v>253396495281237.38</v>
      </c>
      <c r="K112" s="60">
        <v>806213883042635.88</v>
      </c>
      <c r="L112" s="72">
        <v>0.17641441642070807</v>
      </c>
      <c r="M112" s="72">
        <f t="shared" si="24"/>
        <v>16.000787569358224</v>
      </c>
      <c r="N112" s="73">
        <f t="shared" ref="N112:N119" si="43">M112/$M$120</f>
        <v>1.211519594301814E-2</v>
      </c>
      <c r="O112" s="60">
        <v>816828635726676.38</v>
      </c>
      <c r="P112" s="60">
        <v>0</v>
      </c>
      <c r="Q112" s="60">
        <v>158520544185226</v>
      </c>
      <c r="R112" s="60">
        <v>975349179911902.38</v>
      </c>
      <c r="S112" s="72">
        <v>0.42636218895186917</v>
      </c>
      <c r="T112" s="74">
        <f t="shared" si="25"/>
        <v>0.2499477725311611</v>
      </c>
      <c r="U112" s="86">
        <f t="shared" si="26"/>
        <v>0.17641441642070807</v>
      </c>
      <c r="V112" s="86">
        <f t="shared" si="27"/>
        <v>1</v>
      </c>
    </row>
    <row r="113" spans="1:22" x14ac:dyDescent="0.25">
      <c r="A113" s="8"/>
      <c r="B113" s="4" t="s">
        <v>22</v>
      </c>
      <c r="C113" s="60">
        <v>1800.1859364663126</v>
      </c>
      <c r="D113" s="60">
        <v>127000214460501.3</v>
      </c>
      <c r="E113" s="60">
        <v>98465384274663.266</v>
      </c>
      <c r="F113" s="60">
        <v>18296465566581.41</v>
      </c>
      <c r="G113" s="60">
        <v>63695464827972.086</v>
      </c>
      <c r="H113" s="60">
        <v>8049868464390.8057</v>
      </c>
      <c r="I113" s="60">
        <v>2733918833657.9653</v>
      </c>
      <c r="J113" s="60">
        <v>27253082675277.602</v>
      </c>
      <c r="K113" s="60">
        <v>345494399103044.44</v>
      </c>
      <c r="L113" s="72">
        <v>7.5600524967843419E-2</v>
      </c>
      <c r="M113" s="72">
        <f t="shared" si="24"/>
        <v>136.09500183658204</v>
      </c>
      <c r="N113" s="73">
        <f t="shared" si="43"/>
        <v>0.10304602863881016</v>
      </c>
      <c r="O113" s="60">
        <v>56092809702392.977</v>
      </c>
      <c r="P113" s="60">
        <v>700704602245.72473</v>
      </c>
      <c r="Q113" s="60">
        <v>38789144905258.352</v>
      </c>
      <c r="R113" s="60">
        <v>95582659209897.063</v>
      </c>
      <c r="S113" s="72">
        <v>4.1782812397764268E-2</v>
      </c>
      <c r="T113" s="74">
        <f t="shared" si="25"/>
        <v>-3.381771257007915E-2</v>
      </c>
      <c r="U113" s="86">
        <f t="shared" si="26"/>
        <v>4.1782812397764268E-2</v>
      </c>
      <c r="V113" s="86">
        <f t="shared" si="27"/>
        <v>1.8093689876148376</v>
      </c>
    </row>
    <row r="114" spans="1:22" x14ac:dyDescent="0.25">
      <c r="A114" s="8"/>
      <c r="B114" s="4" t="s">
        <v>23</v>
      </c>
      <c r="C114" s="60">
        <v>646.87408682634714</v>
      </c>
      <c r="D114" s="60">
        <v>831102081453949.63</v>
      </c>
      <c r="E114" s="60">
        <v>120530411694989.5</v>
      </c>
      <c r="F114" s="60">
        <v>20084279560092.652</v>
      </c>
      <c r="G114" s="60">
        <v>44113685462346.344</v>
      </c>
      <c r="H114" s="60">
        <v>26587863620230.402</v>
      </c>
      <c r="I114" s="60">
        <v>162545810044150.97</v>
      </c>
      <c r="J114" s="60">
        <v>108199711945883.94</v>
      </c>
      <c r="K114" s="60">
        <v>1313163843781643.5</v>
      </c>
      <c r="L114" s="72">
        <v>0.28734438594784323</v>
      </c>
      <c r="M114" s="72">
        <f t="shared" si="24"/>
        <v>185.87563726468855</v>
      </c>
      <c r="N114" s="73">
        <f t="shared" si="43"/>
        <v>0.14073805784457322</v>
      </c>
      <c r="O114" s="60">
        <v>9930804841598.3828</v>
      </c>
      <c r="P114" s="60">
        <v>1589380745873.2644</v>
      </c>
      <c r="Q114" s="60">
        <v>26008716366955.797</v>
      </c>
      <c r="R114" s="60">
        <v>37528901954427.445</v>
      </c>
      <c r="S114" s="72">
        <v>1.6405309109600148E-2</v>
      </c>
      <c r="T114" s="74">
        <f t="shared" si="25"/>
        <v>-0.27093907683824309</v>
      </c>
      <c r="U114" s="86">
        <f t="shared" si="26"/>
        <v>1.6405309109600148E-2</v>
      </c>
      <c r="V114" s="86">
        <f t="shared" si="27"/>
        <v>17.515328972356485</v>
      </c>
    </row>
    <row r="115" spans="1:22" x14ac:dyDescent="0.25">
      <c r="A115" s="8"/>
      <c r="B115" s="4" t="s">
        <v>24</v>
      </c>
      <c r="C115" s="60">
        <v>1000.2442054958184</v>
      </c>
      <c r="D115" s="60">
        <v>602388893321631</v>
      </c>
      <c r="E115" s="60">
        <v>166839256936537.84</v>
      </c>
      <c r="F115" s="60">
        <v>28297089695180.773</v>
      </c>
      <c r="G115" s="60">
        <v>69814950805323.055</v>
      </c>
      <c r="H115" s="60">
        <v>40562094513597.875</v>
      </c>
      <c r="I115" s="60">
        <v>18468236464033.148</v>
      </c>
      <c r="J115" s="60">
        <v>30339148762549.113</v>
      </c>
      <c r="K115" s="60">
        <v>956709670498852.75</v>
      </c>
      <c r="L115" s="72">
        <v>0.209345660940668</v>
      </c>
      <c r="M115" s="72">
        <f t="shared" si="24"/>
        <v>209.39678430159546</v>
      </c>
      <c r="N115" s="73">
        <f t="shared" si="43"/>
        <v>0.15854738778670541</v>
      </c>
      <c r="O115" s="60">
        <v>9929762015085.6738</v>
      </c>
      <c r="P115" s="60">
        <v>18269031202594.176</v>
      </c>
      <c r="Q115" s="60">
        <v>54695512809175.398</v>
      </c>
      <c r="R115" s="60">
        <v>82894306026855.25</v>
      </c>
      <c r="S115" s="72">
        <v>3.6236251075177459E-2</v>
      </c>
      <c r="T115" s="74">
        <f t="shared" si="25"/>
        <v>-0.17310940986549056</v>
      </c>
      <c r="U115" s="86">
        <f t="shared" si="26"/>
        <v>3.6236251075177459E-2</v>
      </c>
      <c r="V115" s="86">
        <f t="shared" si="27"/>
        <v>5.7772439126318424</v>
      </c>
    </row>
    <row r="116" spans="1:22" x14ac:dyDescent="0.25">
      <c r="A116" s="8"/>
      <c r="B116" s="4" t="s">
        <v>25</v>
      </c>
      <c r="C116" s="60">
        <v>2948.7939998835004</v>
      </c>
      <c r="D116" s="60">
        <v>112059370716657.36</v>
      </c>
      <c r="E116" s="60">
        <v>59793936099627.836</v>
      </c>
      <c r="F116" s="60">
        <v>16915389817657.873</v>
      </c>
      <c r="G116" s="60">
        <v>74191686502564.531</v>
      </c>
      <c r="H116" s="60">
        <v>6494858576338.8857</v>
      </c>
      <c r="I116" s="60">
        <v>25491629345572.59</v>
      </c>
      <c r="J116" s="60">
        <v>65725359532157.609</v>
      </c>
      <c r="K116" s="60">
        <v>360672230590576.69</v>
      </c>
      <c r="L116" s="72">
        <v>7.8921713477150254E-2</v>
      </c>
      <c r="M116" s="72">
        <f t="shared" si="24"/>
        <v>232.72387516194547</v>
      </c>
      <c r="N116" s="73">
        <f t="shared" si="43"/>
        <v>0.17620978567360288</v>
      </c>
      <c r="O116" s="60">
        <v>21037190287754.645</v>
      </c>
      <c r="P116" s="60">
        <v>2773909581753.9443</v>
      </c>
      <c r="Q116" s="60">
        <v>23447057317239.375</v>
      </c>
      <c r="R116" s="60">
        <v>47258157186747.969</v>
      </c>
      <c r="S116" s="72">
        <v>2.0658336274802958E-2</v>
      </c>
      <c r="T116" s="74">
        <f t="shared" si="25"/>
        <v>-5.8263377202347297E-2</v>
      </c>
      <c r="U116" s="86">
        <f t="shared" si="26"/>
        <v>2.0658336274802958E-2</v>
      </c>
      <c r="V116" s="86">
        <f t="shared" si="27"/>
        <v>3.8203325005127029</v>
      </c>
    </row>
    <row r="117" spans="1:22" x14ac:dyDescent="0.25">
      <c r="A117" s="8"/>
      <c r="B117" s="4" t="s">
        <v>26</v>
      </c>
      <c r="C117" s="60">
        <v>2371.8476813217494</v>
      </c>
      <c r="D117" s="60">
        <v>105899515376985.5</v>
      </c>
      <c r="E117" s="60">
        <v>62588842095152.273</v>
      </c>
      <c r="F117" s="60">
        <v>19653774720484</v>
      </c>
      <c r="G117" s="60">
        <v>60012825073437.289</v>
      </c>
      <c r="H117" s="60">
        <v>11468223787811.652</v>
      </c>
      <c r="I117" s="60">
        <v>11844678214485.635</v>
      </c>
      <c r="J117" s="60">
        <v>81494390774942.391</v>
      </c>
      <c r="K117" s="60">
        <v>352962250043298.75</v>
      </c>
      <c r="L117" s="72">
        <v>7.7234628018227294E-2</v>
      </c>
      <c r="M117" s="72">
        <f t="shared" si="24"/>
        <v>183.18877338278023</v>
      </c>
      <c r="N117" s="73">
        <f t="shared" si="43"/>
        <v>0.13870366533355238</v>
      </c>
      <c r="O117" s="60">
        <v>11750546898367.371</v>
      </c>
      <c r="P117" s="60">
        <v>4801831371068.5879</v>
      </c>
      <c r="Q117" s="60">
        <v>20436379789358.238</v>
      </c>
      <c r="R117" s="60">
        <v>36988758058794.195</v>
      </c>
      <c r="S117" s="72">
        <v>1.6169191687825126E-2</v>
      </c>
      <c r="T117" s="74">
        <f t="shared" si="25"/>
        <v>-6.1065436330402165E-2</v>
      </c>
      <c r="U117" s="86">
        <f t="shared" si="26"/>
        <v>1.6169191687825126E-2</v>
      </c>
      <c r="V117" s="86">
        <f t="shared" si="27"/>
        <v>4.7766536206248613</v>
      </c>
    </row>
    <row r="118" spans="1:22" x14ac:dyDescent="0.25">
      <c r="A118" s="8"/>
      <c r="B118" s="4" t="s">
        <v>27</v>
      </c>
      <c r="C118" s="60">
        <v>1777.5221594173843</v>
      </c>
      <c r="D118" s="60">
        <v>143229044235064.59</v>
      </c>
      <c r="E118" s="60">
        <v>141941409092023.53</v>
      </c>
      <c r="F118" s="60">
        <v>15092717701360.895</v>
      </c>
      <c r="G118" s="60">
        <v>57231818765817.336</v>
      </c>
      <c r="H118" s="60">
        <v>13501408999517.695</v>
      </c>
      <c r="I118" s="60">
        <v>96112070224078.031</v>
      </c>
      <c r="J118" s="60">
        <v>114181066622152.09</v>
      </c>
      <c r="K118" s="60">
        <v>581289535640014.13</v>
      </c>
      <c r="L118" s="72">
        <v>0.12719683493216941</v>
      </c>
      <c r="M118" s="72">
        <f t="shared" si="24"/>
        <v>226.09519269968635</v>
      </c>
      <c r="N118" s="73">
        <f t="shared" si="43"/>
        <v>0.17119079604411064</v>
      </c>
      <c r="O118" s="60">
        <v>14868049216898.023</v>
      </c>
      <c r="P118" s="60">
        <v>3288671439478.5093</v>
      </c>
      <c r="Q118" s="60">
        <v>9526528571070.1387</v>
      </c>
      <c r="R118" s="60">
        <v>27683249227446.672</v>
      </c>
      <c r="S118" s="72">
        <v>1.2101400176478755E-2</v>
      </c>
      <c r="T118" s="74">
        <f t="shared" si="25"/>
        <v>-0.11509543475569065</v>
      </c>
      <c r="U118" s="86">
        <f t="shared" si="26"/>
        <v>1.2101400176478755E-2</v>
      </c>
      <c r="V118" s="86">
        <f t="shared" si="27"/>
        <v>10.510918825690872</v>
      </c>
    </row>
    <row r="119" spans="1:22" x14ac:dyDescent="0.25">
      <c r="A119" s="8"/>
      <c r="B119" s="4" t="s">
        <v>28</v>
      </c>
      <c r="C119" s="60">
        <v>842.15204401467986</v>
      </c>
      <c r="D119" s="60">
        <v>109718904866054.5</v>
      </c>
      <c r="E119" s="60">
        <v>49777234761742.477</v>
      </c>
      <c r="F119" s="60">
        <v>23140714480840.586</v>
      </c>
      <c r="G119" s="60">
        <v>55372423936297.109</v>
      </c>
      <c r="H119" s="60">
        <v>13016651895472.83</v>
      </c>
      <c r="I119" s="60">
        <v>175725457550487.53</v>
      </c>
      <c r="J119" s="60">
        <v>114043299899032.63</v>
      </c>
      <c r="K119" s="60">
        <v>540794687389927.69</v>
      </c>
      <c r="L119" s="72">
        <v>0.11833581780961218</v>
      </c>
      <c r="M119" s="72">
        <f t="shared" si="24"/>
        <v>99.656750848513653</v>
      </c>
      <c r="N119" s="73">
        <f t="shared" si="43"/>
        <v>7.5456352278958985E-2</v>
      </c>
      <c r="O119" s="60">
        <v>11251987535972.805</v>
      </c>
      <c r="P119" s="60">
        <v>2728500319678.9019</v>
      </c>
      <c r="Q119" s="60">
        <v>9094639523153.0098</v>
      </c>
      <c r="R119" s="60">
        <v>23075127378804.719</v>
      </c>
      <c r="S119" s="72">
        <v>1.0087015011853528E-2</v>
      </c>
      <c r="T119" s="74">
        <f t="shared" si="25"/>
        <v>-0.10824880279775866</v>
      </c>
      <c r="U119" s="86">
        <f t="shared" si="26"/>
        <v>1.0087015011853528E-2</v>
      </c>
      <c r="V119" s="86">
        <f t="shared" si="27"/>
        <v>11.731500118771759</v>
      </c>
    </row>
    <row r="120" spans="1:22" x14ac:dyDescent="0.25">
      <c r="A120" s="8"/>
      <c r="B120" s="60" t="s">
        <v>45</v>
      </c>
      <c r="C120" s="60">
        <f>SUM(C111:C119)</f>
        <v>11944.457562405383</v>
      </c>
      <c r="D120" s="60">
        <f>(D111*$C$3+D112*$C$4+D113*$C$5+D114*$C$6+D115*$C$7+D116*$C$8+D117*$C$9+D118*$C$10+D119*$C$11)/$C$12</f>
        <v>197739589402184</v>
      </c>
      <c r="E120" s="60">
        <f t="shared" ref="E120:K120" si="44">(E111*$C$3+E112*$C$4+E113*$C$5+E114*$C$6+E115*$C$7+E116*$C$8+E117*$C$9+E118*$C$10+E119*$C$11)/$C$12</f>
        <v>89535189357348.813</v>
      </c>
      <c r="F120" s="60">
        <f t="shared" si="44"/>
        <v>19698533572081.863</v>
      </c>
      <c r="G120" s="60">
        <f t="shared" si="44"/>
        <v>62678411016267.43</v>
      </c>
      <c r="H120" s="60">
        <f t="shared" si="44"/>
        <v>12960363424156.059</v>
      </c>
      <c r="I120" s="60">
        <f t="shared" si="44"/>
        <v>49928949170512.742</v>
      </c>
      <c r="J120" s="60">
        <f t="shared" si="44"/>
        <v>72772212944081.563</v>
      </c>
      <c r="K120" s="60">
        <f t="shared" si="44"/>
        <v>505313248886632.44</v>
      </c>
      <c r="L120" s="72">
        <f>(L111*$C$3+L112*$C$4+L113*$C$5+L114*$C$6+L115*$C$7+L116*$C$8+L117*$C$9+L118*$C$10+L119*$C$11)/$C$12</f>
        <v>0.1105718268898539</v>
      </c>
      <c r="M120" s="72">
        <f t="shared" si="24"/>
        <v>1320.7204938834943</v>
      </c>
      <c r="N120" s="73"/>
      <c r="O120" s="60">
        <f t="shared" ref="O120:S120" si="45">(O111*$C$3+O112*$C$4+O113*$C$5+O114*$C$6+O115*$C$7+O116*$C$8+O117*$C$9+O118*$C$10+O119*$C$11)/$C$12</f>
        <v>44434624618707.094</v>
      </c>
      <c r="P120" s="60">
        <f t="shared" si="45"/>
        <v>4044543176967.3125</v>
      </c>
      <c r="Q120" s="60">
        <f t="shared" si="45"/>
        <v>31235383791585.938</v>
      </c>
      <c r="R120" s="60">
        <f t="shared" si="45"/>
        <v>79714551587260.344</v>
      </c>
      <c r="S120" s="72">
        <f t="shared" si="45"/>
        <v>3.4846259581753983E-2</v>
      </c>
      <c r="T120" s="74">
        <f t="shared" si="25"/>
        <v>-7.5725567308099914E-2</v>
      </c>
      <c r="U120" s="86">
        <f t="shared" si="26"/>
        <v>3.4846259581753983E-2</v>
      </c>
      <c r="V120" s="86">
        <f t="shared" si="27"/>
        <v>3.1731333066160978</v>
      </c>
    </row>
    <row r="121" spans="1:22" ht="58.2" x14ac:dyDescent="0.25">
      <c r="A121" s="8"/>
      <c r="B121" s="75" t="s">
        <v>54</v>
      </c>
      <c r="C121" s="75"/>
      <c r="D121" s="72">
        <f t="shared" ref="D121:K121" si="46">D120/$B$196</f>
        <v>4.3269056761965866E-2</v>
      </c>
      <c r="E121" s="72">
        <f t="shared" si="46"/>
        <v>1.959194515478092E-2</v>
      </c>
      <c r="F121" s="72">
        <f t="shared" si="46"/>
        <v>4.3104012192739308E-3</v>
      </c>
      <c r="G121" s="72">
        <f t="shared" si="46"/>
        <v>1.3715188406185434E-2</v>
      </c>
      <c r="H121" s="72">
        <f t="shared" si="46"/>
        <v>2.8359657383273651E-3</v>
      </c>
      <c r="I121" s="72">
        <f t="shared" si="46"/>
        <v>1.0925371809740207E-2</v>
      </c>
      <c r="J121" s="72">
        <f t="shared" si="46"/>
        <v>1.592389779958021E-2</v>
      </c>
      <c r="K121" s="72">
        <f t="shared" si="46"/>
        <v>0.11057182688985392</v>
      </c>
      <c r="L121" s="72"/>
      <c r="M121" s="72"/>
      <c r="N121" s="73"/>
      <c r="O121" s="72">
        <f>0.4*O120/$C$196</f>
        <v>1.9424062897554072E-2</v>
      </c>
      <c r="P121" s="72">
        <f>0.4*P120/$C$196</f>
        <v>1.7680235117415993E-3</v>
      </c>
      <c r="Q121" s="72">
        <f>0.4*Q120/$C$196</f>
        <v>1.3654173172458314E-2</v>
      </c>
      <c r="R121" s="72">
        <f>0.4*R120/$C$196</f>
        <v>3.4846259581753983E-2</v>
      </c>
      <c r="S121" s="72"/>
      <c r="T121" s="74"/>
      <c r="U121" s="86"/>
      <c r="V121" s="86"/>
    </row>
    <row r="122" spans="1:22" x14ac:dyDescent="0.25">
      <c r="L122" s="78"/>
      <c r="M122" s="78"/>
      <c r="S122" s="78"/>
      <c r="T122" s="80"/>
      <c r="U122" s="87"/>
      <c r="V122" s="87"/>
    </row>
    <row r="123" spans="1:22" x14ac:dyDescent="0.25">
      <c r="A123" s="8">
        <v>2013</v>
      </c>
      <c r="B123" s="4" t="s">
        <v>20</v>
      </c>
      <c r="C123" s="60">
        <v>470.20496598639454</v>
      </c>
      <c r="D123" s="60">
        <v>201950568090656.13</v>
      </c>
      <c r="E123" s="60">
        <v>46144982655559.25</v>
      </c>
      <c r="F123" s="60">
        <v>43661129688268.82</v>
      </c>
      <c r="G123" s="60">
        <v>50477471937746.305</v>
      </c>
      <c r="H123" s="60">
        <v>4448272883746.0234</v>
      </c>
      <c r="I123" s="60">
        <v>2958669198283.4727</v>
      </c>
      <c r="J123" s="60">
        <v>22849208422400.832</v>
      </c>
      <c r="K123" s="60">
        <v>372490302876660.81</v>
      </c>
      <c r="L123" s="72">
        <v>8.1507724918306518E-2</v>
      </c>
      <c r="M123" s="72">
        <f t="shared" si="24"/>
        <v>38.325337022840721</v>
      </c>
      <c r="N123" s="73">
        <f>M123/$M$132</f>
        <v>2.8541249712403169E-2</v>
      </c>
      <c r="O123" s="60">
        <v>349970640299370.69</v>
      </c>
      <c r="P123" s="60">
        <v>547102502101.48584</v>
      </c>
      <c r="Q123" s="60">
        <v>138144905857671.27</v>
      </c>
      <c r="R123" s="60">
        <v>488662648659143.44</v>
      </c>
      <c r="S123" s="72">
        <v>0.21361301248046299</v>
      </c>
      <c r="T123" s="74">
        <f t="shared" si="25"/>
        <v>0.13210528756215648</v>
      </c>
      <c r="U123" s="86">
        <f t="shared" si="26"/>
        <v>8.1507724918306518E-2</v>
      </c>
      <c r="V123" s="86">
        <f t="shared" si="27"/>
        <v>1</v>
      </c>
    </row>
    <row r="124" spans="1:22" x14ac:dyDescent="0.25">
      <c r="A124" s="8"/>
      <c r="B124" s="4" t="s">
        <v>21</v>
      </c>
      <c r="C124" s="60">
        <v>90.2</v>
      </c>
      <c r="D124" s="60">
        <v>26628195121951.219</v>
      </c>
      <c r="E124" s="60">
        <v>7095343680709.5342</v>
      </c>
      <c r="F124" s="60">
        <v>6869977827050.998</v>
      </c>
      <c r="G124" s="60">
        <v>15807717750826.902</v>
      </c>
      <c r="H124" s="60">
        <v>863281596452.328</v>
      </c>
      <c r="I124" s="60">
        <v>536479373682625.75</v>
      </c>
      <c r="J124" s="60">
        <v>276351575003513</v>
      </c>
      <c r="K124" s="60">
        <v>870095464663129.75</v>
      </c>
      <c r="L124" s="72">
        <v>0.1903928806702691</v>
      </c>
      <c r="M124" s="72">
        <f t="shared" si="24"/>
        <v>17.173437836458273</v>
      </c>
      <c r="N124" s="73">
        <f t="shared" ref="N124:N131" si="47">M124/$M$132</f>
        <v>1.2789225504231659E-2</v>
      </c>
      <c r="O124" s="60">
        <v>679334260963372</v>
      </c>
      <c r="P124" s="60">
        <v>0</v>
      </c>
      <c r="Q124" s="60">
        <v>153506839073170.72</v>
      </c>
      <c r="R124" s="60">
        <v>832841100036542.75</v>
      </c>
      <c r="S124" s="72">
        <v>0.36406649205645142</v>
      </c>
      <c r="T124" s="74">
        <f t="shared" si="25"/>
        <v>0.17367361138618231</v>
      </c>
      <c r="U124" s="86">
        <f t="shared" si="26"/>
        <v>0.1903928806702691</v>
      </c>
      <c r="V124" s="86">
        <f t="shared" si="27"/>
        <v>1</v>
      </c>
    </row>
    <row r="125" spans="1:22" x14ac:dyDescent="0.25">
      <c r="A125" s="8"/>
      <c r="B125" s="4" t="s">
        <v>22</v>
      </c>
      <c r="C125" s="60">
        <v>1802.9790876477964</v>
      </c>
      <c r="D125" s="60">
        <v>130600738307619.27</v>
      </c>
      <c r="E125" s="60">
        <v>69293316187594.828</v>
      </c>
      <c r="F125" s="60">
        <v>26113492010284.074</v>
      </c>
      <c r="G125" s="60">
        <v>43492929487989.68</v>
      </c>
      <c r="H125" s="60">
        <v>4905181685461.4688</v>
      </c>
      <c r="I125" s="60">
        <v>2852827098800.4351</v>
      </c>
      <c r="J125" s="60">
        <v>28144851063241.816</v>
      </c>
      <c r="K125" s="60">
        <v>305403335840991.56</v>
      </c>
      <c r="L125" s="72">
        <v>6.6827863422536452E-2</v>
      </c>
      <c r="M125" s="72">
        <f t="shared" si="24"/>
        <v>120.48924022301631</v>
      </c>
      <c r="N125" s="73">
        <f t="shared" si="47"/>
        <v>8.9729504291465312E-2</v>
      </c>
      <c r="O125" s="60">
        <v>51274532472964.039</v>
      </c>
      <c r="P125" s="60">
        <v>713403486357.99561</v>
      </c>
      <c r="Q125" s="60">
        <v>41153373057033.68</v>
      </c>
      <c r="R125" s="60">
        <v>93141309016355.719</v>
      </c>
      <c r="S125" s="72">
        <v>4.0715605459003761E-2</v>
      </c>
      <c r="T125" s="74">
        <f t="shared" si="25"/>
        <v>-2.6112257963532691E-2</v>
      </c>
      <c r="U125" s="86">
        <f t="shared" si="26"/>
        <v>4.0715605459003761E-2</v>
      </c>
      <c r="V125" s="86">
        <f t="shared" si="27"/>
        <v>1.6413329157004659</v>
      </c>
    </row>
    <row r="126" spans="1:22" x14ac:dyDescent="0.25">
      <c r="A126" s="8"/>
      <c r="B126" s="4" t="s">
        <v>23</v>
      </c>
      <c r="C126" s="60">
        <v>653.87272455089806</v>
      </c>
      <c r="D126" s="60">
        <v>849540253237402</v>
      </c>
      <c r="E126" s="60">
        <v>122592665193454.28</v>
      </c>
      <c r="F126" s="60">
        <v>20578928428681.645</v>
      </c>
      <c r="G126" s="60">
        <v>44830981160921.094</v>
      </c>
      <c r="H126" s="60">
        <v>26862108389769.316</v>
      </c>
      <c r="I126" s="60">
        <v>188670386601074.22</v>
      </c>
      <c r="J126" s="60">
        <v>105887316182323.17</v>
      </c>
      <c r="K126" s="60">
        <v>1358962639193625.8</v>
      </c>
      <c r="L126" s="72">
        <v>0.2973660041999181</v>
      </c>
      <c r="M126" s="72">
        <f t="shared" si="24"/>
        <v>194.43951935501426</v>
      </c>
      <c r="N126" s="73">
        <f t="shared" si="47"/>
        <v>0.14480099346716122</v>
      </c>
      <c r="O126" s="60">
        <v>11009687335202.691</v>
      </c>
      <c r="P126" s="60">
        <v>1200281698741.7444</v>
      </c>
      <c r="Q126" s="60">
        <v>24193465538825.359</v>
      </c>
      <c r="R126" s="60">
        <v>36403434572769.797</v>
      </c>
      <c r="S126" s="72">
        <v>1.5913324550305367E-2</v>
      </c>
      <c r="T126" s="74">
        <f t="shared" si="25"/>
        <v>-0.28145267964961274</v>
      </c>
      <c r="U126" s="86">
        <f t="shared" si="26"/>
        <v>1.5913324550305367E-2</v>
      </c>
      <c r="V126" s="86">
        <f t="shared" si="27"/>
        <v>18.686604628711091</v>
      </c>
    </row>
    <row r="127" spans="1:22" x14ac:dyDescent="0.25">
      <c r="A127" s="8"/>
      <c r="B127" s="4" t="s">
        <v>24</v>
      </c>
      <c r="C127" s="60">
        <v>1003.4578414974113</v>
      </c>
      <c r="D127" s="60">
        <v>619840689143296.25</v>
      </c>
      <c r="E127" s="60">
        <v>167580533078562.63</v>
      </c>
      <c r="F127" s="60">
        <v>28206466509607.734</v>
      </c>
      <c r="G127" s="60">
        <v>68887177372694.18</v>
      </c>
      <c r="H127" s="60">
        <v>22852978024248.324</v>
      </c>
      <c r="I127" s="60">
        <v>19765991859737.125</v>
      </c>
      <c r="J127" s="60">
        <v>31569486810148.191</v>
      </c>
      <c r="K127" s="60">
        <v>958703322798294.5</v>
      </c>
      <c r="L127" s="72">
        <v>0.20978190870859836</v>
      </c>
      <c r="M127" s="72">
        <f t="shared" si="24"/>
        <v>210.50730129793712</v>
      </c>
      <c r="N127" s="73">
        <f t="shared" si="47"/>
        <v>0.15676682631773983</v>
      </c>
      <c r="O127" s="60">
        <v>7207474142898.6152</v>
      </c>
      <c r="P127" s="60">
        <v>15012493123523.639</v>
      </c>
      <c r="Q127" s="60">
        <v>41039962737793.047</v>
      </c>
      <c r="R127" s="60">
        <v>63259930004215.297</v>
      </c>
      <c r="S127" s="72">
        <v>2.7653319226633739E-2</v>
      </c>
      <c r="T127" s="74">
        <f t="shared" si="25"/>
        <v>-0.18212858948196461</v>
      </c>
      <c r="U127" s="86">
        <f t="shared" si="26"/>
        <v>2.7653319226633739E-2</v>
      </c>
      <c r="V127" s="86">
        <f t="shared" si="27"/>
        <v>7.5861384663925309</v>
      </c>
    </row>
    <row r="128" spans="1:22" x14ac:dyDescent="0.25">
      <c r="A128" s="8"/>
      <c r="B128" s="4" t="s">
        <v>25</v>
      </c>
      <c r="C128" s="60">
        <v>2957.4368813113497</v>
      </c>
      <c r="D128" s="60">
        <v>111642619352740.84</v>
      </c>
      <c r="E128" s="60">
        <v>61134018156908.875</v>
      </c>
      <c r="F128" s="60">
        <v>17728865265503.57</v>
      </c>
      <c r="G128" s="60">
        <v>76001239831895.375</v>
      </c>
      <c r="H128" s="60">
        <v>8648705289919.3311</v>
      </c>
      <c r="I128" s="60">
        <v>30191887374367.898</v>
      </c>
      <c r="J128" s="60">
        <v>67274063328060.234</v>
      </c>
      <c r="K128" s="60">
        <v>372621398599396.13</v>
      </c>
      <c r="L128" s="72">
        <v>8.153641107207793E-2</v>
      </c>
      <c r="M128" s="72">
        <f t="shared" si="24"/>
        <v>241.13878927432634</v>
      </c>
      <c r="N128" s="73">
        <f t="shared" si="47"/>
        <v>0.17957839212016363</v>
      </c>
      <c r="O128" s="60">
        <v>23534351417078.262</v>
      </c>
      <c r="P128" s="60">
        <v>2677344525165.1489</v>
      </c>
      <c r="Q128" s="60">
        <v>26825399482683.98</v>
      </c>
      <c r="R128" s="60">
        <v>53037095424927.391</v>
      </c>
      <c r="S128" s="72">
        <v>2.3184529773289716E-2</v>
      </c>
      <c r="T128" s="74">
        <f t="shared" si="25"/>
        <v>-5.8351881298788211E-2</v>
      </c>
      <c r="U128" s="86">
        <f t="shared" si="26"/>
        <v>2.3184529773289716E-2</v>
      </c>
      <c r="V128" s="86">
        <f t="shared" si="27"/>
        <v>3.5168455806256582</v>
      </c>
    </row>
    <row r="129" spans="1:22" x14ac:dyDescent="0.25">
      <c r="A129" s="8"/>
      <c r="B129" s="4" t="s">
        <v>26</v>
      </c>
      <c r="C129" s="60">
        <v>2384.3276331204515</v>
      </c>
      <c r="D129" s="60">
        <v>106639203634627</v>
      </c>
      <c r="E129" s="60">
        <v>62051874895385.133</v>
      </c>
      <c r="F129" s="60">
        <v>19259970551907.832</v>
      </c>
      <c r="G129" s="60">
        <v>61748046113308.828</v>
      </c>
      <c r="H129" s="60">
        <v>11985265616621.889</v>
      </c>
      <c r="I129" s="60">
        <v>13041025878482.631</v>
      </c>
      <c r="J129" s="60">
        <v>83320625911079.609</v>
      </c>
      <c r="K129" s="60">
        <v>358046012601412.94</v>
      </c>
      <c r="L129" s="72">
        <v>7.8347048709280734E-2</v>
      </c>
      <c r="M129" s="72">
        <f t="shared" si="24"/>
        <v>186.80503321097206</v>
      </c>
      <c r="N129" s="73">
        <f t="shared" si="47"/>
        <v>0.13911551768561414</v>
      </c>
      <c r="O129" s="60">
        <v>14864668937910.24</v>
      </c>
      <c r="P129" s="60">
        <v>5220537000518.3535</v>
      </c>
      <c r="Q129" s="60">
        <v>23601556035465.016</v>
      </c>
      <c r="R129" s="60">
        <v>43686761973893.609</v>
      </c>
      <c r="S129" s="72">
        <v>1.9097143717382296E-2</v>
      </c>
      <c r="T129" s="74">
        <f t="shared" si="25"/>
        <v>-5.9249904991898437E-2</v>
      </c>
      <c r="U129" s="86">
        <f t="shared" si="26"/>
        <v>1.9097143717382296E-2</v>
      </c>
      <c r="V129" s="86">
        <f t="shared" si="27"/>
        <v>4.1025532335481634</v>
      </c>
    </row>
    <row r="130" spans="1:22" x14ac:dyDescent="0.25">
      <c r="A130" s="8"/>
      <c r="B130" s="4" t="s">
        <v>27</v>
      </c>
      <c r="C130" s="60">
        <v>1778.8450017643884</v>
      </c>
      <c r="D130" s="60">
        <v>160521236935639.84</v>
      </c>
      <c r="E130" s="60">
        <v>135080909107687.75</v>
      </c>
      <c r="F130" s="60">
        <v>16345374201327.498</v>
      </c>
      <c r="G130" s="60">
        <v>62028038871897.117</v>
      </c>
      <c r="H130" s="60">
        <v>14621990996518.039</v>
      </c>
      <c r="I130" s="60">
        <v>113837299044216.02</v>
      </c>
      <c r="J130" s="60">
        <v>116615684347307.34</v>
      </c>
      <c r="K130" s="60">
        <v>619050533504593.63</v>
      </c>
      <c r="L130" s="72">
        <v>0.13545963534017366</v>
      </c>
      <c r="M130" s="72">
        <f t="shared" si="24"/>
        <v>240.96169526569463</v>
      </c>
      <c r="N130" s="73">
        <f t="shared" si="47"/>
        <v>0.17944650849654628</v>
      </c>
      <c r="O130" s="60">
        <v>10830115261164.918</v>
      </c>
      <c r="P130" s="60">
        <v>3115872492765.0752</v>
      </c>
      <c r="Q130" s="60">
        <v>9084462272188.6816</v>
      </c>
      <c r="R130" s="60">
        <v>23030450026118.672</v>
      </c>
      <c r="S130" s="72">
        <v>1.0067484843294287E-2</v>
      </c>
      <c r="T130" s="74">
        <f t="shared" si="25"/>
        <v>-0.12539215049687938</v>
      </c>
      <c r="U130" s="86">
        <f t="shared" si="26"/>
        <v>1.0067484843294287E-2</v>
      </c>
      <c r="V130" s="86">
        <f t="shared" si="27"/>
        <v>13.455161586898253</v>
      </c>
    </row>
    <row r="131" spans="1:22" x14ac:dyDescent="0.25">
      <c r="A131" s="8"/>
      <c r="B131" s="4" t="s">
        <v>28</v>
      </c>
      <c r="C131" s="60">
        <v>846.32584867267735</v>
      </c>
      <c r="D131" s="60">
        <v>104186821350534.81</v>
      </c>
      <c r="E131" s="60">
        <v>48208382225342.727</v>
      </c>
      <c r="F131" s="60">
        <v>17544070080438.451</v>
      </c>
      <c r="G131" s="60">
        <v>54821454543896.148</v>
      </c>
      <c r="H131" s="60">
        <v>8634971992715.7998</v>
      </c>
      <c r="I131" s="60">
        <v>183701652850679.53</v>
      </c>
      <c r="J131" s="60">
        <v>117145139863634.8</v>
      </c>
      <c r="K131" s="60">
        <v>534242492907242.31</v>
      </c>
      <c r="L131" s="72">
        <v>0.11690207722259131</v>
      </c>
      <c r="M131" s="72">
        <f t="shared" si="24"/>
        <v>98.937249717008456</v>
      </c>
      <c r="N131" s="73">
        <f t="shared" si="47"/>
        <v>7.367952820215605E-2</v>
      </c>
      <c r="O131" s="60">
        <v>15330034372129.066</v>
      </c>
      <c r="P131" s="60">
        <v>2730499900654.4531</v>
      </c>
      <c r="Q131" s="60">
        <v>10755115574309.244</v>
      </c>
      <c r="R131" s="60">
        <v>28815649847092.766</v>
      </c>
      <c r="S131" s="72">
        <v>1.2596415517555241E-2</v>
      </c>
      <c r="T131" s="74">
        <f t="shared" si="25"/>
        <v>-0.10430566170503608</v>
      </c>
      <c r="U131" s="86">
        <f t="shared" si="26"/>
        <v>1.2596415517555241E-2</v>
      </c>
      <c r="V131" s="86">
        <f t="shared" si="27"/>
        <v>9.2805828022796213</v>
      </c>
    </row>
    <row r="132" spans="1:22" x14ac:dyDescent="0.25">
      <c r="A132" s="8"/>
      <c r="B132" s="60" t="s">
        <v>45</v>
      </c>
      <c r="C132" s="60">
        <f>SUM(C123:C131)</f>
        <v>11987.649984551368</v>
      </c>
      <c r="D132" s="60">
        <f>(D123*$C$3+D124*$C$4+D125*$C$5+D126*$C$6+D127*$C$7+D128*$C$8+D129*$C$9+D130*$C$10+D131*$C$11)/$C$12</f>
        <v>203126266332655.06</v>
      </c>
      <c r="E132" s="60">
        <f t="shared" ref="E132:K132" si="48">(E123*$C$3+E124*$C$4+E125*$C$5+E126*$C$6+E127*$C$7+E128*$C$8+E129*$C$9+E130*$C$10+E131*$C$11)/$C$12</f>
        <v>84403643113461.938</v>
      </c>
      <c r="F132" s="60">
        <f t="shared" si="48"/>
        <v>20991180859375.93</v>
      </c>
      <c r="G132" s="60">
        <f t="shared" si="48"/>
        <v>61056863136586.492</v>
      </c>
      <c r="H132" s="60">
        <f t="shared" si="48"/>
        <v>11534955900631.184</v>
      </c>
      <c r="I132" s="60">
        <f t="shared" si="48"/>
        <v>56410044985753.281</v>
      </c>
      <c r="J132" s="60">
        <f t="shared" si="48"/>
        <v>74388849140385.531</v>
      </c>
      <c r="K132" s="60">
        <f t="shared" si="48"/>
        <v>511911803468849.44</v>
      </c>
      <c r="L132" s="72">
        <f>(L123*$C$3+L124*$C$4+L125*$C$5+L126*$C$6+L127*$C$7+L128*$C$8+L129*$C$9+L130*$C$10+L131*$C$11)/$C$12</f>
        <v>0.11201571191878543</v>
      </c>
      <c r="M132" s="72">
        <f t="shared" ref="M132:M192" si="49">L132*C132</f>
        <v>1342.8051472527386</v>
      </c>
      <c r="N132" s="73"/>
      <c r="O132" s="60">
        <f t="shared" ref="O132:S132" si="50">(O123*$C$3+O124*$C$4+O125*$C$5+O126*$C$6+O127*$C$7+O128*$C$8+O129*$C$9+O130*$C$10+O131*$C$11)/$C$12</f>
        <v>38736448465198.484</v>
      </c>
      <c r="P132" s="60">
        <f t="shared" si="50"/>
        <v>3781841780563.6685</v>
      </c>
      <c r="Q132" s="60">
        <f t="shared" si="50"/>
        <v>30681673304977.902</v>
      </c>
      <c r="R132" s="60">
        <f t="shared" si="50"/>
        <v>73199963550740.031</v>
      </c>
      <c r="S132" s="72">
        <f t="shared" si="50"/>
        <v>3.1998485602366067E-2</v>
      </c>
      <c r="T132" s="74">
        <f t="shared" ref="T132:T192" si="51">S132-L132</f>
        <v>-8.001722631641936E-2</v>
      </c>
      <c r="U132" s="86">
        <f t="shared" ref="U132:U192" si="52">MIN(L132,S132)</f>
        <v>3.1998485602366067E-2</v>
      </c>
      <c r="V132" s="86">
        <f t="shared" ref="V132:V192" si="53">IF(L132&lt;=S132,1,1+MAX((L132-S132),0)/S132)</f>
        <v>3.5006566657799154</v>
      </c>
    </row>
    <row r="133" spans="1:22" ht="58.2" x14ac:dyDescent="0.25">
      <c r="A133" s="8"/>
      <c r="B133" s="75" t="s">
        <v>54</v>
      </c>
      <c r="C133" s="75"/>
      <c r="D133" s="72">
        <f t="shared" ref="D133:K133" si="54">D132/$B$196</f>
        <v>4.4447760685482507E-2</v>
      </c>
      <c r="E133" s="72">
        <f t="shared" si="54"/>
        <v>1.846906851498073E-2</v>
      </c>
      <c r="F133" s="72">
        <f t="shared" si="54"/>
        <v>4.5932562055527202E-3</v>
      </c>
      <c r="G133" s="72">
        <f t="shared" si="54"/>
        <v>1.3360363924854813E-2</v>
      </c>
      <c r="H133" s="72">
        <f t="shared" si="54"/>
        <v>2.5240603721293619E-3</v>
      </c>
      <c r="I133" s="72">
        <f t="shared" si="54"/>
        <v>1.2343554701477742E-2</v>
      </c>
      <c r="J133" s="72">
        <f t="shared" si="54"/>
        <v>1.6277647514307558E-2</v>
      </c>
      <c r="K133" s="72">
        <f t="shared" si="54"/>
        <v>0.11201571191878544</v>
      </c>
      <c r="L133" s="72"/>
      <c r="M133" s="72"/>
      <c r="N133" s="73"/>
      <c r="O133" s="72">
        <f>0.4*O132/$C$196</f>
        <v>1.6933173575165224E-2</v>
      </c>
      <c r="P133" s="72">
        <f>0.4*P132/$C$196</f>
        <v>1.6531867489511828E-3</v>
      </c>
      <c r="Q133" s="72">
        <f>0.4*Q132/$C$196</f>
        <v>1.3412125278249669E-2</v>
      </c>
      <c r="R133" s="72">
        <f>0.4*R132/$C$196</f>
        <v>3.1998485602366067E-2</v>
      </c>
      <c r="S133" s="72"/>
      <c r="T133" s="74"/>
      <c r="U133" s="86"/>
      <c r="V133" s="86"/>
    </row>
    <row r="134" spans="1:22" x14ac:dyDescent="0.25">
      <c r="L134" s="78"/>
      <c r="M134" s="78"/>
      <c r="S134" s="78"/>
      <c r="T134" s="80"/>
      <c r="U134" s="87"/>
      <c r="V134" s="87"/>
    </row>
    <row r="135" spans="1:22" x14ac:dyDescent="0.25">
      <c r="A135" s="8">
        <v>2014</v>
      </c>
      <c r="B135" s="4" t="s">
        <v>20</v>
      </c>
      <c r="C135" s="60">
        <v>474.27248299319729</v>
      </c>
      <c r="D135" s="60">
        <v>192633398048755.09</v>
      </c>
      <c r="E135" s="60">
        <v>48319902211844.555</v>
      </c>
      <c r="F135" s="60">
        <v>45761879042666.922</v>
      </c>
      <c r="G135" s="60">
        <v>58660545922005.648</v>
      </c>
      <c r="H135" s="60">
        <v>6256529962001.9521</v>
      </c>
      <c r="I135" s="60">
        <v>4418030665793.3438</v>
      </c>
      <c r="J135" s="60">
        <v>23734674678835.141</v>
      </c>
      <c r="K135" s="60">
        <v>379784960531902.63</v>
      </c>
      <c r="L135" s="72">
        <v>8.3103930094508227E-2</v>
      </c>
      <c r="M135" s="72">
        <f t="shared" si="49"/>
        <v>39.413907272415507</v>
      </c>
      <c r="N135" s="73">
        <f>M135/$M$144</f>
        <v>2.9411028018162706E-2</v>
      </c>
      <c r="O135" s="60">
        <v>335295567407173.13</v>
      </c>
      <c r="P135" s="60">
        <v>643537728145.66748</v>
      </c>
      <c r="Q135" s="60">
        <v>150639977358806.13</v>
      </c>
      <c r="R135" s="60">
        <v>486579082494124.94</v>
      </c>
      <c r="S135" s="72">
        <v>0.21270220653604877</v>
      </c>
      <c r="T135" s="74">
        <f t="shared" si="51"/>
        <v>0.12959827644154054</v>
      </c>
      <c r="U135" s="86">
        <f t="shared" si="52"/>
        <v>8.3103930094508227E-2</v>
      </c>
      <c r="V135" s="86">
        <f t="shared" si="53"/>
        <v>1</v>
      </c>
    </row>
    <row r="136" spans="1:22" x14ac:dyDescent="0.25">
      <c r="A136" s="8"/>
      <c r="B136" s="4" t="s">
        <v>21</v>
      </c>
      <c r="C136" s="60">
        <v>92</v>
      </c>
      <c r="D136" s="60">
        <v>25812695652173.914</v>
      </c>
      <c r="E136" s="60">
        <v>6090434782608.6953</v>
      </c>
      <c r="F136" s="60">
        <v>7565217391304.3477</v>
      </c>
      <c r="G136" s="60">
        <v>27022084257206.207</v>
      </c>
      <c r="H136" s="60">
        <v>564260869565.21729</v>
      </c>
      <c r="I136" s="60">
        <v>553416687779567</v>
      </c>
      <c r="J136" s="60">
        <v>291754687749507.94</v>
      </c>
      <c r="K136" s="60">
        <v>912226068481933.25</v>
      </c>
      <c r="L136" s="72">
        <v>0.19961183117766593</v>
      </c>
      <c r="M136" s="72">
        <f t="shared" si="49"/>
        <v>18.364288468345265</v>
      </c>
      <c r="N136" s="73">
        <f t="shared" ref="N136:N143" si="55">M136/$M$144</f>
        <v>1.370360464246923E-2</v>
      </c>
      <c r="O136" s="60">
        <v>698755041470217.38</v>
      </c>
      <c r="P136" s="60">
        <v>0</v>
      </c>
      <c r="Q136" s="60">
        <v>142889292204521.75</v>
      </c>
      <c r="R136" s="60">
        <v>841644333674739.13</v>
      </c>
      <c r="S136" s="72">
        <v>0.36791471999485514</v>
      </c>
      <c r="T136" s="74">
        <f t="shared" si="51"/>
        <v>0.16830288881718922</v>
      </c>
      <c r="U136" s="86">
        <f t="shared" si="52"/>
        <v>0.19961183117766593</v>
      </c>
      <c r="V136" s="86">
        <f t="shared" si="53"/>
        <v>1</v>
      </c>
    </row>
    <row r="137" spans="1:22" x14ac:dyDescent="0.25">
      <c r="A137" s="8"/>
      <c r="B137" s="4" t="s">
        <v>22</v>
      </c>
      <c r="C137" s="60">
        <v>1809.2636778061349</v>
      </c>
      <c r="D137" s="60">
        <v>128483649371591.78</v>
      </c>
      <c r="E137" s="60">
        <v>66312943476255.297</v>
      </c>
      <c r="F137" s="60">
        <v>28059061054913.676</v>
      </c>
      <c r="G137" s="60">
        <v>44452384694356.641</v>
      </c>
      <c r="H137" s="60">
        <v>4936892344420.9492</v>
      </c>
      <c r="I137" s="60">
        <v>2960724860053.2295</v>
      </c>
      <c r="J137" s="60">
        <v>28480514518592.703</v>
      </c>
      <c r="K137" s="60">
        <v>303686170320184.25</v>
      </c>
      <c r="L137" s="72">
        <v>6.6452116043803994E-2</v>
      </c>
      <c r="M137" s="72">
        <f t="shared" si="49"/>
        <v>120.22939987141288</v>
      </c>
      <c r="N137" s="73">
        <f t="shared" si="55"/>
        <v>8.9716308098684527E-2</v>
      </c>
      <c r="O137" s="60">
        <v>39150388518668.375</v>
      </c>
      <c r="P137" s="60">
        <v>725384935251.33301</v>
      </c>
      <c r="Q137" s="60">
        <v>37747027580198.75</v>
      </c>
      <c r="R137" s="60">
        <v>77622801034118.469</v>
      </c>
      <c r="S137" s="72">
        <v>3.3931875930291427E-2</v>
      </c>
      <c r="T137" s="74">
        <f t="shared" si="51"/>
        <v>-3.2520240113512566E-2</v>
      </c>
      <c r="U137" s="86">
        <f t="shared" si="52"/>
        <v>3.3931875930291427E-2</v>
      </c>
      <c r="V137" s="86">
        <f t="shared" si="53"/>
        <v>1.9583979435832291</v>
      </c>
    </row>
    <row r="138" spans="1:22" x14ac:dyDescent="0.25">
      <c r="A138" s="8"/>
      <c r="B138" s="4" t="s">
        <v>23</v>
      </c>
      <c r="C138" s="60">
        <v>661.87116766467057</v>
      </c>
      <c r="D138" s="60">
        <v>809983613414644.75</v>
      </c>
      <c r="E138" s="60">
        <v>120337618393361.94</v>
      </c>
      <c r="F138" s="60">
        <v>21732326021621.609</v>
      </c>
      <c r="G138" s="60">
        <v>46834802630792.711</v>
      </c>
      <c r="H138" s="60">
        <v>42052594764335.578</v>
      </c>
      <c r="I138" s="60">
        <v>209143129172518.5</v>
      </c>
      <c r="J138" s="60">
        <v>101211110066646.47</v>
      </c>
      <c r="K138" s="60">
        <v>1351295194463921.8</v>
      </c>
      <c r="L138" s="72">
        <v>0.29568822635972031</v>
      </c>
      <c r="M138" s="72">
        <f t="shared" si="49"/>
        <v>195.70751164540351</v>
      </c>
      <c r="N138" s="73">
        <f t="shared" si="55"/>
        <v>0.14603878444693741</v>
      </c>
      <c r="O138" s="60">
        <v>9377166388475.9297</v>
      </c>
      <c r="P138" s="60">
        <v>1254947096350.6018</v>
      </c>
      <c r="Q138" s="60">
        <v>27289828787573.18</v>
      </c>
      <c r="R138" s="60">
        <v>37921942272399.711</v>
      </c>
      <c r="S138" s="72">
        <v>1.6577121967772779E-2</v>
      </c>
      <c r="T138" s="74">
        <f t="shared" si="51"/>
        <v>-0.27911110439194753</v>
      </c>
      <c r="U138" s="86">
        <f t="shared" si="52"/>
        <v>1.6577121967772779E-2</v>
      </c>
      <c r="V138" s="86">
        <f t="shared" si="53"/>
        <v>17.837126790438131</v>
      </c>
    </row>
    <row r="139" spans="1:22" x14ac:dyDescent="0.25">
      <c r="A139" s="8"/>
      <c r="B139" s="4" t="s">
        <v>24</v>
      </c>
      <c r="C139" s="60">
        <v>1006.2697729988053</v>
      </c>
      <c r="D139" s="60">
        <v>639796620424535.38</v>
      </c>
      <c r="E139" s="60">
        <v>143261781152767.63</v>
      </c>
      <c r="F139" s="60">
        <v>26052655762354.023</v>
      </c>
      <c r="G139" s="60">
        <v>61961746103072.727</v>
      </c>
      <c r="H139" s="60">
        <v>20410033721667.18</v>
      </c>
      <c r="I139" s="60">
        <v>20638265172927.48</v>
      </c>
      <c r="J139" s="60">
        <v>32952573393496.301</v>
      </c>
      <c r="K139" s="60">
        <v>945073675730820.63</v>
      </c>
      <c r="L139" s="72">
        <v>0.20679949140718176</v>
      </c>
      <c r="M139" s="72">
        <f t="shared" si="49"/>
        <v>208.09607727457316</v>
      </c>
      <c r="N139" s="73">
        <f t="shared" si="55"/>
        <v>0.15528324854703338</v>
      </c>
      <c r="O139" s="60">
        <v>3793944705876.6968</v>
      </c>
      <c r="P139" s="60">
        <v>15113531303251.26</v>
      </c>
      <c r="Q139" s="60">
        <v>42490025515305.586</v>
      </c>
      <c r="R139" s="60">
        <v>61397501524433.547</v>
      </c>
      <c r="S139" s="72">
        <v>2.6839180967474317E-2</v>
      </c>
      <c r="T139" s="74">
        <f t="shared" si="51"/>
        <v>-0.17996031043970745</v>
      </c>
      <c r="U139" s="86">
        <f t="shared" si="52"/>
        <v>2.6839180967474317E-2</v>
      </c>
      <c r="V139" s="86">
        <f t="shared" si="53"/>
        <v>7.7051342087449139</v>
      </c>
    </row>
    <row r="140" spans="1:22" x14ac:dyDescent="0.25">
      <c r="A140" s="8"/>
      <c r="B140" s="4" t="s">
        <v>25</v>
      </c>
      <c r="C140" s="60">
        <v>2966.0797627391989</v>
      </c>
      <c r="D140" s="60">
        <v>111406309483341.72</v>
      </c>
      <c r="E140" s="60">
        <v>61711084880253.211</v>
      </c>
      <c r="F140" s="60">
        <v>17677204995855.746</v>
      </c>
      <c r="G140" s="60">
        <v>77897182339137.375</v>
      </c>
      <c r="H140" s="60">
        <v>9685511617350.9297</v>
      </c>
      <c r="I140" s="60">
        <v>33499016632935.836</v>
      </c>
      <c r="J140" s="60">
        <v>73988386330117.813</v>
      </c>
      <c r="K140" s="60">
        <v>385864696278992.63</v>
      </c>
      <c r="L140" s="72">
        <v>8.4434288026037779E-2</v>
      </c>
      <c r="M140" s="72">
        <f t="shared" si="49"/>
        <v>250.43883299532331</v>
      </c>
      <c r="N140" s="73">
        <f t="shared" si="55"/>
        <v>0.1868798108026303</v>
      </c>
      <c r="O140" s="60">
        <v>20799209215059.723</v>
      </c>
      <c r="P140" s="60">
        <v>3204627599867.7124</v>
      </c>
      <c r="Q140" s="60">
        <v>25407011678069.352</v>
      </c>
      <c r="R140" s="60">
        <v>49410848492996.781</v>
      </c>
      <c r="S140" s="72">
        <v>2.1599359445143664E-2</v>
      </c>
      <c r="T140" s="74">
        <f t="shared" si="51"/>
        <v>-6.2834928580894123E-2</v>
      </c>
      <c r="U140" s="86">
        <f t="shared" si="52"/>
        <v>2.1599359445143664E-2</v>
      </c>
      <c r="V140" s="86">
        <f t="shared" si="53"/>
        <v>3.9091107419401618</v>
      </c>
    </row>
    <row r="141" spans="1:22" x14ac:dyDescent="0.25">
      <c r="A141" s="8"/>
      <c r="B141" s="4" t="s">
        <v>26</v>
      </c>
      <c r="C141" s="60">
        <v>2396.1507453508011</v>
      </c>
      <c r="D141" s="60">
        <v>101375057671689.83</v>
      </c>
      <c r="E141" s="60">
        <v>56087289274583.813</v>
      </c>
      <c r="F141" s="60">
        <v>18137656858328.121</v>
      </c>
      <c r="G141" s="60">
        <v>62507818946403.508</v>
      </c>
      <c r="H141" s="60">
        <v>10910198388279.07</v>
      </c>
      <c r="I141" s="60">
        <v>14583965583282.439</v>
      </c>
      <c r="J141" s="60">
        <v>87115946909255.188</v>
      </c>
      <c r="K141" s="60">
        <v>350717933631821.94</v>
      </c>
      <c r="L141" s="72">
        <v>7.6743530335190796E-2</v>
      </c>
      <c r="M141" s="72">
        <f t="shared" si="49"/>
        <v>183.88906741351923</v>
      </c>
      <c r="N141" s="73">
        <f t="shared" si="55"/>
        <v>0.13721975029149069</v>
      </c>
      <c r="O141" s="60">
        <v>12998950380920.869</v>
      </c>
      <c r="P141" s="60">
        <v>5828146121827.6035</v>
      </c>
      <c r="Q141" s="60">
        <v>23055554012697.18</v>
      </c>
      <c r="R141" s="60">
        <v>41882650515445.656</v>
      </c>
      <c r="S141" s="72">
        <v>1.8308498044243476E-2</v>
      </c>
      <c r="T141" s="74">
        <f t="shared" si="51"/>
        <v>-5.843503229094732E-2</v>
      </c>
      <c r="U141" s="86">
        <f t="shared" si="52"/>
        <v>1.8308498044243476E-2</v>
      </c>
      <c r="V141" s="86">
        <f t="shared" si="53"/>
        <v>4.1916890260323871</v>
      </c>
    </row>
    <row r="142" spans="1:22" x14ac:dyDescent="0.25">
      <c r="A142" s="8"/>
      <c r="B142" s="4" t="s">
        <v>27</v>
      </c>
      <c r="C142" s="60">
        <v>1783.191483761688</v>
      </c>
      <c r="D142" s="60">
        <v>136067047319090.06</v>
      </c>
      <c r="E142" s="60">
        <v>120233862685188.31</v>
      </c>
      <c r="F142" s="60">
        <v>17400650352223.635</v>
      </c>
      <c r="G142" s="60">
        <v>66144761147427.094</v>
      </c>
      <c r="H142" s="60">
        <v>15566003546318.846</v>
      </c>
      <c r="I142" s="60">
        <v>122582092187421.06</v>
      </c>
      <c r="J142" s="60">
        <v>119212499429079.81</v>
      </c>
      <c r="K142" s="60">
        <v>597206916666748.88</v>
      </c>
      <c r="L142" s="72">
        <v>0.13067985047412448</v>
      </c>
      <c r="M142" s="72">
        <f t="shared" si="49"/>
        <v>233.02719646470956</v>
      </c>
      <c r="N142" s="73">
        <f t="shared" si="55"/>
        <v>0.17388708398910924</v>
      </c>
      <c r="O142" s="60">
        <v>13378406877947.387</v>
      </c>
      <c r="P142" s="60">
        <v>3776048736198.1572</v>
      </c>
      <c r="Q142" s="60">
        <v>12549438788476.563</v>
      </c>
      <c r="R142" s="60">
        <v>29703894402622.105</v>
      </c>
      <c r="S142" s="72">
        <v>1.2984700965290254E-2</v>
      </c>
      <c r="T142" s="74">
        <f t="shared" si="51"/>
        <v>-0.11769514950883422</v>
      </c>
      <c r="U142" s="86">
        <f t="shared" si="52"/>
        <v>1.2984700965290254E-2</v>
      </c>
      <c r="V142" s="86">
        <f t="shared" si="53"/>
        <v>10.064140161829544</v>
      </c>
    </row>
    <row r="143" spans="1:22" x14ac:dyDescent="0.25">
      <c r="A143" s="8"/>
      <c r="B143" s="4" t="s">
        <v>28</v>
      </c>
      <c r="C143" s="60">
        <v>851.19528744034096</v>
      </c>
      <c r="D143" s="60">
        <v>91908403575934.016</v>
      </c>
      <c r="E143" s="60">
        <v>47932596199740.609</v>
      </c>
      <c r="F143" s="60">
        <v>20986958296866.816</v>
      </c>
      <c r="G143" s="60">
        <v>56744101666418.109</v>
      </c>
      <c r="H143" s="60">
        <v>11990197961140.996</v>
      </c>
      <c r="I143" s="60">
        <v>175848933809405.78</v>
      </c>
      <c r="J143" s="60">
        <v>121150518958467.22</v>
      </c>
      <c r="K143" s="60">
        <v>526561710467973.63</v>
      </c>
      <c r="L143" s="72">
        <v>0.11522138084638373</v>
      </c>
      <c r="M143" s="72">
        <f t="shared" si="49"/>
        <v>98.075896388810591</v>
      </c>
      <c r="N143" s="73">
        <f t="shared" si="55"/>
        <v>7.318515560157382E-2</v>
      </c>
      <c r="O143" s="60">
        <v>4619160361542.5557</v>
      </c>
      <c r="P143" s="60">
        <v>2525350186636.793</v>
      </c>
      <c r="Q143" s="60">
        <v>7982474621578.8086</v>
      </c>
      <c r="R143" s="60">
        <v>15126985169758.156</v>
      </c>
      <c r="S143" s="72">
        <v>6.6125800298546438E-3</v>
      </c>
      <c r="T143" s="74">
        <f t="shared" si="51"/>
        <v>-0.10860880081652909</v>
      </c>
      <c r="U143" s="86">
        <f t="shared" si="52"/>
        <v>6.6125800298546438E-3</v>
      </c>
      <c r="V143" s="86">
        <f t="shared" si="53"/>
        <v>17.424572606483299</v>
      </c>
    </row>
    <row r="144" spans="1:22" x14ac:dyDescent="0.25">
      <c r="A144" s="8"/>
      <c r="B144" s="60" t="s">
        <v>45</v>
      </c>
      <c r="C144" s="60">
        <f>SUM(C135:C143)</f>
        <v>12040.294380754836</v>
      </c>
      <c r="D144" s="60">
        <f>(D135*$C$3+D136*$C$4+D137*$C$5+D138*$C$6+D139*$C$7+D140*$C$8+D141*$C$9+D142*$C$10+D143*$C$11)/$C$12</f>
        <v>196329830646270.22</v>
      </c>
      <c r="E144" s="60">
        <f t="shared" ref="E144:K144" si="56">(E135*$C$3+E136*$C$4+E137*$C$5+E138*$C$6+E139*$C$7+E140*$C$8+E141*$C$9+E142*$C$10+E143*$C$11)/$C$12</f>
        <v>78522673253578.938</v>
      </c>
      <c r="F144" s="60">
        <f t="shared" si="56"/>
        <v>21433374161061.652</v>
      </c>
      <c r="G144" s="60">
        <f t="shared" si="56"/>
        <v>62524878312163.234</v>
      </c>
      <c r="H144" s="60">
        <f t="shared" si="56"/>
        <v>12605355668971.242</v>
      </c>
      <c r="I144" s="60">
        <f t="shared" si="56"/>
        <v>59677494119063.617</v>
      </c>
      <c r="J144" s="60">
        <f t="shared" si="56"/>
        <v>77555610847944.656</v>
      </c>
      <c r="K144" s="60">
        <f t="shared" si="56"/>
        <v>508649217009053.63</v>
      </c>
      <c r="L144" s="72">
        <f>(L135*$C$3+L136*$C$4+L137*$C$5+L138*$C$6+L139*$C$7+L140*$C$8+L141*$C$9+L142*$C$10+L143*$C$11)/$C$12</f>
        <v>0.11130179803261565</v>
      </c>
      <c r="M144" s="72">
        <f t="shared" si="49"/>
        <v>1340.1064134200119</v>
      </c>
      <c r="N144" s="73"/>
      <c r="O144" s="60">
        <f t="shared" ref="O144:S144" si="57">(O135*$C$3+O136*$C$4+O137*$C$5+O138*$C$6+O139*$C$7+O140*$C$8+O141*$C$9+O142*$C$10+O143*$C$11)/$C$12</f>
        <v>34720988631275.895</v>
      </c>
      <c r="P144" s="60">
        <f t="shared" si="57"/>
        <v>4136176846063.9346</v>
      </c>
      <c r="Q144" s="60">
        <f t="shared" si="57"/>
        <v>30727607119191.414</v>
      </c>
      <c r="R144" s="60">
        <f t="shared" si="57"/>
        <v>69584772596531.242</v>
      </c>
      <c r="S144" s="72">
        <f t="shared" si="57"/>
        <v>3.0418148262199674E-2</v>
      </c>
      <c r="T144" s="74">
        <f t="shared" si="51"/>
        <v>-8.0883649770415983E-2</v>
      </c>
      <c r="U144" s="86">
        <f t="shared" si="52"/>
        <v>3.0418148262199674E-2</v>
      </c>
      <c r="V144" s="86">
        <f t="shared" si="53"/>
        <v>3.659058962866891</v>
      </c>
    </row>
    <row r="145" spans="1:22" ht="58.2" x14ac:dyDescent="0.25">
      <c r="A145" s="8"/>
      <c r="B145" s="75" t="s">
        <v>54</v>
      </c>
      <c r="C145" s="75"/>
      <c r="D145" s="72">
        <f t="shared" ref="D145:K145" si="58">D144/$B$196</f>
        <v>4.2960575633757159E-2</v>
      </c>
      <c r="E145" s="72">
        <f t="shared" si="58"/>
        <v>1.7182204213036966E-2</v>
      </c>
      <c r="F145" s="72">
        <f t="shared" si="58"/>
        <v>4.6900162278034254E-3</v>
      </c>
      <c r="G145" s="72">
        <f t="shared" si="58"/>
        <v>1.3681592628482108E-2</v>
      </c>
      <c r="H145" s="72">
        <f t="shared" si="58"/>
        <v>2.7582835161862676E-3</v>
      </c>
      <c r="I145" s="72">
        <f t="shared" si="58"/>
        <v>1.3058532629992039E-2</v>
      </c>
      <c r="J145" s="72">
        <f t="shared" si="58"/>
        <v>1.6970593183357693E-2</v>
      </c>
      <c r="K145" s="72">
        <f t="shared" si="58"/>
        <v>0.11130179803261567</v>
      </c>
      <c r="L145" s="72"/>
      <c r="M145" s="72"/>
      <c r="N145" s="73"/>
      <c r="O145" s="72">
        <f>0.4*O144/$C$196</f>
        <v>1.5177863497809972E-2</v>
      </c>
      <c r="P145" s="72">
        <f>0.4*P144/$C$196</f>
        <v>1.8080800705026943E-3</v>
      </c>
      <c r="Q145" s="72">
        <f>0.4*Q144/$C$196</f>
        <v>1.3432204693887E-2</v>
      </c>
      <c r="R145" s="72">
        <f>0.4*R144/$C$196</f>
        <v>3.0418148262199667E-2</v>
      </c>
      <c r="S145" s="72"/>
      <c r="T145" s="74"/>
      <c r="U145" s="86"/>
      <c r="V145" s="86"/>
    </row>
    <row r="146" spans="1:22" x14ac:dyDescent="0.25">
      <c r="L146" s="78"/>
      <c r="M146" s="78"/>
      <c r="S146" s="78"/>
      <c r="T146" s="80"/>
      <c r="U146" s="87"/>
      <c r="V146" s="87"/>
    </row>
    <row r="147" spans="1:22" x14ac:dyDescent="0.25">
      <c r="A147" s="8">
        <v>2015</v>
      </c>
      <c r="B147" s="4" t="s">
        <v>20</v>
      </c>
      <c r="C147" s="60">
        <v>478.34</v>
      </c>
      <c r="D147" s="60">
        <v>192693398001421.59</v>
      </c>
      <c r="E147" s="60">
        <v>51906175523686.078</v>
      </c>
      <c r="F147" s="60">
        <v>44475477693690.68</v>
      </c>
      <c r="G147" s="60">
        <v>59737473743350.992</v>
      </c>
      <c r="H147" s="60">
        <v>8228958481414.8936</v>
      </c>
      <c r="I147" s="60">
        <v>5127424038128.6318</v>
      </c>
      <c r="J147" s="60">
        <v>24210156556150.613</v>
      </c>
      <c r="K147" s="60">
        <v>386379064037843.5</v>
      </c>
      <c r="L147" s="72">
        <v>8.4546841146136434E-2</v>
      </c>
      <c r="M147" s="72">
        <f t="shared" si="49"/>
        <v>40.442135993842896</v>
      </c>
      <c r="N147" s="73">
        <f>M147/$M$156</f>
        <v>2.955815031436497E-2</v>
      </c>
      <c r="O147" s="60">
        <v>282045141817970.69</v>
      </c>
      <c r="P147" s="60">
        <v>455761048966.1261</v>
      </c>
      <c r="Q147" s="60">
        <v>131467997742191.77</v>
      </c>
      <c r="R147" s="60">
        <v>413968900609128.56</v>
      </c>
      <c r="S147" s="72">
        <v>0.18096153691096464</v>
      </c>
      <c r="T147" s="74">
        <f t="shared" si="51"/>
        <v>9.6414695764828209E-2</v>
      </c>
      <c r="U147" s="86">
        <f t="shared" si="52"/>
        <v>8.4546841146136434E-2</v>
      </c>
      <c r="V147" s="86">
        <f t="shared" si="53"/>
        <v>1</v>
      </c>
    </row>
    <row r="148" spans="1:22" x14ac:dyDescent="0.25">
      <c r="A148" s="8"/>
      <c r="B148" s="4" t="s">
        <v>21</v>
      </c>
      <c r="C148" s="60">
        <v>93</v>
      </c>
      <c r="D148" s="60">
        <v>22800894623655.918</v>
      </c>
      <c r="E148" s="60">
        <v>8602150537634.4082</v>
      </c>
      <c r="F148" s="60">
        <v>5262907526881.7207</v>
      </c>
      <c r="G148" s="60">
        <v>27471573913043.473</v>
      </c>
      <c r="H148" s="60">
        <v>1476774193548.3872</v>
      </c>
      <c r="I148" s="60">
        <v>547818056374175.94</v>
      </c>
      <c r="J148" s="60">
        <v>297617317777246.81</v>
      </c>
      <c r="K148" s="60">
        <v>911049674946186.75</v>
      </c>
      <c r="L148" s="72">
        <v>0.19935441464905618</v>
      </c>
      <c r="M148" s="72">
        <f t="shared" si="49"/>
        <v>18.539960562362225</v>
      </c>
      <c r="N148" s="73">
        <f t="shared" ref="N148:N156" si="59">M148/$M$156</f>
        <v>1.3550395587615163E-2</v>
      </c>
      <c r="O148" s="60">
        <v>562936774361167</v>
      </c>
      <c r="P148" s="60">
        <v>0</v>
      </c>
      <c r="Q148" s="60">
        <v>133188928494623.66</v>
      </c>
      <c r="R148" s="60">
        <v>696125702855790.63</v>
      </c>
      <c r="S148" s="72">
        <v>0.30430299688370238</v>
      </c>
      <c r="T148" s="74">
        <f t="shared" si="51"/>
        <v>0.1049485822346462</v>
      </c>
      <c r="U148" s="86">
        <f t="shared" si="52"/>
        <v>0.19935441464905618</v>
      </c>
      <c r="V148" s="86">
        <f t="shared" si="53"/>
        <v>1</v>
      </c>
    </row>
    <row r="149" spans="1:22" x14ac:dyDescent="0.25">
      <c r="A149" s="8"/>
      <c r="B149" s="4" t="s">
        <v>22</v>
      </c>
      <c r="C149" s="60">
        <v>1815.5482679644733</v>
      </c>
      <c r="D149" s="60">
        <v>126599333135712.41</v>
      </c>
      <c r="E149" s="60">
        <v>58271763889050.289</v>
      </c>
      <c r="F149" s="60">
        <v>27061048646799.945</v>
      </c>
      <c r="G149" s="60">
        <v>45725164891562.32</v>
      </c>
      <c r="H149" s="60">
        <v>8596642829826.1084</v>
      </c>
      <c r="I149" s="60">
        <v>3043417420194.8496</v>
      </c>
      <c r="J149" s="60">
        <v>28854723644688.039</v>
      </c>
      <c r="K149" s="60">
        <v>298152094457833.94</v>
      </c>
      <c r="L149" s="72">
        <v>6.5241158524690146E-2</v>
      </c>
      <c r="M149" s="72">
        <f t="shared" si="49"/>
        <v>118.44847235949683</v>
      </c>
      <c r="N149" s="73">
        <f t="shared" si="59"/>
        <v>8.6571039448607237E-2</v>
      </c>
      <c r="O149" s="60">
        <v>27700807570027.535</v>
      </c>
      <c r="P149" s="60">
        <v>638818872584.75781</v>
      </c>
      <c r="Q149" s="60">
        <v>29461041047379.441</v>
      </c>
      <c r="R149" s="60">
        <v>57800667489991.734</v>
      </c>
      <c r="S149" s="72">
        <v>2.526686813448489E-2</v>
      </c>
      <c r="T149" s="74">
        <f t="shared" si="51"/>
        <v>-3.9974290390205253E-2</v>
      </c>
      <c r="U149" s="86">
        <f t="shared" si="52"/>
        <v>2.526686813448489E-2</v>
      </c>
      <c r="V149" s="86">
        <f t="shared" si="53"/>
        <v>2.5820833107387493</v>
      </c>
    </row>
    <row r="150" spans="1:22" x14ac:dyDescent="0.25">
      <c r="A150" s="8"/>
      <c r="B150" s="4" t="s">
        <v>23</v>
      </c>
      <c r="C150" s="60">
        <v>667.86999999999989</v>
      </c>
      <c r="D150" s="60">
        <v>816170452333538.25</v>
      </c>
      <c r="E150" s="60">
        <v>104281372123317.42</v>
      </c>
      <c r="F150" s="60">
        <v>19546678245766.391</v>
      </c>
      <c r="G150" s="60">
        <v>44754570749042.695</v>
      </c>
      <c r="H150" s="60">
        <v>42106907032805.789</v>
      </c>
      <c r="I150" s="60">
        <v>215891062111052.22</v>
      </c>
      <c r="J150" s="60">
        <v>86170358515342.156</v>
      </c>
      <c r="K150" s="60">
        <v>1328921401110865</v>
      </c>
      <c r="L150" s="72">
        <v>0.29079242912710396</v>
      </c>
      <c r="M150" s="72">
        <f t="shared" si="49"/>
        <v>194.21153964111889</v>
      </c>
      <c r="N150" s="73">
        <f t="shared" si="59"/>
        <v>0.14194437905976107</v>
      </c>
      <c r="O150" s="60">
        <v>8065420469301.3193</v>
      </c>
      <c r="P150" s="60">
        <v>1352700704078.9685</v>
      </c>
      <c r="Q150" s="60">
        <v>21395131870873.078</v>
      </c>
      <c r="R150" s="60">
        <v>30813253044253.367</v>
      </c>
      <c r="S150" s="72">
        <v>1.3469643782201524E-2</v>
      </c>
      <c r="T150" s="74">
        <f t="shared" si="51"/>
        <v>-0.27732278534490246</v>
      </c>
      <c r="U150" s="86">
        <f t="shared" si="52"/>
        <v>1.3469643782201524E-2</v>
      </c>
      <c r="V150" s="86">
        <f t="shared" si="53"/>
        <v>21.588724529697689</v>
      </c>
    </row>
    <row r="151" spans="1:22" x14ac:dyDescent="0.25">
      <c r="A151" s="8"/>
      <c r="B151" s="4" t="s">
        <v>24</v>
      </c>
      <c r="C151" s="60">
        <v>1008.68</v>
      </c>
      <c r="D151" s="60">
        <v>659304579450370.88</v>
      </c>
      <c r="E151" s="60">
        <v>136359059364714.28</v>
      </c>
      <c r="F151" s="60">
        <v>23974882024031.406</v>
      </c>
      <c r="G151" s="60">
        <v>72977500438232.063</v>
      </c>
      <c r="H151" s="60">
        <v>28612585359083.16</v>
      </c>
      <c r="I151" s="60">
        <v>17278553156236.998</v>
      </c>
      <c r="J151" s="60">
        <v>32563650515342.207</v>
      </c>
      <c r="K151" s="60">
        <v>971070810308010.88</v>
      </c>
      <c r="L151" s="72">
        <v>0.21248814229934593</v>
      </c>
      <c r="M151" s="72">
        <f t="shared" si="49"/>
        <v>214.33253937450425</v>
      </c>
      <c r="N151" s="73">
        <f t="shared" si="59"/>
        <v>0.15665031681451388</v>
      </c>
      <c r="O151" s="60">
        <v>3400359534532.3022</v>
      </c>
      <c r="P151" s="60">
        <v>14221532203166.174</v>
      </c>
      <c r="Q151" s="60">
        <v>36474153725661.266</v>
      </c>
      <c r="R151" s="60">
        <v>54096045463359.742</v>
      </c>
      <c r="S151" s="72">
        <v>2.3647437074260088E-2</v>
      </c>
      <c r="T151" s="74">
        <f t="shared" si="51"/>
        <v>-0.18884070522508584</v>
      </c>
      <c r="U151" s="86">
        <f t="shared" si="52"/>
        <v>2.3647437074260088E-2</v>
      </c>
      <c r="V151" s="86">
        <f t="shared" si="53"/>
        <v>8.9856732309750544</v>
      </c>
    </row>
    <row r="152" spans="1:22" x14ac:dyDescent="0.25">
      <c r="A152" s="8"/>
      <c r="B152" s="4" t="s">
        <v>25</v>
      </c>
      <c r="C152" s="60">
        <v>2980.222659621134</v>
      </c>
      <c r="D152" s="60">
        <v>110775454623906.89</v>
      </c>
      <c r="E152" s="60">
        <v>63768121279958.18</v>
      </c>
      <c r="F152" s="60">
        <v>18665263087111.633</v>
      </c>
      <c r="G152" s="60">
        <v>81557617916720.297</v>
      </c>
      <c r="H152" s="60">
        <v>11115075544124.318</v>
      </c>
      <c r="I152" s="60">
        <v>35407643879154.359</v>
      </c>
      <c r="J152" s="60">
        <v>84919880710329.656</v>
      </c>
      <c r="K152" s="60">
        <v>406209057041305.38</v>
      </c>
      <c r="L152" s="72">
        <v>8.8886008105318465E-2</v>
      </c>
      <c r="M152" s="72">
        <f t="shared" si="49"/>
        <v>264.90009547873785</v>
      </c>
      <c r="N152" s="73">
        <f t="shared" si="59"/>
        <v>0.19360888459606179</v>
      </c>
      <c r="O152" s="60">
        <v>17911346565591.063</v>
      </c>
      <c r="P152" s="60">
        <v>2942166586455.2207</v>
      </c>
      <c r="Q152" s="60">
        <v>21418629708061.746</v>
      </c>
      <c r="R152" s="60">
        <v>42272142860108.031</v>
      </c>
      <c r="S152" s="72">
        <v>1.847875994846248E-2</v>
      </c>
      <c r="T152" s="74">
        <f t="shared" si="51"/>
        <v>-7.0407248156855978E-2</v>
      </c>
      <c r="U152" s="86">
        <f t="shared" si="52"/>
        <v>1.847875994846248E-2</v>
      </c>
      <c r="V152" s="86">
        <f t="shared" si="53"/>
        <v>4.8101716973012678</v>
      </c>
    </row>
    <row r="153" spans="1:22" x14ac:dyDescent="0.25">
      <c r="A153" s="8"/>
      <c r="B153" s="4" t="s">
        <v>26</v>
      </c>
      <c r="C153" s="60">
        <v>2406.6601784444447</v>
      </c>
      <c r="D153" s="60">
        <v>111770601974355.09</v>
      </c>
      <c r="E153" s="60">
        <v>59898161060628.656</v>
      </c>
      <c r="F153" s="60">
        <v>17401364557307.568</v>
      </c>
      <c r="G153" s="60">
        <v>64844816823041.328</v>
      </c>
      <c r="H153" s="60">
        <v>6876265573339.5303</v>
      </c>
      <c r="I153" s="60">
        <v>14550030171667.418</v>
      </c>
      <c r="J153" s="60">
        <v>86866498675955.469</v>
      </c>
      <c r="K153" s="60">
        <v>362207738836295</v>
      </c>
      <c r="L153" s="72">
        <v>7.9257710905097381E-2</v>
      </c>
      <c r="M153" s="72">
        <f t="shared" si="49"/>
        <v>190.74637666995989</v>
      </c>
      <c r="N153" s="73">
        <f t="shared" si="59"/>
        <v>0.13941177771593288</v>
      </c>
      <c r="O153" s="60">
        <v>10158448550681.313</v>
      </c>
      <c r="P153" s="60">
        <v>4760997613241.9316</v>
      </c>
      <c r="Q153" s="60">
        <v>18387871678087.66</v>
      </c>
      <c r="R153" s="60">
        <v>33307317842010.906</v>
      </c>
      <c r="S153" s="72">
        <v>1.4559894277573607E-2</v>
      </c>
      <c r="T153" s="74">
        <f t="shared" si="51"/>
        <v>-6.4697816627523774E-2</v>
      </c>
      <c r="U153" s="86">
        <f t="shared" si="52"/>
        <v>1.4559894277573607E-2</v>
      </c>
      <c r="V153" s="86">
        <f t="shared" si="53"/>
        <v>5.4435636271876557</v>
      </c>
    </row>
    <row r="154" spans="1:22" x14ac:dyDescent="0.25">
      <c r="A154" s="8"/>
      <c r="B154" s="4" t="s">
        <v>27</v>
      </c>
      <c r="C154" s="60">
        <v>1791.5064928000002</v>
      </c>
      <c r="D154" s="60">
        <v>144936058152195.22</v>
      </c>
      <c r="E154" s="60">
        <v>108899758669074.47</v>
      </c>
      <c r="F154" s="60">
        <v>17002096564051.416</v>
      </c>
      <c r="G154" s="60">
        <v>64775280980523.539</v>
      </c>
      <c r="H154" s="60">
        <v>15213531600101.602</v>
      </c>
      <c r="I154" s="60">
        <v>129320850849944.38</v>
      </c>
      <c r="J154" s="60">
        <v>121658418626237.31</v>
      </c>
      <c r="K154" s="60">
        <v>601805995442128</v>
      </c>
      <c r="L154" s="72">
        <v>0.13168621344466697</v>
      </c>
      <c r="M154" s="72">
        <f t="shared" si="49"/>
        <v>235.91670639836755</v>
      </c>
      <c r="N154" s="73">
        <f t="shared" si="59"/>
        <v>0.17242564711355748</v>
      </c>
      <c r="O154" s="60">
        <v>12952936298993.367</v>
      </c>
      <c r="P154" s="60">
        <v>3893598866803.9321</v>
      </c>
      <c r="Q154" s="60">
        <v>12432242458909.383</v>
      </c>
      <c r="R154" s="60">
        <v>29278777624706.68</v>
      </c>
      <c r="S154" s="72">
        <v>1.2798866267599155E-2</v>
      </c>
      <c r="T154" s="74">
        <f t="shared" si="51"/>
        <v>-0.11888734717706781</v>
      </c>
      <c r="U154" s="86">
        <f t="shared" si="52"/>
        <v>1.2798866267599155E-2</v>
      </c>
      <c r="V154" s="86">
        <f t="shared" si="53"/>
        <v>10.288896742208793</v>
      </c>
    </row>
    <row r="155" spans="1:22" x14ac:dyDescent="0.25">
      <c r="A155" s="8"/>
      <c r="B155" s="4" t="s">
        <v>28</v>
      </c>
      <c r="C155" s="60">
        <v>856.2386347354211</v>
      </c>
      <c r="D155" s="60">
        <v>87490581434868.516</v>
      </c>
      <c r="E155" s="60">
        <v>54312335502555.195</v>
      </c>
      <c r="F155" s="60">
        <v>20866323096388.648</v>
      </c>
      <c r="G155" s="60">
        <v>56319456542291.953</v>
      </c>
      <c r="H155" s="60">
        <v>10783830144330.236</v>
      </c>
      <c r="I155" s="60">
        <v>162282940695558.03</v>
      </c>
      <c r="J155" s="60">
        <v>131085895238967.33</v>
      </c>
      <c r="K155" s="60">
        <v>523141362654959.94</v>
      </c>
      <c r="L155" s="72">
        <v>0.11447294587635885</v>
      </c>
      <c r="M155" s="72">
        <f t="shared" si="49"/>
        <v>98.016158891315257</v>
      </c>
      <c r="N155" s="73">
        <f t="shared" si="59"/>
        <v>7.1637570235836626E-2</v>
      </c>
      <c r="O155" s="60">
        <v>6892370397568.8193</v>
      </c>
      <c r="P155" s="60">
        <v>2612320424852.0884</v>
      </c>
      <c r="Q155" s="60">
        <v>9143123751264.8301</v>
      </c>
      <c r="R155" s="60">
        <v>18647814573685.738</v>
      </c>
      <c r="S155" s="72">
        <v>8.1516683507370773E-3</v>
      </c>
      <c r="T155" s="74">
        <f t="shared" si="51"/>
        <v>-0.10632127752562177</v>
      </c>
      <c r="U155" s="86">
        <f t="shared" si="52"/>
        <v>8.1516683507370773E-3</v>
      </c>
      <c r="V155" s="86">
        <f t="shared" si="53"/>
        <v>14.042885572743911</v>
      </c>
    </row>
    <row r="156" spans="1:22" x14ac:dyDescent="0.25">
      <c r="A156" s="8"/>
      <c r="B156" s="60" t="s">
        <v>45</v>
      </c>
      <c r="C156" s="60">
        <f>SUM(C147:C155)</f>
        <v>12098.066233565472</v>
      </c>
      <c r="D156" s="60">
        <f>(D147*$C$3+D148*$C$4+D149*$C$5+D150*$C$6+D151*$C$7+D152*$C$8+D153*$C$9+D154*$C$10+D155*$C$11)/$C$12</f>
        <v>200866588155398.13</v>
      </c>
      <c r="E156" s="60">
        <f t="shared" ref="E156:K156" si="60">(E147*$C$3+E148*$C$4+E149*$C$5+E150*$C$6+E151*$C$7+E152*$C$8+E153*$C$9+E154*$C$10+E155*$C$11)/$C$12</f>
        <v>75932600925379.969</v>
      </c>
      <c r="F156" s="60">
        <f t="shared" si="60"/>
        <v>20968035263110.773</v>
      </c>
      <c r="G156" s="60">
        <f t="shared" si="60"/>
        <v>64689882046836.047</v>
      </c>
      <c r="H156" s="60">
        <f t="shared" si="60"/>
        <v>13391840988282.193</v>
      </c>
      <c r="I156" s="60">
        <f t="shared" si="60"/>
        <v>60342301815344.445</v>
      </c>
      <c r="J156" s="60">
        <f t="shared" si="60"/>
        <v>80649888901093.719</v>
      </c>
      <c r="K156" s="60">
        <f t="shared" si="60"/>
        <v>516841138095445.31</v>
      </c>
      <c r="L156" s="72">
        <f>(L147*$C$3+L148*$C$4+L149*$C$5+L150*$C$6+L151*$C$7+L152*$C$8+L153*$C$9+L154*$C$10+L155*$C$11)/$C$12</f>
        <v>0.11309434093992238</v>
      </c>
      <c r="M156" s="72">
        <f t="shared" si="49"/>
        <v>1368.2228273326161</v>
      </c>
      <c r="N156" s="73">
        <f t="shared" si="59"/>
        <v>1</v>
      </c>
      <c r="O156" s="60">
        <f t="shared" ref="O156:S156" si="61">(O147*$C$3+O148*$C$4+O149*$C$5+O150*$C$6+O151*$C$7+O152*$C$8+O153*$C$9+O154*$C$10+O155*$C$11)/$C$12</f>
        <v>28679377098713.84</v>
      </c>
      <c r="P156" s="60">
        <f t="shared" si="61"/>
        <v>3803492138137.623</v>
      </c>
      <c r="Q156" s="60">
        <f t="shared" si="61"/>
        <v>26038780799914.047</v>
      </c>
      <c r="R156" s="60">
        <f t="shared" si="61"/>
        <v>58521650036765.5</v>
      </c>
      <c r="S156" s="72">
        <f t="shared" si="61"/>
        <v>2.5582037002383387E-2</v>
      </c>
      <c r="T156" s="74">
        <f t="shared" si="51"/>
        <v>-8.7512303937538991E-2</v>
      </c>
      <c r="U156" s="86">
        <f t="shared" si="52"/>
        <v>2.5582037002383387E-2</v>
      </c>
      <c r="V156" s="86">
        <f t="shared" si="53"/>
        <v>4.4208497129992335</v>
      </c>
    </row>
    <row r="157" spans="1:22" ht="58.2" x14ac:dyDescent="0.25">
      <c r="A157" s="8"/>
      <c r="B157" s="75" t="s">
        <v>54</v>
      </c>
      <c r="C157" s="75"/>
      <c r="D157" s="72">
        <f t="shared" ref="D157:K157" si="62">D156/$B$196</f>
        <v>4.3953301565732635E-2</v>
      </c>
      <c r="E157" s="72">
        <f t="shared" si="62"/>
        <v>1.6615448780170673E-2</v>
      </c>
      <c r="F157" s="72">
        <f t="shared" si="62"/>
        <v>4.5881915236566243E-3</v>
      </c>
      <c r="G157" s="72">
        <f t="shared" si="62"/>
        <v>1.4155335240007888E-2</v>
      </c>
      <c r="H157" s="72">
        <f t="shared" si="62"/>
        <v>2.9303809602368039E-3</v>
      </c>
      <c r="I157" s="72">
        <f t="shared" si="62"/>
        <v>1.3204004773598347E-2</v>
      </c>
      <c r="J157" s="72">
        <f t="shared" si="62"/>
        <v>1.7647678096519414E-2</v>
      </c>
      <c r="K157" s="72">
        <f t="shared" si="62"/>
        <v>0.11309434093992239</v>
      </c>
      <c r="L157" s="72"/>
      <c r="M157" s="72"/>
      <c r="N157" s="73"/>
      <c r="O157" s="72">
        <f>0.4*O156/$C$196</f>
        <v>1.2536845520994037E-2</v>
      </c>
      <c r="P157" s="72">
        <f>0.4*P156/$C$196</f>
        <v>1.6626509429413347E-3</v>
      </c>
      <c r="Q157" s="72">
        <f>0.4*Q156/$C$196</f>
        <v>1.1382540538448015E-2</v>
      </c>
      <c r="R157" s="72">
        <f>0.4*R156/$C$196</f>
        <v>2.5582037002383384E-2</v>
      </c>
      <c r="S157" s="72"/>
      <c r="T157" s="74"/>
      <c r="U157" s="86"/>
      <c r="V157" s="86"/>
    </row>
    <row r="158" spans="1:22" x14ac:dyDescent="0.25">
      <c r="L158" s="78"/>
      <c r="M158" s="78"/>
      <c r="S158" s="78"/>
      <c r="T158" s="80"/>
      <c r="U158" s="87"/>
      <c r="V158" s="87"/>
    </row>
    <row r="159" spans="1:22" x14ac:dyDescent="0.25">
      <c r="A159" s="8">
        <v>2016</v>
      </c>
      <c r="B159" s="4" t="s">
        <v>20</v>
      </c>
      <c r="C159" s="60">
        <v>482.40751700680272</v>
      </c>
      <c r="D159" s="60">
        <v>188961732117276.56</v>
      </c>
      <c r="E159" s="60">
        <v>45080557896226.414</v>
      </c>
      <c r="F159" s="60">
        <v>41051433283782.633</v>
      </c>
      <c r="G159" s="60">
        <v>72683697788184.141</v>
      </c>
      <c r="H159" s="60">
        <v>14699770940551.078</v>
      </c>
      <c r="I159" s="60">
        <v>5791690584352.041</v>
      </c>
      <c r="J159" s="60">
        <v>27670383994407.18</v>
      </c>
      <c r="K159" s="60">
        <v>395939266604780.06</v>
      </c>
      <c r="L159" s="72">
        <v>8.6638789191417959E-2</v>
      </c>
      <c r="M159" s="72">
        <f t="shared" si="49"/>
        <v>41.795203170307758</v>
      </c>
      <c r="N159" s="73">
        <f>M159/$M$168</f>
        <v>3.0099660766111452E-2</v>
      </c>
      <c r="O159" s="60">
        <v>286761167419718.75</v>
      </c>
      <c r="P159" s="60">
        <v>542301848483.12903</v>
      </c>
      <c r="Q159" s="60">
        <v>142616708393932.03</v>
      </c>
      <c r="R159" s="60">
        <v>429920177662133.88</v>
      </c>
      <c r="S159" s="72">
        <v>0.18793444624535438</v>
      </c>
      <c r="T159" s="74">
        <f t="shared" si="51"/>
        <v>0.10129565705393642</v>
      </c>
      <c r="U159" s="86">
        <f t="shared" si="52"/>
        <v>8.6638789191417959E-2</v>
      </c>
      <c r="V159" s="86">
        <f t="shared" si="53"/>
        <v>1</v>
      </c>
    </row>
    <row r="160" spans="1:22" x14ac:dyDescent="0.25">
      <c r="A160" s="8"/>
      <c r="B160" s="4" t="s">
        <v>21</v>
      </c>
      <c r="C160" s="60">
        <v>93.5</v>
      </c>
      <c r="D160" s="60">
        <v>26541176470588.234</v>
      </c>
      <c r="E160" s="60">
        <v>8898395721925.1328</v>
      </c>
      <c r="F160" s="60">
        <v>6126288770053.4756</v>
      </c>
      <c r="G160" s="60">
        <v>31866322580645.156</v>
      </c>
      <c r="H160" s="60">
        <v>552513368983.95728</v>
      </c>
      <c r="I160" s="60">
        <v>597105312999273.75</v>
      </c>
      <c r="J160" s="60">
        <v>305747810552760.69</v>
      </c>
      <c r="K160" s="60">
        <v>976837820464230.5</v>
      </c>
      <c r="L160" s="72">
        <v>0.213750070123464</v>
      </c>
      <c r="M160" s="72">
        <f t="shared" si="49"/>
        <v>19.985631556543883</v>
      </c>
      <c r="N160" s="73">
        <f t="shared" ref="N160:N167" si="63">M160/$M$168</f>
        <v>1.4393056724648846E-2</v>
      </c>
      <c r="O160" s="60">
        <v>499655430177953.19</v>
      </c>
      <c r="P160" s="60">
        <v>0</v>
      </c>
      <c r="Q160" s="60">
        <v>123959231529411.77</v>
      </c>
      <c r="R160" s="60">
        <v>623614661707365</v>
      </c>
      <c r="S160" s="72">
        <v>0.27260566544183429</v>
      </c>
      <c r="T160" s="74">
        <f t="shared" si="51"/>
        <v>5.8855595318370285E-2</v>
      </c>
      <c r="U160" s="86">
        <f t="shared" si="52"/>
        <v>0.213750070123464</v>
      </c>
      <c r="V160" s="86">
        <f t="shared" si="53"/>
        <v>1</v>
      </c>
    </row>
    <row r="161" spans="1:22" x14ac:dyDescent="0.25">
      <c r="A161" s="8"/>
      <c r="B161" s="4" t="s">
        <v>22</v>
      </c>
      <c r="C161" s="60">
        <v>1822.531145918183</v>
      </c>
      <c r="D161" s="60">
        <v>128496635311006.77</v>
      </c>
      <c r="E161" s="60">
        <v>56894061992976.719</v>
      </c>
      <c r="F161" s="60">
        <v>27189044264610.07</v>
      </c>
      <c r="G161" s="60">
        <v>46138084829832.313</v>
      </c>
      <c r="H161" s="60">
        <v>8738616092059.3496</v>
      </c>
      <c r="I161" s="60">
        <v>3113174877837.0977</v>
      </c>
      <c r="J161" s="60">
        <v>28424037135299.156</v>
      </c>
      <c r="K161" s="60">
        <v>298993654503621.5</v>
      </c>
      <c r="L161" s="72">
        <v>6.5425307331208202E-2</v>
      </c>
      <c r="M161" s="72">
        <f t="shared" si="49"/>
        <v>119.23966034239619</v>
      </c>
      <c r="N161" s="73">
        <f t="shared" si="63"/>
        <v>8.5872852718233361E-2</v>
      </c>
      <c r="O161" s="60">
        <v>29489121824549.691</v>
      </c>
      <c r="P161" s="60">
        <v>684218756163.4314</v>
      </c>
      <c r="Q161" s="60">
        <v>33909215045466.414</v>
      </c>
      <c r="R161" s="60">
        <v>64082555626179.531</v>
      </c>
      <c r="S161" s="72">
        <v>2.8012920145045587E-2</v>
      </c>
      <c r="T161" s="74">
        <f t="shared" si="51"/>
        <v>-3.7412387186162618E-2</v>
      </c>
      <c r="U161" s="86">
        <f t="shared" si="52"/>
        <v>2.8012920145045587E-2</v>
      </c>
      <c r="V161" s="86">
        <f t="shared" si="53"/>
        <v>2.3355404217928148</v>
      </c>
    </row>
    <row r="162" spans="1:22" x14ac:dyDescent="0.25">
      <c r="A162" s="8"/>
      <c r="B162" s="4" t="s">
        <v>23</v>
      </c>
      <c r="C162" s="60">
        <v>674.86863772455081</v>
      </c>
      <c r="D162" s="60">
        <v>752644250461250.88</v>
      </c>
      <c r="E162" s="60">
        <v>104055805936950.48</v>
      </c>
      <c r="F162" s="60">
        <v>31626895675527.898</v>
      </c>
      <c r="G162" s="60">
        <v>65653495440729.492</v>
      </c>
      <c r="H162" s="60">
        <v>37340600216609.023</v>
      </c>
      <c r="I162" s="60">
        <v>220257741578739.56</v>
      </c>
      <c r="J162" s="60">
        <v>90400001426041.031</v>
      </c>
      <c r="K162" s="60">
        <v>1301978790735848.3</v>
      </c>
      <c r="L162" s="72">
        <v>0.28489689075182673</v>
      </c>
      <c r="M162" s="72">
        <f t="shared" si="49"/>
        <v>192.26797655364547</v>
      </c>
      <c r="N162" s="73">
        <f t="shared" si="63"/>
        <v>0.13846567145204727</v>
      </c>
      <c r="O162" s="60">
        <v>8420140226571.0361</v>
      </c>
      <c r="P162" s="60">
        <v>1364515799031.7986</v>
      </c>
      <c r="Q162" s="60">
        <v>22142293282117.336</v>
      </c>
      <c r="R162" s="60">
        <v>31926949307720.172</v>
      </c>
      <c r="S162" s="72">
        <v>1.3956482738442934E-2</v>
      </c>
      <c r="T162" s="74">
        <f t="shared" si="51"/>
        <v>-0.27094040801338382</v>
      </c>
      <c r="U162" s="86">
        <f t="shared" si="52"/>
        <v>1.3956482738442934E-2</v>
      </c>
      <c r="V162" s="86">
        <f t="shared" si="53"/>
        <v>20.413229901190096</v>
      </c>
    </row>
    <row r="163" spans="1:22" x14ac:dyDescent="0.25">
      <c r="A163" s="8"/>
      <c r="B163" s="4" t="s">
        <v>24</v>
      </c>
      <c r="C163" s="60">
        <v>1012.2953405017921</v>
      </c>
      <c r="D163" s="60">
        <v>634597408777525.38</v>
      </c>
      <c r="E163" s="60">
        <v>134664257105467.39</v>
      </c>
      <c r="F163" s="60">
        <v>22918212770296.68</v>
      </c>
      <c r="G163" s="60">
        <v>76131181345917.438</v>
      </c>
      <c r="H163" s="60">
        <v>45929283816473.016</v>
      </c>
      <c r="I163" s="60">
        <v>21950467356892.465</v>
      </c>
      <c r="J163" s="60">
        <v>30642948739697.227</v>
      </c>
      <c r="K163" s="60">
        <v>966833759912269.5</v>
      </c>
      <c r="L163" s="72">
        <v>0.21156099779261914</v>
      </c>
      <c r="M163" s="72">
        <f t="shared" si="49"/>
        <v>214.16221229737829</v>
      </c>
      <c r="N163" s="73">
        <f t="shared" si="63"/>
        <v>0.15423324807882641</v>
      </c>
      <c r="O163" s="60">
        <v>16039556241187.709</v>
      </c>
      <c r="P163" s="60">
        <v>18895757094339.891</v>
      </c>
      <c r="Q163" s="60">
        <v>52138664672542.328</v>
      </c>
      <c r="R163" s="60">
        <v>87073978008069.938</v>
      </c>
      <c r="S163" s="72">
        <v>3.8063344522031486E-2</v>
      </c>
      <c r="T163" s="74">
        <f t="shared" si="51"/>
        <v>-0.17349765327058764</v>
      </c>
      <c r="U163" s="86">
        <f t="shared" si="52"/>
        <v>3.8063344522031486E-2</v>
      </c>
      <c r="V163" s="86">
        <f t="shared" si="53"/>
        <v>5.5581294930655734</v>
      </c>
    </row>
    <row r="164" spans="1:22" x14ac:dyDescent="0.25">
      <c r="A164" s="8"/>
      <c r="B164" s="4" t="s">
        <v>25</v>
      </c>
      <c r="C164" s="60">
        <v>2995.936989489951</v>
      </c>
      <c r="D164" s="60">
        <v>108680523369562.72</v>
      </c>
      <c r="E164" s="60">
        <v>60348398726096.25</v>
      </c>
      <c r="F164" s="60">
        <v>20753440482266.375</v>
      </c>
      <c r="G164" s="60">
        <v>80026235365353.281</v>
      </c>
      <c r="H164" s="60">
        <v>11775948600977.188</v>
      </c>
      <c r="I164" s="60">
        <v>37849998592888.047</v>
      </c>
      <c r="J164" s="60">
        <v>83692128697980.125</v>
      </c>
      <c r="K164" s="60">
        <v>403126673835124</v>
      </c>
      <c r="L164" s="72">
        <v>8.8211526003309407E-2</v>
      </c>
      <c r="M164" s="72">
        <f t="shared" si="49"/>
        <v>264.27617365266929</v>
      </c>
      <c r="N164" s="73">
        <f t="shared" si="63"/>
        <v>0.19032383077784504</v>
      </c>
      <c r="O164" s="60">
        <v>17314784139962.986</v>
      </c>
      <c r="P164" s="60">
        <v>2781198028609.9561</v>
      </c>
      <c r="Q164" s="60">
        <v>23125765038801.859</v>
      </c>
      <c r="R164" s="60">
        <v>43221747207374.797</v>
      </c>
      <c r="S164" s="72">
        <v>1.8893868092784125E-2</v>
      </c>
      <c r="T164" s="74">
        <f t="shared" si="51"/>
        <v>-6.9317657910525285E-2</v>
      </c>
      <c r="U164" s="86">
        <f t="shared" si="52"/>
        <v>1.8893868092784125E-2</v>
      </c>
      <c r="V164" s="86">
        <f t="shared" si="53"/>
        <v>4.6687912485743892</v>
      </c>
    </row>
    <row r="165" spans="1:22" x14ac:dyDescent="0.25">
      <c r="A165" s="8"/>
      <c r="B165" s="4" t="s">
        <v>26</v>
      </c>
      <c r="C165" s="60">
        <v>2418.4832906747943</v>
      </c>
      <c r="D165" s="60">
        <v>116386398485913.53</v>
      </c>
      <c r="E165" s="60">
        <v>58031081108210.156</v>
      </c>
      <c r="F165" s="60">
        <v>16815199905165.854</v>
      </c>
      <c r="G165" s="60">
        <v>67173820985600.289</v>
      </c>
      <c r="H165" s="60">
        <v>9434044918968.1855</v>
      </c>
      <c r="I165" s="60">
        <v>14739984494275.92</v>
      </c>
      <c r="J165" s="60">
        <v>82894350468730.203</v>
      </c>
      <c r="K165" s="60">
        <v>365474880366864.13</v>
      </c>
      <c r="L165" s="72">
        <v>7.9972621524477927E-2</v>
      </c>
      <c r="M165" s="72">
        <f t="shared" si="49"/>
        <v>193.41244886840926</v>
      </c>
      <c r="N165" s="73">
        <f t="shared" si="63"/>
        <v>0.13928988633360262</v>
      </c>
      <c r="O165" s="60">
        <v>16098433516041.428</v>
      </c>
      <c r="P165" s="60">
        <v>5338830703583.2861</v>
      </c>
      <c r="Q165" s="60">
        <v>23991157126560.469</v>
      </c>
      <c r="R165" s="60">
        <v>45428421346185.188</v>
      </c>
      <c r="S165" s="72">
        <v>1.9858489210537726E-2</v>
      </c>
      <c r="T165" s="74">
        <f t="shared" si="51"/>
        <v>-6.0114132313940201E-2</v>
      </c>
      <c r="U165" s="86">
        <f t="shared" si="52"/>
        <v>1.9858489210537726E-2</v>
      </c>
      <c r="V165" s="86">
        <f t="shared" si="53"/>
        <v>4.027125159251348</v>
      </c>
    </row>
    <row r="166" spans="1:22" x14ac:dyDescent="0.25">
      <c r="A166" s="8"/>
      <c r="B166" s="4" t="s">
        <v>27</v>
      </c>
      <c r="C166" s="60">
        <v>1801.3333216634601</v>
      </c>
      <c r="D166" s="60">
        <v>141946410986212.06</v>
      </c>
      <c r="E166" s="60">
        <v>104340489202983.13</v>
      </c>
      <c r="F166" s="60">
        <v>19761609010334.273</v>
      </c>
      <c r="G166" s="60">
        <v>75347369904882.297</v>
      </c>
      <c r="H166" s="60">
        <v>17678033275148.27</v>
      </c>
      <c r="I166" s="60">
        <v>169734462482404.47</v>
      </c>
      <c r="J166" s="60">
        <v>112221528815673.36</v>
      </c>
      <c r="K166" s="60">
        <v>641029903677637.88</v>
      </c>
      <c r="L166" s="72">
        <v>0.14026912553121179</v>
      </c>
      <c r="M166" s="72">
        <f t="shared" si="49"/>
        <v>252.6714498199666</v>
      </c>
      <c r="N166" s="73">
        <f t="shared" si="63"/>
        <v>0.18196645423333027</v>
      </c>
      <c r="O166" s="60">
        <v>11382234064821.816</v>
      </c>
      <c r="P166" s="60">
        <v>4139100089854.9932</v>
      </c>
      <c r="Q166" s="60">
        <v>12613086019537.258</v>
      </c>
      <c r="R166" s="60">
        <v>28134420174214.066</v>
      </c>
      <c r="S166" s="72">
        <v>1.2298624141410584E-2</v>
      </c>
      <c r="T166" s="74">
        <f t="shared" si="51"/>
        <v>-0.12797050138980121</v>
      </c>
      <c r="U166" s="86">
        <f t="shared" si="52"/>
        <v>1.2298624141410584E-2</v>
      </c>
      <c r="V166" s="86">
        <f t="shared" si="53"/>
        <v>11.405269721099364</v>
      </c>
    </row>
    <row r="167" spans="1:22" x14ac:dyDescent="0.25">
      <c r="A167" s="8"/>
      <c r="B167" s="4" t="s">
        <v>28</v>
      </c>
      <c r="C167" s="60">
        <v>864.93406110624892</v>
      </c>
      <c r="D167" s="60">
        <v>82817873894783.156</v>
      </c>
      <c r="E167" s="60">
        <v>54570633904313.227</v>
      </c>
      <c r="F167" s="60">
        <v>19848911925195.965</v>
      </c>
      <c r="G167" s="60">
        <v>59880502841177.117</v>
      </c>
      <c r="H167" s="60">
        <v>9323254063652.1582</v>
      </c>
      <c r="I167" s="60">
        <v>170450611732619.69</v>
      </c>
      <c r="J167" s="60">
        <v>117642711192781.97</v>
      </c>
      <c r="K167" s="60">
        <v>514534499554523.25</v>
      </c>
      <c r="L167" s="72">
        <v>0.11258960602943616</v>
      </c>
      <c r="M167" s="72">
        <f t="shared" si="49"/>
        <v>97.382585181392827</v>
      </c>
      <c r="N167" s="73">
        <f t="shared" si="63"/>
        <v>7.0132038036586297E-2</v>
      </c>
      <c r="O167" s="60">
        <v>18701920094728.547</v>
      </c>
      <c r="P167" s="60">
        <v>2727207396065.3276</v>
      </c>
      <c r="Q167" s="60">
        <v>11823407057088.686</v>
      </c>
      <c r="R167" s="60">
        <v>33252534547882.563</v>
      </c>
      <c r="S167" s="72">
        <v>1.4535946417993035E-2</v>
      </c>
      <c r="T167" s="74">
        <f t="shared" si="51"/>
        <v>-9.805365961144312E-2</v>
      </c>
      <c r="U167" s="86">
        <f t="shared" si="52"/>
        <v>1.4535946417993035E-2</v>
      </c>
      <c r="V167" s="86">
        <f t="shared" si="53"/>
        <v>7.7455985865543182</v>
      </c>
    </row>
    <row r="168" spans="1:22" x14ac:dyDescent="0.25">
      <c r="A168" s="8"/>
      <c r="B168" s="60" t="s">
        <v>45</v>
      </c>
      <c r="C168" s="60">
        <f>SUM(C159:C167)</f>
        <v>12166.290304085784</v>
      </c>
      <c r="D168" s="60">
        <f>(D159*$C$3+D160*$C$4+D161*$C$5+D162*$C$6+D163*$C$7+D164*$C$8+D165*$C$9+D166*$C$10+D167*$C$11)/$C$12</f>
        <v>195339119033554.22</v>
      </c>
      <c r="E168" s="60">
        <f t="shared" ref="E168:K168" si="64">(E159*$C$3+E160*$C$4+E161*$C$5+E162*$C$6+E163*$C$7+E164*$C$8+E165*$C$9+E166*$C$10+E167*$C$11)/$C$12</f>
        <v>73396761018870.547</v>
      </c>
      <c r="F168" s="60">
        <f t="shared" si="64"/>
        <v>22165778474620.371</v>
      </c>
      <c r="G168" s="60">
        <f t="shared" si="64"/>
        <v>68569566202815.336</v>
      </c>
      <c r="H168" s="60">
        <f t="shared" si="64"/>
        <v>15792585312466.684</v>
      </c>
      <c r="I168" s="60">
        <f t="shared" si="64"/>
        <v>68974472220212.742</v>
      </c>
      <c r="J168" s="60">
        <f t="shared" si="64"/>
        <v>77344041292918.031</v>
      </c>
      <c r="K168" s="60">
        <f t="shared" si="64"/>
        <v>521582323555457.88</v>
      </c>
      <c r="L168" s="72">
        <f>(L159*$C$3+L160*$C$4+L161*$C$5+L162*$C$6+L163*$C$7+L164*$C$8+L165*$C$9+L166*$C$10+L167*$C$11)/$C$12</f>
        <v>0.11413179946508925</v>
      </c>
      <c r="M168" s="72">
        <f t="shared" si="49"/>
        <v>1388.5606052199785</v>
      </c>
      <c r="N168" s="73"/>
      <c r="O168" s="60">
        <f t="shared" ref="O168:S168" si="65">(O159*$C$3+O160*$C$4+O161*$C$5+O162*$C$6+O163*$C$7+O164*$C$8+O165*$C$9+O166*$C$10+O167*$C$11)/$C$12</f>
        <v>31275669278044.328</v>
      </c>
      <c r="P168" s="60">
        <f t="shared" si="65"/>
        <v>4319336062800.1436</v>
      </c>
      <c r="Q168" s="60">
        <f t="shared" si="65"/>
        <v>30118982923558.07</v>
      </c>
      <c r="R168" s="60">
        <f t="shared" si="65"/>
        <v>65713988264402.555</v>
      </c>
      <c r="S168" s="72">
        <f t="shared" si="65"/>
        <v>2.8726081344220545E-2</v>
      </c>
      <c r="T168" s="74">
        <f t="shared" si="51"/>
        <v>-8.5405718120868709E-2</v>
      </c>
      <c r="U168" s="86">
        <f t="shared" si="52"/>
        <v>2.8726081344220545E-2</v>
      </c>
      <c r="V168" s="86">
        <f t="shared" si="53"/>
        <v>3.9731071599172942</v>
      </c>
    </row>
    <row r="169" spans="1:22" ht="58.2" x14ac:dyDescent="0.25">
      <c r="A169" s="8"/>
      <c r="B169" s="75" t="s">
        <v>54</v>
      </c>
      <c r="C169" s="75"/>
      <c r="D169" s="72">
        <f t="shared" ref="D169:K169" si="66">D168/$B$196</f>
        <v>4.2743789722878386E-2</v>
      </c>
      <c r="E169" s="72">
        <f t="shared" si="66"/>
        <v>1.6060560398002306E-2</v>
      </c>
      <c r="F169" s="72">
        <f t="shared" si="66"/>
        <v>4.8502797537462519E-3</v>
      </c>
      <c r="G169" s="72">
        <f t="shared" si="66"/>
        <v>1.500428144481736E-2</v>
      </c>
      <c r="H169" s="72">
        <f t="shared" si="66"/>
        <v>3.4557079458351603E-3</v>
      </c>
      <c r="I169" s="72">
        <f t="shared" si="66"/>
        <v>1.5092882323897756E-2</v>
      </c>
      <c r="J169" s="72">
        <f t="shared" si="66"/>
        <v>1.6924297875912042E-2</v>
      </c>
      <c r="K169" s="72">
        <f t="shared" si="66"/>
        <v>0.11413179946508925</v>
      </c>
      <c r="L169" s="72"/>
      <c r="M169" s="72"/>
      <c r="N169" s="73"/>
      <c r="O169" s="72">
        <f>0.4*O168/$C$196</f>
        <v>1.3671783489402388E-2</v>
      </c>
      <c r="P169" s="72">
        <f>0.4*P168/$C$196</f>
        <v>1.8881459240274942E-3</v>
      </c>
      <c r="Q169" s="72">
        <f>0.4*Q168/$C$196</f>
        <v>1.3166151930790666E-2</v>
      </c>
      <c r="R169" s="72">
        <f>0.4*R168/$C$196</f>
        <v>2.8726081344220552E-2</v>
      </c>
      <c r="S169" s="72"/>
      <c r="T169" s="74"/>
      <c r="U169" s="86"/>
      <c r="V169" s="86"/>
    </row>
    <row r="170" spans="1:22" x14ac:dyDescent="0.25">
      <c r="L170" s="78"/>
      <c r="M170" s="78"/>
      <c r="S170" s="78"/>
      <c r="T170" s="80"/>
      <c r="U170" s="87"/>
      <c r="V170" s="87"/>
    </row>
    <row r="171" spans="1:22" x14ac:dyDescent="0.25">
      <c r="A171" s="8">
        <v>2017</v>
      </c>
      <c r="B171" s="4" t="s">
        <v>20</v>
      </c>
      <c r="C171" s="60">
        <v>486.47503401360547</v>
      </c>
      <c r="D171" s="60">
        <v>183118133041763.91</v>
      </c>
      <c r="E171" s="60">
        <v>46242866390078.391</v>
      </c>
      <c r="F171" s="60">
        <v>40789266894722.164</v>
      </c>
      <c r="G171" s="60">
        <v>73220252078911.734</v>
      </c>
      <c r="H171" s="60">
        <v>15586986936287.322</v>
      </c>
      <c r="I171" s="60">
        <v>7660705360612.5791</v>
      </c>
      <c r="J171" s="60">
        <v>27278064061442.32</v>
      </c>
      <c r="K171" s="60">
        <v>393896274763818.38</v>
      </c>
      <c r="L171" s="72">
        <v>8.619174502490555E-2</v>
      </c>
      <c r="M171" s="72">
        <f t="shared" si="49"/>
        <v>41.930132092682939</v>
      </c>
      <c r="N171" s="73">
        <f>M171/$M$180</f>
        <v>3.0266889050094968E-2</v>
      </c>
      <c r="O171" s="60">
        <v>328761098387896.81</v>
      </c>
      <c r="P171" s="60">
        <v>537767552091.12958</v>
      </c>
      <c r="Q171" s="60">
        <v>144871711295319.94</v>
      </c>
      <c r="R171" s="60">
        <v>474170577235307.88</v>
      </c>
      <c r="S171" s="72">
        <v>0.20727797737511597</v>
      </c>
      <c r="T171" s="74">
        <f t="shared" si="51"/>
        <v>0.12108623235021042</v>
      </c>
      <c r="U171" s="86">
        <f t="shared" si="52"/>
        <v>8.619174502490555E-2</v>
      </c>
      <c r="V171" s="86">
        <f t="shared" si="53"/>
        <v>1</v>
      </c>
    </row>
    <row r="172" spans="1:22" x14ac:dyDescent="0.25">
      <c r="A172" s="8"/>
      <c r="B172" s="4" t="s">
        <v>21</v>
      </c>
      <c r="C172" s="60">
        <v>94</v>
      </c>
      <c r="D172" s="60">
        <v>22177872340425.531</v>
      </c>
      <c r="E172" s="60">
        <v>8064680851063.8301</v>
      </c>
      <c r="F172" s="60">
        <v>5846893617021.2764</v>
      </c>
      <c r="G172" s="60">
        <v>30412068620320.855</v>
      </c>
      <c r="H172" s="60">
        <v>552255319148.93616</v>
      </c>
      <c r="I172" s="60">
        <v>615576126783994.5</v>
      </c>
      <c r="J172" s="60">
        <v>312406640855967.06</v>
      </c>
      <c r="K172" s="60">
        <v>995036538387942</v>
      </c>
      <c r="L172" s="72">
        <v>0.21773228411114703</v>
      </c>
      <c r="M172" s="72">
        <f t="shared" si="49"/>
        <v>20.46683470644782</v>
      </c>
      <c r="N172" s="73">
        <f t="shared" ref="N172:N179" si="67">M172/$M$180</f>
        <v>1.4773800709652188E-2</v>
      </c>
      <c r="O172" s="60">
        <v>660371661889115</v>
      </c>
      <c r="P172" s="60">
        <v>0</v>
      </c>
      <c r="Q172" s="60">
        <v>145249053970314.84</v>
      </c>
      <c r="R172" s="60">
        <v>805620715859429.88</v>
      </c>
      <c r="S172" s="72">
        <v>0.35216742778193899</v>
      </c>
      <c r="T172" s="74">
        <f t="shared" si="51"/>
        <v>0.13443514367079196</v>
      </c>
      <c r="U172" s="86">
        <f t="shared" si="52"/>
        <v>0.21773228411114703</v>
      </c>
      <c r="V172" s="86">
        <f t="shared" si="53"/>
        <v>1</v>
      </c>
    </row>
    <row r="173" spans="1:22" x14ac:dyDescent="0.25">
      <c r="A173" s="8"/>
      <c r="B173" s="4" t="s">
        <v>22</v>
      </c>
      <c r="C173" s="60">
        <v>1833.7037506441181</v>
      </c>
      <c r="D173" s="60">
        <v>125666929523951.56</v>
      </c>
      <c r="E173" s="60">
        <v>59145868007252.031</v>
      </c>
      <c r="F173" s="60">
        <v>28927508045597.48</v>
      </c>
      <c r="G173" s="60">
        <v>46591423246827.719</v>
      </c>
      <c r="H173" s="60">
        <v>8738968873445.9277</v>
      </c>
      <c r="I173" s="60">
        <v>3116001012194.4683</v>
      </c>
      <c r="J173" s="60">
        <v>27479464084309.047</v>
      </c>
      <c r="K173" s="60">
        <v>299666162793578.25</v>
      </c>
      <c r="L173" s="72">
        <v>6.5572464506253453E-2</v>
      </c>
      <c r="M173" s="72">
        <f t="shared" si="49"/>
        <v>120.24047410409527</v>
      </c>
      <c r="N173" s="73">
        <f t="shared" si="67"/>
        <v>8.6794505702846317E-2</v>
      </c>
      <c r="O173" s="60">
        <v>39507824059732.68</v>
      </c>
      <c r="P173" s="60">
        <v>556404437522.63843</v>
      </c>
      <c r="Q173" s="60">
        <v>38018457870041.242</v>
      </c>
      <c r="R173" s="60">
        <v>78082686367296.563</v>
      </c>
      <c r="S173" s="72">
        <v>3.4132909284662401E-2</v>
      </c>
      <c r="T173" s="74">
        <f t="shared" si="51"/>
        <v>-3.1439555221591052E-2</v>
      </c>
      <c r="U173" s="86">
        <f t="shared" si="52"/>
        <v>3.4132909284662401E-2</v>
      </c>
      <c r="V173" s="86">
        <f t="shared" si="53"/>
        <v>1.921092162387646</v>
      </c>
    </row>
    <row r="174" spans="1:22" x14ac:dyDescent="0.25">
      <c r="A174" s="8"/>
      <c r="B174" s="4" t="s">
        <v>23</v>
      </c>
      <c r="C174" s="60">
        <v>681.86727544910173</v>
      </c>
      <c r="D174" s="60">
        <v>727522228828577.5</v>
      </c>
      <c r="E174" s="60">
        <v>105967836559409.11</v>
      </c>
      <c r="F174" s="60">
        <v>33343732451488.117</v>
      </c>
      <c r="G174" s="60">
        <v>67379038613081.172</v>
      </c>
      <c r="H174" s="60">
        <v>46196673655078.984</v>
      </c>
      <c r="I174" s="60">
        <v>225860812143379.72</v>
      </c>
      <c r="J174" s="60">
        <v>81001687522867.234</v>
      </c>
      <c r="K174" s="60">
        <v>1287272009773881.8</v>
      </c>
      <c r="L174" s="72">
        <v>0.2816787767557728</v>
      </c>
      <c r="M174" s="72">
        <f t="shared" si="49"/>
        <v>192.06754005829455</v>
      </c>
      <c r="N174" s="73">
        <f t="shared" si="67"/>
        <v>0.13864222779502108</v>
      </c>
      <c r="O174" s="60">
        <v>9650916605150.0293</v>
      </c>
      <c r="P174" s="60">
        <v>1355626075001.1833</v>
      </c>
      <c r="Q174" s="60">
        <v>24141145630369.441</v>
      </c>
      <c r="R174" s="60">
        <v>35147688310520.656</v>
      </c>
      <c r="S174" s="72">
        <v>1.5364390141820981E-2</v>
      </c>
      <c r="T174" s="74">
        <f t="shared" si="51"/>
        <v>-0.26631438661395179</v>
      </c>
      <c r="U174" s="86">
        <f t="shared" si="52"/>
        <v>1.5364390141820981E-2</v>
      </c>
      <c r="V174" s="86">
        <f t="shared" si="53"/>
        <v>18.333222090544254</v>
      </c>
    </row>
    <row r="175" spans="1:22" x14ac:dyDescent="0.25">
      <c r="A175" s="8"/>
      <c r="B175" s="4" t="s">
        <v>24</v>
      </c>
      <c r="C175" s="60">
        <v>1015.9106810035842</v>
      </c>
      <c r="D175" s="60">
        <v>635024330448715.88</v>
      </c>
      <c r="E175" s="60">
        <v>132295094945975.7</v>
      </c>
      <c r="F175" s="60">
        <v>24891952090727.93</v>
      </c>
      <c r="G175" s="60">
        <v>79984562568335.422</v>
      </c>
      <c r="H175" s="60">
        <v>36835915499020.109</v>
      </c>
      <c r="I175" s="60">
        <v>21579841683225.383</v>
      </c>
      <c r="J175" s="60">
        <v>30404117779855.465</v>
      </c>
      <c r="K175" s="60">
        <v>961015815015855.88</v>
      </c>
      <c r="L175" s="72">
        <v>0.21028792451112821</v>
      </c>
      <c r="M175" s="72">
        <f t="shared" si="49"/>
        <v>213.63374859693056</v>
      </c>
      <c r="N175" s="73">
        <f t="shared" si="67"/>
        <v>0.15420960162602351</v>
      </c>
      <c r="O175" s="60">
        <v>6168412271274.1025</v>
      </c>
      <c r="P175" s="60">
        <v>13987262807151.055</v>
      </c>
      <c r="Q175" s="60">
        <v>35429698209731.703</v>
      </c>
      <c r="R175" s="60">
        <v>55585373288156.859</v>
      </c>
      <c r="S175" s="72">
        <v>2.4298478859628461E-2</v>
      </c>
      <c r="T175" s="74">
        <f t="shared" si="51"/>
        <v>-0.18598944565149975</v>
      </c>
      <c r="U175" s="86">
        <f t="shared" si="52"/>
        <v>2.4298478859628461E-2</v>
      </c>
      <c r="V175" s="86">
        <f t="shared" si="53"/>
        <v>8.6543658031416228</v>
      </c>
    </row>
    <row r="176" spans="1:22" x14ac:dyDescent="0.25">
      <c r="A176" s="8"/>
      <c r="B176" s="4" t="s">
        <v>25</v>
      </c>
      <c r="C176" s="60">
        <v>3013.2227523456495</v>
      </c>
      <c r="D176" s="60">
        <v>109283656425220.77</v>
      </c>
      <c r="E176" s="60">
        <v>63347457419604.664</v>
      </c>
      <c r="F176" s="60">
        <v>21019355422925.82</v>
      </c>
      <c r="G176" s="60">
        <v>82471694453782.422</v>
      </c>
      <c r="H176" s="60">
        <v>13464653407524.102</v>
      </c>
      <c r="I176" s="60">
        <v>38586706250427.992</v>
      </c>
      <c r="J176" s="60">
        <v>87903043985541.672</v>
      </c>
      <c r="K176" s="60">
        <v>416076567365027.5</v>
      </c>
      <c r="L176" s="72">
        <v>9.1045200736329865E-2</v>
      </c>
      <c r="M176" s="72">
        <f t="shared" si="49"/>
        <v>274.33947035058605</v>
      </c>
      <c r="N176" s="73">
        <f t="shared" si="67"/>
        <v>0.1980294813479016</v>
      </c>
      <c r="O176" s="60">
        <v>21049244839596.781</v>
      </c>
      <c r="P176" s="60">
        <v>3296297359386.9131</v>
      </c>
      <c r="Q176" s="60">
        <v>27769190524949.813</v>
      </c>
      <c r="R176" s="60">
        <v>52114732723933.508</v>
      </c>
      <c r="S176" s="72">
        <v>2.2781329987712581E-2</v>
      </c>
      <c r="T176" s="74">
        <f t="shared" si="51"/>
        <v>-6.8263870748617284E-2</v>
      </c>
      <c r="U176" s="86">
        <f t="shared" si="52"/>
        <v>2.2781329987712581E-2</v>
      </c>
      <c r="V176" s="86">
        <f t="shared" si="53"/>
        <v>3.9964831195297346</v>
      </c>
    </row>
    <row r="177" spans="1:22" x14ac:dyDescent="0.25">
      <c r="A177" s="8"/>
      <c r="B177" s="4" t="s">
        <v>26</v>
      </c>
      <c r="C177" s="60">
        <v>2431.6200820418489</v>
      </c>
      <c r="D177" s="60">
        <v>111872278901222.81</v>
      </c>
      <c r="E177" s="60">
        <v>58313056816397.711</v>
      </c>
      <c r="F177" s="60">
        <v>16535444947566.445</v>
      </c>
      <c r="G177" s="60">
        <v>67837326241862.836</v>
      </c>
      <c r="H177" s="60">
        <v>9488784934127.2656</v>
      </c>
      <c r="I177" s="60">
        <v>14875718543475.795</v>
      </c>
      <c r="J177" s="60">
        <v>79940405141437.094</v>
      </c>
      <c r="K177" s="60">
        <v>358863015526089.94</v>
      </c>
      <c r="L177" s="72">
        <v>7.8525823966321656E-2</v>
      </c>
      <c r="M177" s="72">
        <f t="shared" si="49"/>
        <v>190.94497051539085</v>
      </c>
      <c r="N177" s="73">
        <f t="shared" si="67"/>
        <v>0.13783191105833684</v>
      </c>
      <c r="O177" s="60">
        <v>17227864819076.516</v>
      </c>
      <c r="P177" s="60">
        <v>5047762590784.251</v>
      </c>
      <c r="Q177" s="60">
        <v>23097916627846.547</v>
      </c>
      <c r="R177" s="60">
        <v>45373544037707.313</v>
      </c>
      <c r="S177" s="72">
        <v>1.9834500253712514E-2</v>
      </c>
      <c r="T177" s="74">
        <f t="shared" si="51"/>
        <v>-5.8691323712609142E-2</v>
      </c>
      <c r="U177" s="86">
        <f t="shared" si="52"/>
        <v>1.9834500253712514E-2</v>
      </c>
      <c r="V177" s="86">
        <f t="shared" si="53"/>
        <v>3.9590523059245526</v>
      </c>
    </row>
    <row r="178" spans="1:22" x14ac:dyDescent="0.25">
      <c r="A178" s="8"/>
      <c r="B178" s="4" t="s">
        <v>27</v>
      </c>
      <c r="C178" s="60">
        <v>1806.4357135733335</v>
      </c>
      <c r="D178" s="60">
        <v>145666739216245.97</v>
      </c>
      <c r="E178" s="60">
        <v>104931494974180.27</v>
      </c>
      <c r="F178" s="60">
        <v>22514065778488.027</v>
      </c>
      <c r="G178" s="60">
        <v>85615511790778.391</v>
      </c>
      <c r="H178" s="60">
        <v>20140283302986.77</v>
      </c>
      <c r="I178" s="60">
        <v>124840731030399.39</v>
      </c>
      <c r="J178" s="60">
        <v>113867345411628.09</v>
      </c>
      <c r="K178" s="60">
        <v>617576171504706.88</v>
      </c>
      <c r="L178" s="72">
        <v>0.13513701783472798</v>
      </c>
      <c r="M178" s="72">
        <f t="shared" si="49"/>
        <v>244.11633524244914</v>
      </c>
      <c r="N178" s="73">
        <f t="shared" si="67"/>
        <v>0.17621318286732418</v>
      </c>
      <c r="O178" s="60">
        <v>13593999244148.07</v>
      </c>
      <c r="P178" s="60">
        <v>3120900444029.1504</v>
      </c>
      <c r="Q178" s="60">
        <v>11730226435838.111</v>
      </c>
      <c r="R178" s="60">
        <v>28445126124015.332</v>
      </c>
      <c r="S178" s="72">
        <v>1.2434445518621976E-2</v>
      </c>
      <c r="T178" s="74">
        <f t="shared" si="51"/>
        <v>-0.122702572316106</v>
      </c>
      <c r="U178" s="86">
        <f t="shared" si="52"/>
        <v>1.2434445518621976E-2</v>
      </c>
      <c r="V178" s="86">
        <f t="shared" si="53"/>
        <v>10.867956888977892</v>
      </c>
    </row>
    <row r="179" spans="1:22" x14ac:dyDescent="0.25">
      <c r="A179" s="8"/>
      <c r="B179" s="4" t="s">
        <v>28</v>
      </c>
      <c r="C179" s="60">
        <v>870.06436266503738</v>
      </c>
      <c r="D179" s="60">
        <v>82936393095071.047</v>
      </c>
      <c r="E179" s="60">
        <v>54800543552840.734</v>
      </c>
      <c r="F179" s="60">
        <v>23731577669443.277</v>
      </c>
      <c r="G179" s="60">
        <v>60351421394176.914</v>
      </c>
      <c r="H179" s="60">
        <v>16364306608753.068</v>
      </c>
      <c r="I179" s="60">
        <v>142810107656398.78</v>
      </c>
      <c r="J179" s="60">
        <v>115173341554524.78</v>
      </c>
      <c r="K179" s="60">
        <v>496167691531208.63</v>
      </c>
      <c r="L179" s="72">
        <v>0.10857061083833887</v>
      </c>
      <c r="M179" s="72">
        <f t="shared" si="49"/>
        <v>94.463419323213103</v>
      </c>
      <c r="N179" s="73">
        <f t="shared" si="67"/>
        <v>6.8187570352234134E-2</v>
      </c>
      <c r="O179" s="60">
        <v>8688338063789.4287</v>
      </c>
      <c r="P179" s="60">
        <v>2420469703550.0796</v>
      </c>
      <c r="Q179" s="60">
        <v>8694933470010.9727</v>
      </c>
      <c r="R179" s="60">
        <v>19803741237350.48</v>
      </c>
      <c r="S179" s="72">
        <v>8.6569678196231296E-3</v>
      </c>
      <c r="T179" s="74">
        <f t="shared" si="51"/>
        <v>-9.9913643018715734E-2</v>
      </c>
      <c r="U179" s="86">
        <f t="shared" si="52"/>
        <v>8.6569678196231296E-3</v>
      </c>
      <c r="V179" s="86">
        <f t="shared" si="53"/>
        <v>12.541413240815922</v>
      </c>
    </row>
    <row r="180" spans="1:22" x14ac:dyDescent="0.25">
      <c r="A180" s="8"/>
      <c r="B180" s="60" t="s">
        <v>45</v>
      </c>
      <c r="C180" s="60">
        <f>SUM(C171:C179)</f>
        <v>12233.299651736279</v>
      </c>
      <c r="D180" s="60">
        <f>(D171*$C$3+D172*$C$4+D173*$C$5+D174*$C$6+D175*$C$7+D176*$C$8+D177*$C$9+D178*$C$10+D179*$C$11)/$C$12</f>
        <v>193317150000704.91</v>
      </c>
      <c r="E180" s="60">
        <f t="shared" ref="E180:K180" si="68">(E171*$C$3+E172*$C$4+E173*$C$5+E174*$C$6+E175*$C$7+E176*$C$8+E177*$C$9+E178*$C$10+E179*$C$11)/$C$12</f>
        <v>74594732160715.719</v>
      </c>
      <c r="F180" s="60">
        <f t="shared" si="68"/>
        <v>23390394978886.348</v>
      </c>
      <c r="G180" s="60">
        <f t="shared" si="68"/>
        <v>71457070444716.563</v>
      </c>
      <c r="H180" s="60">
        <f t="shared" si="68"/>
        <v>16824802480994.863</v>
      </c>
      <c r="I180" s="60">
        <f t="shared" si="68"/>
        <v>60613151836949.109</v>
      </c>
      <c r="J180" s="60">
        <f t="shared" si="68"/>
        <v>77327338273484.016</v>
      </c>
      <c r="K180" s="60">
        <f t="shared" si="68"/>
        <v>517524640176451.5</v>
      </c>
      <c r="L180" s="72">
        <f>(L171*$C$3+L172*$C$4+L173*$C$5+L174*$C$6+L175*$C$7+L176*$C$8+L177*$C$9+L178*$C$10+L179*$C$11)/$C$12</f>
        <v>0.11324390375852332</v>
      </c>
      <c r="M180" s="72">
        <f t="shared" si="49"/>
        <v>1385.3466084104</v>
      </c>
      <c r="N180" s="73"/>
      <c r="O180" s="60">
        <f t="shared" ref="O180:S180" si="69">(O171*$C$3+O172*$C$4+O173*$C$5+O174*$C$6+O175*$C$7+O176*$C$8+O177*$C$9+O178*$C$10+O179*$C$11)/$C$12</f>
        <v>35635522233059.266</v>
      </c>
      <c r="P180" s="60">
        <f t="shared" si="69"/>
        <v>3781678228663.7827</v>
      </c>
      <c r="Q180" s="60">
        <f t="shared" si="69"/>
        <v>30341736075914.355</v>
      </c>
      <c r="R180" s="60">
        <f t="shared" si="69"/>
        <v>69758936537637.398</v>
      </c>
      <c r="S180" s="72">
        <f t="shared" si="69"/>
        <v>3.0494281938933988E-2</v>
      </c>
      <c r="T180" s="74">
        <f t="shared" si="51"/>
        <v>-8.2749621819589336E-2</v>
      </c>
      <c r="U180" s="86">
        <f t="shared" si="52"/>
        <v>3.0494281938933988E-2</v>
      </c>
      <c r="V180" s="86">
        <f t="shared" si="53"/>
        <v>3.7136110955259989</v>
      </c>
    </row>
    <row r="181" spans="1:22" ht="58.2" x14ac:dyDescent="0.25">
      <c r="A181" s="8"/>
      <c r="B181" s="75" t="s">
        <v>54</v>
      </c>
      <c r="C181" s="60"/>
      <c r="D181" s="72">
        <f t="shared" ref="D181:K181" si="70">D180/$B$196</f>
        <v>4.2301345733195821E-2</v>
      </c>
      <c r="E181" s="72">
        <f t="shared" si="70"/>
        <v>1.6322698503438888E-2</v>
      </c>
      <c r="F181" s="72">
        <f t="shared" si="70"/>
        <v>5.1182483542420894E-3</v>
      </c>
      <c r="G181" s="72">
        <f t="shared" si="70"/>
        <v>1.5636120447421568E-2</v>
      </c>
      <c r="H181" s="72">
        <f t="shared" si="70"/>
        <v>3.6815760352286353E-3</v>
      </c>
      <c r="I181" s="72">
        <f t="shared" si="70"/>
        <v>1.3263271736750352E-2</v>
      </c>
      <c r="J181" s="72">
        <f t="shared" si="70"/>
        <v>1.6920642948245954E-2</v>
      </c>
      <c r="K181" s="72">
        <f t="shared" si="70"/>
        <v>0.11324390375852331</v>
      </c>
      <c r="L181" s="72"/>
      <c r="M181" s="72"/>
      <c r="N181" s="73"/>
      <c r="O181" s="72">
        <f>0.4*O180/$C$196</f>
        <v>1.5577640886623294E-2</v>
      </c>
      <c r="P181" s="72">
        <f>0.4*P180/$C$196</f>
        <v>1.6531152542009141E-3</v>
      </c>
      <c r="Q181" s="72">
        <f>0.4*Q180/$C$196</f>
        <v>1.3263525798109787E-2</v>
      </c>
      <c r="R181" s="72">
        <f>0.4*R180/$C$196</f>
        <v>3.0494281938933995E-2</v>
      </c>
      <c r="S181" s="72"/>
      <c r="T181" s="74"/>
      <c r="U181" s="86"/>
      <c r="V181" s="86"/>
    </row>
    <row r="182" spans="1:22" x14ac:dyDescent="0.25">
      <c r="L182" s="78"/>
      <c r="M182" s="78"/>
      <c r="S182" s="78"/>
      <c r="T182" s="80"/>
      <c r="U182" s="87"/>
      <c r="V182" s="87"/>
    </row>
    <row r="183" spans="1:22" x14ac:dyDescent="0.25">
      <c r="A183" s="8">
        <v>2018</v>
      </c>
      <c r="B183" s="4" t="s">
        <v>20</v>
      </c>
      <c r="C183" s="60">
        <v>490.54255102040815</v>
      </c>
      <c r="D183" s="60">
        <v>179845275025549.59</v>
      </c>
      <c r="E183" s="60">
        <v>41133230864534.219</v>
      </c>
      <c r="F183" s="60">
        <v>44854172088089.883</v>
      </c>
      <c r="G183" s="60">
        <v>73914748930351.813</v>
      </c>
      <c r="H183" s="60">
        <v>16179513853569.465</v>
      </c>
      <c r="I183" s="60">
        <v>8082613217798.2852</v>
      </c>
      <c r="J183" s="60">
        <v>26893186666821.906</v>
      </c>
      <c r="K183" s="60">
        <v>390902740646715.13</v>
      </c>
      <c r="L183" s="72">
        <v>8.5536704736699151E-2</v>
      </c>
      <c r="M183" s="72">
        <f t="shared" si="49"/>
        <v>41.959393347419834</v>
      </c>
      <c r="N183" s="73">
        <f>M183/$M$192</f>
        <v>3.0232258610083031E-2</v>
      </c>
      <c r="O183" s="60">
        <v>476029781079404.25</v>
      </c>
      <c r="P183" s="60">
        <v>746631831858.51514</v>
      </c>
      <c r="Q183" s="60">
        <v>182078953628396.06</v>
      </c>
      <c r="R183" s="60">
        <v>658855366539658.75</v>
      </c>
      <c r="S183" s="72">
        <v>0.28801071663986844</v>
      </c>
      <c r="T183" s="74">
        <f t="shared" si="51"/>
        <v>0.20247401190316927</v>
      </c>
      <c r="U183" s="86">
        <f t="shared" si="52"/>
        <v>8.5536704736699151E-2</v>
      </c>
      <c r="V183" s="86">
        <f t="shared" si="53"/>
        <v>1</v>
      </c>
    </row>
    <row r="184" spans="1:22" x14ac:dyDescent="0.25">
      <c r="A184" s="8"/>
      <c r="B184" s="4" t="s">
        <v>21</v>
      </c>
      <c r="C184" s="60">
        <v>94.4</v>
      </c>
      <c r="D184" s="60">
        <v>23428135593220.344</v>
      </c>
      <c r="E184" s="60">
        <v>6983050847457.627</v>
      </c>
      <c r="F184" s="60">
        <v>5577083389830.5078</v>
      </c>
      <c r="G184" s="60">
        <v>28972120510638.297</v>
      </c>
      <c r="H184" s="60">
        <v>549915254237.28809</v>
      </c>
      <c r="I184" s="60">
        <v>624111320359908</v>
      </c>
      <c r="J184" s="60">
        <v>319557680772118.5</v>
      </c>
      <c r="K184" s="60">
        <v>1009179306727410.5</v>
      </c>
      <c r="L184" s="72">
        <v>0.2208269817784268</v>
      </c>
      <c r="M184" s="72">
        <f t="shared" si="49"/>
        <v>20.84606707988349</v>
      </c>
      <c r="N184" s="73">
        <f t="shared" ref="N184:N191" si="71">M184/$M$192</f>
        <v>1.5019847540310775E-2</v>
      </c>
      <c r="O184" s="60">
        <v>749265006037613.75</v>
      </c>
      <c r="P184" s="60">
        <v>0</v>
      </c>
      <c r="Q184" s="60">
        <v>149568176050644.09</v>
      </c>
      <c r="R184" s="60">
        <v>898833182088257.88</v>
      </c>
      <c r="S184" s="72">
        <v>0.39291413876242604</v>
      </c>
      <c r="T184" s="74">
        <f t="shared" si="51"/>
        <v>0.17208715698399923</v>
      </c>
      <c r="U184" s="86">
        <f t="shared" si="52"/>
        <v>0.2208269817784268</v>
      </c>
      <c r="V184" s="86">
        <f t="shared" si="53"/>
        <v>1</v>
      </c>
    </row>
    <row r="185" spans="1:22" x14ac:dyDescent="0.25">
      <c r="A185" s="8"/>
      <c r="B185" s="4" t="s">
        <v>22</v>
      </c>
      <c r="C185" s="60">
        <v>1841.3849163931986</v>
      </c>
      <c r="D185" s="60">
        <v>119886764594774.53</v>
      </c>
      <c r="E185" s="60">
        <v>50012791557121.148</v>
      </c>
      <c r="F185" s="60">
        <v>30536711525876.863</v>
      </c>
      <c r="G185" s="60">
        <v>49650201112376.75</v>
      </c>
      <c r="H185" s="60">
        <v>9373097306459.3672</v>
      </c>
      <c r="I185" s="60">
        <v>2833517320596.7207</v>
      </c>
      <c r="J185" s="60">
        <v>26617640911523.715</v>
      </c>
      <c r="K185" s="60">
        <v>288910724328729.13</v>
      </c>
      <c r="L185" s="72">
        <v>6.3218976877183614E-2</v>
      </c>
      <c r="M185" s="72">
        <f t="shared" si="49"/>
        <v>116.41047045145631</v>
      </c>
      <c r="N185" s="73">
        <f t="shared" si="71"/>
        <v>8.3875174706887615E-2</v>
      </c>
      <c r="O185" s="60">
        <v>70012900424668.734</v>
      </c>
      <c r="P185" s="60">
        <v>726938541029.97888</v>
      </c>
      <c r="Q185" s="60">
        <v>46228644208043.977</v>
      </c>
      <c r="R185" s="60">
        <v>116968483173742.69</v>
      </c>
      <c r="S185" s="72">
        <v>5.11313686948928E-2</v>
      </c>
      <c r="T185" s="74">
        <f t="shared" si="51"/>
        <v>-1.2087608182290814E-2</v>
      </c>
      <c r="U185" s="86">
        <f t="shared" si="52"/>
        <v>5.11313686948928E-2</v>
      </c>
      <c r="V185" s="86">
        <f t="shared" si="53"/>
        <v>1.2364029849155627</v>
      </c>
    </row>
    <row r="186" spans="1:22" x14ac:dyDescent="0.25">
      <c r="A186" s="8"/>
      <c r="B186" s="4" t="s">
        <v>23</v>
      </c>
      <c r="C186" s="60">
        <v>687.86610778443128</v>
      </c>
      <c r="D186" s="60">
        <v>720225745088255.25</v>
      </c>
      <c r="E186" s="60">
        <v>101035941753042.72</v>
      </c>
      <c r="F186" s="60">
        <v>42159367458017.344</v>
      </c>
      <c r="G186" s="60">
        <v>80977635953613.984</v>
      </c>
      <c r="H186" s="60">
        <v>47625547514643.039</v>
      </c>
      <c r="I186" s="60">
        <v>218953805038794.13</v>
      </c>
      <c r="J186" s="60">
        <v>72693609609971.172</v>
      </c>
      <c r="K186" s="60">
        <v>1283671652416337.8</v>
      </c>
      <c r="L186" s="72">
        <v>0.28089095238869533</v>
      </c>
      <c r="M186" s="72">
        <f t="shared" si="49"/>
        <v>193.21536613147384</v>
      </c>
      <c r="N186" s="73">
        <f t="shared" si="71"/>
        <v>0.13921404601736909</v>
      </c>
      <c r="O186" s="60">
        <v>9887375461646.293</v>
      </c>
      <c r="P186" s="60">
        <v>1691798217440.1497</v>
      </c>
      <c r="Q186" s="60">
        <v>28088508567796.754</v>
      </c>
      <c r="R186" s="60">
        <v>39667682246883.195</v>
      </c>
      <c r="S186" s="72">
        <v>1.7340251247205594E-2</v>
      </c>
      <c r="T186" s="74">
        <f t="shared" si="51"/>
        <v>-0.26355070114148971</v>
      </c>
      <c r="U186" s="86">
        <f t="shared" si="52"/>
        <v>1.7340251247205594E-2</v>
      </c>
      <c r="V186" s="86">
        <f t="shared" si="53"/>
        <v>16.198782150515914</v>
      </c>
    </row>
    <row r="187" spans="1:22" x14ac:dyDescent="0.25">
      <c r="A187" s="8"/>
      <c r="B187" s="4" t="s">
        <v>24</v>
      </c>
      <c r="C187" s="60">
        <v>1017.9192035045799</v>
      </c>
      <c r="D187" s="60">
        <v>624434628811028.38</v>
      </c>
      <c r="E187" s="60">
        <v>140993508626104.06</v>
      </c>
      <c r="F187" s="60">
        <v>24387004306956.578</v>
      </c>
      <c r="G187" s="60">
        <v>80841752661630.156</v>
      </c>
      <c r="H187" s="60">
        <v>59415324705314.773</v>
      </c>
      <c r="I187" s="60">
        <v>19236961748680.66</v>
      </c>
      <c r="J187" s="60">
        <v>30329280974380.184</v>
      </c>
      <c r="K187" s="60">
        <v>979638461834094.75</v>
      </c>
      <c r="L187" s="72">
        <v>0.21436290193306232</v>
      </c>
      <c r="M187" s="72">
        <f t="shared" si="49"/>
        <v>218.20411439663314</v>
      </c>
      <c r="N187" s="73">
        <f t="shared" si="71"/>
        <v>0.15721874626742682</v>
      </c>
      <c r="O187" s="60">
        <v>12282597287751.543</v>
      </c>
      <c r="P187" s="60">
        <v>18444403679733.016</v>
      </c>
      <c r="Q187" s="60">
        <v>52892814789850.617</v>
      </c>
      <c r="R187" s="60">
        <v>83619815757335.172</v>
      </c>
      <c r="S187" s="72">
        <v>3.6553398947102918E-2</v>
      </c>
      <c r="T187" s="74">
        <f t="shared" si="51"/>
        <v>-0.17780950298595941</v>
      </c>
      <c r="U187" s="86">
        <f t="shared" si="52"/>
        <v>3.6553398947102918E-2</v>
      </c>
      <c r="V187" s="86">
        <f t="shared" si="53"/>
        <v>5.8643767230311674</v>
      </c>
    </row>
    <row r="188" spans="1:22" x14ac:dyDescent="0.25">
      <c r="A188" s="8"/>
      <c r="B188" s="4" t="s">
        <v>25</v>
      </c>
      <c r="C188" s="60">
        <v>3036.0085306554342</v>
      </c>
      <c r="D188" s="60">
        <v>105101153958586.91</v>
      </c>
      <c r="E188" s="60">
        <v>63399031345424.492</v>
      </c>
      <c r="F188" s="60">
        <v>21778594932249.93</v>
      </c>
      <c r="G188" s="60">
        <v>83846439763978.828</v>
      </c>
      <c r="H188" s="60">
        <v>18385323834366.707</v>
      </c>
      <c r="I188" s="60">
        <v>38290058979278.461</v>
      </c>
      <c r="J188" s="60">
        <v>92161604760061.063</v>
      </c>
      <c r="K188" s="60">
        <v>422962207573946.38</v>
      </c>
      <c r="L188" s="72">
        <v>9.2551905377231153E-2</v>
      </c>
      <c r="M188" s="72">
        <f t="shared" si="49"/>
        <v>280.98837425368833</v>
      </c>
      <c r="N188" s="73">
        <f t="shared" si="71"/>
        <v>0.20245557714639056</v>
      </c>
      <c r="O188" s="60">
        <v>20415326427454.535</v>
      </c>
      <c r="P188" s="60">
        <v>2878051961146.7944</v>
      </c>
      <c r="Q188" s="60">
        <v>25315498715481.988</v>
      </c>
      <c r="R188" s="60">
        <v>48608877104083.313</v>
      </c>
      <c r="S188" s="72">
        <v>2.124878727684102E-2</v>
      </c>
      <c r="T188" s="74">
        <f t="shared" si="51"/>
        <v>-7.1303118100390139E-2</v>
      </c>
      <c r="U188" s="86">
        <f t="shared" si="52"/>
        <v>2.124878727684102E-2</v>
      </c>
      <c r="V188" s="86">
        <f t="shared" si="53"/>
        <v>4.3556323554569705</v>
      </c>
    </row>
    <row r="189" spans="1:22" x14ac:dyDescent="0.25">
      <c r="A189" s="8"/>
      <c r="B189" s="4" t="s">
        <v>26</v>
      </c>
      <c r="C189" s="60">
        <v>2442.129515135493</v>
      </c>
      <c r="D189" s="60">
        <v>104300774558169.95</v>
      </c>
      <c r="E189" s="60">
        <v>60459365109392.32</v>
      </c>
      <c r="F189" s="60">
        <v>17702884196787.32</v>
      </c>
      <c r="G189" s="60">
        <v>70306410636502.453</v>
      </c>
      <c r="H189" s="60">
        <v>11074203817769.066</v>
      </c>
      <c r="I189" s="60">
        <v>13346643193137.193</v>
      </c>
      <c r="J189" s="60">
        <v>77176915307588.703</v>
      </c>
      <c r="K189" s="60">
        <v>354367196819347</v>
      </c>
      <c r="L189" s="72">
        <v>7.7542056196793649E-2</v>
      </c>
      <c r="M189" s="72">
        <f t="shared" si="49"/>
        <v>189.36774410248483</v>
      </c>
      <c r="N189" s="73">
        <f t="shared" si="71"/>
        <v>0.13644178705616081</v>
      </c>
      <c r="O189" s="60">
        <v>15357044717710.662</v>
      </c>
      <c r="P189" s="60">
        <v>4373619720956.8057</v>
      </c>
      <c r="Q189" s="60">
        <v>20135942245123.602</v>
      </c>
      <c r="R189" s="60">
        <v>39866606683791.07</v>
      </c>
      <c r="S189" s="72">
        <v>1.7427208677531954E-2</v>
      </c>
      <c r="T189" s="74">
        <f t="shared" si="51"/>
        <v>-6.0114847519261695E-2</v>
      </c>
      <c r="U189" s="86">
        <f t="shared" si="52"/>
        <v>1.7427208677531954E-2</v>
      </c>
      <c r="V189" s="86">
        <f t="shared" si="53"/>
        <v>4.4494822797849904</v>
      </c>
    </row>
    <row r="190" spans="1:22" x14ac:dyDescent="0.25">
      <c r="A190" s="8"/>
      <c r="B190" s="4" t="s">
        <v>27</v>
      </c>
      <c r="C190" s="60">
        <v>1815.1286775679328</v>
      </c>
      <c r="D190" s="60">
        <v>131190699008218.31</v>
      </c>
      <c r="E190" s="60">
        <v>102357481481114.77</v>
      </c>
      <c r="F190" s="60">
        <v>23368948220704.027</v>
      </c>
      <c r="G190" s="60">
        <v>89041849555677.656</v>
      </c>
      <c r="H190" s="60">
        <v>20905030761148.262</v>
      </c>
      <c r="I190" s="60">
        <v>129107679204298.97</v>
      </c>
      <c r="J190" s="60">
        <v>113922547768016.45</v>
      </c>
      <c r="K190" s="60">
        <v>609894235999178.5</v>
      </c>
      <c r="L190" s="72">
        <v>0.13345606914642855</v>
      </c>
      <c r="M190" s="72">
        <f t="shared" si="49"/>
        <v>242.23993830317144</v>
      </c>
      <c r="N190" s="73">
        <f t="shared" si="71"/>
        <v>0.17453685280515074</v>
      </c>
      <c r="O190" s="60">
        <v>12778919318763.98</v>
      </c>
      <c r="P190" s="60">
        <v>3576771367381.4639</v>
      </c>
      <c r="Q190" s="60">
        <v>12583748750311.479</v>
      </c>
      <c r="R190" s="60">
        <v>28939439436456.922</v>
      </c>
      <c r="S190" s="72">
        <v>1.2650528650962009E-2</v>
      </c>
      <c r="T190" s="74">
        <f t="shared" si="51"/>
        <v>-0.12080554049546653</v>
      </c>
      <c r="U190" s="86">
        <f t="shared" si="52"/>
        <v>1.2650528650962009E-2</v>
      </c>
      <c r="V190" s="86">
        <f t="shared" si="53"/>
        <v>10.549446021473567</v>
      </c>
    </row>
    <row r="191" spans="1:22" x14ac:dyDescent="0.25">
      <c r="A191" s="8"/>
      <c r="B191" s="4" t="s">
        <v>28</v>
      </c>
      <c r="C191" s="60">
        <v>873.62948747707685</v>
      </c>
      <c r="D191" s="60">
        <v>78770234963944.781</v>
      </c>
      <c r="E191" s="60">
        <v>54027480386802.398</v>
      </c>
      <c r="F191" s="60">
        <v>21775821755901.031</v>
      </c>
      <c r="G191" s="60">
        <v>59728914583767.359</v>
      </c>
      <c r="H191" s="60">
        <v>15576397311517.1</v>
      </c>
      <c r="I191" s="60">
        <v>136247877432531.75</v>
      </c>
      <c r="J191" s="60">
        <v>112961743497478.84</v>
      </c>
      <c r="K191" s="60">
        <v>479088469931943.25</v>
      </c>
      <c r="L191" s="72">
        <v>0.10483336322361997</v>
      </c>
      <c r="M191" s="72">
        <f t="shared" si="49"/>
        <v>91.585517383549345</v>
      </c>
      <c r="N191" s="73">
        <f t="shared" si="71"/>
        <v>6.5988490909580325E-2</v>
      </c>
      <c r="O191" s="60">
        <v>19133838809154.016</v>
      </c>
      <c r="P191" s="60">
        <v>2710044649478.9399</v>
      </c>
      <c r="Q191" s="60">
        <v>11845040791702.359</v>
      </c>
      <c r="R191" s="60">
        <v>33688924250335.316</v>
      </c>
      <c r="S191" s="72">
        <v>1.4726708939360631E-2</v>
      </c>
      <c r="T191" s="74">
        <f t="shared" si="51"/>
        <v>-9.0106654284259333E-2</v>
      </c>
      <c r="U191" s="86">
        <f t="shared" si="52"/>
        <v>1.4726708939360631E-2</v>
      </c>
      <c r="V191" s="86">
        <f t="shared" si="53"/>
        <v>7.1185872998024617</v>
      </c>
    </row>
    <row r="192" spans="1:22" x14ac:dyDescent="0.25">
      <c r="A192" s="8"/>
      <c r="B192" s="60" t="s">
        <v>45</v>
      </c>
      <c r="C192" s="60">
        <f>SUM(C183:C191)</f>
        <v>12299.008989538555</v>
      </c>
      <c r="D192" s="60">
        <f>(D183*$C$3+D184*$C$4+D185*$C$5+D186*$C$6+D187*$C$7+D188*$C$8+D189*$C$9+D190*$C$10+D191*$C$11)/$C$12</f>
        <v>185999392436512.22</v>
      </c>
      <c r="E192" s="60">
        <f t="shared" ref="E192:K192" si="72">(E183*$C$3+E184*$C$4+E185*$C$5+E186*$C$6+E187*$C$7+E188*$C$8+E189*$C$9+E190*$C$10+E191*$C$11)/$C$12</f>
        <v>73421204490501.781</v>
      </c>
      <c r="F192" s="60">
        <f t="shared" si="72"/>
        <v>24603432639316.48</v>
      </c>
      <c r="G192" s="60">
        <f t="shared" si="72"/>
        <v>74012154906103.797</v>
      </c>
      <c r="H192" s="60">
        <f t="shared" si="72"/>
        <v>20496922971257.539</v>
      </c>
      <c r="I192" s="60">
        <f t="shared" si="72"/>
        <v>59966723675691.555</v>
      </c>
      <c r="J192" s="60">
        <f t="shared" si="72"/>
        <v>77209141626010.438</v>
      </c>
      <c r="K192" s="60">
        <f t="shared" si="72"/>
        <v>515708972745393.81</v>
      </c>
      <c r="L192" s="72">
        <f>(L183*$C$3+L184*$C$4+L185*$C$5+L186*$C$6+L187*$C$7+L188*$C$8+L189*$C$9+L190*$C$10+L191*$C$11)/$C$12</f>
        <v>0.11284660235128968</v>
      </c>
      <c r="M192" s="72">
        <f t="shared" si="49"/>
        <v>1387.9013767573945</v>
      </c>
      <c r="N192" s="73"/>
      <c r="O192" s="60">
        <f t="shared" ref="O192:S192" si="73">(O183*$C$3+O184*$C$4+O185*$C$5+O186*$C$6+O187*$C$7+O188*$C$8+O189*$C$9+O190*$C$10+O191*$C$11)/$C$12</f>
        <v>47140879478782.578</v>
      </c>
      <c r="P192" s="60">
        <f t="shared" si="73"/>
        <v>4063856850277.1353</v>
      </c>
      <c r="Q192" s="60">
        <f t="shared" si="73"/>
        <v>33871558853507.82</v>
      </c>
      <c r="R192" s="60">
        <f t="shared" si="73"/>
        <v>85076295182567.531</v>
      </c>
      <c r="S192" s="72">
        <f t="shared" si="73"/>
        <v>3.7190081448811196E-2</v>
      </c>
      <c r="T192" s="74">
        <f t="shared" si="51"/>
        <v>-7.5656520902478486E-2</v>
      </c>
      <c r="U192" s="86">
        <f t="shared" si="52"/>
        <v>3.7190081448811196E-2</v>
      </c>
      <c r="V192" s="86">
        <f t="shared" si="53"/>
        <v>3.0343198496785462</v>
      </c>
    </row>
    <row r="193" spans="1:22" ht="58.2" x14ac:dyDescent="0.25">
      <c r="A193" s="8"/>
      <c r="B193" s="75" t="s">
        <v>54</v>
      </c>
      <c r="C193" s="75"/>
      <c r="D193" s="72">
        <f t="shared" ref="D193:K193" si="74">D192/$B$196</f>
        <v>4.0700085872322149E-2</v>
      </c>
      <c r="E193" s="72">
        <f t="shared" si="74"/>
        <v>1.6065909078884416E-2</v>
      </c>
      <c r="F193" s="72">
        <f t="shared" si="74"/>
        <v>5.3836832908788794E-3</v>
      </c>
      <c r="G193" s="72">
        <f t="shared" si="74"/>
        <v>1.6195219891926432E-2</v>
      </c>
      <c r="H193" s="72">
        <f t="shared" si="74"/>
        <v>4.4851034948047135E-3</v>
      </c>
      <c r="I193" s="72">
        <f t="shared" si="74"/>
        <v>1.3121821373236664E-2</v>
      </c>
      <c r="J193" s="72">
        <f t="shared" si="74"/>
        <v>1.689477934923642E-2</v>
      </c>
      <c r="K193" s="72">
        <f t="shared" si="74"/>
        <v>0.11284660235128967</v>
      </c>
      <c r="L193" s="72"/>
      <c r="M193" s="72"/>
      <c r="N193" s="73"/>
      <c r="O193" s="72">
        <f>0.4*O192/$C$196</f>
        <v>2.0607069732201368E-2</v>
      </c>
      <c r="P193" s="72">
        <f>0.4*P192/$C$196</f>
        <v>1.7764662522479491E-3</v>
      </c>
      <c r="Q193" s="72">
        <f>0.4*Q192/$C$196</f>
        <v>1.4806545464361881E-2</v>
      </c>
      <c r="R193" s="72">
        <f>0.4*R192/$C$196</f>
        <v>3.7190081448811196E-2</v>
      </c>
      <c r="S193" s="72"/>
      <c r="T193" s="60"/>
      <c r="U193" s="60"/>
      <c r="V193" s="60"/>
    </row>
    <row r="195" spans="1:22" ht="72" x14ac:dyDescent="0.25">
      <c r="B195" s="76" t="s">
        <v>55</v>
      </c>
      <c r="C195" s="76" t="s">
        <v>56</v>
      </c>
    </row>
    <row r="196" spans="1:22" x14ac:dyDescent="0.25">
      <c r="B196" s="84">
        <v>4570000000000000</v>
      </c>
      <c r="C196" s="85">
        <v>915042848719408.25</v>
      </c>
    </row>
  </sheetData>
  <mergeCells count="27">
    <mergeCell ref="T1:T2"/>
    <mergeCell ref="U1:U2"/>
    <mergeCell ref="V1:V2"/>
    <mergeCell ref="A63:A73"/>
    <mergeCell ref="O1:R1"/>
    <mergeCell ref="S1:S2"/>
    <mergeCell ref="A1:A2"/>
    <mergeCell ref="B1:B2"/>
    <mergeCell ref="L1:L2"/>
    <mergeCell ref="D1:K1"/>
    <mergeCell ref="M1:M2"/>
    <mergeCell ref="N1:N2"/>
    <mergeCell ref="A3:A13"/>
    <mergeCell ref="A15:A25"/>
    <mergeCell ref="A27:A37"/>
    <mergeCell ref="A39:A49"/>
    <mergeCell ref="A51:A61"/>
    <mergeCell ref="A147:A157"/>
    <mergeCell ref="A159:A169"/>
    <mergeCell ref="A171:A181"/>
    <mergeCell ref="A183:A193"/>
    <mergeCell ref="A75:A85"/>
    <mergeCell ref="A87:A97"/>
    <mergeCell ref="A99:A109"/>
    <mergeCell ref="A111:A121"/>
    <mergeCell ref="A123:A133"/>
    <mergeCell ref="A135:A145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data</vt:lpstr>
      <vt:lpstr>result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ShiQi</dc:creator>
  <cp:lastModifiedBy>石琦</cp:lastModifiedBy>
  <dcterms:created xsi:type="dcterms:W3CDTF">2015-06-05T18:19:34Z</dcterms:created>
  <dcterms:modified xsi:type="dcterms:W3CDTF">2022-08-24T04:17:36Z</dcterms:modified>
</cp:coreProperties>
</file>